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K:\Trans\Grant Applications\2022 Grants\MPDG\SDDOT US 12\BCA\"/>
    </mc:Choice>
  </mc:AlternateContent>
  <xr:revisionPtr revIDLastSave="0" documentId="13_ncr:1_{D25F5983-69BD-4932-8891-DBEE4FDF3D19}" xr6:coauthVersionLast="47" xr6:coauthVersionMax="47" xr10:uidLastSave="{00000000-0000-0000-0000-000000000000}"/>
  <bookViews>
    <workbookView xWindow="-120" yWindow="-120" windowWidth="29040" windowHeight="15840" tabRatio="1000" firstSheet="1" activeTab="1" xr2:uid="{00000000-000D-0000-FFFF-FFFF00000000}"/>
  </bookViews>
  <sheets>
    <sheet name="Assumptions" sheetId="51" r:id="rId1"/>
    <sheet name="BCA Summary" sheetId="12" r:id="rId2"/>
    <sheet name="Safety Benefits - Rumble Strip" sheetId="79" r:id="rId3"/>
    <sheet name="Safety Benefits - Shoulder" sheetId="98" r:id="rId4"/>
    <sheet name="TT-Detour-Truck" sheetId="46" r:id="rId5"/>
    <sheet name="VOC-Detour-Truck" sheetId="81" r:id="rId6"/>
    <sheet name="TT-Detour-Car_A" sheetId="80" r:id="rId7"/>
    <sheet name="VOC-Detour-Car_A" sheetId="82" r:id="rId8"/>
    <sheet name="TT-Detour-Car_B" sheetId="83" r:id="rId9"/>
    <sheet name="VOC-Detour-Car_B" sheetId="84" r:id="rId10"/>
    <sheet name="VOC-Roughness-1" sheetId="85" r:id="rId11"/>
    <sheet name="VOC-Roughness-2" sheetId="86" r:id="rId12"/>
    <sheet name="Air Quality" sheetId="73" r:id="rId13"/>
    <sheet name="Operation &amp; Maintenance" sheetId="48" r:id="rId14"/>
    <sheet name="Capital Costs &amp; RCV Calc" sheetId="99" r:id="rId15"/>
    <sheet name="TT-Construction" sheetId="64" r:id="rId16"/>
    <sheet name="SD Data Needs Book" sheetId="88" r:id="rId17"/>
    <sheet name="Pavement Data" sheetId="92" r:id="rId18"/>
    <sheet name="Bridge Data" sheetId="93" r:id="rId19"/>
    <sheet name="O&amp;M Costs" sheetId="103" r:id="rId20"/>
    <sheet name="05U5 - Costs" sheetId="101" r:id="rId21"/>
    <sheet name="05HW - Costs" sheetId="100"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#REF!</definedName>
    <definedName name="\B">#REF!</definedName>
    <definedName name="\p">#REF!</definedName>
    <definedName name="\S">#REF!</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ALL2">'[1]A-11a Balance Sheet Recons'!$B$11:$J$42</definedName>
    <definedName name="________________ALL2">'[1]A-11a Balance Sheet Recons'!$B$11:$J$42</definedName>
    <definedName name="_______________ALL2">'[1]A-11a Balance Sheet Recons'!$B$11:$J$42</definedName>
    <definedName name="______________ALL2">'[1]A-11a Balance Sheet Recons'!$B$11:$J$42</definedName>
    <definedName name="_____________ALL2">'[1]A-11a Balance Sheet Recons'!$B$11:$J$42</definedName>
    <definedName name="____________ALL2">'[1]A-11a Balance Sheet Recons'!$B$11:$J$42</definedName>
    <definedName name="____________RG1">#REF!</definedName>
    <definedName name="____________RG2">#REF!</definedName>
    <definedName name="____________RG3">#REF!</definedName>
    <definedName name="____________RG4">#REF!</definedName>
    <definedName name="___________ALL2">'[1]A-11a Balance Sheet Recons'!$B$11:$J$42</definedName>
    <definedName name="___________RG1">#REF!</definedName>
    <definedName name="___________RG2">#REF!</definedName>
    <definedName name="___________RG3">#REF!</definedName>
    <definedName name="___________RG4">#REF!</definedName>
    <definedName name="__________ALL2">'[1]A-11a Balance Sheet Recons'!$B$11:$J$42</definedName>
    <definedName name="__________RG1">#REF!</definedName>
    <definedName name="__________RG2">#REF!</definedName>
    <definedName name="__________RG3">#REF!</definedName>
    <definedName name="__________RG4">#REF!</definedName>
    <definedName name="_________ALL2">'[1]A-11a Balance Sheet Recons'!$B$11:$J$42</definedName>
    <definedName name="_________RG1">#REF!</definedName>
    <definedName name="_________RG2">#REF!</definedName>
    <definedName name="_________RG3">#REF!</definedName>
    <definedName name="_________RG4">#REF!</definedName>
    <definedName name="________ALL2">'[1]A-11a Balance Sheet Recons'!$B$11:$J$42</definedName>
    <definedName name="________RG1">#REF!</definedName>
    <definedName name="________RG2">#REF!</definedName>
    <definedName name="________RG3">#REF!</definedName>
    <definedName name="________RG4">#REF!</definedName>
    <definedName name="_______ALL2">'[1]A-11a Balance Sheet Recons'!$B$11:$J$42</definedName>
    <definedName name="_______RG1">#REF!</definedName>
    <definedName name="_______RG2">#REF!</definedName>
    <definedName name="_______RG3">#REF!</definedName>
    <definedName name="_______RG4">#REF!</definedName>
    <definedName name="______ALL2">'[1]A-11a Balance Sheet Recons'!$B$11:$J$42</definedName>
    <definedName name="______RG1">#REF!</definedName>
    <definedName name="______RG2">#REF!</definedName>
    <definedName name="______RG3">#REF!</definedName>
    <definedName name="______RG4">#REF!</definedName>
    <definedName name="_____ALL2">'[1]A-11a Balance Sheet Recons'!$B$11:$J$42</definedName>
    <definedName name="_____RG1">#REF!</definedName>
    <definedName name="_____RG2">#REF!</definedName>
    <definedName name="_____RG3">#REF!</definedName>
    <definedName name="_____RG4">#REF!</definedName>
    <definedName name="____ALL2">'[1]A-11a Balance Sheet Recons'!$B$11:$J$42</definedName>
    <definedName name="____RG1">#REF!</definedName>
    <definedName name="____RG2">#REF!</definedName>
    <definedName name="____RG3">#REF!</definedName>
    <definedName name="____RG4">#REF!</definedName>
    <definedName name="___ALL2">'[1]A-11a Balance Sheet Recons'!$B$11:$J$42</definedName>
    <definedName name="___RG1">#REF!</definedName>
    <definedName name="___RG2">#REF!</definedName>
    <definedName name="___RG3">#REF!</definedName>
    <definedName name="___RG4">#REF!</definedName>
    <definedName name="__ALL2">'[1]A-11a Balance Sheet Recons'!$B$11:$J$42</definedName>
    <definedName name="__RG1">#REF!</definedName>
    <definedName name="__RG2">#REF!</definedName>
    <definedName name="__RG3">#REF!</definedName>
    <definedName name="__RG4">#REF!</definedName>
    <definedName name="_12_MONTHS">#REF!</definedName>
    <definedName name="_12_PAGE_25MO">#REF!</definedName>
    <definedName name="_ALL2">'[1]A-11a Balance Sheet Recons'!$B$11:$J$42</definedName>
    <definedName name="_COW1">#REF!</definedName>
    <definedName name="_COW2">#REF!</definedName>
    <definedName name="_Fill" hidden="1">#REF!</definedName>
    <definedName name="_xlnm._FilterDatabase" localSheetId="19" hidden="1">'O&amp;M Costs'!$A$1:$X$1</definedName>
    <definedName name="_xlnm._FilterDatabase" localSheetId="17" hidden="1">'Pavement Data'!$A$1:$AQ$3</definedName>
    <definedName name="_Key1" hidden="1">'[2]Journal Entry'!#REF!</definedName>
    <definedName name="_Key2" hidden="1">'[2]Journal Entry'!#REF!</definedName>
    <definedName name="_Order1" hidden="1">255</definedName>
    <definedName name="_Order2" hidden="1">255</definedName>
    <definedName name="_ppp1">#REF!</definedName>
    <definedName name="_ppp2">#REF!</definedName>
    <definedName name="_ppp3">#REF!</definedName>
    <definedName name="_RG1">#REF!</definedName>
    <definedName name="_RG2">#REF!</definedName>
    <definedName name="_RG3">#REF!</definedName>
    <definedName name="_RG4">#REF!</definedName>
    <definedName name="_ST1">#REF!</definedName>
    <definedName name="_ST2">#REF!</definedName>
    <definedName name="_SUB1">#REF!</definedName>
    <definedName name="_SUB2">#REF!</definedName>
    <definedName name="_SUB3">#REF!</definedName>
    <definedName name="_SUB4">#REF!</definedName>
    <definedName name="_SUB5">#REF!</definedName>
    <definedName name="_SUB6">#REF!</definedName>
    <definedName name="_SUB8">#REF!</definedName>
    <definedName name="_SW1">#REF!</definedName>
    <definedName name="_SW2">#REF!</definedName>
    <definedName name="AADTGrowth">[3]Assumptions!$C$3</definedName>
    <definedName name="ABBREV_DATE">#REF!</definedName>
    <definedName name="Adds">#REF!</definedName>
    <definedName name="ASSIGN">#REF!</definedName>
    <definedName name="B_4">#REF!</definedName>
    <definedName name="B_5">#REF!</definedName>
    <definedName name="BCAnalysisPeriod" localSheetId="12">[4]Assumptions!#REF!</definedName>
    <definedName name="BCAnalysisPeriod" localSheetId="14">[5]Assumptions!#REF!</definedName>
    <definedName name="BCAnalysisPeriod">[5]Assumptions!#REF!</definedName>
    <definedName name="BEGINNING">#REF!</definedName>
    <definedName name="BEx3O85IKWARA6NCJOLRBRJFMEWW" hidden="1">'[6]Q2 09 Rail BS Leads'!#REF!</definedName>
    <definedName name="BEx5MLQZM68YQSKARVWTTPINFQ2C" hidden="1">'[6]Q2 09 Rail BS Leads'!#REF!</definedName>
    <definedName name="BExERWCEBKQRYWRQLYJ4UCMMKTHG" hidden="1">'[6]Q2 09 Rail BS Leads'!#REF!</definedName>
    <definedName name="BExMBYPQDG9AYDQ5E8IECVFREPO6" hidden="1">'[6]Q2 09 Rail BS Leads'!#REF!</definedName>
    <definedName name="BExQ9ZLYHWABXAA9NJDW8ZS0UQ9P" hidden="1">'[6]Q2 09 Rail BS Leads'!#REF!</definedName>
    <definedName name="BExTUY9WNSJ91GV8CP0SKJTEIV82" hidden="1">'[6]Q2 09 Rail BS Leads'!#REF!</definedName>
    <definedName name="BS_98">#REF!</definedName>
    <definedName name="BS_99">#REF!</definedName>
    <definedName name="BS_SUM_25MO">#REF!</definedName>
    <definedName name="BS_SUM_98">#REF!</definedName>
    <definedName name="BS_SUM_99">#REF!</definedName>
    <definedName name="CBS">#REF!</definedName>
    <definedName name="COLE">#REF!</definedName>
    <definedName name="_xlnm.Criteria">#REF!</definedName>
    <definedName name="CURRENT_DATE">#REF!</definedName>
    <definedName name="DATA">#REF!</definedName>
    <definedName name="_xlnm.Database">#REF!</definedName>
    <definedName name="DecComICC">#REF!</definedName>
    <definedName name="DecComInstall">#REF!</definedName>
    <definedName name="Detail">#REF!</definedName>
    <definedName name="DISC_RATE">[3]Assumptions!$C$5</definedName>
    <definedName name="ENDING">#REF!</definedName>
    <definedName name="EPR">#REF!</definedName>
    <definedName name="_xlnm.Extract">#REF!</definedName>
    <definedName name="formula">#REF!</definedName>
    <definedName name="furbase">#REF!</definedName>
    <definedName name="FURN">#REF!</definedName>
    <definedName name="furnish">#REF!</definedName>
    <definedName name="furnmat">#REF!</definedName>
    <definedName name="GENERAL">#REF!</definedName>
    <definedName name="ICCConv">'[7]ICC Conversion'!$A$1:$B$191</definedName>
    <definedName name="IMPORT">#REF!</definedName>
    <definedName name="infor">#REF!</definedName>
    <definedName name="item">#REF!</definedName>
    <definedName name="k7.">#REF!</definedName>
    <definedName name="LEADS">#REF!</definedName>
    <definedName name="LEADS_25MO">#REF!</definedName>
    <definedName name="LEADS_98">#REF!</definedName>
    <definedName name="LEADS_99">#REF!</definedName>
    <definedName name="LOLD">1</definedName>
    <definedName name="LOLD_Table">7</definedName>
    <definedName name="mike">#REF!</definedName>
    <definedName name="mobil1">#REF!</definedName>
    <definedName name="NEXT">#REF!</definedName>
    <definedName name="Normal">#REF!</definedName>
    <definedName name="number">#REF!</definedName>
    <definedName name="OPER1">#REF!</definedName>
    <definedName name="OPER2">#REF!</definedName>
    <definedName name="PAGE_33">#REF!</definedName>
    <definedName name="PAGE1">#REF!</definedName>
    <definedName name="PAGE2">#REF!</definedName>
    <definedName name="PAGE32">#REF!</definedName>
    <definedName name="PAGE37">#REF!</definedName>
    <definedName name="PART_B">#REF!</definedName>
    <definedName name="PARTA">#REF!</definedName>
    <definedName name="PISNU">#REF!</definedName>
    <definedName name="ppp">#REF!</definedName>
    <definedName name="price">#REF!</definedName>
    <definedName name="PRINT_ALL">#REF!</definedName>
    <definedName name="_xlnm.Print_Area" localSheetId="12">'Air Quality'!$A$1:$X$48</definedName>
    <definedName name="_xlnm.Print_Area" localSheetId="0">Assumptions!$B$2:$J$52</definedName>
    <definedName name="_xlnm.Print_Area" localSheetId="1">'BCA Summary'!$A$1:$Q$105</definedName>
    <definedName name="_xlnm.Print_Area" localSheetId="14">'Capital Costs &amp; RCV Calc'!$A$2:$T$46</definedName>
    <definedName name="_xlnm.Print_Area" localSheetId="13">'Operation &amp; Maintenance'!$A$2:$N$63</definedName>
    <definedName name="_xlnm.Print_Area" localSheetId="2">'Safety Benefits - Rumble Strip'!$A$2:$O$58</definedName>
    <definedName name="_xlnm.Print_Area" localSheetId="3">'Safety Benefits - Shoulder'!$A$2:$O$58</definedName>
    <definedName name="_xlnm.Print_Area" localSheetId="15">'TT-Construction'!$A$2:$O$53</definedName>
    <definedName name="_xlnm.Print_Area" localSheetId="6">'TT-Detour-Car_A'!$A$2:$Q$53</definedName>
    <definedName name="_xlnm.Print_Area" localSheetId="8">'TT-Detour-Car_B'!$A$2:$O$53</definedName>
    <definedName name="_xlnm.Print_Area" localSheetId="4">'TT-Detour-Truck'!$A$2:$O$53</definedName>
    <definedName name="_xlnm.Print_Area" localSheetId="7">'VOC-Detour-Car_A'!$A$2:$O$53</definedName>
    <definedName name="_xlnm.Print_Area" localSheetId="9">'VOC-Detour-Car_B'!$A$2:$O$53</definedName>
    <definedName name="_xlnm.Print_Area" localSheetId="5">'VOC-Detour-Truck'!$A$2:$O$53</definedName>
    <definedName name="_xlnm.Print_Area" localSheetId="10">'VOC-Roughness-1'!$A$2:$O$58</definedName>
    <definedName name="_xlnm.Print_Area" localSheetId="11">'VOC-Roughness-2'!$A$2:$O$58</definedName>
    <definedName name="_xlnm.Print_Area">#REF!</definedName>
    <definedName name="PRINT_AREA_MI">#REF!</definedName>
    <definedName name="PRINT_CF_9899">#REF!</definedName>
    <definedName name="PRINT_DIFF">#REF!</definedName>
    <definedName name="_xlnm.Print_Titles">#N/A</definedName>
    <definedName name="Print_Titles_MI">'[8]PA Run Off'!$A$1:$IV$10,'[8]PA Run Off'!$A$1:$A$16384</definedName>
    <definedName name="PRT_12_PAGE_25M">#REF!</definedName>
    <definedName name="PRT_98_WCRECON">#REF!</definedName>
    <definedName name="PRT_99_WCRECON">#REF!</definedName>
    <definedName name="PRT_BS_98">#REF!</definedName>
    <definedName name="PRT_BS_99">#REF!</definedName>
    <definedName name="PRT_BS_SUM_25MO">#REF!</definedName>
    <definedName name="PRT_BSSUM_98">#REF!</definedName>
    <definedName name="PRT_BSSUM_99">#REF!</definedName>
    <definedName name="PRT_CF_1998">#REF!</definedName>
    <definedName name="PRT_CF_1999">#REF!</definedName>
    <definedName name="PRT_CURR_MO">#REF!</definedName>
    <definedName name="PRT_LEAD_25MO">#REF!</definedName>
    <definedName name="PRT_LEAD_ACT_98">#REF!</definedName>
    <definedName name="PRT_LEAD_PLN_99">#REF!</definedName>
    <definedName name="PRT_NCA_98">#REF!</definedName>
    <definedName name="PRT_NCA_99">#REF!</definedName>
    <definedName name="PRT_QUARTER">#REF!</definedName>
    <definedName name="Q1_VS_PLAN">#REF!</definedName>
    <definedName name="Q2_VS_PLAN">#REF!</definedName>
    <definedName name="Q3_VS_PLAN">#REF!</definedName>
    <definedName name="Q4_VS_PLAN">#REF!</definedName>
    <definedName name="qty">#REF!</definedName>
    <definedName name="Rate">[9]LocoRate!$L$2:$P$4</definedName>
    <definedName name="Rates">'[10]Rate file'!$A$6:$F$1250</definedName>
    <definedName name="RETIREMENTS">#REF!</definedName>
    <definedName name="Retires">#REF!</definedName>
    <definedName name="ROSNU">#REF!</definedName>
    <definedName name="SAPBEXhrIndnt" hidden="1">"Wide"</definedName>
    <definedName name="SAPsysID" hidden="1">"708C5W7SBKP804JT78WJ0JNKI"</definedName>
    <definedName name="SAPwbID" hidden="1">"ARS"</definedName>
    <definedName name="SB_5_B_">#REF!</definedName>
    <definedName name="SEC_12R1">#REF!</definedName>
    <definedName name="SEC_12R2">#REF!</definedName>
    <definedName name="SEC_12S">#REF!</definedName>
    <definedName name="SEC_13T1">#REF!</definedName>
    <definedName name="SEC_13T2">#REF!</definedName>
    <definedName name="SEC_13T2D">#REF!</definedName>
    <definedName name="SEC_5E">#REF!</definedName>
    <definedName name="SEC_5F">#REF!</definedName>
    <definedName name="SEC_5G">#REF!</definedName>
    <definedName name="SEC_6H">#REF!</definedName>
    <definedName name="SEC_6H7">#REF!</definedName>
    <definedName name="SEC_7I1">#REF!</definedName>
    <definedName name="SEC_7I2">#REF!</definedName>
    <definedName name="SEC_7I3">#REF!</definedName>
    <definedName name="SEC_7I4">#REF!</definedName>
    <definedName name="SEC_7I5">#REF!</definedName>
    <definedName name="SEC_7I6">#REF!</definedName>
    <definedName name="SEC_7I7">#REF!</definedName>
    <definedName name="SEC_7I8">#REF!</definedName>
    <definedName name="SEC_8J1">#REF!</definedName>
    <definedName name="SEC_8J2">#REF!</definedName>
    <definedName name="SEC_8K">#REF!</definedName>
    <definedName name="SEC_8L">#REF!</definedName>
    <definedName name="select">#REF!</definedName>
    <definedName name="SHEET_CHOICE">#REF!</definedName>
    <definedName name="SHEET1">#REF!</definedName>
    <definedName name="SHEET2">#REF!</definedName>
    <definedName name="SHEET3">#REF!</definedName>
    <definedName name="SHEET4">#REF!</definedName>
    <definedName name="SHEET5A">#REF!</definedName>
    <definedName name="SHEET5B">#REF!</definedName>
    <definedName name="SHEET5C">#REF!</definedName>
    <definedName name="SHEET5D">#REF!</definedName>
    <definedName name="SHEET6">#REF!</definedName>
    <definedName name="Spanner_Auto_File">"T:\139407\NDM\ROR\DRAWING\des_road.x2a"</definedName>
    <definedName name="Spanner_Auto_Select">#REF!</definedName>
    <definedName name="SUB7L">#REF!</definedName>
    <definedName name="supp">#REF!</definedName>
    <definedName name="suppbase">#REF!</definedName>
    <definedName name="SUPPL">#REF!</definedName>
    <definedName name="supplem">#REF!</definedName>
    <definedName name="TITLE">#REF!</definedName>
    <definedName name="TOTAL">#REF!</definedName>
    <definedName name="TruckCost" localSheetId="12">[4]Assumptions!#REF!</definedName>
    <definedName name="TruckCost" localSheetId="14">[5]Assumptions!#REF!</definedName>
    <definedName name="TruckCost">[5]Assumptions!#REF!</definedName>
    <definedName name="UPDATE">#REF!</definedName>
    <definedName name="VEH_OCC">[3]Assumptions!$C$6</definedName>
    <definedName name="Version">#REF!</definedName>
    <definedName name="x">[5]Assumptions!#REF!</definedName>
    <definedName name="yrofanalysis" localSheetId="14">Assumptions!#REF!</definedName>
    <definedName name="yrofanalysis">Assumptions!#REF!</definedName>
    <definedName name="yrofcurrentdollars" localSheetId="14">Assumptions!#REF!</definedName>
    <definedName name="yrofcurrentdollars">Assumptions!#REF!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6" i="86" l="1"/>
  <c r="P7" i="99"/>
  <c r="C7" i="79"/>
  <c r="K42" i="12"/>
  <c r="C76" i="12"/>
  <c r="C95" i="12"/>
  <c r="C94" i="12"/>
  <c r="C93" i="12"/>
  <c r="C92" i="12"/>
  <c r="C91" i="12"/>
  <c r="C90" i="12"/>
  <c r="C89" i="12"/>
  <c r="C88" i="12"/>
  <c r="C87" i="12"/>
  <c r="C86" i="12"/>
  <c r="C85" i="12"/>
  <c r="C84" i="12"/>
  <c r="C83" i="12"/>
  <c r="C82" i="12"/>
  <c r="C81" i="12"/>
  <c r="C80" i="12"/>
  <c r="C79" i="12"/>
  <c r="C78" i="12"/>
  <c r="C77" i="12"/>
  <c r="B76" i="12"/>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B103" i="12" s="1"/>
  <c r="D76" i="12" l="1"/>
  <c r="D92" i="12"/>
  <c r="D80" i="12"/>
  <c r="D84" i="12"/>
  <c r="D88" i="12"/>
  <c r="D77" i="12"/>
  <c r="D81" i="12"/>
  <c r="D85" i="12"/>
  <c r="D89" i="12"/>
  <c r="D93" i="12"/>
  <c r="D78" i="12"/>
  <c r="D82" i="12"/>
  <c r="D86" i="12"/>
  <c r="D90" i="12"/>
  <c r="D94" i="12"/>
  <c r="D79" i="12"/>
  <c r="D83" i="12"/>
  <c r="D87" i="12"/>
  <c r="D91" i="12"/>
  <c r="D95" i="12"/>
  <c r="L61" i="12" l="1"/>
  <c r="K61" i="12"/>
  <c r="L60" i="12"/>
  <c r="K60" i="12"/>
  <c r="L59" i="12"/>
  <c r="K59" i="12"/>
  <c r="L58" i="12"/>
  <c r="K58" i="12"/>
  <c r="L57" i="12"/>
  <c r="K57" i="12"/>
  <c r="L56" i="12"/>
  <c r="K56" i="12"/>
  <c r="L55" i="12"/>
  <c r="K55" i="12"/>
  <c r="L54" i="12"/>
  <c r="K54" i="12"/>
  <c r="L53" i="12"/>
  <c r="K53" i="12"/>
  <c r="L52" i="12"/>
  <c r="K52" i="12"/>
  <c r="L51" i="12"/>
  <c r="K51" i="12"/>
  <c r="L50" i="12"/>
  <c r="K50" i="12"/>
  <c r="L49" i="12"/>
  <c r="K49" i="12"/>
  <c r="L48" i="12"/>
  <c r="K48" i="12"/>
  <c r="L47" i="12"/>
  <c r="K47" i="12"/>
  <c r="L46" i="12"/>
  <c r="K46" i="12"/>
  <c r="L45" i="12"/>
  <c r="K45" i="12"/>
  <c r="L44" i="12"/>
  <c r="K44" i="12"/>
  <c r="L43" i="12"/>
  <c r="L42" i="12"/>
  <c r="K41" i="12"/>
  <c r="H10" i="86"/>
  <c r="H26" i="86"/>
  <c r="H6" i="86"/>
  <c r="B41" i="12"/>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 i="12"/>
  <c r="J7" i="12"/>
  <c r="K7" i="12" s="1"/>
  <c r="J8" i="12" l="1"/>
  <c r="C42" i="12" s="1"/>
  <c r="D42" i="12" l="1"/>
  <c r="J9" i="12"/>
  <c r="D43" i="12" l="1"/>
  <c r="C43" i="12"/>
  <c r="J10" i="12"/>
  <c r="D44" i="12" l="1"/>
  <c r="C44" i="12"/>
  <c r="J11" i="12"/>
  <c r="D45" i="12" l="1"/>
  <c r="C45" i="12"/>
  <c r="J12" i="12"/>
  <c r="C46" i="12" l="1"/>
  <c r="D46" i="12"/>
  <c r="J13" i="12"/>
  <c r="D47" i="12" l="1"/>
  <c r="C47" i="12"/>
  <c r="J14" i="12"/>
  <c r="C48" i="12" l="1"/>
  <c r="D48" i="12"/>
  <c r="J15" i="12"/>
  <c r="D49" i="12" l="1"/>
  <c r="C49" i="12"/>
  <c r="J16" i="12"/>
  <c r="D50" i="12" l="1"/>
  <c r="C50" i="12"/>
  <c r="J17" i="12"/>
  <c r="D51" i="12" l="1"/>
  <c r="C51" i="12"/>
  <c r="J18" i="12"/>
  <c r="C52" i="12" l="1"/>
  <c r="D52" i="12"/>
  <c r="J19" i="12"/>
  <c r="D53" i="12" l="1"/>
  <c r="C53" i="12"/>
  <c r="J20" i="12"/>
  <c r="D54" i="12" l="1"/>
  <c r="C54" i="12"/>
  <c r="J21" i="12"/>
  <c r="D55" i="12" l="1"/>
  <c r="C55" i="12"/>
  <c r="J22" i="12"/>
  <c r="D56" i="12" l="1"/>
  <c r="C56" i="12"/>
  <c r="J23" i="12"/>
  <c r="D57" i="12" l="1"/>
  <c r="C57" i="12"/>
  <c r="J24" i="12"/>
  <c r="D58" i="12" l="1"/>
  <c r="C58" i="12"/>
  <c r="J25" i="12"/>
  <c r="D59" i="12" l="1"/>
  <c r="C59" i="12"/>
  <c r="J26" i="12"/>
  <c r="D60" i="12" l="1"/>
  <c r="C60" i="12"/>
  <c r="J27" i="12"/>
  <c r="D61" i="12" l="1"/>
  <c r="C61" i="12"/>
  <c r="J28" i="12"/>
  <c r="D62" i="12" l="1"/>
  <c r="C62" i="12"/>
  <c r="J29" i="12"/>
  <c r="D63" i="12" l="1"/>
  <c r="C63" i="12"/>
  <c r="J30" i="12"/>
  <c r="D64" i="12" l="1"/>
  <c r="C64" i="12"/>
  <c r="J31" i="12"/>
  <c r="D65" i="12" l="1"/>
  <c r="C65" i="12"/>
  <c r="J32" i="12"/>
  <c r="C66" i="12" l="1"/>
  <c r="D66" i="12"/>
  <c r="J33" i="12"/>
  <c r="D67" i="12" l="1"/>
  <c r="C67" i="12"/>
  <c r="J34" i="12"/>
  <c r="C68" i="12" l="1"/>
  <c r="D68" i="12"/>
  <c r="J35" i="12"/>
  <c r="D69" i="12" l="1"/>
  <c r="C69" i="12"/>
  <c r="N11" i="99" l="1"/>
  <c r="K28" i="48"/>
  <c r="K29" i="48"/>
  <c r="K30" i="48"/>
  <c r="K31" i="48"/>
  <c r="K32" i="48"/>
  <c r="K33" i="48"/>
  <c r="K34" i="48"/>
  <c r="K35" i="48"/>
  <c r="K36" i="48"/>
  <c r="L29" i="48"/>
  <c r="L30" i="48"/>
  <c r="L31" i="48"/>
  <c r="L32" i="48"/>
  <c r="L33" i="48"/>
  <c r="L34" i="48"/>
  <c r="L35" i="48"/>
  <c r="L36" i="48"/>
  <c r="L28" i="48"/>
  <c r="P8" i="99" l="1"/>
  <c r="D7" i="64"/>
  <c r="D6" i="64"/>
  <c r="L25" i="64"/>
  <c r="L26" i="64"/>
  <c r="F6" i="73" l="1"/>
  <c r="F7" i="73"/>
  <c r="F8" i="73"/>
  <c r="F5" i="73"/>
  <c r="I21" i="98"/>
  <c r="I20" i="98"/>
  <c r="I21" i="79"/>
  <c r="I20" i="79"/>
  <c r="S7" i="99" l="1"/>
  <c r="S8" i="99"/>
  <c r="T8" i="99" s="1"/>
  <c r="E11" i="99"/>
  <c r="C10" i="99"/>
  <c r="C4" i="99"/>
  <c r="F4" i="101"/>
  <c r="E10" i="101"/>
  <c r="F10" i="101" s="1"/>
  <c r="F11" i="101"/>
  <c r="F16" i="101"/>
  <c r="F19" i="101"/>
  <c r="F24" i="101"/>
  <c r="F31" i="101"/>
  <c r="F32" i="101"/>
  <c r="B45" i="101"/>
  <c r="E20" i="101" s="1"/>
  <c r="F20" i="101" s="1"/>
  <c r="A50" i="101"/>
  <c r="B50" i="101"/>
  <c r="B55" i="101" s="1"/>
  <c r="E15" i="101" s="1"/>
  <c r="F15" i="101" s="1"/>
  <c r="D50" i="101"/>
  <c r="C50" i="101" s="1"/>
  <c r="E50" i="101"/>
  <c r="F50" i="101"/>
  <c r="F55" i="101" s="1"/>
  <c r="E13" i="101" s="1"/>
  <c r="F13" i="101" s="1"/>
  <c r="G50" i="101"/>
  <c r="H50" i="101"/>
  <c r="I50" i="101"/>
  <c r="J50" i="101"/>
  <c r="J55" i="101" s="1"/>
  <c r="E5" i="101" s="1"/>
  <c r="F5" i="101" s="1"/>
  <c r="K50" i="101"/>
  <c r="A51" i="101"/>
  <c r="B51" i="101"/>
  <c r="C51" i="101"/>
  <c r="D51" i="101"/>
  <c r="E51" i="101"/>
  <c r="F51" i="101"/>
  <c r="G51" i="101"/>
  <c r="H51" i="101"/>
  <c r="I51" i="101"/>
  <c r="J51" i="101"/>
  <c r="K51" i="101"/>
  <c r="A52" i="101"/>
  <c r="B52" i="101"/>
  <c r="D52" i="101"/>
  <c r="D55" i="101" s="1"/>
  <c r="E8" i="101" s="1"/>
  <c r="F8" i="101" s="1"/>
  <c r="E52" i="101"/>
  <c r="F52" i="101"/>
  <c r="G52" i="101"/>
  <c r="I52" i="101"/>
  <c r="J52" i="101"/>
  <c r="K52" i="101"/>
  <c r="A53" i="101"/>
  <c r="B53" i="101"/>
  <c r="C53" i="101"/>
  <c r="D53" i="101"/>
  <c r="E53" i="101"/>
  <c r="E55" i="101" s="1"/>
  <c r="E12" i="101" s="1"/>
  <c r="F12" i="101" s="1"/>
  <c r="F53" i="101"/>
  <c r="G53" i="101"/>
  <c r="H53" i="101"/>
  <c r="I53" i="101"/>
  <c r="I55" i="101" s="1"/>
  <c r="E2" i="101" s="1"/>
  <c r="F2" i="101" s="1"/>
  <c r="J53" i="101"/>
  <c r="K53" i="101"/>
  <c r="G55" i="101"/>
  <c r="E14" i="101" s="1"/>
  <c r="F14" i="101" s="1"/>
  <c r="K55" i="101"/>
  <c r="E6" i="101" s="1"/>
  <c r="F6" i="101" s="1"/>
  <c r="E17" i="101" l="1"/>
  <c r="F17" i="101" s="1"/>
  <c r="C55" i="101"/>
  <c r="E7" i="101" s="1"/>
  <c r="F7" i="101" s="1"/>
  <c r="C52" i="101"/>
  <c r="E23" i="101"/>
  <c r="F23" i="101" s="1"/>
  <c r="E21" i="101"/>
  <c r="F21" i="101" s="1"/>
  <c r="E3" i="101"/>
  <c r="F3" i="101" s="1"/>
  <c r="E18" i="101" s="1"/>
  <c r="F18" i="101" s="1"/>
  <c r="H52" i="101"/>
  <c r="H55" i="101" s="1"/>
  <c r="E9" i="101" s="1"/>
  <c r="F9" i="101" s="1"/>
  <c r="E22" i="101"/>
  <c r="F22" i="101" s="1"/>
  <c r="F2" i="100"/>
  <c r="F3" i="100"/>
  <c r="F4" i="100"/>
  <c r="F5" i="100"/>
  <c r="F6" i="100"/>
  <c r="F7" i="100"/>
  <c r="F9" i="100"/>
  <c r="F16" i="100"/>
  <c r="F17" i="100"/>
  <c r="E20" i="100"/>
  <c r="F20" i="100" s="1"/>
  <c r="E22" i="100"/>
  <c r="F22" i="100" s="1"/>
  <c r="E24" i="100"/>
  <c r="F24" i="100" s="1"/>
  <c r="F25" i="100"/>
  <c r="F28" i="100"/>
  <c r="F31" i="100"/>
  <c r="F32" i="100"/>
  <c r="E33" i="100"/>
  <c r="F33" i="100"/>
  <c r="F34" i="100"/>
  <c r="F35" i="100"/>
  <c r="F36" i="100"/>
  <c r="F39" i="100"/>
  <c r="F46" i="100"/>
  <c r="F47" i="100"/>
  <c r="B59" i="100"/>
  <c r="E38" i="100" s="1"/>
  <c r="F38" i="100" s="1"/>
  <c r="B64" i="100"/>
  <c r="C64" i="100"/>
  <c r="D64" i="100"/>
  <c r="E64" i="100"/>
  <c r="F64" i="100"/>
  <c r="G64" i="100"/>
  <c r="I64" i="100"/>
  <c r="H64" i="100" s="1"/>
  <c r="J64" i="100"/>
  <c r="K64" i="100"/>
  <c r="L64" i="100"/>
  <c r="M64" i="100"/>
  <c r="B65" i="100"/>
  <c r="C65" i="100"/>
  <c r="D65" i="100"/>
  <c r="E65" i="100"/>
  <c r="F65" i="100"/>
  <c r="G65" i="100"/>
  <c r="I65" i="100"/>
  <c r="M65" i="100" s="1"/>
  <c r="M68" i="100" s="1"/>
  <c r="E15" i="100" s="1"/>
  <c r="F15" i="100" s="1"/>
  <c r="J65" i="100"/>
  <c r="K65" i="100"/>
  <c r="L65" i="100"/>
  <c r="B66" i="100"/>
  <c r="C66" i="100"/>
  <c r="D66" i="100"/>
  <c r="E66" i="100"/>
  <c r="F66" i="100"/>
  <c r="G66" i="100"/>
  <c r="I66" i="100"/>
  <c r="H66" i="100" s="1"/>
  <c r="J66" i="100"/>
  <c r="K66" i="100"/>
  <c r="L66" i="100"/>
  <c r="M66" i="100"/>
  <c r="B68" i="100"/>
  <c r="E12" i="100" s="1"/>
  <c r="C68" i="100"/>
  <c r="E23" i="100" s="1"/>
  <c r="F23" i="100" s="1"/>
  <c r="D68" i="100"/>
  <c r="E68" i="100"/>
  <c r="E18" i="100" s="1"/>
  <c r="F18" i="100" s="1"/>
  <c r="F68" i="100"/>
  <c r="E21" i="100" s="1"/>
  <c r="F21" i="100" s="1"/>
  <c r="G68" i="100"/>
  <c r="I68" i="100"/>
  <c r="E14" i="100" s="1"/>
  <c r="F14" i="100" s="1"/>
  <c r="J68" i="100"/>
  <c r="E19" i="100" s="1"/>
  <c r="F19" i="100" s="1"/>
  <c r="K68" i="100"/>
  <c r="L68" i="100"/>
  <c r="F26" i="101" l="1"/>
  <c r="F27" i="101" s="1"/>
  <c r="E10" i="100"/>
  <c r="F12" i="100"/>
  <c r="E11" i="100"/>
  <c r="F11" i="100" s="1"/>
  <c r="H65" i="100"/>
  <c r="H68" i="100" s="1"/>
  <c r="E13" i="100" s="1"/>
  <c r="F13" i="100" s="1"/>
  <c r="E37" i="100"/>
  <c r="F37" i="100" s="1"/>
  <c r="E30" i="100"/>
  <c r="F30" i="100" s="1"/>
  <c r="E29" i="100"/>
  <c r="F29" i="100" s="1"/>
  <c r="C7" i="99"/>
  <c r="H7" i="99" s="1"/>
  <c r="D7" i="99"/>
  <c r="G7" i="99" s="1"/>
  <c r="F7" i="99"/>
  <c r="T7" i="99"/>
  <c r="B8" i="99"/>
  <c r="H8" i="99"/>
  <c r="H9" i="99"/>
  <c r="H11" i="99"/>
  <c r="H12" i="99"/>
  <c r="H13" i="99"/>
  <c r="H14" i="99"/>
  <c r="H15" i="99"/>
  <c r="H16" i="99"/>
  <c r="H17" i="99"/>
  <c r="H18" i="99"/>
  <c r="H19" i="99"/>
  <c r="H20" i="99"/>
  <c r="H21" i="99"/>
  <c r="H22" i="99"/>
  <c r="H23" i="99"/>
  <c r="H24" i="99"/>
  <c r="H25" i="99"/>
  <c r="H26" i="99"/>
  <c r="H27" i="99"/>
  <c r="H28" i="99"/>
  <c r="H29" i="99"/>
  <c r="H30" i="99"/>
  <c r="H31" i="99"/>
  <c r="H32" i="99"/>
  <c r="H33" i="99"/>
  <c r="H34" i="99"/>
  <c r="B9" i="99" l="1"/>
  <c r="H10" i="99"/>
  <c r="I8" i="99"/>
  <c r="J7" i="99"/>
  <c r="F29" i="101"/>
  <c r="F28" i="101"/>
  <c r="F33" i="101" s="1"/>
  <c r="F30" i="101"/>
  <c r="E8" i="100"/>
  <c r="F8" i="100" s="1"/>
  <c r="F10" i="100"/>
  <c r="D9" i="99"/>
  <c r="G9" i="99" s="1"/>
  <c r="F9" i="99"/>
  <c r="B10" i="99"/>
  <c r="I7" i="99"/>
  <c r="D8" i="99"/>
  <c r="G8" i="99" s="1"/>
  <c r="F8" i="99"/>
  <c r="I9" i="99"/>
  <c r="H35" i="99" l="1"/>
  <c r="C75" i="12"/>
  <c r="J8" i="99"/>
  <c r="J9" i="99"/>
  <c r="E26" i="100"/>
  <c r="F26" i="100" s="1"/>
  <c r="F41" i="100" s="1"/>
  <c r="F42" i="100" s="1"/>
  <c r="E27" i="100"/>
  <c r="F27" i="100" s="1"/>
  <c r="F10" i="99"/>
  <c r="B11" i="99"/>
  <c r="I10" i="99"/>
  <c r="D10" i="99"/>
  <c r="G10" i="99" s="1"/>
  <c r="J41" i="12" s="1"/>
  <c r="D75" i="12" l="1"/>
  <c r="D104" i="12" s="1"/>
  <c r="G76" i="12" s="1"/>
  <c r="C104" i="12"/>
  <c r="F45" i="100"/>
  <c r="F43" i="100"/>
  <c r="F44" i="100"/>
  <c r="F48" i="100"/>
  <c r="I11" i="99"/>
  <c r="D11" i="99"/>
  <c r="G11" i="99" s="1"/>
  <c r="J42" i="12" s="1"/>
  <c r="B12" i="99"/>
  <c r="F11" i="99"/>
  <c r="J10" i="99"/>
  <c r="D12" i="99" l="1"/>
  <c r="G12" i="99" s="1"/>
  <c r="J43" i="12" s="1"/>
  <c r="F12" i="99"/>
  <c r="B13" i="99"/>
  <c r="I12" i="99"/>
  <c r="J11" i="99"/>
  <c r="I13" i="99" l="1"/>
  <c r="D13" i="99"/>
  <c r="G13" i="99" s="1"/>
  <c r="J44" i="12" s="1"/>
  <c r="B14" i="99"/>
  <c r="F13" i="99"/>
  <c r="J12" i="99"/>
  <c r="J13" i="99" l="1"/>
  <c r="D14" i="99"/>
  <c r="G14" i="99" s="1"/>
  <c r="J45" i="12" s="1"/>
  <c r="F14" i="99"/>
  <c r="B15" i="99"/>
  <c r="I14" i="99"/>
  <c r="I15" i="99" l="1"/>
  <c r="D15" i="99"/>
  <c r="G15" i="99" s="1"/>
  <c r="J46" i="12" s="1"/>
  <c r="F15" i="99"/>
  <c r="B16" i="99"/>
  <c r="J14" i="99"/>
  <c r="D16" i="99" l="1"/>
  <c r="G16" i="99" s="1"/>
  <c r="J47" i="12" s="1"/>
  <c r="F16" i="99"/>
  <c r="B17" i="99"/>
  <c r="I16" i="99"/>
  <c r="J15" i="99"/>
  <c r="I17" i="99" l="1"/>
  <c r="D17" i="99"/>
  <c r="G17" i="99" s="1"/>
  <c r="J48" i="12" s="1"/>
  <c r="F17" i="99"/>
  <c r="B18" i="99"/>
  <c r="J16" i="99"/>
  <c r="D18" i="99" l="1"/>
  <c r="G18" i="99" s="1"/>
  <c r="J49" i="12" s="1"/>
  <c r="F18" i="99"/>
  <c r="B19" i="99"/>
  <c r="I18" i="99"/>
  <c r="J17" i="99"/>
  <c r="I19" i="99" l="1"/>
  <c r="D19" i="99"/>
  <c r="G19" i="99" s="1"/>
  <c r="J50" i="12" s="1"/>
  <c r="B20" i="99"/>
  <c r="F19" i="99"/>
  <c r="J18" i="99"/>
  <c r="D20" i="99" l="1"/>
  <c r="G20" i="99" s="1"/>
  <c r="J51" i="12" s="1"/>
  <c r="F20" i="99"/>
  <c r="B21" i="99"/>
  <c r="I20" i="99"/>
  <c r="J19" i="99"/>
  <c r="I21" i="99" l="1"/>
  <c r="D21" i="99"/>
  <c r="G21" i="99" s="1"/>
  <c r="J52" i="12" s="1"/>
  <c r="B22" i="99"/>
  <c r="F21" i="99"/>
  <c r="J20" i="99"/>
  <c r="D22" i="99" l="1"/>
  <c r="G22" i="99" s="1"/>
  <c r="J53" i="12" s="1"/>
  <c r="F22" i="99"/>
  <c r="B23" i="99"/>
  <c r="I22" i="99"/>
  <c r="J21" i="99"/>
  <c r="I23" i="99" l="1"/>
  <c r="D23" i="99"/>
  <c r="G23" i="99" s="1"/>
  <c r="J54" i="12" s="1"/>
  <c r="F23" i="99"/>
  <c r="B24" i="99"/>
  <c r="J22" i="99"/>
  <c r="D24" i="99" l="1"/>
  <c r="G24" i="99" s="1"/>
  <c r="J55" i="12" s="1"/>
  <c r="F24" i="99"/>
  <c r="B25" i="99"/>
  <c r="I24" i="99"/>
  <c r="J23" i="99"/>
  <c r="I25" i="99" l="1"/>
  <c r="D25" i="99"/>
  <c r="G25" i="99" s="1"/>
  <c r="J56" i="12" s="1"/>
  <c r="B26" i="99"/>
  <c r="F25" i="99"/>
  <c r="J24" i="99"/>
  <c r="D26" i="99" l="1"/>
  <c r="G26" i="99" s="1"/>
  <c r="J57" i="12" s="1"/>
  <c r="F26" i="99"/>
  <c r="B27" i="99"/>
  <c r="I26" i="99"/>
  <c r="J25" i="99"/>
  <c r="I27" i="99" l="1"/>
  <c r="D27" i="99"/>
  <c r="G27" i="99" s="1"/>
  <c r="J58" i="12" s="1"/>
  <c r="B28" i="99"/>
  <c r="F27" i="99"/>
  <c r="J26" i="99"/>
  <c r="D28" i="99" l="1"/>
  <c r="G28" i="99" s="1"/>
  <c r="J59" i="12" s="1"/>
  <c r="F28" i="99"/>
  <c r="B29" i="99"/>
  <c r="I28" i="99"/>
  <c r="J27" i="99"/>
  <c r="I29" i="99" l="1"/>
  <c r="D29" i="99"/>
  <c r="G29" i="99" s="1"/>
  <c r="J60" i="12" s="1"/>
  <c r="B30" i="99"/>
  <c r="F29" i="99"/>
  <c r="J28" i="99"/>
  <c r="D30" i="99" l="1"/>
  <c r="G30" i="99" s="1"/>
  <c r="J61" i="12" s="1"/>
  <c r="F30" i="99"/>
  <c r="B31" i="99"/>
  <c r="I30" i="99"/>
  <c r="J29" i="99"/>
  <c r="I31" i="99" l="1"/>
  <c r="F31" i="99"/>
  <c r="D31" i="99"/>
  <c r="B32" i="99"/>
  <c r="J30" i="99"/>
  <c r="J31" i="99" l="1"/>
  <c r="G31" i="99"/>
  <c r="D32" i="99"/>
  <c r="G32" i="99" s="1"/>
  <c r="F32" i="99"/>
  <c r="B33" i="99"/>
  <c r="I32" i="99"/>
  <c r="I33" i="99" l="1"/>
  <c r="D33" i="99"/>
  <c r="G33" i="99" s="1"/>
  <c r="B34" i="99"/>
  <c r="F33" i="99"/>
  <c r="J32" i="99"/>
  <c r="D34" i="99" l="1"/>
  <c r="G34" i="99" s="1"/>
  <c r="F34" i="99"/>
  <c r="I34" i="99"/>
  <c r="J33" i="99"/>
  <c r="I35" i="99" l="1"/>
  <c r="J34" i="99"/>
  <c r="J35" i="99" s="1"/>
  <c r="E25" i="98" l="1"/>
  <c r="E24" i="98"/>
  <c r="E23" i="98"/>
  <c r="I22" i="98"/>
  <c r="E22" i="98"/>
  <c r="E21" i="98"/>
  <c r="E20" i="98"/>
  <c r="E19" i="98"/>
  <c r="E18" i="98"/>
  <c r="E17" i="98"/>
  <c r="E16" i="98"/>
  <c r="H15" i="98"/>
  <c r="I11" i="98"/>
  <c r="I27" i="98" s="1"/>
  <c r="J34" i="98" s="1"/>
  <c r="J41" i="98" s="1"/>
  <c r="I22" i="79"/>
  <c r="H15" i="79"/>
  <c r="I29" i="98" l="1"/>
  <c r="J36" i="98" s="1"/>
  <c r="I34" i="98"/>
  <c r="I41" i="98" s="1"/>
  <c r="I36" i="98"/>
  <c r="I28" i="98"/>
  <c r="J35" i="98" s="1"/>
  <c r="J42" i="98" s="1"/>
  <c r="I26" i="98"/>
  <c r="J33" i="98" s="1"/>
  <c r="J40" i="98" s="1"/>
  <c r="F3" i="93"/>
  <c r="G2" i="92"/>
  <c r="I2" i="92"/>
  <c r="K2" i="92"/>
  <c r="M2" i="92"/>
  <c r="M5" i="92" s="1"/>
  <c r="L5" i="92" s="1"/>
  <c r="O2" i="92"/>
  <c r="Q2" i="92"/>
  <c r="S2" i="92"/>
  <c r="S5" i="92" s="1"/>
  <c r="R5" i="92" s="1"/>
  <c r="U2" i="92"/>
  <c r="U5" i="92" s="1"/>
  <c r="T5" i="92" s="1"/>
  <c r="W2" i="92"/>
  <c r="Y2" i="92"/>
  <c r="AA2" i="92"/>
  <c r="AC2" i="92"/>
  <c r="AE2" i="92"/>
  <c r="AG2" i="92"/>
  <c r="G3" i="92"/>
  <c r="G5" i="92" s="1"/>
  <c r="F5" i="92" s="1"/>
  <c r="I3" i="92"/>
  <c r="I5" i="92" s="1"/>
  <c r="H5" i="92" s="1"/>
  <c r="K3" i="92"/>
  <c r="M3" i="92"/>
  <c r="O3" i="92"/>
  <c r="O5" i="92" s="1"/>
  <c r="N5" i="92" s="1"/>
  <c r="Q3" i="92"/>
  <c r="S3" i="92"/>
  <c r="U3" i="92"/>
  <c r="W3" i="92"/>
  <c r="Y3" i="92"/>
  <c r="Y5" i="92" s="1"/>
  <c r="X5" i="92" s="1"/>
  <c r="AA3" i="92"/>
  <c r="AC3" i="92"/>
  <c r="AE3" i="92"/>
  <c r="AE5" i="92" s="1"/>
  <c r="AD5" i="92" s="1"/>
  <c r="AG3" i="92"/>
  <c r="AG5" i="92" s="1"/>
  <c r="AF5" i="92" s="1"/>
  <c r="C5" i="92"/>
  <c r="K5" i="92"/>
  <c r="J5" i="92" s="1"/>
  <c r="Q5" i="92"/>
  <c r="P5" i="92" s="1"/>
  <c r="W5" i="92"/>
  <c r="V5" i="92" s="1"/>
  <c r="AA5" i="92"/>
  <c r="Z5" i="92" s="1"/>
  <c r="AC5" i="92"/>
  <c r="AB5" i="92" s="1"/>
  <c r="J43" i="98" l="1"/>
  <c r="I33" i="98"/>
  <c r="I40" i="98" s="1"/>
  <c r="I35" i="98"/>
  <c r="I42" i="98" s="1"/>
  <c r="I43" i="98" l="1"/>
  <c r="L14" i="86" l="1"/>
  <c r="AJ16" i="86"/>
  <c r="AJ15" i="86"/>
  <c r="AQ12" i="86"/>
  <c r="AO12" i="86"/>
  <c r="AN12" i="86"/>
  <c r="AM12" i="86"/>
  <c r="AL12" i="86"/>
  <c r="AK12" i="86"/>
  <c r="AJ12" i="86"/>
  <c r="AT12" i="86" s="1"/>
  <c r="L11" i="86"/>
  <c r="AT11" i="86"/>
  <c r="AO11" i="86"/>
  <c r="AN11" i="86"/>
  <c r="AM11" i="86"/>
  <c r="AL11" i="86"/>
  <c r="AK11" i="86"/>
  <c r="AJ11" i="86"/>
  <c r="AU11" i="86" s="1"/>
  <c r="AU10" i="86"/>
  <c r="AT10" i="86"/>
  <c r="AS10" i="86"/>
  <c r="AV10" i="86" s="1"/>
  <c r="AW10" i="86" s="1"/>
  <c r="AX10" i="86" s="1"/>
  <c r="AR10" i="86"/>
  <c r="AQ10" i="86"/>
  <c r="AU9" i="86"/>
  <c r="AT9" i="86"/>
  <c r="AS9" i="86"/>
  <c r="AV9" i="86" s="1"/>
  <c r="AW9" i="86" s="1"/>
  <c r="AX9" i="86" s="1"/>
  <c r="AR9" i="86"/>
  <c r="AQ9" i="86"/>
  <c r="AU8" i="86"/>
  <c r="AT8" i="86"/>
  <c r="AS8" i="86"/>
  <c r="AV8" i="86" s="1"/>
  <c r="AW8" i="86" s="1"/>
  <c r="AX8" i="86" s="1"/>
  <c r="AR8" i="86"/>
  <c r="AQ8" i="86"/>
  <c r="AU7" i="86"/>
  <c r="AT7" i="86"/>
  <c r="AS7" i="86"/>
  <c r="AV7" i="86" s="1"/>
  <c r="AW7" i="86" s="1"/>
  <c r="AX7" i="86" s="1"/>
  <c r="AR7" i="86"/>
  <c r="AQ7" i="86"/>
  <c r="AU6" i="86"/>
  <c r="AT6" i="86"/>
  <c r="AV6" i="86" s="1"/>
  <c r="AW6" i="86" s="1"/>
  <c r="AX6" i="86" s="1"/>
  <c r="AS6" i="86"/>
  <c r="AR6" i="86"/>
  <c r="AQ6" i="86"/>
  <c r="L26" i="85"/>
  <c r="L25" i="85"/>
  <c r="L12" i="85"/>
  <c r="AJ12" i="85"/>
  <c r="AU12" i="85" s="1"/>
  <c r="AJ11" i="85"/>
  <c r="AJ16" i="85"/>
  <c r="AJ15" i="85"/>
  <c r="AO12" i="85"/>
  <c r="AN12" i="85"/>
  <c r="AM12" i="85"/>
  <c r="AL12" i="85"/>
  <c r="AK12" i="85"/>
  <c r="AO11" i="85"/>
  <c r="AN11" i="85"/>
  <c r="AM11" i="85"/>
  <c r="AL11" i="85"/>
  <c r="AK11" i="85"/>
  <c r="AU10" i="85"/>
  <c r="AT10" i="85"/>
  <c r="AV10" i="85" s="1"/>
  <c r="AW10" i="85" s="1"/>
  <c r="AX10" i="85" s="1"/>
  <c r="AS10" i="85"/>
  <c r="AR10" i="85"/>
  <c r="AQ10" i="85"/>
  <c r="AU9" i="85"/>
  <c r="AV9" i="85" s="1"/>
  <c r="AW9" i="85" s="1"/>
  <c r="AX9" i="85" s="1"/>
  <c r="AT9" i="85"/>
  <c r="AS9" i="85"/>
  <c r="AR9" i="85"/>
  <c r="AQ9" i="85"/>
  <c r="AU8" i="85"/>
  <c r="AT8" i="85"/>
  <c r="AS8" i="85"/>
  <c r="AR8" i="85"/>
  <c r="AQ8" i="85"/>
  <c r="AU7" i="85"/>
  <c r="AT7" i="85"/>
  <c r="AS7" i="85"/>
  <c r="AR7" i="85"/>
  <c r="AQ7" i="85"/>
  <c r="AU6" i="85"/>
  <c r="AT6" i="85"/>
  <c r="AS6" i="85"/>
  <c r="AR6" i="85"/>
  <c r="AQ6" i="85"/>
  <c r="L6" i="84"/>
  <c r="L6" i="83"/>
  <c r="N22" i="80"/>
  <c r="N22" i="82"/>
  <c r="L6" i="82"/>
  <c r="L9" i="81"/>
  <c r="L6" i="81"/>
  <c r="L12" i="81"/>
  <c r="L6" i="80"/>
  <c r="L9" i="46"/>
  <c r="E15" i="51"/>
  <c r="D15" i="51"/>
  <c r="AS11" i="85" l="1"/>
  <c r="AT11" i="85"/>
  <c r="AR11" i="85"/>
  <c r="AR12" i="85"/>
  <c r="N27" i="81"/>
  <c r="L27" i="81"/>
  <c r="L28" i="81"/>
  <c r="N28" i="81"/>
  <c r="AU12" i="86"/>
  <c r="AQ12" i="85"/>
  <c r="AR11" i="86"/>
  <c r="AS11" i="86"/>
  <c r="AV11" i="86" s="1"/>
  <c r="AW11" i="86" s="1"/>
  <c r="AX11" i="86" s="1"/>
  <c r="L6" i="86" s="1"/>
  <c r="E7" i="86" s="1"/>
  <c r="AR12" i="86"/>
  <c r="AS12" i="86"/>
  <c r="AV12" i="86" s="1"/>
  <c r="AW12" i="86" s="1"/>
  <c r="AX12" i="86" s="1"/>
  <c r="AQ11" i="86"/>
  <c r="AV6" i="85"/>
  <c r="AW6" i="85" s="1"/>
  <c r="AX6" i="85" s="1"/>
  <c r="AV8" i="85"/>
  <c r="AW8" i="85" s="1"/>
  <c r="AX8" i="85" s="1"/>
  <c r="AT12" i="85"/>
  <c r="AV7" i="85"/>
  <c r="AW7" i="85" s="1"/>
  <c r="AX7" i="85" s="1"/>
  <c r="AS12" i="85"/>
  <c r="AV12" i="85" s="1"/>
  <c r="AW12" i="85" s="1"/>
  <c r="AX12" i="85" s="1"/>
  <c r="L7" i="85" s="1"/>
  <c r="AQ11" i="85"/>
  <c r="AU11" i="85"/>
  <c r="AV11" i="85" s="1"/>
  <c r="AW11" i="85" s="1"/>
  <c r="AX11" i="85" s="1"/>
  <c r="L6" i="85" s="1"/>
  <c r="I11" i="79"/>
  <c r="E8" i="86" l="1"/>
  <c r="G8" i="86" s="1"/>
  <c r="I27" i="79"/>
  <c r="I28" i="79"/>
  <c r="I35" i="79" s="1"/>
  <c r="I42" i="79" s="1"/>
  <c r="I26" i="79"/>
  <c r="I29" i="79"/>
  <c r="E6" i="86"/>
  <c r="B8" i="48"/>
  <c r="C8" i="48" l="1"/>
  <c r="E8" i="48" s="1"/>
  <c r="D8" i="48"/>
  <c r="B9" i="48"/>
  <c r="I34" i="79"/>
  <c r="I41" i="79" s="1"/>
  <c r="J34" i="79"/>
  <c r="J41" i="79" s="1"/>
  <c r="J33" i="79"/>
  <c r="J40" i="79" s="1"/>
  <c r="J36" i="79"/>
  <c r="I33" i="79"/>
  <c r="I40" i="79" s="1"/>
  <c r="I43" i="79" s="1"/>
  <c r="I36" i="79"/>
  <c r="J35" i="79"/>
  <c r="J42" i="79" s="1"/>
  <c r="G6" i="86"/>
  <c r="G7" i="86"/>
  <c r="E24" i="79"/>
  <c r="C9" i="48" l="1"/>
  <c r="D9" i="48"/>
  <c r="J43" i="79"/>
  <c r="E21" i="79"/>
  <c r="E23" i="79"/>
  <c r="E19" i="79"/>
  <c r="E20" i="79"/>
  <c r="E16" i="79"/>
  <c r="E22" i="79"/>
  <c r="E17" i="79"/>
  <c r="E18" i="79"/>
  <c r="E6" i="79"/>
  <c r="E25" i="79"/>
  <c r="E9" i="48" l="1"/>
  <c r="I41" i="12" s="1"/>
  <c r="E15" i="86"/>
  <c r="G15" i="86" s="1"/>
  <c r="E16" i="86" l="1"/>
  <c r="G16" i="86" s="1"/>
  <c r="D7" i="51"/>
  <c r="B5" i="73" l="1"/>
  <c r="B6" i="83"/>
  <c r="B6" i="46"/>
  <c r="B6" i="86"/>
  <c r="B6" i="82"/>
  <c r="B6" i="79"/>
  <c r="B6" i="85"/>
  <c r="B6" i="80"/>
  <c r="B6" i="81"/>
  <c r="B6" i="98"/>
  <c r="B6" i="84"/>
  <c r="E17" i="86"/>
  <c r="G17" i="86" s="1"/>
  <c r="D9" i="51"/>
  <c r="L12" i="46"/>
  <c r="AE26" i="73"/>
  <c r="AD26" i="73"/>
  <c r="AC26" i="73"/>
  <c r="AB26" i="73"/>
  <c r="AE25" i="73"/>
  <c r="AD25" i="73"/>
  <c r="AC25" i="73"/>
  <c r="AB25" i="73"/>
  <c r="V8" i="73"/>
  <c r="U8" i="73"/>
  <c r="T8" i="73"/>
  <c r="S8" i="73"/>
  <c r="V7" i="73"/>
  <c r="U7" i="73"/>
  <c r="T7" i="73"/>
  <c r="S7" i="73"/>
  <c r="F8" i="48" l="1"/>
  <c r="B7" i="46"/>
  <c r="B8" i="46" s="1"/>
  <c r="B9" i="46" s="1"/>
  <c r="B10" i="46" s="1"/>
  <c r="B11" i="46" s="1"/>
  <c r="B12" i="46" s="1"/>
  <c r="B13" i="46" s="1"/>
  <c r="B14" i="46" s="1"/>
  <c r="B15" i="46" s="1"/>
  <c r="B16" i="46" s="1"/>
  <c r="B17" i="46" s="1"/>
  <c r="B18" i="46" s="1"/>
  <c r="B19" i="46" s="1"/>
  <c r="B20" i="46" s="1"/>
  <c r="B21" i="46" s="1"/>
  <c r="B22" i="46" s="1"/>
  <c r="B23" i="46" s="1"/>
  <c r="B24" i="46" s="1"/>
  <c r="B25" i="46" s="1"/>
  <c r="N28" i="46"/>
  <c r="L27" i="46"/>
  <c r="N27" i="46"/>
  <c r="L28" i="46"/>
  <c r="B7" i="83"/>
  <c r="B8" i="83" s="1"/>
  <c r="B9" i="83" s="1"/>
  <c r="B10" i="83" s="1"/>
  <c r="B11" i="83" s="1"/>
  <c r="B12" i="83" s="1"/>
  <c r="B13" i="83" s="1"/>
  <c r="B14" i="83" s="1"/>
  <c r="B15" i="83" s="1"/>
  <c r="B16" i="83" s="1"/>
  <c r="B17" i="83" s="1"/>
  <c r="B18" i="83" s="1"/>
  <c r="B19" i="83" s="1"/>
  <c r="B20" i="83" s="1"/>
  <c r="B21" i="83" s="1"/>
  <c r="B22" i="83" s="1"/>
  <c r="B23" i="83" s="1"/>
  <c r="B24" i="83" s="1"/>
  <c r="B25" i="83" s="1"/>
  <c r="B7" i="80"/>
  <c r="B8" i="80" s="1"/>
  <c r="B9" i="80" s="1"/>
  <c r="B10" i="80" s="1"/>
  <c r="B11" i="80" s="1"/>
  <c r="B12" i="80" s="1"/>
  <c r="B13" i="80" s="1"/>
  <c r="B14" i="80" s="1"/>
  <c r="B15" i="80" s="1"/>
  <c r="B16" i="80" s="1"/>
  <c r="B17" i="80" s="1"/>
  <c r="B18" i="80" s="1"/>
  <c r="B19" i="80" s="1"/>
  <c r="B20" i="80" s="1"/>
  <c r="B21" i="80" s="1"/>
  <c r="B22" i="80" s="1"/>
  <c r="B23" i="80" s="1"/>
  <c r="B24" i="80" s="1"/>
  <c r="B25" i="80" s="1"/>
  <c r="B7" i="84"/>
  <c r="B8" i="84" s="1"/>
  <c r="B9" i="84" s="1"/>
  <c r="B10" i="84" s="1"/>
  <c r="B11" i="84" s="1"/>
  <c r="B12" i="84" s="1"/>
  <c r="B13" i="84" s="1"/>
  <c r="B14" i="84" s="1"/>
  <c r="B15" i="84" s="1"/>
  <c r="B16" i="84" s="1"/>
  <c r="B17" i="84" s="1"/>
  <c r="B18" i="84" s="1"/>
  <c r="B19" i="84" s="1"/>
  <c r="B20" i="84" s="1"/>
  <c r="B21" i="84" s="1"/>
  <c r="B22" i="84" s="1"/>
  <c r="B23" i="84" s="1"/>
  <c r="B24" i="84" s="1"/>
  <c r="B25" i="84" s="1"/>
  <c r="B7" i="81"/>
  <c r="B8" i="81" s="1"/>
  <c r="B9" i="81" s="1"/>
  <c r="B10" i="81" s="1"/>
  <c r="B11" i="81" s="1"/>
  <c r="B12" i="81" s="1"/>
  <c r="B13" i="81" s="1"/>
  <c r="B14" i="81" s="1"/>
  <c r="B15" i="81" s="1"/>
  <c r="B16" i="81" s="1"/>
  <c r="B17" i="81" s="1"/>
  <c r="B18" i="81" s="1"/>
  <c r="B19" i="81" s="1"/>
  <c r="B20" i="81" s="1"/>
  <c r="B21" i="81" s="1"/>
  <c r="B22" i="81" s="1"/>
  <c r="B23" i="81" s="1"/>
  <c r="B24" i="81" s="1"/>
  <c r="B25" i="81" s="1"/>
  <c r="B7" i="82"/>
  <c r="B8" i="82" s="1"/>
  <c r="B9" i="82" s="1"/>
  <c r="B10" i="82" s="1"/>
  <c r="B11" i="82" s="1"/>
  <c r="B12" i="82" s="1"/>
  <c r="B13" i="82" s="1"/>
  <c r="B14" i="82" s="1"/>
  <c r="B15" i="82" s="1"/>
  <c r="B16" i="82" s="1"/>
  <c r="B17" i="82" s="1"/>
  <c r="B18" i="82" s="1"/>
  <c r="B19" i="82" s="1"/>
  <c r="B20" i="82" s="1"/>
  <c r="B21" i="82" s="1"/>
  <c r="B22" i="82" s="1"/>
  <c r="B23" i="82" s="1"/>
  <c r="B24" i="82" s="1"/>
  <c r="B25" i="82" s="1"/>
  <c r="L30" i="12" s="1"/>
  <c r="L34" i="12"/>
  <c r="B6" i="73"/>
  <c r="B7" i="86"/>
  <c r="B7" i="85"/>
  <c r="C6" i="85"/>
  <c r="B7" i="98"/>
  <c r="C6" i="98"/>
  <c r="B7" i="79"/>
  <c r="F6" i="79"/>
  <c r="E18" i="86"/>
  <c r="G18" i="86" s="1"/>
  <c r="E6" i="84"/>
  <c r="F6" i="84"/>
  <c r="F9" i="48"/>
  <c r="F6" i="82"/>
  <c r="E6" i="82"/>
  <c r="E6" i="81"/>
  <c r="F6" i="81"/>
  <c r="F6" i="80"/>
  <c r="E6" i="80"/>
  <c r="E6" i="83"/>
  <c r="F6" i="83"/>
  <c r="L35" i="12" l="1"/>
  <c r="C7" i="12"/>
  <c r="L7" i="12"/>
  <c r="L32" i="12"/>
  <c r="L28" i="12"/>
  <c r="K34" i="12"/>
  <c r="K30" i="12"/>
  <c r="K28" i="12"/>
  <c r="K32" i="12"/>
  <c r="L33" i="12"/>
  <c r="L31" i="12"/>
  <c r="L29" i="12"/>
  <c r="K35" i="12"/>
  <c r="K33" i="12"/>
  <c r="K31" i="12"/>
  <c r="K29" i="12"/>
  <c r="G6" i="83"/>
  <c r="B7" i="73"/>
  <c r="B8" i="79"/>
  <c r="B8" i="85"/>
  <c r="C7" i="85"/>
  <c r="D6" i="98"/>
  <c r="E6" i="98" s="1"/>
  <c r="B8" i="98"/>
  <c r="C7" i="98"/>
  <c r="D7" i="98" s="1"/>
  <c r="E7" i="98" s="1"/>
  <c r="B8" i="86"/>
  <c r="H7" i="86"/>
  <c r="E19" i="86"/>
  <c r="G19" i="86" s="1"/>
  <c r="G6" i="82"/>
  <c r="G6" i="80"/>
  <c r="G6" i="81"/>
  <c r="G6" i="84"/>
  <c r="E7" i="83"/>
  <c r="F7" i="83"/>
  <c r="E7" i="80"/>
  <c r="F7" i="80"/>
  <c r="F7" i="81"/>
  <c r="E7" i="81"/>
  <c r="E7" i="82"/>
  <c r="F7" i="82"/>
  <c r="E7" i="84"/>
  <c r="F7" i="84"/>
  <c r="M7" i="12" l="1"/>
  <c r="N7" i="12"/>
  <c r="F7" i="98"/>
  <c r="H6" i="82"/>
  <c r="H6" i="84"/>
  <c r="L8" i="12"/>
  <c r="H6" i="81"/>
  <c r="F6" i="98"/>
  <c r="G7" i="81"/>
  <c r="H6" i="80"/>
  <c r="B8" i="73"/>
  <c r="H6" i="83"/>
  <c r="K8" i="12"/>
  <c r="B9" i="86"/>
  <c r="H8" i="86"/>
  <c r="B9" i="85"/>
  <c r="C9" i="85" s="1"/>
  <c r="C8" i="85"/>
  <c r="D7" i="79"/>
  <c r="E7" i="79" s="1"/>
  <c r="K43" i="12" s="1"/>
  <c r="B9" i="98"/>
  <c r="C8" i="98"/>
  <c r="D8" i="98" s="1"/>
  <c r="E8" i="98" s="1"/>
  <c r="F8" i="98" s="1"/>
  <c r="B9" i="79"/>
  <c r="C8" i="79"/>
  <c r="E20" i="86"/>
  <c r="G20" i="86" s="1"/>
  <c r="G7" i="83"/>
  <c r="G7" i="82"/>
  <c r="G7" i="80"/>
  <c r="E8" i="82"/>
  <c r="F8" i="82"/>
  <c r="F8" i="84"/>
  <c r="E8" i="84"/>
  <c r="E8" i="80"/>
  <c r="F8" i="80"/>
  <c r="G7" i="84"/>
  <c r="F8" i="81"/>
  <c r="E8" i="81"/>
  <c r="E8" i="83"/>
  <c r="F8" i="83"/>
  <c r="N8" i="12" l="1"/>
  <c r="M8" i="12"/>
  <c r="F7" i="79"/>
  <c r="B9" i="73"/>
  <c r="H7" i="84"/>
  <c r="L9" i="12"/>
  <c r="H7" i="82"/>
  <c r="H7" i="80"/>
  <c r="H7" i="81"/>
  <c r="H7" i="83"/>
  <c r="K9" i="12"/>
  <c r="B10" i="79"/>
  <c r="C9" i="79"/>
  <c r="B10" i="86"/>
  <c r="E9" i="86"/>
  <c r="G9" i="86" s="1"/>
  <c r="H9" i="86" s="1"/>
  <c r="B10" i="98"/>
  <c r="C9" i="98"/>
  <c r="B10" i="85"/>
  <c r="D8" i="79"/>
  <c r="E8" i="79" s="1"/>
  <c r="E21" i="86"/>
  <c r="G21" i="86" s="1"/>
  <c r="G8" i="84"/>
  <c r="G8" i="80"/>
  <c r="E9" i="84"/>
  <c r="F9" i="84"/>
  <c r="G8" i="83"/>
  <c r="F9" i="83"/>
  <c r="E9" i="83"/>
  <c r="G8" i="82"/>
  <c r="F9" i="81"/>
  <c r="F9" i="80"/>
  <c r="E9" i="80"/>
  <c r="G8" i="81"/>
  <c r="F9" i="82"/>
  <c r="E9" i="82"/>
  <c r="N9" i="12" l="1"/>
  <c r="M9" i="12"/>
  <c r="H8" i="82"/>
  <c r="F8" i="79"/>
  <c r="H8" i="80"/>
  <c r="H8" i="83"/>
  <c r="K10" i="12"/>
  <c r="H8" i="84"/>
  <c r="L10" i="12"/>
  <c r="H8" i="81"/>
  <c r="B10" i="73"/>
  <c r="B11" i="98"/>
  <c r="D9" i="79"/>
  <c r="E9" i="79" s="1"/>
  <c r="B11" i="79"/>
  <c r="E9" i="81"/>
  <c r="G9" i="81" s="1"/>
  <c r="B11" i="85"/>
  <c r="D9" i="98"/>
  <c r="E9" i="98" s="1"/>
  <c r="B11" i="86"/>
  <c r="G9" i="84"/>
  <c r="G9" i="80"/>
  <c r="E22" i="86"/>
  <c r="G22" i="86" s="1"/>
  <c r="G9" i="83"/>
  <c r="G9" i="82"/>
  <c r="D10" i="81"/>
  <c r="F10" i="81" s="1"/>
  <c r="C10" i="81"/>
  <c r="F10" i="83"/>
  <c r="E10" i="83"/>
  <c r="F10" i="84"/>
  <c r="E10" i="84"/>
  <c r="J11" i="64"/>
  <c r="J10" i="64" s="1"/>
  <c r="J7" i="64"/>
  <c r="J6" i="64"/>
  <c r="B7" i="64"/>
  <c r="B8" i="64" s="1"/>
  <c r="B9" i="64" s="1"/>
  <c r="B10" i="64" s="1"/>
  <c r="B11" i="64" s="1"/>
  <c r="B12" i="64" s="1"/>
  <c r="B13" i="64" s="1"/>
  <c r="B14" i="64" s="1"/>
  <c r="B15" i="64" s="1"/>
  <c r="B16" i="64" s="1"/>
  <c r="B17" i="64" s="1"/>
  <c r="B18" i="64" s="1"/>
  <c r="B19" i="64" s="1"/>
  <c r="B20" i="64" s="1"/>
  <c r="B21" i="64" s="1"/>
  <c r="B22" i="64" s="1"/>
  <c r="B23" i="64" s="1"/>
  <c r="B24" i="64" s="1"/>
  <c r="B25" i="64" s="1"/>
  <c r="M10" i="12" l="1"/>
  <c r="N10" i="12"/>
  <c r="H9" i="84"/>
  <c r="L11" i="12"/>
  <c r="H9" i="83"/>
  <c r="K11" i="12"/>
  <c r="F9" i="79"/>
  <c r="H9" i="82"/>
  <c r="H9" i="81"/>
  <c r="J12" i="64"/>
  <c r="H9" i="80"/>
  <c r="F9" i="98"/>
  <c r="B11" i="73"/>
  <c r="B12" i="86"/>
  <c r="B12" i="85"/>
  <c r="B12" i="79"/>
  <c r="B12" i="98"/>
  <c r="E10" i="81"/>
  <c r="G10" i="81" s="1"/>
  <c r="E23" i="86"/>
  <c r="G23" i="86" s="1"/>
  <c r="G10" i="84"/>
  <c r="G10" i="83"/>
  <c r="E11" i="84"/>
  <c r="F11" i="84"/>
  <c r="F11" i="83"/>
  <c r="E11" i="83"/>
  <c r="D11" i="81"/>
  <c r="F11" i="81" s="1"/>
  <c r="C11" i="81"/>
  <c r="L6" i="46"/>
  <c r="M11" i="12" l="1"/>
  <c r="N11" i="12"/>
  <c r="H10" i="81"/>
  <c r="E6" i="46"/>
  <c r="F6" i="46"/>
  <c r="H10" i="84"/>
  <c r="L12" i="12"/>
  <c r="E24" i="64"/>
  <c r="E20" i="64"/>
  <c r="E16" i="64"/>
  <c r="E12" i="64"/>
  <c r="E8" i="64"/>
  <c r="E21" i="64"/>
  <c r="E9" i="64"/>
  <c r="E23" i="64"/>
  <c r="E19" i="64"/>
  <c r="E15" i="64"/>
  <c r="E11" i="64"/>
  <c r="E7" i="64"/>
  <c r="E25" i="64"/>
  <c r="E13" i="64"/>
  <c r="E22" i="64"/>
  <c r="E18" i="64"/>
  <c r="E14" i="64"/>
  <c r="E10" i="64"/>
  <c r="E6" i="64"/>
  <c r="E17" i="64"/>
  <c r="B12" i="73"/>
  <c r="H10" i="83"/>
  <c r="K12" i="12"/>
  <c r="E11" i="81"/>
  <c r="G11" i="81" s="1"/>
  <c r="B13" i="98"/>
  <c r="B13" i="85"/>
  <c r="B13" i="79"/>
  <c r="B13" i="86"/>
  <c r="E24" i="86"/>
  <c r="G24" i="86" s="1"/>
  <c r="E25" i="86"/>
  <c r="G25" i="86" s="1"/>
  <c r="E12" i="84"/>
  <c r="F12" i="84"/>
  <c r="F12" i="83"/>
  <c r="E12" i="83"/>
  <c r="C12" i="81"/>
  <c r="D12" i="81"/>
  <c r="F12" i="81" s="1"/>
  <c r="G11" i="83"/>
  <c r="G11" i="84"/>
  <c r="N12" i="12" l="1"/>
  <c r="M12" i="12"/>
  <c r="B13" i="73"/>
  <c r="F17" i="64"/>
  <c r="F18" i="64"/>
  <c r="F7" i="64"/>
  <c r="F23" i="64"/>
  <c r="F12" i="64"/>
  <c r="H11" i="81"/>
  <c r="H11" i="84"/>
  <c r="L13" i="12"/>
  <c r="F6" i="64"/>
  <c r="F22" i="64"/>
  <c r="F11" i="64"/>
  <c r="F9" i="64"/>
  <c r="F16" i="64"/>
  <c r="H11" i="83"/>
  <c r="K13" i="12"/>
  <c r="F10" i="64"/>
  <c r="F13" i="64"/>
  <c r="F15" i="64"/>
  <c r="F21" i="64"/>
  <c r="F20" i="64"/>
  <c r="F14" i="64"/>
  <c r="F25" i="64"/>
  <c r="F19" i="64"/>
  <c r="F8" i="64"/>
  <c r="F24" i="64"/>
  <c r="B14" i="79"/>
  <c r="B14" i="86"/>
  <c r="E12" i="81"/>
  <c r="G12" i="81" s="1"/>
  <c r="B14" i="98"/>
  <c r="B14" i="85"/>
  <c r="G12" i="84"/>
  <c r="F13" i="83"/>
  <c r="E13" i="83"/>
  <c r="C13" i="81"/>
  <c r="D13" i="81"/>
  <c r="F13" i="81" s="1"/>
  <c r="G12" i="83"/>
  <c r="F13" i="84"/>
  <c r="E13" i="84"/>
  <c r="N13" i="12" l="1"/>
  <c r="M13" i="12"/>
  <c r="H12" i="83"/>
  <c r="K14" i="12"/>
  <c r="H12" i="84"/>
  <c r="L14" i="12"/>
  <c r="H12" i="81"/>
  <c r="B14" i="73"/>
  <c r="B15" i="73" s="1"/>
  <c r="B16" i="73" s="1"/>
  <c r="B17" i="73" s="1"/>
  <c r="B18" i="73" s="1"/>
  <c r="B19" i="73" s="1"/>
  <c r="B20" i="73" s="1"/>
  <c r="B21" i="73" s="1"/>
  <c r="B22" i="73" s="1"/>
  <c r="B23" i="73" s="1"/>
  <c r="B24" i="73" s="1"/>
  <c r="B15" i="98"/>
  <c r="B15" i="86"/>
  <c r="B15" i="85"/>
  <c r="E13" i="81"/>
  <c r="G13" i="81" s="1"/>
  <c r="B15" i="79"/>
  <c r="G13" i="84"/>
  <c r="G13" i="83"/>
  <c r="C14" i="81"/>
  <c r="D14" i="81"/>
  <c r="F14" i="81" s="1"/>
  <c r="F14" i="84"/>
  <c r="E14" i="84"/>
  <c r="E14" i="83"/>
  <c r="F14" i="83"/>
  <c r="G6" i="46"/>
  <c r="M14" i="12" l="1"/>
  <c r="N14" i="12"/>
  <c r="L69" i="12"/>
  <c r="H13" i="84"/>
  <c r="L15" i="12"/>
  <c r="L67" i="12"/>
  <c r="L68" i="12"/>
  <c r="L62" i="12"/>
  <c r="L63" i="12"/>
  <c r="L66" i="12"/>
  <c r="L65" i="12"/>
  <c r="L64" i="12"/>
  <c r="H13" i="81"/>
  <c r="H13" i="83"/>
  <c r="K15" i="12"/>
  <c r="E14" i="81"/>
  <c r="G14" i="81" s="1"/>
  <c r="B16" i="79"/>
  <c r="B16" i="86"/>
  <c r="H15" i="86"/>
  <c r="B16" i="85"/>
  <c r="B16" i="98"/>
  <c r="G14" i="83"/>
  <c r="E15" i="82"/>
  <c r="F15" i="82"/>
  <c r="C15" i="81"/>
  <c r="D15" i="81"/>
  <c r="F15" i="81" s="1"/>
  <c r="G14" i="84"/>
  <c r="E15" i="80"/>
  <c r="F15" i="80"/>
  <c r="N15" i="12" l="1"/>
  <c r="M15" i="12"/>
  <c r="H14" i="83"/>
  <c r="K16" i="12"/>
  <c r="H14" i="81"/>
  <c r="H14" i="84"/>
  <c r="L16" i="12"/>
  <c r="F16" i="79"/>
  <c r="B17" i="79"/>
  <c r="B17" i="98"/>
  <c r="F16" i="98"/>
  <c r="B17" i="86"/>
  <c r="H16" i="86"/>
  <c r="E15" i="81"/>
  <c r="G15" i="81" s="1"/>
  <c r="B17" i="85"/>
  <c r="G15" i="80"/>
  <c r="G15" i="82"/>
  <c r="D16" i="81"/>
  <c r="F16" i="81" s="1"/>
  <c r="C16" i="81"/>
  <c r="F16" i="80"/>
  <c r="E16" i="80"/>
  <c r="F16" i="82"/>
  <c r="E16" i="82"/>
  <c r="F26" i="64"/>
  <c r="N16" i="12" l="1"/>
  <c r="M16" i="12"/>
  <c r="H15" i="81"/>
  <c r="H15" i="82"/>
  <c r="H15" i="80"/>
  <c r="B18" i="79"/>
  <c r="F17" i="79"/>
  <c r="E16" i="81"/>
  <c r="G16" i="81" s="1"/>
  <c r="B18" i="86"/>
  <c r="H17" i="86"/>
  <c r="B18" i="85"/>
  <c r="B18" i="98"/>
  <c r="F17" i="98"/>
  <c r="D17" i="81"/>
  <c r="F17" i="81" s="1"/>
  <c r="C17" i="81"/>
  <c r="G16" i="82"/>
  <c r="E17" i="80"/>
  <c r="F17" i="80"/>
  <c r="F17" i="82"/>
  <c r="E17" i="82"/>
  <c r="G16" i="80"/>
  <c r="H16" i="81" l="1"/>
  <c r="H16" i="82"/>
  <c r="H16" i="80"/>
  <c r="B19" i="98"/>
  <c r="F18" i="98"/>
  <c r="B19" i="86"/>
  <c r="H18" i="86"/>
  <c r="B19" i="79"/>
  <c r="F18" i="79"/>
  <c r="E17" i="81"/>
  <c r="B19" i="85"/>
  <c r="G17" i="81"/>
  <c r="E18" i="82"/>
  <c r="F18" i="82"/>
  <c r="G17" i="80"/>
  <c r="G17" i="82"/>
  <c r="F18" i="80"/>
  <c r="E18" i="80"/>
  <c r="C18" i="81"/>
  <c r="D18" i="81"/>
  <c r="F18" i="81" s="1"/>
  <c r="G18" i="80" l="1"/>
  <c r="H17" i="80"/>
  <c r="H17" i="81"/>
  <c r="H17" i="82"/>
  <c r="B20" i="85"/>
  <c r="B20" i="79"/>
  <c r="F19" i="79"/>
  <c r="B20" i="98"/>
  <c r="F19" i="98"/>
  <c r="E18" i="81"/>
  <c r="G18" i="81" s="1"/>
  <c r="B20" i="86"/>
  <c r="H19" i="86"/>
  <c r="F19" i="82"/>
  <c r="E19" i="82"/>
  <c r="D19" i="81"/>
  <c r="F19" i="81" s="1"/>
  <c r="C19" i="81"/>
  <c r="E19" i="80"/>
  <c r="F19" i="80"/>
  <c r="G18" i="82"/>
  <c r="H18" i="81" l="1"/>
  <c r="H18" i="82"/>
  <c r="H18" i="80"/>
  <c r="B21" i="79"/>
  <c r="F20" i="79"/>
  <c r="E19" i="81"/>
  <c r="B21" i="86"/>
  <c r="H20" i="86"/>
  <c r="B21" i="98"/>
  <c r="F20" i="98"/>
  <c r="B21" i="85"/>
  <c r="G19" i="82"/>
  <c r="G19" i="80"/>
  <c r="E20" i="82"/>
  <c r="F20" i="82"/>
  <c r="F20" i="80"/>
  <c r="E20" i="80"/>
  <c r="C20" i="81"/>
  <c r="D20" i="81"/>
  <c r="F20" i="81" s="1"/>
  <c r="G19" i="81"/>
  <c r="G20" i="80" l="1"/>
  <c r="H19" i="80"/>
  <c r="H19" i="81"/>
  <c r="H19" i="82"/>
  <c r="B22" i="98"/>
  <c r="F21" i="98"/>
  <c r="E20" i="81"/>
  <c r="G20" i="81" s="1"/>
  <c r="B22" i="85"/>
  <c r="B22" i="86"/>
  <c r="H21" i="86"/>
  <c r="B22" i="79"/>
  <c r="F21" i="79"/>
  <c r="D21" i="81"/>
  <c r="F21" i="81" s="1"/>
  <c r="C21" i="81"/>
  <c r="G20" i="82"/>
  <c r="E21" i="82"/>
  <c r="F21" i="82"/>
  <c r="F21" i="80"/>
  <c r="E21" i="80"/>
  <c r="H20" i="81" l="1"/>
  <c r="H20" i="82"/>
  <c r="H20" i="80"/>
  <c r="E21" i="81"/>
  <c r="B23" i="86"/>
  <c r="H22" i="86"/>
  <c r="B23" i="79"/>
  <c r="F22" i="79"/>
  <c r="B23" i="85"/>
  <c r="F22" i="98"/>
  <c r="B23" i="98"/>
  <c r="G21" i="81"/>
  <c r="E22" i="80"/>
  <c r="F22" i="80"/>
  <c r="G21" i="80"/>
  <c r="E22" i="82"/>
  <c r="F22" i="82"/>
  <c r="C22" i="81"/>
  <c r="D22" i="81"/>
  <c r="F22" i="81" s="1"/>
  <c r="G21" i="82"/>
  <c r="B10" i="48"/>
  <c r="H21" i="80" l="1"/>
  <c r="H21" i="81"/>
  <c r="H21" i="82"/>
  <c r="D10" i="48"/>
  <c r="C10" i="48"/>
  <c r="E22" i="81"/>
  <c r="G22" i="81" s="1"/>
  <c r="B24" i="85"/>
  <c r="B24" i="86"/>
  <c r="H23" i="86"/>
  <c r="B24" i="98"/>
  <c r="F23" i="98"/>
  <c r="B24" i="79"/>
  <c r="F23" i="79"/>
  <c r="G22" i="80"/>
  <c r="G22" i="82"/>
  <c r="D23" i="81"/>
  <c r="F23" i="81" s="1"/>
  <c r="C23" i="81"/>
  <c r="E23" i="82"/>
  <c r="F23" i="82"/>
  <c r="F23" i="80"/>
  <c r="E23" i="80"/>
  <c r="E10" i="48" l="1"/>
  <c r="H22" i="81"/>
  <c r="H22" i="82"/>
  <c r="H22" i="80"/>
  <c r="E23" i="81"/>
  <c r="B25" i="98"/>
  <c r="F24" i="98"/>
  <c r="B25" i="85"/>
  <c r="B25" i="79"/>
  <c r="F24" i="79"/>
  <c r="B25" i="86"/>
  <c r="H24" i="86"/>
  <c r="F24" i="82"/>
  <c r="E24" i="82"/>
  <c r="F24" i="80"/>
  <c r="E24" i="80"/>
  <c r="G24" i="80" s="1"/>
  <c r="G23" i="81"/>
  <c r="G23" i="80"/>
  <c r="G23" i="82"/>
  <c r="C24" i="81"/>
  <c r="D24" i="81"/>
  <c r="F24" i="81" s="1"/>
  <c r="I42" i="12" l="1"/>
  <c r="H23" i="81"/>
  <c r="F25" i="79"/>
  <c r="F25" i="98"/>
  <c r="L41" i="12"/>
  <c r="H24" i="80"/>
  <c r="H23" i="82"/>
  <c r="H23" i="80"/>
  <c r="H25" i="86"/>
  <c r="N35" i="12"/>
  <c r="N32" i="12"/>
  <c r="N31" i="12"/>
  <c r="N33" i="12"/>
  <c r="N34" i="12"/>
  <c r="N30" i="12"/>
  <c r="N28" i="12"/>
  <c r="N29" i="12"/>
  <c r="D41" i="12"/>
  <c r="M33" i="12"/>
  <c r="M30" i="12"/>
  <c r="M32" i="12"/>
  <c r="M35" i="12"/>
  <c r="M29" i="12"/>
  <c r="C41" i="12"/>
  <c r="M31" i="12"/>
  <c r="M28" i="12"/>
  <c r="M34" i="12"/>
  <c r="E24" i="81"/>
  <c r="G24" i="81" s="1"/>
  <c r="G24" i="82"/>
  <c r="E25" i="80"/>
  <c r="F25" i="80"/>
  <c r="C25" i="81"/>
  <c r="D25" i="81"/>
  <c r="F25" i="81" s="1"/>
  <c r="F25" i="82"/>
  <c r="E25" i="82"/>
  <c r="H24" i="81" l="1"/>
  <c r="H24" i="82"/>
  <c r="H41" i="12"/>
  <c r="F41" i="12"/>
  <c r="G41" i="12"/>
  <c r="F7" i="12"/>
  <c r="E41" i="12"/>
  <c r="E7" i="12"/>
  <c r="D7" i="12"/>
  <c r="E25" i="81"/>
  <c r="G25" i="81" s="1"/>
  <c r="G25" i="80"/>
  <c r="G25" i="82"/>
  <c r="N41" i="12" l="1"/>
  <c r="G7" i="12"/>
  <c r="H7" i="12"/>
  <c r="M41" i="12"/>
  <c r="H25" i="81"/>
  <c r="H26" i="81" s="1"/>
  <c r="H25" i="80"/>
  <c r="H25" i="82"/>
  <c r="E14" i="51" l="1"/>
  <c r="D14" i="51"/>
  <c r="I15" i="98" l="1"/>
  <c r="J15" i="79"/>
  <c r="I15" i="79"/>
  <c r="J15" i="98"/>
  <c r="L9" i="84"/>
  <c r="L9" i="80"/>
  <c r="L10" i="86"/>
  <c r="L11" i="85"/>
  <c r="L15" i="85" s="1"/>
  <c r="L9" i="83"/>
  <c r="L9" i="82"/>
  <c r="I7" i="73"/>
  <c r="H5" i="73"/>
  <c r="L5" i="73" s="1"/>
  <c r="I8" i="73"/>
  <c r="C5" i="73"/>
  <c r="D5" i="73" s="1"/>
  <c r="H6" i="73"/>
  <c r="L6" i="73" s="1"/>
  <c r="H7" i="73"/>
  <c r="L7" i="73" s="1"/>
  <c r="H8" i="73"/>
  <c r="L8" i="73" s="1"/>
  <c r="G5" i="73"/>
  <c r="G6" i="73"/>
  <c r="G8" i="73"/>
  <c r="I6" i="73"/>
  <c r="C6" i="73"/>
  <c r="D6" i="73" s="1"/>
  <c r="C7" i="73"/>
  <c r="D7" i="73" s="1"/>
  <c r="C8" i="73"/>
  <c r="D8" i="73" s="1"/>
  <c r="I5" i="73"/>
  <c r="G7" i="73"/>
  <c r="D26" i="51"/>
  <c r="D25" i="51"/>
  <c r="F18" i="85" l="1"/>
  <c r="E22" i="85"/>
  <c r="F15" i="85"/>
  <c r="F17" i="85"/>
  <c r="E21" i="85"/>
  <c r="F24" i="85"/>
  <c r="F8" i="85"/>
  <c r="E12" i="85"/>
  <c r="F7" i="85"/>
  <c r="F14" i="85"/>
  <c r="E18" i="85"/>
  <c r="G18" i="85" s="1"/>
  <c r="E11" i="85"/>
  <c r="G11" i="85" s="1"/>
  <c r="F13" i="85"/>
  <c r="E17" i="85"/>
  <c r="F20" i="85"/>
  <c r="E24" i="85"/>
  <c r="G24" i="85" s="1"/>
  <c r="F11" i="85"/>
  <c r="E19" i="85"/>
  <c r="F10" i="85"/>
  <c r="E14" i="85"/>
  <c r="G14" i="85" s="1"/>
  <c r="F25" i="85"/>
  <c r="F9" i="85"/>
  <c r="E13" i="85"/>
  <c r="G13" i="85" s="1"/>
  <c r="F16" i="85"/>
  <c r="E20" i="85"/>
  <c r="F23" i="85"/>
  <c r="E15" i="85"/>
  <c r="G15" i="85" s="1"/>
  <c r="F22" i="85"/>
  <c r="F6" i="85"/>
  <c r="E10" i="85"/>
  <c r="F21" i="85"/>
  <c r="E25" i="85"/>
  <c r="G25" i="85" s="1"/>
  <c r="E23" i="85"/>
  <c r="F12" i="85"/>
  <c r="E16" i="85"/>
  <c r="F19" i="85"/>
  <c r="E6" i="85"/>
  <c r="G6" i="85" s="1"/>
  <c r="E7" i="85"/>
  <c r="G7" i="85" s="1"/>
  <c r="E9" i="85"/>
  <c r="G9" i="85" s="1"/>
  <c r="E8" i="85"/>
  <c r="G8" i="85" s="1"/>
  <c r="L22" i="86"/>
  <c r="L21" i="86"/>
  <c r="N27" i="82"/>
  <c r="N28" i="82"/>
  <c r="L27" i="82"/>
  <c r="L28" i="82"/>
  <c r="L28" i="80"/>
  <c r="N28" i="80"/>
  <c r="N27" i="80"/>
  <c r="L27" i="80"/>
  <c r="L36" i="79"/>
  <c r="K33" i="79"/>
  <c r="K40" i="79" s="1"/>
  <c r="K36" i="79"/>
  <c r="L35" i="79"/>
  <c r="L42" i="79" s="1"/>
  <c r="L33" i="79"/>
  <c r="L40" i="79" s="1"/>
  <c r="K35" i="79"/>
  <c r="K42" i="79" s="1"/>
  <c r="K34" i="79"/>
  <c r="K41" i="79" s="1"/>
  <c r="L34" i="79"/>
  <c r="L41" i="79" s="1"/>
  <c r="L28" i="83"/>
  <c r="L27" i="83"/>
  <c r="N28" i="83"/>
  <c r="N27" i="83"/>
  <c r="N28" i="84"/>
  <c r="L27" i="84"/>
  <c r="L28" i="84"/>
  <c r="N27" i="84"/>
  <c r="L34" i="98"/>
  <c r="L41" i="98" s="1"/>
  <c r="L36" i="98"/>
  <c r="K34" i="98"/>
  <c r="K41" i="98" s="1"/>
  <c r="L35" i="98"/>
  <c r="L42" i="98" s="1"/>
  <c r="K36" i="98"/>
  <c r="K35" i="98"/>
  <c r="K42" i="98" s="1"/>
  <c r="K33" i="98"/>
  <c r="K40" i="98" s="1"/>
  <c r="L33" i="98"/>
  <c r="L40" i="98" s="1"/>
  <c r="E6" i="73"/>
  <c r="E8" i="73"/>
  <c r="E5" i="73"/>
  <c r="E7" i="73"/>
  <c r="K8" i="73"/>
  <c r="J8" i="73"/>
  <c r="K5" i="73"/>
  <c r="J5" i="73"/>
  <c r="K7" i="73"/>
  <c r="J7" i="73"/>
  <c r="J6" i="73"/>
  <c r="K6" i="73"/>
  <c r="G12" i="85" l="1"/>
  <c r="L43" i="79"/>
  <c r="G23" i="85"/>
  <c r="C15" i="83"/>
  <c r="E15" i="83" s="1"/>
  <c r="C16" i="83"/>
  <c r="E16" i="83" s="1"/>
  <c r="C17" i="83"/>
  <c r="E17" i="83" s="1"/>
  <c r="C18" i="83"/>
  <c r="E18" i="83" s="1"/>
  <c r="C19" i="83"/>
  <c r="E19" i="83" s="1"/>
  <c r="C20" i="83"/>
  <c r="E20" i="83" s="1"/>
  <c r="C21" i="83"/>
  <c r="E21" i="83" s="1"/>
  <c r="C22" i="83"/>
  <c r="E22" i="83" s="1"/>
  <c r="C23" i="83"/>
  <c r="E23" i="83" s="1"/>
  <c r="C24" i="83"/>
  <c r="E24" i="83" s="1"/>
  <c r="C25" i="83"/>
  <c r="E25" i="83" s="1"/>
  <c r="K43" i="79"/>
  <c r="H25" i="85"/>
  <c r="H14" i="85"/>
  <c r="H12" i="85"/>
  <c r="D10" i="82"/>
  <c r="F10" i="82" s="1"/>
  <c r="D11" i="82"/>
  <c r="F11" i="82" s="1"/>
  <c r="D12" i="82"/>
  <c r="F12" i="82" s="1"/>
  <c r="D13" i="82"/>
  <c r="F13" i="82" s="1"/>
  <c r="D14" i="82"/>
  <c r="F14" i="82" s="1"/>
  <c r="H9" i="85"/>
  <c r="G16" i="85"/>
  <c r="H15" i="85"/>
  <c r="H13" i="85"/>
  <c r="H18" i="85"/>
  <c r="L43" i="98"/>
  <c r="D15" i="84"/>
  <c r="F15" i="84" s="1"/>
  <c r="D16" i="84"/>
  <c r="F16" i="84" s="1"/>
  <c r="D17" i="84"/>
  <c r="F17" i="84" s="1"/>
  <c r="D18" i="84"/>
  <c r="F18" i="84" s="1"/>
  <c r="D19" i="84"/>
  <c r="F19" i="84" s="1"/>
  <c r="D20" i="84"/>
  <c r="F20" i="84" s="1"/>
  <c r="D21" i="84"/>
  <c r="F21" i="84" s="1"/>
  <c r="D22" i="84"/>
  <c r="F22" i="84" s="1"/>
  <c r="D23" i="84"/>
  <c r="F23" i="84" s="1"/>
  <c r="D24" i="84"/>
  <c r="F24" i="84" s="1"/>
  <c r="D25" i="84"/>
  <c r="F25" i="84" s="1"/>
  <c r="D15" i="83"/>
  <c r="F15" i="83" s="1"/>
  <c r="D16" i="83"/>
  <c r="F16" i="83" s="1"/>
  <c r="D17" i="83"/>
  <c r="F17" i="83" s="1"/>
  <c r="D18" i="83"/>
  <c r="F18" i="83" s="1"/>
  <c r="D19" i="83"/>
  <c r="F19" i="83" s="1"/>
  <c r="D20" i="83"/>
  <c r="F20" i="83" s="1"/>
  <c r="D21" i="83"/>
  <c r="F21" i="83" s="1"/>
  <c r="D22" i="83"/>
  <c r="F22" i="83" s="1"/>
  <c r="D23" i="83"/>
  <c r="F23" i="83" s="1"/>
  <c r="D24" i="83"/>
  <c r="F24" i="83" s="1"/>
  <c r="D25" i="83"/>
  <c r="F25" i="83" s="1"/>
  <c r="C10" i="80"/>
  <c r="E10" i="80" s="1"/>
  <c r="C11" i="80"/>
  <c r="E11" i="80" s="1"/>
  <c r="C12" i="80"/>
  <c r="E12" i="80" s="1"/>
  <c r="C13" i="80"/>
  <c r="E13" i="80" s="1"/>
  <c r="C14" i="80"/>
  <c r="E14" i="80" s="1"/>
  <c r="C10" i="86"/>
  <c r="E10" i="86" s="1"/>
  <c r="G10" i="86" s="1"/>
  <c r="C11" i="86"/>
  <c r="E11" i="86" s="1"/>
  <c r="G11" i="86" s="1"/>
  <c r="C12" i="86"/>
  <c r="E12" i="86" s="1"/>
  <c r="G12" i="86" s="1"/>
  <c r="C13" i="86"/>
  <c r="E13" i="86" s="1"/>
  <c r="G13" i="86" s="1"/>
  <c r="C14" i="86"/>
  <c r="E14" i="86" s="1"/>
  <c r="G14" i="86" s="1"/>
  <c r="H7" i="85"/>
  <c r="G10" i="85"/>
  <c r="G19" i="85"/>
  <c r="G17" i="85"/>
  <c r="G22" i="85"/>
  <c r="C15" i="84"/>
  <c r="C16" i="84"/>
  <c r="C17" i="84"/>
  <c r="C18" i="84"/>
  <c r="C19" i="84"/>
  <c r="C20" i="84"/>
  <c r="C21" i="84"/>
  <c r="C22" i="84"/>
  <c r="C23" i="84"/>
  <c r="C24" i="84"/>
  <c r="C25" i="84"/>
  <c r="H8" i="85"/>
  <c r="H24" i="85"/>
  <c r="H11" i="85"/>
  <c r="K43" i="98"/>
  <c r="D10" i="80"/>
  <c r="F10" i="80" s="1"/>
  <c r="D11" i="80"/>
  <c r="F11" i="80" s="1"/>
  <c r="D12" i="80"/>
  <c r="F12" i="80" s="1"/>
  <c r="D13" i="80"/>
  <c r="F13" i="80" s="1"/>
  <c r="D14" i="80"/>
  <c r="F14" i="80" s="1"/>
  <c r="C10" i="82"/>
  <c r="C11" i="82"/>
  <c r="C12" i="82"/>
  <c r="C13" i="82"/>
  <c r="C14" i="82"/>
  <c r="H6" i="85"/>
  <c r="H23" i="85"/>
  <c r="G20" i="85"/>
  <c r="G21" i="85"/>
  <c r="M7" i="73"/>
  <c r="M5" i="73"/>
  <c r="M8" i="73"/>
  <c r="M6" i="73"/>
  <c r="B11" i="48"/>
  <c r="O5" i="73" l="1"/>
  <c r="G11" i="80"/>
  <c r="H11" i="80" s="1"/>
  <c r="G22" i="83"/>
  <c r="G18" i="83"/>
  <c r="K20" i="12" s="1"/>
  <c r="G14" i="80"/>
  <c r="H14" i="80" s="1"/>
  <c r="G10" i="80"/>
  <c r="H10" i="80" s="1"/>
  <c r="G25" i="83"/>
  <c r="G21" i="83"/>
  <c r="G17" i="83"/>
  <c r="H17" i="83" s="1"/>
  <c r="C10" i="98"/>
  <c r="D10" i="98" s="1"/>
  <c r="E10" i="98" s="1"/>
  <c r="C11" i="98"/>
  <c r="D11" i="98" s="1"/>
  <c r="E11" i="98" s="1"/>
  <c r="C12" i="98"/>
  <c r="D12" i="98" s="1"/>
  <c r="E12" i="98" s="1"/>
  <c r="C13" i="98"/>
  <c r="D13" i="98" s="1"/>
  <c r="E13" i="98" s="1"/>
  <c r="C14" i="98"/>
  <c r="D14" i="98" s="1"/>
  <c r="E14" i="98" s="1"/>
  <c r="C15" i="98"/>
  <c r="D15" i="98" s="1"/>
  <c r="E15" i="98" s="1"/>
  <c r="E23" i="84"/>
  <c r="G23" i="84" s="1"/>
  <c r="F22" i="73"/>
  <c r="E15" i="84"/>
  <c r="G15" i="84" s="1"/>
  <c r="F14" i="73"/>
  <c r="H14" i="86"/>
  <c r="K24" i="12"/>
  <c r="H22" i="83"/>
  <c r="E11" i="82"/>
  <c r="G11" i="82" s="1"/>
  <c r="F10" i="73"/>
  <c r="E22" i="84"/>
  <c r="G22" i="84" s="1"/>
  <c r="F21" i="73"/>
  <c r="H13" i="86"/>
  <c r="K27" i="12"/>
  <c r="H25" i="83"/>
  <c r="H21" i="83"/>
  <c r="K23" i="12"/>
  <c r="H21" i="85"/>
  <c r="E14" i="82"/>
  <c r="G14" i="82" s="1"/>
  <c r="F13" i="73"/>
  <c r="F9" i="73"/>
  <c r="E10" i="82"/>
  <c r="G10" i="82" s="1"/>
  <c r="E25" i="84"/>
  <c r="G25" i="84" s="1"/>
  <c r="F24" i="73"/>
  <c r="E21" i="84"/>
  <c r="G21" i="84" s="1"/>
  <c r="F20" i="73"/>
  <c r="E17" i="84"/>
  <c r="G17" i="84" s="1"/>
  <c r="F16" i="73"/>
  <c r="H17" i="85"/>
  <c r="H12" i="86"/>
  <c r="G13" i="80"/>
  <c r="H16" i="85"/>
  <c r="G24" i="83"/>
  <c r="G20" i="83"/>
  <c r="G16" i="83"/>
  <c r="E12" i="82"/>
  <c r="G12" i="82" s="1"/>
  <c r="F11" i="73"/>
  <c r="E19" i="84"/>
  <c r="G19" i="84" s="1"/>
  <c r="F18" i="73"/>
  <c r="H10" i="85"/>
  <c r="C10" i="79"/>
  <c r="D10" i="79" s="1"/>
  <c r="E10" i="79" s="1"/>
  <c r="C11" i="79"/>
  <c r="D11" i="79" s="1"/>
  <c r="E11" i="79" s="1"/>
  <c r="C12" i="79"/>
  <c r="D12" i="79" s="1"/>
  <c r="E12" i="79" s="1"/>
  <c r="C13" i="79"/>
  <c r="C14" i="79"/>
  <c r="D14" i="79" s="1"/>
  <c r="E14" i="79" s="1"/>
  <c r="C15" i="79"/>
  <c r="D15" i="79" s="1"/>
  <c r="E15" i="79" s="1"/>
  <c r="E18" i="84"/>
  <c r="G18" i="84" s="1"/>
  <c r="F17" i="73"/>
  <c r="H22" i="85"/>
  <c r="H20" i="85"/>
  <c r="E13" i="82"/>
  <c r="G13" i="82" s="1"/>
  <c r="F12" i="73"/>
  <c r="E24" i="84"/>
  <c r="G24" i="84" s="1"/>
  <c r="F23" i="73"/>
  <c r="E20" i="84"/>
  <c r="G20" i="84" s="1"/>
  <c r="F19" i="73"/>
  <c r="E16" i="84"/>
  <c r="G16" i="84" s="1"/>
  <c r="F15" i="73"/>
  <c r="H19" i="85"/>
  <c r="H11" i="86"/>
  <c r="G12" i="80"/>
  <c r="G23" i="83"/>
  <c r="G19" i="83"/>
  <c r="G15" i="83"/>
  <c r="C11" i="48"/>
  <c r="D11" i="48"/>
  <c r="O7" i="73"/>
  <c r="N8" i="73"/>
  <c r="P8" i="73" s="1"/>
  <c r="N6" i="73"/>
  <c r="P6" i="73" s="1"/>
  <c r="N5" i="73"/>
  <c r="P5" i="73" s="1"/>
  <c r="N7" i="73"/>
  <c r="P7" i="73" s="1"/>
  <c r="F7" i="46"/>
  <c r="E7" i="46"/>
  <c r="O8" i="73"/>
  <c r="O6" i="73"/>
  <c r="B12" i="48"/>
  <c r="E11" i="48" l="1"/>
  <c r="K19" i="12"/>
  <c r="H18" i="83"/>
  <c r="H26" i="85"/>
  <c r="I15" i="73"/>
  <c r="H15" i="73"/>
  <c r="L15" i="73" s="1"/>
  <c r="G15" i="73"/>
  <c r="C15" i="73"/>
  <c r="D15" i="73" s="1"/>
  <c r="F12" i="79"/>
  <c r="H20" i="73"/>
  <c r="L20" i="73" s="1"/>
  <c r="G20" i="73"/>
  <c r="I20" i="73"/>
  <c r="C20" i="73"/>
  <c r="D20" i="73" s="1"/>
  <c r="H10" i="82"/>
  <c r="H22" i="73"/>
  <c r="L22" i="73" s="1"/>
  <c r="G22" i="73"/>
  <c r="C22" i="73"/>
  <c r="D22" i="73" s="1"/>
  <c r="I22" i="73"/>
  <c r="H24" i="84"/>
  <c r="L26" i="12"/>
  <c r="K18" i="12"/>
  <c r="H16" i="83"/>
  <c r="L23" i="12"/>
  <c r="M23" i="12" s="1"/>
  <c r="H21" i="84"/>
  <c r="C9" i="73"/>
  <c r="D9" i="73" s="1"/>
  <c r="H9" i="73"/>
  <c r="L9" i="73" s="1"/>
  <c r="I9" i="73"/>
  <c r="G9" i="73"/>
  <c r="H11" i="82"/>
  <c r="H23" i="84"/>
  <c r="L25" i="12"/>
  <c r="F12" i="98"/>
  <c r="H23" i="73"/>
  <c r="L23" i="73" s="1"/>
  <c r="I23" i="73"/>
  <c r="G23" i="73"/>
  <c r="C23" i="73"/>
  <c r="D23" i="73" s="1"/>
  <c r="H18" i="84"/>
  <c r="L20" i="12"/>
  <c r="M20" i="12" s="1"/>
  <c r="F13" i="98"/>
  <c r="H16" i="84"/>
  <c r="L18" i="12"/>
  <c r="F15" i="79"/>
  <c r="H18" i="73"/>
  <c r="L18" i="73" s="1"/>
  <c r="C18" i="73"/>
  <c r="D18" i="73" s="1"/>
  <c r="G18" i="73"/>
  <c r="I18" i="73"/>
  <c r="I12" i="73"/>
  <c r="H12" i="73"/>
  <c r="L12" i="73" s="1"/>
  <c r="G12" i="73"/>
  <c r="C12" i="73"/>
  <c r="D12" i="73" s="1"/>
  <c r="F10" i="79"/>
  <c r="H19" i="84"/>
  <c r="L21" i="12"/>
  <c r="K22" i="12"/>
  <c r="H20" i="83"/>
  <c r="G16" i="73"/>
  <c r="H16" i="73"/>
  <c r="L16" i="73" s="1"/>
  <c r="I16" i="73"/>
  <c r="C16" i="73"/>
  <c r="D16" i="73" s="1"/>
  <c r="I24" i="73"/>
  <c r="G24" i="73"/>
  <c r="H24" i="73"/>
  <c r="L24" i="73" s="1"/>
  <c r="C24" i="73"/>
  <c r="D24" i="73" s="1"/>
  <c r="C13" i="73"/>
  <c r="D13" i="73" s="1"/>
  <c r="G13" i="73"/>
  <c r="H13" i="73"/>
  <c r="L13" i="73" s="1"/>
  <c r="I13" i="73"/>
  <c r="C21" i="73"/>
  <c r="D21" i="73" s="1"/>
  <c r="G21" i="73"/>
  <c r="H21" i="73"/>
  <c r="L21" i="73" s="1"/>
  <c r="I21" i="73"/>
  <c r="H14" i="73"/>
  <c r="L14" i="73" s="1"/>
  <c r="G14" i="73"/>
  <c r="I14" i="73"/>
  <c r="C14" i="73"/>
  <c r="D14" i="73" s="1"/>
  <c r="F15" i="98"/>
  <c r="F11" i="98"/>
  <c r="H23" i="83"/>
  <c r="K25" i="12"/>
  <c r="H12" i="82"/>
  <c r="H10" i="73"/>
  <c r="L10" i="73" s="1"/>
  <c r="I10" i="73"/>
  <c r="G10" i="73"/>
  <c r="C10" i="73"/>
  <c r="D10" i="73" s="1"/>
  <c r="H12" i="80"/>
  <c r="F11" i="79"/>
  <c r="H15" i="83"/>
  <c r="K17" i="12"/>
  <c r="H19" i="73"/>
  <c r="L19" i="73" s="1"/>
  <c r="I19" i="73"/>
  <c r="C19" i="73"/>
  <c r="D19" i="73" s="1"/>
  <c r="G19" i="73"/>
  <c r="F14" i="79"/>
  <c r="K21" i="12"/>
  <c r="H19" i="83"/>
  <c r="L22" i="12"/>
  <c r="H20" i="84"/>
  <c r="H13" i="82"/>
  <c r="I17" i="73"/>
  <c r="C17" i="73"/>
  <c r="D17" i="73" s="1"/>
  <c r="H17" i="73"/>
  <c r="L17" i="73" s="1"/>
  <c r="G17" i="73"/>
  <c r="D13" i="79"/>
  <c r="E13" i="79" s="1"/>
  <c r="H11" i="73"/>
  <c r="L11" i="73" s="1"/>
  <c r="G11" i="73"/>
  <c r="C11" i="73"/>
  <c r="D11" i="73" s="1"/>
  <c r="I11" i="73"/>
  <c r="H24" i="83"/>
  <c r="K26" i="12"/>
  <c r="H13" i="80"/>
  <c r="H17" i="84"/>
  <c r="L19" i="12"/>
  <c r="L27" i="12"/>
  <c r="H25" i="84"/>
  <c r="H14" i="82"/>
  <c r="L24" i="12"/>
  <c r="N24" i="12" s="1"/>
  <c r="H22" i="84"/>
  <c r="H15" i="84"/>
  <c r="L17" i="12"/>
  <c r="F14" i="98"/>
  <c r="F10" i="98"/>
  <c r="D12" i="48"/>
  <c r="C12" i="48"/>
  <c r="E12" i="48" s="1"/>
  <c r="E8" i="46"/>
  <c r="F8" i="46"/>
  <c r="G7" i="46"/>
  <c r="F10" i="48"/>
  <c r="B13" i="48"/>
  <c r="C13" i="48" s="1"/>
  <c r="I43" i="12" l="1"/>
  <c r="M27" i="12"/>
  <c r="N20" i="12"/>
  <c r="N27" i="12"/>
  <c r="N21" i="12"/>
  <c r="M21" i="12"/>
  <c r="N25" i="12"/>
  <c r="M25" i="12"/>
  <c r="M18" i="12"/>
  <c r="N18" i="12"/>
  <c r="M24" i="12"/>
  <c r="N23" i="12"/>
  <c r="N17" i="12"/>
  <c r="M17" i="12"/>
  <c r="M26" i="12"/>
  <c r="N26" i="12"/>
  <c r="M22" i="12"/>
  <c r="N22" i="12"/>
  <c r="M19" i="12"/>
  <c r="N19" i="12"/>
  <c r="H26" i="80"/>
  <c r="H26" i="84"/>
  <c r="H26" i="83"/>
  <c r="E11" i="73"/>
  <c r="J19" i="73"/>
  <c r="K19" i="73"/>
  <c r="K11" i="73"/>
  <c r="J11" i="73"/>
  <c r="E19" i="73"/>
  <c r="K21" i="73"/>
  <c r="J21" i="73"/>
  <c r="J24" i="73"/>
  <c r="K24" i="73"/>
  <c r="E12" i="73"/>
  <c r="E23" i="73"/>
  <c r="E20" i="73"/>
  <c r="E21" i="73"/>
  <c r="E13" i="73"/>
  <c r="K16" i="73"/>
  <c r="J16" i="73"/>
  <c r="J12" i="73"/>
  <c r="K12" i="73"/>
  <c r="K18" i="73"/>
  <c r="J18" i="73"/>
  <c r="J23" i="73"/>
  <c r="K23" i="73"/>
  <c r="F13" i="79"/>
  <c r="F26" i="79" s="1"/>
  <c r="E10" i="73"/>
  <c r="E9" i="73"/>
  <c r="E22" i="73"/>
  <c r="H26" i="82"/>
  <c r="E15" i="73"/>
  <c r="K17" i="73"/>
  <c r="J17" i="73"/>
  <c r="K10" i="73"/>
  <c r="J10" i="73"/>
  <c r="K14" i="73"/>
  <c r="J14" i="73"/>
  <c r="J13" i="73"/>
  <c r="K13" i="73"/>
  <c r="J9" i="73"/>
  <c r="K9" i="73"/>
  <c r="J22" i="73"/>
  <c r="K22" i="73"/>
  <c r="J15" i="73"/>
  <c r="K15" i="73"/>
  <c r="F26" i="98"/>
  <c r="E17" i="73"/>
  <c r="E14" i="73"/>
  <c r="E24" i="73"/>
  <c r="E16" i="73"/>
  <c r="E18" i="73"/>
  <c r="J20" i="73"/>
  <c r="K20" i="73"/>
  <c r="D13" i="48"/>
  <c r="E13" i="48" s="1"/>
  <c r="G8" i="46"/>
  <c r="C10" i="46"/>
  <c r="E10" i="46" s="1"/>
  <c r="D10" i="46"/>
  <c r="F10" i="46" s="1"/>
  <c r="E9" i="46"/>
  <c r="F9" i="46"/>
  <c r="F11" i="48"/>
  <c r="B14" i="48"/>
  <c r="D14" i="48" s="1"/>
  <c r="E14" i="48" s="1"/>
  <c r="E25" i="73" l="1"/>
  <c r="M21" i="73"/>
  <c r="M36" i="12"/>
  <c r="N36" i="12"/>
  <c r="M22" i="73"/>
  <c r="M13" i="73"/>
  <c r="M20" i="73"/>
  <c r="N20" i="73" s="1"/>
  <c r="P20" i="73" s="1"/>
  <c r="M23" i="73"/>
  <c r="N23" i="73" s="1"/>
  <c r="P23" i="73" s="1"/>
  <c r="M12" i="73"/>
  <c r="O12" i="73" s="1"/>
  <c r="M19" i="73"/>
  <c r="O19" i="73" s="1"/>
  <c r="M14" i="73"/>
  <c r="O14" i="73" s="1"/>
  <c r="M17" i="73"/>
  <c r="N17" i="73" s="1"/>
  <c r="P17" i="73" s="1"/>
  <c r="M18" i="73"/>
  <c r="N18" i="73" s="1"/>
  <c r="P18" i="73" s="1"/>
  <c r="M16" i="73"/>
  <c r="M11" i="73"/>
  <c r="N11" i="73" s="1"/>
  <c r="P11" i="73" s="1"/>
  <c r="O22" i="73"/>
  <c r="N22" i="73"/>
  <c r="P22" i="73" s="1"/>
  <c r="N21" i="73"/>
  <c r="P21" i="73" s="1"/>
  <c r="O21" i="73"/>
  <c r="N19" i="73"/>
  <c r="P19" i="73" s="1"/>
  <c r="M15" i="73"/>
  <c r="M9" i="73"/>
  <c r="N13" i="73"/>
  <c r="P13" i="73" s="1"/>
  <c r="O13" i="73"/>
  <c r="N12" i="73"/>
  <c r="P12" i="73" s="1"/>
  <c r="N16" i="73"/>
  <c r="P16" i="73" s="1"/>
  <c r="O16" i="73"/>
  <c r="M10" i="73"/>
  <c r="M24" i="73"/>
  <c r="G9" i="46"/>
  <c r="D11" i="46"/>
  <c r="F11" i="46" s="1"/>
  <c r="C11" i="46"/>
  <c r="E11" i="46" s="1"/>
  <c r="G10" i="46"/>
  <c r="F12" i="48"/>
  <c r="B15" i="48"/>
  <c r="D15" i="48" s="1"/>
  <c r="E15" i="48" s="1"/>
  <c r="O18" i="73" l="1"/>
  <c r="N14" i="73"/>
  <c r="P14" i="73" s="1"/>
  <c r="O11" i="73"/>
  <c r="O20" i="73"/>
  <c r="O17" i="73"/>
  <c r="O23" i="73"/>
  <c r="N10" i="73"/>
  <c r="P10" i="73" s="1"/>
  <c r="O10" i="73"/>
  <c r="O15" i="73"/>
  <c r="N15" i="73"/>
  <c r="P15" i="73" s="1"/>
  <c r="N24" i="73"/>
  <c r="P24" i="73" s="1"/>
  <c r="O24" i="73"/>
  <c r="N9" i="73"/>
  <c r="O9" i="73"/>
  <c r="H10" i="46"/>
  <c r="C12" i="46"/>
  <c r="E12" i="46" s="1"/>
  <c r="D12" i="46"/>
  <c r="F12" i="46" s="1"/>
  <c r="G11" i="46"/>
  <c r="F13" i="48"/>
  <c r="B16" i="48"/>
  <c r="D16" i="48" s="1"/>
  <c r="E16" i="48" s="1"/>
  <c r="O25" i="73" l="1"/>
  <c r="N25" i="73"/>
  <c r="P9" i="73"/>
  <c r="H11" i="46"/>
  <c r="C14" i="46"/>
  <c r="E14" i="46" s="1"/>
  <c r="D14" i="46"/>
  <c r="F14" i="46" s="1"/>
  <c r="C13" i="46"/>
  <c r="E13" i="46" s="1"/>
  <c r="D13" i="46"/>
  <c r="F13" i="46" s="1"/>
  <c r="G12" i="46"/>
  <c r="F14" i="48"/>
  <c r="B17" i="48"/>
  <c r="D17" i="48" s="1"/>
  <c r="E17" i="48" s="1"/>
  <c r="B8" i="12"/>
  <c r="P25" i="73" l="1"/>
  <c r="H12" i="46"/>
  <c r="H42" i="12"/>
  <c r="F42" i="12"/>
  <c r="G42" i="12"/>
  <c r="F8" i="12"/>
  <c r="E42" i="12"/>
  <c r="E8" i="12"/>
  <c r="C8" i="12"/>
  <c r="D8" i="12"/>
  <c r="C15" i="46"/>
  <c r="E15" i="46" s="1"/>
  <c r="D15" i="46"/>
  <c r="F15" i="46" s="1"/>
  <c r="G13" i="46"/>
  <c r="G14" i="46"/>
  <c r="F15" i="48"/>
  <c r="B9" i="12"/>
  <c r="B18" i="48"/>
  <c r="D18" i="48" s="1"/>
  <c r="E18" i="48" s="1"/>
  <c r="N42" i="12" l="1"/>
  <c r="M42" i="12"/>
  <c r="H8" i="12"/>
  <c r="G8" i="12"/>
  <c r="H13" i="46"/>
  <c r="H14" i="46"/>
  <c r="G43" i="12"/>
  <c r="F43" i="12"/>
  <c r="H43" i="12"/>
  <c r="E43" i="12"/>
  <c r="E9" i="12"/>
  <c r="F9" i="12"/>
  <c r="D9" i="12"/>
  <c r="C9" i="12"/>
  <c r="C16" i="46"/>
  <c r="E16" i="46" s="1"/>
  <c r="D16" i="46"/>
  <c r="F16" i="46" s="1"/>
  <c r="G15" i="46"/>
  <c r="F16" i="48"/>
  <c r="B10" i="12"/>
  <c r="B19" i="48"/>
  <c r="D19" i="48" s="1"/>
  <c r="E19" i="48" s="1"/>
  <c r="N43" i="12" l="1"/>
  <c r="M43" i="12"/>
  <c r="G9" i="12"/>
  <c r="H9" i="12"/>
  <c r="H15" i="46"/>
  <c r="H44" i="12"/>
  <c r="F44" i="12"/>
  <c r="G44" i="12"/>
  <c r="F10" i="12"/>
  <c r="E44" i="12"/>
  <c r="E10" i="12"/>
  <c r="C10" i="12"/>
  <c r="D10" i="12"/>
  <c r="D17" i="46"/>
  <c r="F17" i="46" s="1"/>
  <c r="C17" i="46"/>
  <c r="E17" i="46" s="1"/>
  <c r="G16" i="46"/>
  <c r="F17" i="48"/>
  <c r="B11" i="12"/>
  <c r="B20" i="48"/>
  <c r="D20" i="48" s="1"/>
  <c r="E20" i="48" s="1"/>
  <c r="H10" i="12" l="1"/>
  <c r="G10" i="12"/>
  <c r="H16" i="46"/>
  <c r="G45" i="12"/>
  <c r="H45" i="12"/>
  <c r="F45" i="12"/>
  <c r="E45" i="12"/>
  <c r="E11" i="12"/>
  <c r="F11" i="12"/>
  <c r="D11" i="12"/>
  <c r="C11" i="12"/>
  <c r="C18" i="46"/>
  <c r="E18" i="46" s="1"/>
  <c r="D18" i="46"/>
  <c r="F18" i="46" s="1"/>
  <c r="G17" i="46"/>
  <c r="B12" i="12"/>
  <c r="F18" i="48"/>
  <c r="B21" i="48"/>
  <c r="D21" i="48" s="1"/>
  <c r="E21" i="48" s="1"/>
  <c r="H11" i="12" l="1"/>
  <c r="G11" i="12"/>
  <c r="H17" i="46"/>
  <c r="B13" i="12"/>
  <c r="C13" i="12" s="1"/>
  <c r="H46" i="12"/>
  <c r="F46" i="12"/>
  <c r="G46" i="12"/>
  <c r="F12" i="12"/>
  <c r="E46" i="12"/>
  <c r="E12" i="12"/>
  <c r="C12" i="12"/>
  <c r="D12" i="12"/>
  <c r="C19" i="46"/>
  <c r="E19" i="46" s="1"/>
  <c r="D19" i="46"/>
  <c r="F19" i="46" s="1"/>
  <c r="G18" i="46"/>
  <c r="F19" i="48"/>
  <c r="B22" i="48"/>
  <c r="D22" i="48" s="1"/>
  <c r="E22" i="48" s="1"/>
  <c r="H12" i="12" l="1"/>
  <c r="G12" i="12"/>
  <c r="F13" i="12"/>
  <c r="E13" i="12"/>
  <c r="B14" i="12"/>
  <c r="E48" i="12" s="1"/>
  <c r="D13" i="12"/>
  <c r="E47" i="12"/>
  <c r="H18" i="46"/>
  <c r="F47" i="12"/>
  <c r="G47" i="12"/>
  <c r="H47" i="12"/>
  <c r="D20" i="46"/>
  <c r="F20" i="46" s="1"/>
  <c r="C20" i="46"/>
  <c r="E20" i="46" s="1"/>
  <c r="G19" i="46"/>
  <c r="F20" i="48"/>
  <c r="B23" i="48"/>
  <c r="D23" i="48" s="1"/>
  <c r="E23" i="48" s="1"/>
  <c r="G13" i="12" l="1"/>
  <c r="H13" i="12"/>
  <c r="B15" i="12"/>
  <c r="F48" i="12"/>
  <c r="D14" i="12"/>
  <c r="F14" i="12"/>
  <c r="H48" i="12"/>
  <c r="C14" i="12"/>
  <c r="G48" i="12"/>
  <c r="E14" i="12"/>
  <c r="H19" i="46"/>
  <c r="F15" i="12"/>
  <c r="D21" i="46"/>
  <c r="F21" i="46" s="1"/>
  <c r="C21" i="46"/>
  <c r="E21" i="46" s="1"/>
  <c r="G20" i="46"/>
  <c r="F21" i="48"/>
  <c r="B24" i="48"/>
  <c r="D24" i="48" s="1"/>
  <c r="E24" i="48" s="1"/>
  <c r="H14" i="12" l="1"/>
  <c r="G14" i="12"/>
  <c r="E15" i="12"/>
  <c r="F49" i="12"/>
  <c r="D15" i="12"/>
  <c r="G49" i="12"/>
  <c r="B16" i="12"/>
  <c r="H49" i="12"/>
  <c r="C15" i="12"/>
  <c r="E49" i="12"/>
  <c r="H20" i="46"/>
  <c r="H50" i="12"/>
  <c r="C22" i="46"/>
  <c r="E22" i="46" s="1"/>
  <c r="D22" i="46"/>
  <c r="F22" i="46" s="1"/>
  <c r="G21" i="46"/>
  <c r="F22" i="48"/>
  <c r="B25" i="48"/>
  <c r="D25" i="48" s="1"/>
  <c r="E25" i="48" s="1"/>
  <c r="D16" i="12" l="1"/>
  <c r="F16" i="12"/>
  <c r="H15" i="12"/>
  <c r="G15" i="12"/>
  <c r="C16" i="12"/>
  <c r="G50" i="12"/>
  <c r="E16" i="12"/>
  <c r="B17" i="12"/>
  <c r="E50" i="12"/>
  <c r="F50" i="12"/>
  <c r="H21" i="46"/>
  <c r="C23" i="46"/>
  <c r="E23" i="46" s="1"/>
  <c r="D23" i="46"/>
  <c r="F23" i="46" s="1"/>
  <c r="G22" i="46"/>
  <c r="F23" i="48"/>
  <c r="B26" i="48"/>
  <c r="D26" i="48" s="1"/>
  <c r="E26" i="48" l="1"/>
  <c r="H51" i="12"/>
  <c r="H16" i="12"/>
  <c r="G16" i="12"/>
  <c r="D17" i="12"/>
  <c r="F17" i="12"/>
  <c r="F51" i="12"/>
  <c r="B18" i="12"/>
  <c r="H52" i="12" s="1"/>
  <c r="E17" i="12"/>
  <c r="G51" i="12"/>
  <c r="C17" i="12"/>
  <c r="E51" i="12"/>
  <c r="H22" i="46"/>
  <c r="D24" i="46"/>
  <c r="F24" i="46" s="1"/>
  <c r="C24" i="46"/>
  <c r="E24" i="46" s="1"/>
  <c r="G23" i="46"/>
  <c r="F24" i="48"/>
  <c r="B27" i="48"/>
  <c r="D27" i="48" s="1"/>
  <c r="E27" i="48" s="1"/>
  <c r="C18" i="12" l="1"/>
  <c r="G17" i="12"/>
  <c r="H17" i="12"/>
  <c r="E18" i="12"/>
  <c r="G52" i="12"/>
  <c r="B19" i="12"/>
  <c r="E52" i="12"/>
  <c r="F52" i="12"/>
  <c r="D18" i="12"/>
  <c r="F18" i="12"/>
  <c r="H23" i="46"/>
  <c r="C25" i="46"/>
  <c r="E25" i="46" s="1"/>
  <c r="D25" i="46"/>
  <c r="F25" i="46" s="1"/>
  <c r="G24" i="46"/>
  <c r="F25" i="48"/>
  <c r="B28" i="48"/>
  <c r="D28" i="48" s="1"/>
  <c r="E28" i="48" s="1"/>
  <c r="H18" i="12" l="1"/>
  <c r="E53" i="12"/>
  <c r="F19" i="12"/>
  <c r="G18" i="12"/>
  <c r="C19" i="12"/>
  <c r="H53" i="12"/>
  <c r="D19" i="12"/>
  <c r="F53" i="12"/>
  <c r="B20" i="12"/>
  <c r="E19" i="12"/>
  <c r="G53" i="12"/>
  <c r="H24" i="46"/>
  <c r="G25" i="46"/>
  <c r="F26" i="48"/>
  <c r="B29" i="48"/>
  <c r="D29" i="48" s="1"/>
  <c r="E29" i="48" s="1"/>
  <c r="E47" i="48" s="1"/>
  <c r="C20" i="12" l="1"/>
  <c r="B21" i="12"/>
  <c r="H19" i="12"/>
  <c r="G19" i="12"/>
  <c r="F20" i="12"/>
  <c r="G54" i="12"/>
  <c r="D20" i="12"/>
  <c r="F54" i="12"/>
  <c r="E54" i="12"/>
  <c r="H54" i="12"/>
  <c r="E20" i="12"/>
  <c r="H25" i="46"/>
  <c r="F27" i="48"/>
  <c r="B30" i="48"/>
  <c r="C30" i="48" s="1"/>
  <c r="D30" i="48" l="1"/>
  <c r="D21" i="12"/>
  <c r="F21" i="12"/>
  <c r="H55" i="12"/>
  <c r="B22" i="12"/>
  <c r="H56" i="12" s="1"/>
  <c r="F55" i="12"/>
  <c r="E21" i="12"/>
  <c r="G55" i="12"/>
  <c r="C21" i="12"/>
  <c r="E55" i="12"/>
  <c r="H20" i="12"/>
  <c r="G20" i="12"/>
  <c r="F56" i="12"/>
  <c r="G56" i="12"/>
  <c r="F22" i="12"/>
  <c r="E56" i="12"/>
  <c r="E22" i="12"/>
  <c r="C22" i="12"/>
  <c r="D22" i="12"/>
  <c r="F28" i="48"/>
  <c r="B23" i="12"/>
  <c r="B31" i="48"/>
  <c r="C31" i="48" s="1"/>
  <c r="D31" i="48" s="1"/>
  <c r="E31" i="48" s="1"/>
  <c r="E30" i="48" l="1"/>
  <c r="F30" i="48" s="1"/>
  <c r="H21" i="12"/>
  <c r="G21" i="12"/>
  <c r="H22" i="12"/>
  <c r="G22" i="12"/>
  <c r="G57" i="12"/>
  <c r="F57" i="12"/>
  <c r="H57" i="12"/>
  <c r="E57" i="12"/>
  <c r="E23" i="12"/>
  <c r="F23" i="12"/>
  <c r="D23" i="12"/>
  <c r="C23" i="12"/>
  <c r="F31" i="48"/>
  <c r="F29" i="48"/>
  <c r="B24" i="12"/>
  <c r="B32" i="48"/>
  <c r="C32" i="48" s="1"/>
  <c r="D32" i="48" s="1"/>
  <c r="E32" i="48" s="1"/>
  <c r="H23" i="12" l="1"/>
  <c r="G23" i="12"/>
  <c r="H58" i="12"/>
  <c r="F58" i="12"/>
  <c r="G58" i="12"/>
  <c r="F24" i="12"/>
  <c r="E58" i="12"/>
  <c r="E24" i="12"/>
  <c r="C24" i="12"/>
  <c r="D24" i="12"/>
  <c r="F32" i="48"/>
  <c r="B25" i="12"/>
  <c r="B33" i="48"/>
  <c r="C33" i="48" s="1"/>
  <c r="D33" i="48" s="1"/>
  <c r="E33" i="48" s="1"/>
  <c r="H24" i="12" l="1"/>
  <c r="G24" i="12"/>
  <c r="G59" i="12"/>
  <c r="H59" i="12"/>
  <c r="F59" i="12"/>
  <c r="E59" i="12"/>
  <c r="E25" i="12"/>
  <c r="F25" i="12"/>
  <c r="D25" i="12"/>
  <c r="C25" i="12"/>
  <c r="F33" i="48"/>
  <c r="B26" i="12"/>
  <c r="B34" i="48"/>
  <c r="C34" i="48" s="1"/>
  <c r="D34" i="48" s="1"/>
  <c r="E34" i="48" s="1"/>
  <c r="G25" i="12" l="1"/>
  <c r="H25" i="12"/>
  <c r="H60" i="12"/>
  <c r="F60" i="12"/>
  <c r="G60" i="12"/>
  <c r="F26" i="12"/>
  <c r="E60" i="12"/>
  <c r="E26" i="12"/>
  <c r="C26" i="12"/>
  <c r="D26" i="12"/>
  <c r="F34" i="48"/>
  <c r="B27" i="12"/>
  <c r="B35" i="48"/>
  <c r="C35" i="48" l="1"/>
  <c r="D35" i="48"/>
  <c r="H26" i="12"/>
  <c r="G26" i="12"/>
  <c r="G61" i="12"/>
  <c r="F61" i="12"/>
  <c r="H61" i="12"/>
  <c r="E61" i="12"/>
  <c r="E27" i="12"/>
  <c r="F27" i="12"/>
  <c r="D27" i="12"/>
  <c r="C27" i="12"/>
  <c r="B28" i="12"/>
  <c r="B36" i="48"/>
  <c r="D36" i="48" l="1"/>
  <c r="C36" i="48"/>
  <c r="E35" i="48"/>
  <c r="F35" i="48" s="1"/>
  <c r="K62" i="12"/>
  <c r="J62" i="12"/>
  <c r="H27" i="12"/>
  <c r="G27" i="12"/>
  <c r="G36" i="12" s="1"/>
  <c r="H62" i="12"/>
  <c r="F62" i="12"/>
  <c r="I62" i="12"/>
  <c r="G62" i="12"/>
  <c r="F28" i="12"/>
  <c r="E62" i="12"/>
  <c r="E28" i="12"/>
  <c r="C28" i="12"/>
  <c r="D28" i="12"/>
  <c r="B29" i="12"/>
  <c r="B37" i="48"/>
  <c r="D37" i="48" l="1"/>
  <c r="C37" i="48"/>
  <c r="E37" i="48" s="1"/>
  <c r="E36" i="48"/>
  <c r="F36" i="48" s="1"/>
  <c r="K63" i="12"/>
  <c r="J63" i="12"/>
  <c r="N62" i="12"/>
  <c r="H28" i="12"/>
  <c r="G28" i="12"/>
  <c r="M62" i="12"/>
  <c r="I63" i="12"/>
  <c r="G63" i="12"/>
  <c r="F63" i="12"/>
  <c r="H63" i="12"/>
  <c r="E63" i="12"/>
  <c r="E29" i="12"/>
  <c r="F29" i="12"/>
  <c r="D29" i="12"/>
  <c r="C29" i="12"/>
  <c r="F37" i="48"/>
  <c r="B30" i="12"/>
  <c r="B38" i="48"/>
  <c r="D38" i="48" l="1"/>
  <c r="C38" i="48"/>
  <c r="E38" i="48" s="1"/>
  <c r="K64" i="12"/>
  <c r="J64" i="12"/>
  <c r="N63" i="12"/>
  <c r="H29" i="12"/>
  <c r="G29" i="12"/>
  <c r="M63" i="12"/>
  <c r="H64" i="12"/>
  <c r="F64" i="12"/>
  <c r="I64" i="12"/>
  <c r="G64" i="12"/>
  <c r="F30" i="12"/>
  <c r="E64" i="12"/>
  <c r="E30" i="12"/>
  <c r="C30" i="12"/>
  <c r="D30" i="12"/>
  <c r="F38" i="48"/>
  <c r="B31" i="12"/>
  <c r="B39" i="48"/>
  <c r="D39" i="48" l="1"/>
  <c r="C39" i="48"/>
  <c r="E39" i="48" s="1"/>
  <c r="K65" i="12"/>
  <c r="J65" i="12"/>
  <c r="N64" i="12"/>
  <c r="G30" i="12"/>
  <c r="H30" i="12"/>
  <c r="M64" i="12"/>
  <c r="I65" i="12"/>
  <c r="G65" i="12"/>
  <c r="F65" i="12"/>
  <c r="H65" i="12"/>
  <c r="E65" i="12"/>
  <c r="E31" i="12"/>
  <c r="F31" i="12"/>
  <c r="D31" i="12"/>
  <c r="C31" i="12"/>
  <c r="F39" i="48"/>
  <c r="B32" i="12"/>
  <c r="B40" i="48"/>
  <c r="C40" i="48" l="1"/>
  <c r="D40" i="48"/>
  <c r="E40" i="48" s="1"/>
  <c r="K66" i="12"/>
  <c r="J66" i="12"/>
  <c r="N65" i="12"/>
  <c r="G31" i="12"/>
  <c r="H31" i="12"/>
  <c r="M65" i="12"/>
  <c r="H66" i="12"/>
  <c r="F66" i="12"/>
  <c r="I66" i="12"/>
  <c r="G66" i="12"/>
  <c r="F32" i="12"/>
  <c r="E66" i="12"/>
  <c r="E32" i="12"/>
  <c r="C32" i="12"/>
  <c r="D32" i="12"/>
  <c r="F40" i="48"/>
  <c r="B33" i="12"/>
  <c r="B41" i="48"/>
  <c r="C41" i="48" l="1"/>
  <c r="D41" i="48"/>
  <c r="K67" i="12"/>
  <c r="J67" i="12"/>
  <c r="N66" i="12"/>
  <c r="H32" i="12"/>
  <c r="G32" i="12"/>
  <c r="M66" i="12"/>
  <c r="I67" i="12"/>
  <c r="G67" i="12"/>
  <c r="H67" i="12"/>
  <c r="F67" i="12"/>
  <c r="E67" i="12"/>
  <c r="E33" i="12"/>
  <c r="F33" i="12"/>
  <c r="D33" i="12"/>
  <c r="C33" i="12"/>
  <c r="B34" i="12"/>
  <c r="B42" i="48"/>
  <c r="C42" i="48" l="1"/>
  <c r="D42" i="48"/>
  <c r="E41" i="48"/>
  <c r="F41" i="48" s="1"/>
  <c r="K68" i="12"/>
  <c r="J68" i="12"/>
  <c r="N67" i="12"/>
  <c r="M67" i="12"/>
  <c r="H33" i="12"/>
  <c r="G33" i="12"/>
  <c r="H68" i="12"/>
  <c r="F68" i="12"/>
  <c r="I68" i="12"/>
  <c r="G68" i="12"/>
  <c r="F34" i="12"/>
  <c r="E68" i="12"/>
  <c r="E34" i="12"/>
  <c r="C34" i="12"/>
  <c r="D34" i="12"/>
  <c r="B35" i="12"/>
  <c r="B43" i="48"/>
  <c r="C43" i="48" l="1"/>
  <c r="D43" i="48"/>
  <c r="E42" i="48"/>
  <c r="F42" i="48" s="1"/>
  <c r="K69" i="12"/>
  <c r="J69" i="12"/>
  <c r="N68" i="12"/>
  <c r="G34" i="12"/>
  <c r="H34" i="12"/>
  <c r="M68" i="12"/>
  <c r="I69" i="12"/>
  <c r="G69" i="12"/>
  <c r="F69" i="12"/>
  <c r="H69" i="12"/>
  <c r="E69" i="12"/>
  <c r="E35" i="12"/>
  <c r="F35" i="12"/>
  <c r="D35" i="12"/>
  <c r="C35" i="12"/>
  <c r="B44" i="48"/>
  <c r="D44" i="48" l="1"/>
  <c r="C44" i="48"/>
  <c r="E43" i="48"/>
  <c r="F43" i="48" s="1"/>
  <c r="N69" i="12"/>
  <c r="G35" i="12"/>
  <c r="H35" i="12"/>
  <c r="H36" i="12" s="1"/>
  <c r="M69" i="12"/>
  <c r="B45" i="48"/>
  <c r="D45" i="48" l="1"/>
  <c r="C45" i="48"/>
  <c r="E44" i="48"/>
  <c r="F44" i="48" s="1"/>
  <c r="B46" i="48"/>
  <c r="E45" i="48" l="1"/>
  <c r="F45" i="48" s="1"/>
  <c r="D46" i="48"/>
  <c r="C46" i="48"/>
  <c r="E46" i="48" s="1"/>
  <c r="I44" i="12" s="1"/>
  <c r="N44" i="12" s="1"/>
  <c r="I49" i="12"/>
  <c r="N49" i="12" s="1"/>
  <c r="I52" i="12"/>
  <c r="N52" i="12" s="1"/>
  <c r="I56" i="12"/>
  <c r="N56" i="12" s="1"/>
  <c r="I61" i="12"/>
  <c r="N61" i="12" s="1"/>
  <c r="I46" i="12"/>
  <c r="N46" i="12" s="1"/>
  <c r="I59" i="12"/>
  <c r="N59" i="12" s="1"/>
  <c r="I47" i="12"/>
  <c r="N47" i="12" s="1"/>
  <c r="I51" i="12"/>
  <c r="N51" i="12" s="1"/>
  <c r="I60" i="12"/>
  <c r="N60" i="12" s="1"/>
  <c r="I58" i="12"/>
  <c r="N58" i="12" s="1"/>
  <c r="I54" i="12"/>
  <c r="N54" i="12" s="1"/>
  <c r="I50" i="12"/>
  <c r="N50" i="12" s="1"/>
  <c r="I55" i="12"/>
  <c r="N55" i="12" s="1"/>
  <c r="I48" i="12"/>
  <c r="N48" i="12" s="1"/>
  <c r="I53" i="12"/>
  <c r="N53" i="12" s="1"/>
  <c r="I57" i="12"/>
  <c r="N57" i="12" s="1"/>
  <c r="I45" i="12"/>
  <c r="N45" i="12" s="1"/>
  <c r="F46" i="48"/>
  <c r="F47" i="48" s="1"/>
  <c r="H6" i="46"/>
  <c r="H9" i="46"/>
  <c r="M57" i="12" l="1"/>
  <c r="M50" i="12"/>
  <c r="M51" i="12"/>
  <c r="M59" i="12"/>
  <c r="M61" i="12"/>
  <c r="M52" i="12"/>
  <c r="M44" i="12"/>
  <c r="M48" i="12"/>
  <c r="M58" i="12"/>
  <c r="M45" i="12"/>
  <c r="M53" i="12"/>
  <c r="M55" i="12"/>
  <c r="M54" i="12"/>
  <c r="M60" i="12"/>
  <c r="M47" i="12"/>
  <c r="M46" i="12"/>
  <c r="M56" i="12"/>
  <c r="M49" i="12"/>
  <c r="H8" i="46"/>
  <c r="M70" i="12" l="1"/>
  <c r="H7" i="46"/>
  <c r="H26" i="46" s="1"/>
  <c r="N70" i="12" l="1"/>
  <c r="G75" i="12" s="1"/>
  <c r="G78" i="12" l="1"/>
  <c r="G77" i="12"/>
</calcChain>
</file>

<file path=xl/sharedStrings.xml><?xml version="1.0" encoding="utf-8"?>
<sst xmlns="http://schemas.openxmlformats.org/spreadsheetml/2006/main" count="1486" uniqueCount="654">
  <si>
    <t>Analysis Year</t>
  </si>
  <si>
    <t>7% Discount</t>
  </si>
  <si>
    <t>Total Benefit</t>
  </si>
  <si>
    <t>NOTES:</t>
  </si>
  <si>
    <t>Benefits</t>
  </si>
  <si>
    <t>Costs</t>
  </si>
  <si>
    <t>B/C Ratio</t>
  </si>
  <si>
    <t>SUMMARY</t>
  </si>
  <si>
    <t>2)</t>
  </si>
  <si>
    <t>1)</t>
  </si>
  <si>
    <t>3)</t>
  </si>
  <si>
    <t>4)</t>
  </si>
  <si>
    <t>No Build</t>
  </si>
  <si>
    <t>Build</t>
  </si>
  <si>
    <t>Recommended Value</t>
  </si>
  <si>
    <t>SAFETY - CRASH COST SAVINGS</t>
  </si>
  <si>
    <t>Economic Competitiveness</t>
  </si>
  <si>
    <t>Safety</t>
  </si>
  <si>
    <t>Environmental Sustainability</t>
  </si>
  <si>
    <t>Auto Vehicle Operating Cost</t>
  </si>
  <si>
    <t>Truck Vehicle Operating Cost</t>
  </si>
  <si>
    <t>Auto Percentage</t>
  </si>
  <si>
    <t>Truck Percentage</t>
  </si>
  <si>
    <t>No Build Travel Time Cost</t>
  </si>
  <si>
    <t>Build Travel Time Cost</t>
  </si>
  <si>
    <t>Truck Travel Time Cost</t>
  </si>
  <si>
    <t>Auto Vehicle Occupancy</t>
  </si>
  <si>
    <t>Truck Vehicle Occupancy</t>
  </si>
  <si>
    <t>Travel Time Cost Savings</t>
  </si>
  <si>
    <t>STATE OF GOOD REPAIR - OPERATION AND MAINTENANCE COSTS</t>
  </si>
  <si>
    <t>State of Good Repair</t>
  </si>
  <si>
    <t>Table 1 - Analysis Timeframe Assumptions</t>
  </si>
  <si>
    <t>Year of Analysis</t>
  </si>
  <si>
    <r>
      <t xml:space="preserve">Year of Construction </t>
    </r>
    <r>
      <rPr>
        <vertAlign val="superscript"/>
        <sz val="9"/>
        <rFont val="Calibri"/>
        <family val="2"/>
        <scheme val="minor"/>
      </rPr>
      <t>(1)</t>
    </r>
  </si>
  <si>
    <r>
      <t xml:space="preserve">Duration of Construction </t>
    </r>
    <r>
      <rPr>
        <vertAlign val="superscript"/>
        <sz val="9"/>
        <rFont val="Calibri"/>
        <family val="2"/>
        <scheme val="minor"/>
      </rPr>
      <t>(1)</t>
    </r>
  </si>
  <si>
    <r>
      <t xml:space="preserve">Benefit-Cost First Year of Benefit </t>
    </r>
    <r>
      <rPr>
        <vertAlign val="superscript"/>
        <sz val="9"/>
        <rFont val="Calibri"/>
        <family val="2"/>
        <scheme val="minor"/>
      </rPr>
      <t>(1)</t>
    </r>
  </si>
  <si>
    <t>Benefit-Cost Final Year of Benefit</t>
  </si>
  <si>
    <r>
      <t xml:space="preserve">Forecast Traffic Year </t>
    </r>
    <r>
      <rPr>
        <vertAlign val="superscript"/>
        <sz val="9"/>
        <rFont val="Calibri"/>
        <family val="2"/>
        <scheme val="minor"/>
      </rPr>
      <t>(2)</t>
    </r>
  </si>
  <si>
    <t>Table 2 - Network Assumptions</t>
  </si>
  <si>
    <t>Table 3 - Global Assumptions and Factors</t>
  </si>
  <si>
    <r>
      <t xml:space="preserve">Cost per Mile </t>
    </r>
    <r>
      <rPr>
        <vertAlign val="superscript"/>
        <sz val="9"/>
        <rFont val="Calibri"/>
        <family val="2"/>
        <scheme val="minor"/>
      </rPr>
      <t>(4)</t>
    </r>
    <r>
      <rPr>
        <sz val="9"/>
        <rFont val="Calibri"/>
        <family val="2"/>
        <scheme val="minor"/>
      </rPr>
      <t xml:space="preserve"> - Auto</t>
    </r>
  </si>
  <si>
    <r>
      <t xml:space="preserve">Cost per Mile </t>
    </r>
    <r>
      <rPr>
        <vertAlign val="superscript"/>
        <sz val="9"/>
        <rFont val="Calibri"/>
        <family val="2"/>
        <scheme val="minor"/>
      </rPr>
      <t>(4)</t>
    </r>
    <r>
      <rPr>
        <sz val="9"/>
        <rFont val="Calibri"/>
        <family val="2"/>
        <scheme val="minor"/>
      </rPr>
      <t xml:space="preserve"> - Truck</t>
    </r>
  </si>
  <si>
    <t>Composite Cost per Hour</t>
  </si>
  <si>
    <t>Composite Cost per Mile</t>
  </si>
  <si>
    <t>Discount Rate</t>
  </si>
  <si>
    <t>The analysis assumed 365 days in a year to determine annual benefits.</t>
  </si>
  <si>
    <t>Trucks</t>
  </si>
  <si>
    <t>Length</t>
  </si>
  <si>
    <t>ENVIRONMENTAL SUSTAINABILITY - AIR QUALITY</t>
  </si>
  <si>
    <t>Mode</t>
  </si>
  <si>
    <t>Automobile</t>
  </si>
  <si>
    <t>Operation and Maintenance Savings</t>
  </si>
  <si>
    <t>Cost Savings</t>
  </si>
  <si>
    <t>Crash Severity</t>
  </si>
  <si>
    <r>
      <t xml:space="preserve">Percent Autos </t>
    </r>
    <r>
      <rPr>
        <vertAlign val="superscript"/>
        <sz val="9"/>
        <rFont val="Calibri"/>
        <family val="2"/>
        <scheme val="minor"/>
      </rPr>
      <t>(2)</t>
    </r>
  </si>
  <si>
    <r>
      <t xml:space="preserve">Percent Trucks </t>
    </r>
    <r>
      <rPr>
        <vertAlign val="superscript"/>
        <sz val="9"/>
        <rFont val="Calibri"/>
        <family val="2"/>
        <scheme val="minor"/>
      </rPr>
      <t>(2)</t>
    </r>
  </si>
  <si>
    <r>
      <t xml:space="preserve">Auto Occupancy </t>
    </r>
    <r>
      <rPr>
        <vertAlign val="superscript"/>
        <sz val="9"/>
        <rFont val="Calibri"/>
        <family val="2"/>
        <scheme val="minor"/>
      </rPr>
      <t>(3)</t>
    </r>
  </si>
  <si>
    <r>
      <t xml:space="preserve">Truck Occupancy </t>
    </r>
    <r>
      <rPr>
        <vertAlign val="superscript"/>
        <sz val="9"/>
        <rFont val="Calibri"/>
        <family val="2"/>
        <scheme val="minor"/>
      </rPr>
      <t>(3)</t>
    </r>
  </si>
  <si>
    <t>5)</t>
  </si>
  <si>
    <r>
      <t xml:space="preserve">Number of Days in a Year </t>
    </r>
    <r>
      <rPr>
        <vertAlign val="superscript"/>
        <sz val="9"/>
        <rFont val="Calibri"/>
        <family val="2"/>
        <scheme val="minor"/>
      </rPr>
      <t>(5)</t>
    </r>
  </si>
  <si>
    <t>6)</t>
  </si>
  <si>
    <t>Cost</t>
  </si>
  <si>
    <t>Crash Cost Savings</t>
  </si>
  <si>
    <t>All-Purpose Travel Time Cost</t>
  </si>
  <si>
    <r>
      <t xml:space="preserve">Value of Time </t>
    </r>
    <r>
      <rPr>
        <vertAlign val="superscript"/>
        <sz val="9"/>
        <rFont val="Calibri"/>
        <family val="2"/>
        <scheme val="minor"/>
      </rPr>
      <t>(4)</t>
    </r>
    <r>
      <rPr>
        <sz val="9"/>
        <rFont val="Calibri"/>
        <family val="2"/>
        <scheme val="minor"/>
      </rPr>
      <t xml:space="preserve"> - All-Purpose Travel</t>
    </r>
  </si>
  <si>
    <r>
      <t xml:space="preserve">Value of Time </t>
    </r>
    <r>
      <rPr>
        <vertAlign val="superscript"/>
        <sz val="9"/>
        <rFont val="Calibri"/>
        <family val="2"/>
        <scheme val="minor"/>
      </rPr>
      <t>(4)</t>
    </r>
    <r>
      <rPr>
        <sz val="9"/>
        <rFont val="Calibri"/>
        <family val="2"/>
        <scheme val="minor"/>
      </rPr>
      <t xml:space="preserve"> - Truck Travel</t>
    </r>
  </si>
  <si>
    <t>0</t>
  </si>
  <si>
    <t>TOTALS</t>
  </si>
  <si>
    <t>Lime</t>
  </si>
  <si>
    <t>Flush Asph</t>
  </si>
  <si>
    <t>Tack Asph</t>
  </si>
  <si>
    <t>Binder</t>
  </si>
  <si>
    <t>Asphalt Conc.</t>
  </si>
  <si>
    <t>Description</t>
  </si>
  <si>
    <t>CALCULATIONS</t>
  </si>
  <si>
    <t>AC depth (in)</t>
  </si>
  <si>
    <t>Sluff Width (feet) - 1 side</t>
  </si>
  <si>
    <t>Work Length (mi)</t>
  </si>
  <si>
    <t>COMPUTATIONS</t>
  </si>
  <si>
    <t>Total Estimate</t>
  </si>
  <si>
    <t>total</t>
  </si>
  <si>
    <t>Utilities (thousand $$)</t>
  </si>
  <si>
    <t>ROW (thousand $$)</t>
  </si>
  <si>
    <t>CE</t>
  </si>
  <si>
    <t>PE</t>
  </si>
  <si>
    <t>Contingency</t>
  </si>
  <si>
    <t>current year subtotal</t>
  </si>
  <si>
    <t>Subtotal (prior year bid item costs)</t>
  </si>
  <si>
    <t>MILE</t>
  </si>
  <si>
    <t>999E3603</t>
  </si>
  <si>
    <t>BRIDGE END GUARD RAIL (NEW)</t>
  </si>
  <si>
    <t>EACH</t>
  </si>
  <si>
    <t>999E3805</t>
  </si>
  <si>
    <t>UNIT</t>
  </si>
  <si>
    <t>MAJOR STRUCTURES</t>
  </si>
  <si>
    <t>999E0004</t>
  </si>
  <si>
    <t>TRAFFIC CONTROL</t>
  </si>
  <si>
    <t>999E0002</t>
  </si>
  <si>
    <t>MOBILIZATION</t>
  </si>
  <si>
    <t>999E0001</t>
  </si>
  <si>
    <t xml:space="preserve">Each      </t>
  </si>
  <si>
    <t>Incidental Work</t>
  </si>
  <si>
    <t xml:space="preserve">SqYd      </t>
  </si>
  <si>
    <t>MC-70 Asphalt for Prime</t>
  </si>
  <si>
    <t>Hydrated Lime</t>
  </si>
  <si>
    <t xml:space="preserve">Ton       </t>
  </si>
  <si>
    <t>Salvage and Stockpile Asphalt Mix and Granular Base Material</t>
  </si>
  <si>
    <t xml:space="preserve">CuYd      </t>
  </si>
  <si>
    <t xml:space="preserve">Mile      </t>
  </si>
  <si>
    <t>Water for Granular Material</t>
  </si>
  <si>
    <t>Option Borrow Excavation</t>
  </si>
  <si>
    <t xml:space="preserve">120E0500 </t>
  </si>
  <si>
    <t>Unclassified Excavation</t>
  </si>
  <si>
    <t xml:space="preserve">120E0010 </t>
  </si>
  <si>
    <t>notes</t>
  </si>
  <si>
    <t>Project Description</t>
  </si>
  <si>
    <t>SysType</t>
  </si>
  <si>
    <t>LocType</t>
  </si>
  <si>
    <t>Price</t>
  </si>
  <si>
    <t>Quantity</t>
  </si>
  <si>
    <t>Unit Price</t>
  </si>
  <si>
    <t>Desc</t>
  </si>
  <si>
    <t>Units</t>
  </si>
  <si>
    <t>SBINbr</t>
  </si>
  <si>
    <t>Project</t>
  </si>
  <si>
    <t>Year</t>
  </si>
  <si>
    <t>Build Annual VMT</t>
  </si>
  <si>
    <t>IDENTIFICATION</t>
  </si>
  <si>
    <t>Federal Aid System</t>
  </si>
  <si>
    <t>Funding Category</t>
  </si>
  <si>
    <t>Functional Classification</t>
  </si>
  <si>
    <t>Direction</t>
  </si>
  <si>
    <t>Beginning MRM</t>
  </si>
  <si>
    <t>MRM Displacement</t>
  </si>
  <si>
    <t>Segment Length</t>
  </si>
  <si>
    <t>Year Built</t>
  </si>
  <si>
    <t>TRAFFIC</t>
  </si>
  <si>
    <t>Current ADT</t>
  </si>
  <si>
    <t>Projected 20yr ADT</t>
  </si>
  <si>
    <t>Number Of Trucks</t>
  </si>
  <si>
    <t>CRASHES</t>
  </si>
  <si>
    <t>Number of Fatal</t>
  </si>
  <si>
    <t>Number of Injury</t>
  </si>
  <si>
    <t>Number of Property Damage</t>
  </si>
  <si>
    <t>Good</t>
  </si>
  <si>
    <t>Fair</t>
  </si>
  <si>
    <t>Excellent</t>
  </si>
  <si>
    <t>Source:</t>
  </si>
  <si>
    <t>https://apps.sd.gov/hr53needsbook/</t>
  </si>
  <si>
    <t>Source: NCHRP Report 720</t>
  </si>
  <si>
    <t>Estimating the Effects of Pavement Condition on Vehicle Operating Costs (2012)</t>
  </si>
  <si>
    <t>https://www.nap.edu/download/22808</t>
  </si>
  <si>
    <t>Speed</t>
  </si>
  <si>
    <t>Vehicle Class</t>
  </si>
  <si>
    <t>Baseline Cost cents/mile</t>
  </si>
  <si>
    <t>Adjustment Factors from Baseline</t>
  </si>
  <si>
    <t>Veh Op Cost (VOC) for IRI level (cents/mile)</t>
  </si>
  <si>
    <t>Average VOC with roughness</t>
  </si>
  <si>
    <t>Net increase in VOC from Baseline</t>
  </si>
  <si>
    <t>IRI</t>
  </si>
  <si>
    <t>cents/mile</t>
  </si>
  <si>
    <t>dollar/mile</t>
  </si>
  <si>
    <t>4,5,6</t>
  </si>
  <si>
    <t>70 mph</t>
  </si>
  <si>
    <t>Medium Car</t>
  </si>
  <si>
    <t>Van</t>
  </si>
  <si>
    <t>SUV</t>
  </si>
  <si>
    <t>Light Truck</t>
  </si>
  <si>
    <t>Articulated Truck</t>
  </si>
  <si>
    <t>1 m/km =</t>
  </si>
  <si>
    <t>in/mi</t>
  </si>
  <si>
    <t>3 m/km =</t>
  </si>
  <si>
    <t>this is considered moderate failure per SDDOT pavement management source</t>
  </si>
  <si>
    <t>4 m/km =</t>
  </si>
  <si>
    <t>this is considered extreme failure per SDDOT pavement management source</t>
  </si>
  <si>
    <t>Motorcycle</t>
  </si>
  <si>
    <t>Poor</t>
  </si>
  <si>
    <t>VMT</t>
  </si>
  <si>
    <t>Build VMT Cost</t>
  </si>
  <si>
    <t>No Build VMT Cost</t>
  </si>
  <si>
    <t>VMT Cost Savings</t>
  </si>
  <si>
    <t>x</t>
  </si>
  <si>
    <t>Construction Start</t>
  </si>
  <si>
    <t>Construction End</t>
  </si>
  <si>
    <t>ECONOMIC COMPETITIVENESS - USER BENEFIT CALCULATION OF REGIONAL TRAVEL TIME CHANGE - CONSTRUCTION</t>
  </si>
  <si>
    <t>Auto Vehicle Operating Cost - Roughness</t>
  </si>
  <si>
    <t>Truck Vehicle Operating Cost - Roughness</t>
  </si>
  <si>
    <t>Aggregate Vehicle Operating Cost - Roughness</t>
  </si>
  <si>
    <t>Table 1 - Per-mile Operating Cost</t>
  </si>
  <si>
    <t>Vehicle Hours Traveled (VHT)</t>
  </si>
  <si>
    <t>Vehicle Miles Traveled (VMT)</t>
  </si>
  <si>
    <t>ECONOMIC COMPETITIVENESS - USER BENEFIT CALCULATION OF REGIONAL TRAVEL TIME CHANGE DUE TO DETOUR</t>
  </si>
  <si>
    <t>Crash Severity By Segment</t>
  </si>
  <si>
    <t>Count</t>
  </si>
  <si>
    <t>Table 2 - Fleet Composition</t>
  </si>
  <si>
    <t>Table 3 - Per-mile Operating Cost</t>
  </si>
  <si>
    <t>CMF / CRF DETAILS</t>
  </si>
  <si>
    <t>Length (mi)</t>
  </si>
  <si>
    <t>Table 5 - Travel Time Delay Due to Construction</t>
  </si>
  <si>
    <t>Table 1 - Crash Costs by Severity</t>
  </si>
  <si>
    <t>AADT</t>
  </si>
  <si>
    <t>CO2 Savings Estimations</t>
  </si>
  <si>
    <t>Other Emissions Cost Savings</t>
  </si>
  <si>
    <t>Total (Carbon + Other Emissions)</t>
  </si>
  <si>
    <t>3% Discount</t>
  </si>
  <si>
    <t>Change in Annual Network VMT</t>
  </si>
  <si>
    <t>Subtotal</t>
  </si>
  <si>
    <t xml:space="preserve"> 7%Discounted</t>
  </si>
  <si>
    <t>MOVES Model Output (grams per VMT)</t>
  </si>
  <si>
    <t>Source Type</t>
  </si>
  <si>
    <t>HPMS Description</t>
  </si>
  <si>
    <t>Auto/Truck</t>
  </si>
  <si>
    <t>Auto</t>
  </si>
  <si>
    <t>Light-Duty Vehicle</t>
  </si>
  <si>
    <t>Buses</t>
  </si>
  <si>
    <t>Truck</t>
  </si>
  <si>
    <t>Single-Unit Truck</t>
  </si>
  <si>
    <t>Combination Truck</t>
  </si>
  <si>
    <t>ECONOMIC COMPETITIVENESS - USER BENEFIT CALCULATION OF VEHICLE OPERATING COSTS DUE TO PAVEMENT ROUGHNESS</t>
  </si>
  <si>
    <t>Note: Project roadway segments were originally built in 1965-67; nearing end of service life and will continue to degrade in the future</t>
  </si>
  <si>
    <t>(CREATE FREE ACCOUNT FOR ACESS)</t>
  </si>
  <si>
    <t>Construction Travel Time Savings</t>
  </si>
  <si>
    <r>
      <t>CO</t>
    </r>
    <r>
      <rPr>
        <vertAlign val="subscript"/>
        <sz val="9"/>
        <color theme="1"/>
        <rFont val="Calibri"/>
        <family val="2"/>
        <scheme val="minor"/>
      </rPr>
      <t>2</t>
    </r>
    <r>
      <rPr>
        <sz val="9"/>
        <color theme="1"/>
        <rFont val="Calibri"/>
        <family val="2"/>
        <scheme val="minor"/>
      </rPr>
      <t xml:space="preserve"> Discounted at 3%</t>
    </r>
  </si>
  <si>
    <t>Total</t>
  </si>
  <si>
    <t>NPV</t>
  </si>
  <si>
    <t>ECONOMIC COMPETITIVENESS - USER BENEFIT CALCULATION OF VEHICLE OPERATING COST CHANGE DUE TO DETOUR</t>
  </si>
  <si>
    <t>Table 7-5 summarizes the change in vehicle operating costs per kilometer (mile) for all vehicle classes due to changes in pavement roughness (as measured by IRI) from the baseline condition of 1 m/km (63.4 in./mi).</t>
  </si>
  <si>
    <t>Truck VOC</t>
  </si>
  <si>
    <t>Auto VOC</t>
  </si>
  <si>
    <t xml:space="preserve">Average emission rates per vehicle type were obtained from the Environmental Protection Agency’s Motor Vehicle Emission Simulator (MOVES) version 3. The change in VMT between No Build and Build conditions derived from detours necessary under the No Build due to future bridge closures (refer to the Operating Cost - Detour tab of this workbook). The change in VMT by year was applied to emission rates by vehicle type. </t>
  </si>
  <si>
    <t>SD Needs Book</t>
  </si>
  <si>
    <t>Injury</t>
  </si>
  <si>
    <t>Fatal</t>
  </si>
  <si>
    <t>Property Damage Only</t>
  </si>
  <si>
    <t>Crash Type</t>
  </si>
  <si>
    <t>Table 3 - Extend Shoulder Width From 2 feet to 6 feet</t>
  </si>
  <si>
    <t>HSM</t>
  </si>
  <si>
    <t>CMF Clearing House - 5 Stars</t>
  </si>
  <si>
    <t>Build Conditions</t>
  </si>
  <si>
    <t>Truck Travel Time Cost (per hour)</t>
  </si>
  <si>
    <t>U.S. DOT BCA Guidance</t>
  </si>
  <si>
    <t>Route Length (miles)</t>
  </si>
  <si>
    <t>Travel Time (minutes)</t>
  </si>
  <si>
    <t>No-Build Conditions</t>
  </si>
  <si>
    <t>All-Purpose Travel Time Cost (per hour)</t>
  </si>
  <si>
    <t>SD Data Needs Book</t>
  </si>
  <si>
    <t>Calculation</t>
  </si>
  <si>
    <t>Table 5 - Detour Information</t>
  </si>
  <si>
    <t>Table 6 - Impacts of Costs Due to Closures (Travel Time)</t>
  </si>
  <si>
    <t>HSM Chapter 12</t>
  </si>
  <si>
    <t>Table 4 - No Build VMT Input Variables: Existing Year to Bridge Failure</t>
  </si>
  <si>
    <t>Table 6 - Impacts of Costs Due to Closures (Vehicle Operating Costs)</t>
  </si>
  <si>
    <t>Table 5 - No Build VMT: Existing Year to Bridge Failure</t>
  </si>
  <si>
    <t>Table 3 - No Build VMT Input Variables: Bridge Failure to Pavement Failure</t>
  </si>
  <si>
    <t>Table 4 - No Build VMT: Bridge Failure to Pavement Failure</t>
  </si>
  <si>
    <r>
      <rPr>
        <b/>
        <sz val="11"/>
        <rFont val="Times New Roman"/>
        <family val="1"/>
      </rPr>
      <t>NO</t>
    </r>
    <r>
      <rPr>
        <b/>
        <vertAlign val="subscript"/>
        <sz val="11"/>
        <rFont val="Times New Roman"/>
        <family val="1"/>
      </rPr>
      <t>X</t>
    </r>
  </si>
  <si>
    <r>
      <rPr>
        <b/>
        <sz val="11"/>
        <rFont val="Times New Roman"/>
        <family val="1"/>
      </rPr>
      <t>SO</t>
    </r>
    <r>
      <rPr>
        <b/>
        <vertAlign val="subscript"/>
        <sz val="11"/>
        <rFont val="Times New Roman"/>
        <family val="1"/>
      </rPr>
      <t>X</t>
    </r>
  </si>
  <si>
    <r>
      <rPr>
        <b/>
        <sz val="11"/>
        <rFont val="Times New Roman"/>
        <family val="1"/>
      </rPr>
      <t>PM</t>
    </r>
    <r>
      <rPr>
        <b/>
        <vertAlign val="subscript"/>
        <sz val="11"/>
        <rFont val="Times New Roman"/>
        <family val="1"/>
      </rPr>
      <t>2.5</t>
    </r>
    <r>
      <rPr>
        <b/>
        <sz val="11"/>
        <rFont val="Times New Roman"/>
        <family val="1"/>
      </rPr>
      <t>**</t>
    </r>
  </si>
  <si>
    <r>
      <rPr>
        <b/>
        <sz val="11"/>
        <rFont val="Times New Roman"/>
        <family val="1"/>
      </rPr>
      <t>CO</t>
    </r>
    <r>
      <rPr>
        <b/>
        <vertAlign val="subscript"/>
        <sz val="11"/>
        <rFont val="Times New Roman"/>
        <family val="1"/>
      </rPr>
      <t>2</t>
    </r>
  </si>
  <si>
    <r>
      <rPr>
        <b/>
        <sz val="11"/>
        <rFont val="Times New Roman"/>
        <family val="1"/>
      </rPr>
      <t>SO</t>
    </r>
    <r>
      <rPr>
        <b/>
        <vertAlign val="subscript"/>
        <sz val="11"/>
        <rFont val="Times New Roman"/>
        <family val="1"/>
      </rPr>
      <t>2</t>
    </r>
  </si>
  <si>
    <t>*Note: SO2 is the only SOX monetized in this analysis</t>
  </si>
  <si>
    <t xml:space="preserve">Source: U.S. DOT BCA Guidance - Table A-6: Damage Costs for Emissions per Metric Ton* </t>
  </si>
  <si>
    <t>NHS-NI</t>
  </si>
  <si>
    <t>MAJA</t>
  </si>
  <si>
    <t>R-P A</t>
  </si>
  <si>
    <t>05HW</t>
  </si>
  <si>
    <t>05U5</t>
  </si>
  <si>
    <t xml:space="preserve">Flush Sand </t>
  </si>
  <si>
    <t>Base course</t>
  </si>
  <si>
    <t>Sand for Prime</t>
  </si>
  <si>
    <t>Asphalt for Prime</t>
  </si>
  <si>
    <t>Cover Aggregate</t>
  </si>
  <si>
    <t>Asphalt for Blotter (AE 150 S)</t>
  </si>
  <si>
    <t>Salvage</t>
  </si>
  <si>
    <t>Total:</t>
  </si>
  <si>
    <t># lifts</t>
  </si>
  <si>
    <t># of Lanes</t>
  </si>
  <si>
    <t xml:space="preserve">Sluff Width (feet) </t>
  </si>
  <si>
    <t xml:space="preserve">AC Top Width (feet) </t>
  </si>
  <si>
    <t>base course sluff width (ft) - 1 side</t>
  </si>
  <si>
    <t>base course top width (ft)</t>
  </si>
  <si>
    <t>base course thickness (in)</t>
  </si>
  <si>
    <t xml:space="preserve">Proposed Blotter Width (feet) </t>
  </si>
  <si>
    <t xml:space="preserve">Salvage depth (in) </t>
  </si>
  <si>
    <t>Existing width (ft) - for Salvage</t>
  </si>
  <si>
    <t>FENCING PRIMARY 2-LANES</t>
  </si>
  <si>
    <t>999E3701</t>
  </si>
  <si>
    <t>EROSION CONTROL Rural or Shoulder Widen</t>
  </si>
  <si>
    <t>999E3600</t>
  </si>
  <si>
    <t>AUX CONC SURF SECONDARY APP</t>
  </si>
  <si>
    <t>999E2250</t>
  </si>
  <si>
    <t>Traffic Diversion</t>
  </si>
  <si>
    <t xml:space="preserve">EACH      </t>
  </si>
  <si>
    <t xml:space="preserve">999E0181 </t>
  </si>
  <si>
    <t>GRADE &amp; DRAIN HEAVY Rural</t>
  </si>
  <si>
    <t>GRADE &amp; DRAIN Rural</t>
  </si>
  <si>
    <t>PAVEMENT MARKING Rural</t>
  </si>
  <si>
    <t>999E0049</t>
  </si>
  <si>
    <t>PERMANENT SIGNING Rural</t>
  </si>
  <si>
    <t>999E0045</t>
  </si>
  <si>
    <t>Type III Field Laboratory</t>
  </si>
  <si>
    <t xml:space="preserve">600E0300 </t>
  </si>
  <si>
    <t>Type 3 Cover Aggregate</t>
  </si>
  <si>
    <t xml:space="preserve">360E1050 </t>
  </si>
  <si>
    <t>AE150S Asphalt for Surface Treatment</t>
  </si>
  <si>
    <t xml:space="preserve">360E0020 </t>
  </si>
  <si>
    <t>Sand for Flush Seal</t>
  </si>
  <si>
    <t xml:space="preserve">330E2000 </t>
  </si>
  <si>
    <t>Blotting Sand for Prime</t>
  </si>
  <si>
    <t xml:space="preserve">330E1000 </t>
  </si>
  <si>
    <t>SS-1h or CSS-1h Asphalt for Flush Seal</t>
  </si>
  <si>
    <t xml:space="preserve">330E0210 </t>
  </si>
  <si>
    <t>SS-1h or CSS-1h Asphalt for Tack</t>
  </si>
  <si>
    <t xml:space="preserve">330E0100 </t>
  </si>
  <si>
    <t xml:space="preserve">330E0010 </t>
  </si>
  <si>
    <t>Grind Sinusoidal Centerline Rumble Stripe in Asphalt Concrete</t>
  </si>
  <si>
    <t xml:space="preserve">320E7030 </t>
  </si>
  <si>
    <t>Grind 12" Rumble Strip or Stripe in Asphalt Concrete</t>
  </si>
  <si>
    <t xml:space="preserve">320E7012 </t>
  </si>
  <si>
    <t xml:space="preserve">320E4000 </t>
  </si>
  <si>
    <t>Class Q2R Hot Mixed Asphalt Concrete</t>
  </si>
  <si>
    <t xml:space="preserve">320E1202 </t>
  </si>
  <si>
    <t>PG 58-34 Asphalt Binder</t>
  </si>
  <si>
    <t xml:space="preserve">320E0005 </t>
  </si>
  <si>
    <t xml:space="preserve">270E0040 </t>
  </si>
  <si>
    <t>Base Course, Salvaged</t>
  </si>
  <si>
    <t xml:space="preserve">260E1030 </t>
  </si>
  <si>
    <t>Base Course</t>
  </si>
  <si>
    <t xml:space="preserve">260E1010 </t>
  </si>
  <si>
    <t xml:space="preserve"> - Interim Surfacing - Asphalt for Prime and an Asphalt Surface Treatment</t>
  </si>
  <si>
    <t xml:space="preserve">LS        </t>
  </si>
  <si>
    <t xml:space="preserve">250E0010 </t>
  </si>
  <si>
    <t xml:space="preserve"> - 14” Base Course</t>
  </si>
  <si>
    <t xml:space="preserve">MGal      </t>
  </si>
  <si>
    <t xml:space="preserve">120E6200 </t>
  </si>
  <si>
    <t xml:space="preserve"> - Grading</t>
  </si>
  <si>
    <t>Undercutting</t>
  </si>
  <si>
    <t xml:space="preserve">120E2000 </t>
  </si>
  <si>
    <t>Unclassified/Rock Excavation</t>
  </si>
  <si>
    <t xml:space="preserve">120E1100 </t>
  </si>
  <si>
    <t>Muck Excavation</t>
  </si>
  <si>
    <t xml:space="preserve">120E1000 </t>
  </si>
  <si>
    <t>Grading, Interim Surfacing, Replace Str Bridge</t>
  </si>
  <si>
    <t>US12 - Fm Morristown to 9 E</t>
  </si>
  <si>
    <t>Select Subgrade Topping</t>
  </si>
  <si>
    <t xml:space="preserve">120E0400 </t>
  </si>
  <si>
    <t>NH-B 0012(206)112, PCN 05HW</t>
  </si>
  <si>
    <t>Notes:</t>
  </si>
  <si>
    <t>Data for the two segments shown is assumed to be representative of the project area.</t>
  </si>
  <si>
    <t>Salvaged for shoulders</t>
  </si>
  <si>
    <t>Digouts</t>
  </si>
  <si>
    <t>Milling</t>
  </si>
  <si>
    <t>base course (ton/mi)</t>
  </si>
  <si>
    <t>Digouts (yd/mi)</t>
  </si>
  <si>
    <t>Spot Leveling and Repair  (ton/mile)</t>
  </si>
  <si>
    <t>Leveling Lift or Tight Blading (ton/mile)</t>
  </si>
  <si>
    <t>Sluff width (ft) - for salvaged and/or granular shoulders</t>
  </si>
  <si>
    <t>Total Shoulder width (ft) - for salvaged and/or granular shoulders</t>
  </si>
  <si>
    <t>Number of Lanes</t>
  </si>
  <si>
    <t>AC Width (feet) - for flush seal</t>
  </si>
  <si>
    <t>Existing width (ft) - for milling</t>
  </si>
  <si>
    <t>check bid item above</t>
  </si>
  <si>
    <t>EROSION CONTROL Mill &amp; AC</t>
  </si>
  <si>
    <t>AUX CONC SURF PRIMARY APP</t>
  </si>
  <si>
    <t>999E2260</t>
  </si>
  <si>
    <t>GUARD RAIL</t>
  </si>
  <si>
    <t>999E0039</t>
  </si>
  <si>
    <t>Cold Milling Asphalt Concrete</t>
  </si>
  <si>
    <t xml:space="preserve">332E0010 </t>
  </si>
  <si>
    <t>Class Q2 Hot Mixed Asphalt Concrete</t>
  </si>
  <si>
    <t xml:space="preserve">320E1002 </t>
  </si>
  <si>
    <t>AC Surfacing</t>
  </si>
  <si>
    <t>US12 - Fm Morristown E 9</t>
  </si>
  <si>
    <t>Shoulder Shaping</t>
  </si>
  <si>
    <t xml:space="preserve">210E2000 </t>
  </si>
  <si>
    <t>NH 0012(275)112, PCN 05U5</t>
  </si>
  <si>
    <t>Unclassified Excavation, Digouts</t>
  </si>
  <si>
    <t xml:space="preserve">120E0100 </t>
  </si>
  <si>
    <t>Crashes were monetized for years 2016, 2021 and 2041 using the values and procedures described in the Benefit-Cost Analysis Guidance for Discretionary Grant Programs - March 2022 (Revised). The recommended values for crash costs were provided in year 2020 dollars.</t>
  </si>
  <si>
    <t>CMF For Countermeasure: Install shoulder rumble strips; Study Citation: Storm, R., S. Klump, O. Kosta, M. Raad, and E. Wemple. "Rectangular Rumble Strip Safety Evaluation." Report No. MN 2020-07. Minnesota Department of Transportation. Roseville, Minnesota. (April 2020). For additional details, refer to: http://www.cmfclearinghouse.org/study_detail.cfm?stid=606 for additional detail.</t>
  </si>
  <si>
    <t>CMF Clearing House</t>
  </si>
  <si>
    <t>Existing and 20-year forecast daily traffic volumes were obtained for the US 12 corridor from the SDDOT Interactive Needs Book (https://apps.sd.gov/hr53needsbook/). Average travel time per vehicle data was obtained from Google Maps. Year 2021 and 2041 VHT and VMT for each alternative were calculated using AADT information, average corridor travel time per vehicle, and an assumed 365 analysis days in a year.</t>
  </si>
  <si>
    <t>SD DOT Needs Book</t>
  </si>
  <si>
    <t>Crash data for years 2014-2018 in addition to existing and 20-year forecast daily traffic volumes were obtained for the US 12 corridor from the SDDOT Interactive Needs Book (https://apps.sd.gov/hr53needsbook/).</t>
  </si>
  <si>
    <t>Truck percentage was estimated based on existing daily traffic and truck volumes obtained for the US 12 corridor from the SDDOT Interactive Needs Book (https://apps.sd.gov/hr53needsbook/).</t>
  </si>
  <si>
    <t>Event</t>
  </si>
  <si>
    <t>Bridge Closure</t>
  </si>
  <si>
    <t>Project to Improve/Repair: Bridge, Grading, Shoulders, Pavement is restored to "No-Rough" (Acceptable Pavement)</t>
  </si>
  <si>
    <t>Project to Improve/Repair: Rumble Strips</t>
  </si>
  <si>
    <t>Cars and Trucks are forced to reroute; Diversion for Trucks is significantly longer than for cars</t>
  </si>
  <si>
    <t>6/16/2021 12:00:00 AM</t>
  </si>
  <si>
    <t>8/10/2021 12:00:00 AM</t>
  </si>
  <si>
    <t>RECF</t>
  </si>
  <si>
    <t>THK-THICK FLEXIBLE</t>
  </si>
  <si>
    <t>MAJA-Major Arterial</t>
  </si>
  <si>
    <t>3-Pierre Region</t>
  </si>
  <si>
    <t>121.36              0.231</t>
  </si>
  <si>
    <t>1 012</t>
  </si>
  <si>
    <t>112.00              0.714</t>
  </si>
  <si>
    <t>DISTRESS SURVEY</t>
  </si>
  <si>
    <t>PROFILES SURVEY</t>
  </si>
  <si>
    <t>COM_YEAR</t>
  </si>
  <si>
    <t>COM_TRT</t>
  </si>
  <si>
    <t>TRUCK</t>
  </si>
  <si>
    <t>ADT</t>
  </si>
  <si>
    <t>YEAR SEAL</t>
  </si>
  <si>
    <t>YEAR WORK</t>
  </si>
  <si>
    <t>YEAR GRADE</t>
  </si>
  <si>
    <t>PAVE TYPE</t>
  </si>
  <si>
    <t>CRCP Wtd</t>
  </si>
  <si>
    <t>CRCP BLCK</t>
  </si>
  <si>
    <t>Pout Wtd</t>
  </si>
  <si>
    <t>POUT INDX</t>
  </si>
  <si>
    <t>JTSL Wtd</t>
  </si>
  <si>
    <t>JTSL INDX</t>
  </si>
  <si>
    <t>FLTG Wtd</t>
  </si>
  <si>
    <t>FLTG INDEX</t>
  </si>
  <si>
    <t>CRCR Wtd</t>
  </si>
  <si>
    <t>CRCR INDX</t>
  </si>
  <si>
    <t>JTSP Wtd</t>
  </si>
  <si>
    <t>JTSP INDX</t>
  </si>
  <si>
    <t>DASR Wtd</t>
  </si>
  <si>
    <t>DASR INDX</t>
  </si>
  <si>
    <t>Ruff Wtd</t>
  </si>
  <si>
    <t>RUFF INDX</t>
  </si>
  <si>
    <t>Rut Wtd</t>
  </si>
  <si>
    <t>RUT INDX</t>
  </si>
  <si>
    <t>Blcr Wtd</t>
  </si>
  <si>
    <t>BLCR INDEX</t>
  </si>
  <si>
    <t>Ptch Wtd</t>
  </si>
  <si>
    <t>PTCH INDX</t>
  </si>
  <si>
    <t>Ftcr Wtd</t>
  </si>
  <si>
    <t>FTCR INDX</t>
  </si>
  <si>
    <t>Trcr Wtd</t>
  </si>
  <si>
    <t>TRCR INDX</t>
  </si>
  <si>
    <t>Cond Wtd</t>
  </si>
  <si>
    <t>COND INDX</t>
  </si>
  <si>
    <t>FUND CAT</t>
  </si>
  <si>
    <t>REGION</t>
  </si>
  <si>
    <t>BEGINNING          MRM                DISP</t>
  </si>
  <si>
    <t>Road</t>
  </si>
  <si>
    <t>Closure Occurs In</t>
  </si>
  <si>
    <t>Cars and Trucks are forced to reroute; Diversion for both Cars and Trucks longest (Via SD 73 &amp; SD 20)</t>
  </si>
  <si>
    <t>Note, the remaining service life for this structure is assumed to be the average of the time span noted below.</t>
  </si>
  <si>
    <t>Remaining Service Life (years):</t>
  </si>
  <si>
    <t>The current (Year 2022) pavement condition composite index value for US 12 is Fair (3.34).</t>
  </si>
  <si>
    <t>With the project:</t>
  </si>
  <si>
    <t>US 12 pavement will be replaced in 2024 to a new condition.  As a result, US 12 pavement will remain in excellent condition (above 4.5) until year 2033, and in good condition (above 3.40) until 2040.</t>
  </si>
  <si>
    <t>Without the project:</t>
  </si>
  <si>
    <t>US 12 pavement will continue to degrade from its current rating of fair (3.34). By 2025, the pavement will decline to poor condition (2.09 or lower) and reach “0” by 2033, where the roadway and infrastructure would shut down completely.</t>
  </si>
  <si>
    <t>Composite Index Values</t>
  </si>
  <si>
    <t>Rating</t>
  </si>
  <si>
    <t>5.00 to 4.50</t>
  </si>
  <si>
    <t>4.49 to 3.40</t>
  </si>
  <si>
    <t>3.39 to 2.10</t>
  </si>
  <si>
    <t>2.09 to 0.00</t>
  </si>
  <si>
    <t xml:space="preserve">Project Team Communications - Estimated Remaining Service Life for Bridge (16-154-005) </t>
  </si>
  <si>
    <t>Additional Notes on Pavement Condion:</t>
  </si>
  <si>
    <t>CRF - Applicable to All Crashes</t>
  </si>
  <si>
    <t>Table 2 - AADT Summary (No-Diversion)</t>
  </si>
  <si>
    <t>Table 3 - AADT Summary (With Diversion)</t>
  </si>
  <si>
    <t>Table 4 - Summary Crash Data: 2014-2018</t>
  </si>
  <si>
    <t>Table 5 - 2014-2018 Crash per MVT</t>
  </si>
  <si>
    <t>Table 6 - No-Build Crashes By Year</t>
  </si>
  <si>
    <t>Table 7 - CMF For Countermeasure: Install Shoulder Rumble Strips</t>
  </si>
  <si>
    <t>Table 8 - No Build Crash Costs</t>
  </si>
  <si>
    <t>SD Needs Book/Calculation</t>
  </si>
  <si>
    <t>Cars (2033-End of Analysis)</t>
  </si>
  <si>
    <t>RCV</t>
  </si>
  <si>
    <t>% Life Remaining</t>
  </si>
  <si>
    <t>Service Life</t>
  </si>
  <si>
    <t>Phase</t>
  </si>
  <si>
    <t>Table 1 - Project Schedule</t>
  </si>
  <si>
    <t>Current Dollars</t>
  </si>
  <si>
    <t xml:space="preserve">Capital Cost </t>
  </si>
  <si>
    <t>Capital Cost</t>
  </si>
  <si>
    <t>CAPITAL COST AND RESIDUAL PROJECT VALUE</t>
  </si>
  <si>
    <t>03/16/2022   SLD</t>
  </si>
  <si>
    <t>DRAIN &amp; MISC HEAVY Rural</t>
  </si>
  <si>
    <t xml:space="preserve">MILE      </t>
  </si>
  <si>
    <t xml:space="preserve">999E0111 </t>
  </si>
  <si>
    <t>DRAIN &amp; MISC Rural</t>
  </si>
  <si>
    <t xml:space="preserve">999E0110 </t>
  </si>
  <si>
    <t xml:space="preserve">999E0101 </t>
  </si>
  <si>
    <t xml:space="preserve">999E0100 </t>
  </si>
  <si>
    <t>From OBD 03/16/2022</t>
  </si>
  <si>
    <t>03/10/2022   SLD</t>
  </si>
  <si>
    <t>Year Cost is Incurred</t>
  </si>
  <si>
    <t>End of Benefit Calculations</t>
  </si>
  <si>
    <t>First Year of Benefits</t>
  </si>
  <si>
    <t>Table 3 - AADT Summary (With Diversion and No Trucks)</t>
  </si>
  <si>
    <t>All Trucks (All Years)</t>
  </si>
  <si>
    <t>Google Maps - Refer to Additional Documentation</t>
  </si>
  <si>
    <t>Table 4 - Annualized Summary Crash Data: 2014-2018</t>
  </si>
  <si>
    <t>Cars (2028-2032)</t>
  </si>
  <si>
    <t>All Vehicles (2024-2027)</t>
  </si>
  <si>
    <t>Pavement Deteriorates &amp; Roadway Shuts Down Completely</t>
  </si>
  <si>
    <t>Additional Build Travel Time (VHT)</t>
  </si>
  <si>
    <t>Aggregate Travel Time</t>
  </si>
  <si>
    <t>Build Delay (hr)</t>
  </si>
  <si>
    <t>No-Build Delay (hr)</t>
  </si>
  <si>
    <t>VHT Cost Savings</t>
  </si>
  <si>
    <t>54539</t>
  </si>
  <si>
    <t>52186.3</t>
  </si>
  <si>
    <t>49833.6</t>
  </si>
  <si>
    <t>47481</t>
  </si>
  <si>
    <t>45128.3</t>
  </si>
  <si>
    <t>42775.6</t>
  </si>
  <si>
    <t>40422.9</t>
  </si>
  <si>
    <t>38070.2</t>
  </si>
  <si>
    <t>35717.5</t>
  </si>
  <si>
    <t>33364.8</t>
  </si>
  <si>
    <t>31012.2</t>
  </si>
  <si>
    <t>28659.5</t>
  </si>
  <si>
    <t>26306.8</t>
  </si>
  <si>
    <t>23954.1</t>
  </si>
  <si>
    <t>21601.4</t>
  </si>
  <si>
    <t>19248.7</t>
  </si>
  <si>
    <t>16896.1</t>
  </si>
  <si>
    <t>14543.4</t>
  </si>
  <si>
    <t>12190.7</t>
  </si>
  <si>
    <t>9838</t>
  </si>
  <si>
    <t>Int</t>
  </si>
  <si>
    <t>dav_AVG_MAINT</t>
  </si>
  <si>
    <t>Y2041</t>
  </si>
  <si>
    <t>Y2040</t>
  </si>
  <si>
    <t>Y2039</t>
  </si>
  <si>
    <t>Y2038</t>
  </si>
  <si>
    <t>Y2037</t>
  </si>
  <si>
    <t>Y2036</t>
  </si>
  <si>
    <t>Y2035</t>
  </si>
  <si>
    <t>Y2034</t>
  </si>
  <si>
    <t>Y2033</t>
  </si>
  <si>
    <t>Y2032</t>
  </si>
  <si>
    <t>Y2031</t>
  </si>
  <si>
    <t>Y2030</t>
  </si>
  <si>
    <t>Y2029</t>
  </si>
  <si>
    <t>Y2028</t>
  </si>
  <si>
    <t>Y2027</t>
  </si>
  <si>
    <t>Y2026</t>
  </si>
  <si>
    <t>Y2025</t>
  </si>
  <si>
    <t>Y2024</t>
  </si>
  <si>
    <t>Y2023</t>
  </si>
  <si>
    <t>Y2022</t>
  </si>
  <si>
    <t>Initial</t>
  </si>
  <si>
    <t>Compilation</t>
  </si>
  <si>
    <t>Type</t>
  </si>
  <si>
    <t>25218.1</t>
  </si>
  <si>
    <t>23398.6</t>
  </si>
  <si>
    <t>21579.2</t>
  </si>
  <si>
    <t>19759.8</t>
  </si>
  <si>
    <t>17940.3</t>
  </si>
  <si>
    <t>16120.9</t>
  </si>
  <si>
    <t>14301.5</t>
  </si>
  <si>
    <t>12482</t>
  </si>
  <si>
    <t>10662.6</t>
  </si>
  <si>
    <t>10880.2</t>
  </si>
  <si>
    <t>9060.78</t>
  </si>
  <si>
    <t>7241.34</t>
  </si>
  <si>
    <t>5421.91</t>
  </si>
  <si>
    <t>3602.48</t>
  </si>
  <si>
    <t>1783.04</t>
  </si>
  <si>
    <t>1819.43</t>
  </si>
  <si>
    <t>No Build Conditions</t>
  </si>
  <si>
    <t>Table 1 - Annual Maintenance Cost Build and No-Build Conditions on US 12</t>
  </si>
  <si>
    <t>Data Directly Used In Analysis</t>
  </si>
  <si>
    <t>Included for Reference Only</t>
  </si>
  <si>
    <t>Data Obtained from South Dakota Needs Book for Project Segments</t>
  </si>
  <si>
    <t>Build  Conditions</t>
  </si>
  <si>
    <t>Google Maps - Refer to Additional Documentation (65 mph assumed for Build conditions due to short route length</t>
  </si>
  <si>
    <t>60 mph travel speed is assumed in this calculation</t>
  </si>
  <si>
    <t>CMF For Countermeasure: Extend Shoulder Width From 2 feet to 6 feet was obtained using values presented in HSM Chapter 12. For additional detail, refer to: AASHTO, 2010. The Highway Safety Manual, American Association of State Highway Transportation Professionals, Washington, D.C., http://www.highwaysafetymanual.org</t>
  </si>
  <si>
    <t>Convert Year 2021 to 2020</t>
  </si>
  <si>
    <t>Table 2 - Inflation Adjustments - GDP Deflator</t>
  </si>
  <si>
    <t>Detour Travel Time Savings (Trucks)</t>
  </si>
  <si>
    <t>Vehicle Operating Costs Savings (Trucks)</t>
  </si>
  <si>
    <t>BENEFITS - Detour A</t>
  </si>
  <si>
    <t>Detour Travel Time Savings (Cars)</t>
  </si>
  <si>
    <t>Vehicle Operating Costs Savings (Cars)</t>
  </si>
  <si>
    <t>Pavement Roughness Operations Savings (Cars Only)</t>
  </si>
  <si>
    <t>Pavement Roughness Operations Savings (Cars and Trucks)</t>
  </si>
  <si>
    <t>Rumble Strip Crash Savings</t>
  </si>
  <si>
    <t>Wider Shoulders Crash Savings</t>
  </si>
  <si>
    <r>
      <t>Air Quality (only CO</t>
    </r>
    <r>
      <rPr>
        <vertAlign val="subscript"/>
        <sz val="9"/>
        <color theme="1"/>
        <rFont val="Calibri"/>
        <family val="2"/>
        <scheme val="minor"/>
      </rPr>
      <t>2</t>
    </r>
    <r>
      <rPr>
        <sz val="9"/>
        <color theme="1"/>
        <rFont val="Calibri"/>
        <family val="2"/>
        <scheme val="minor"/>
      </rPr>
      <t>)</t>
    </r>
  </si>
  <si>
    <r>
      <t>Air Quality (no CO</t>
    </r>
    <r>
      <rPr>
        <vertAlign val="subscript"/>
        <sz val="9"/>
        <color theme="1"/>
        <rFont val="Calibri"/>
        <family val="2"/>
        <scheme val="minor"/>
      </rPr>
      <t>2</t>
    </r>
    <r>
      <rPr>
        <sz val="9"/>
        <color theme="1"/>
        <rFont val="Calibri"/>
        <family val="2"/>
        <scheme val="minor"/>
      </rPr>
      <t>)</t>
    </r>
  </si>
  <si>
    <t>Total Cost Savings</t>
  </si>
  <si>
    <t>7% Discount Total (Carbon discounted at 3%)</t>
  </si>
  <si>
    <t>BENEFITS - Detour B</t>
  </si>
  <si>
    <t>Table 4 - BCA Impacts</t>
  </si>
  <si>
    <t>First Year of BCA Impacts</t>
  </si>
  <si>
    <t>No-Build Variable</t>
  </si>
  <si>
    <t>Build Variable</t>
  </si>
  <si>
    <t>Table 1 - Per-hour Travel Time Cost by Mode</t>
  </si>
  <si>
    <t>Note: Pavement degrades to the point of total failure in 2027 (shutdown).</t>
  </si>
  <si>
    <t>7% Discount Total</t>
  </si>
  <si>
    <t>COSTS</t>
  </si>
  <si>
    <t xml:space="preserve">Capital Costs    </t>
  </si>
  <si>
    <t>Total (7% Discount)</t>
  </si>
  <si>
    <t>Remaining Capital Value</t>
  </si>
  <si>
    <t>RCV (Current Dollars)</t>
  </si>
  <si>
    <t>Category</t>
  </si>
  <si>
    <t xml:space="preserve">The project will be constructed in two phases: Phase 1 – PCN 05HW – This phase will consist of grading and interim surfacing the entire nine-mile project area to increase the shoulder width and to flatten deficient vertical curves. It will include the replacement of a bridge over Hay Creek (Structure # 16-154-005). Phase 2 – PCN 05U5 - This phase is the follow up asphalt concrete (AC) surfacing project, completing surfacing for the entire nine-mile project area. It will include installation of pavement markings, permanent signing, and grinding of edge rumble strips. </t>
  </si>
  <si>
    <t>This analysis assumed that the Build Alternative would be constructed over a two-year period starting, starting in year 2023, with completion in year 2024. Construction was assumed to be staged such that phase PCN 05HW would be constructed in year 2023, phase PCN 05U5 would be constructed in year 2024. Year 2025 was assumed to be the first full year that most benefits will be accrued from the entirety of the project (except for the benefits associated with the installation of edge line rumble strips which begin benefits in year 2025). The analysis primarily focused on annual benefits for the twenty-year period from 2024 to 2043 , while some user costs were quantified during the construction phases of the project and when certain segments of the project opened during the years 2023 through 2024. The present value of all benefits and costs was calculated using 2020 as the year of current dollars.</t>
  </si>
  <si>
    <t xml:space="preserve">Value of time, vehicle operating costs, emissions costs, and cost of crashes were obtained from the Benefit Cost Analysis Guidance for Discretionary Grant Programs, dated March 2022 (Revised) . </t>
  </si>
  <si>
    <t>Expected Service Life</t>
  </si>
  <si>
    <t xml:space="preserve">The corridor-wide truck percentage used in the analysis was 28.1 percent and was based on year 2021 daily traffic and heavy truck counts provided in the SDDOT Online Interactive Needs Book.  </t>
  </si>
  <si>
    <t>Five-years of crash data along the US 12 corridor was obtained for years 2014 through 2018 from SDDOT to determine average annual number of crashes by severity. Reductions in crashes along the US 12 corridor were estimated using crash modification factors for the expansion and paving of roadway shoulders from two to six feet and for the installation of edge line rumble strips.</t>
  </si>
  <si>
    <t>The safety benefit associated with the installation of edge line rumble strips and the extension of the paved shoulder from 2 feet to 6 feet was quantified for years 2027, 2028 and 2033 and interpolated based on an annual growth rate to determine total safety benefits for the period from years 2022-2029 (prior to detours routing most traffic off US 12).</t>
  </si>
  <si>
    <t xml:space="preserve">Year 2021 and year 2041 US 12 corridor VMT and VHT were developed using existing and forecast AADTs and travel time and route lengths were obtained using Google Maps. Existing year 2021 and forecast year 2041 corridor AADTs, and existing corridor length data were obtained from the SDDOT Online Interactive Needs Book . </t>
  </si>
  <si>
    <t xml:space="preserve">The bridge over Hay Creek was assumed to close at the appropriate time based on remaining service life under the No Build Alternative, as illustrated in Figure 1. Additionally, the current (Year 2022) pavement condition composite index value for US 12 is “fair” (3.34). Without the project, US 12 pavement will continue to degrade from its current rating of fair (3.34). By 2025, the pavement will decline to poor condition (2.09 or lower) and reach “0” by 2033, where the roadway and infrastructure would shut down completely. </t>
  </si>
  <si>
    <t>7)</t>
  </si>
  <si>
    <t>Methods for estimating these additional costs per mile associated with pavement roughness are described in the National Cooperative Highway Research Program (NCHRP) Report 720. These methods were applied along with an understanding of the current pavement condition on the US 12 corridor to develop localized per-mile vehicle operating costs due to pavement roughness</t>
  </si>
  <si>
    <t>Annual VMT is expected to be impacted by a bridge closure along US 12 and the eventual pavement failure along the entire US 12 project corridor.</t>
  </si>
  <si>
    <t>Changes in annual roadway maintenance costs are expected due to intensified maintenance that will be required to keep the No Build Alternative serviceable compared to what will be required on new infrastructure under the Build Alternative. Anticipated costs for the No Build Alternative and Build Alternatives were provided by SDDOT and are shown in the BCA Workbook.</t>
  </si>
  <si>
    <t>This value is expressed in terms of 2020 dollars and was added to other project benefits in accordance with USDOT guidance.</t>
  </si>
  <si>
    <t>Posted speed limits were anticipated to be maintained during construction. It was assumed that construction would take place during the entire 12-month period of construction for each year. Differences in travel times were quantified for each phase of the project and considered a disbenefit for the Build Alternative.</t>
  </si>
  <si>
    <t>Table 5 - BCA Impacts</t>
  </si>
  <si>
    <t>All detoured truck traffic follows this same route (this detour starts in 2028, when the bridge assumed to no longer able to carry truck traffic. Trucks go via 73 per SDDOT staff guidance.</t>
  </si>
  <si>
    <t>Detour A impacts cars only and occurs between year 2028 and 2032. This detour occurs because the bridge “goes out” but cars are assumed to be able to take a shorter detour than the trucks (per discussion with SDDOT Staff).</t>
  </si>
  <si>
    <t>Detour B occurs for cars when the entire length of the project is assumed to be non-drivable. Detour B occurs from 2033 to end of analysis. Cars are assumed to take the 73 routes (same as trucks).</t>
  </si>
  <si>
    <t>Table 5 - 2014-2018 Crash per VMT</t>
  </si>
  <si>
    <t>Trucks: All detoured truck traffic follows this same route, this detour starts in 2028, when the bridge over Hay Creek was assumed to no longer able to carry truck traffic. Trucks were assumed to detour to SD 73 per SDDOT staff guidance.</t>
  </si>
  <si>
    <t>	Detour – Trucks: All detoured truck traffic follows this route. This detour starts in 2028, when the bridge over Hay Creek is assumed to no longer able to carry truck traffic. Trucks were assumed to detour to SD 73 per SDDOT staff guidance.</t>
  </si>
  <si>
    <t>	Detour A - Cars: Impacts cars only and occurs between year 2028 and 2032. This detour occurs because the Hay Creek Bridge is determined to no longer be safe to accommodate traffic per discussion with SDDOT Staff.</t>
  </si>
  <si>
    <t>	Detour B - Cars: Impacts cars only and occurs between year 2033 and the end of analysis period. This is the final assumed detour and impacts all traffic. All vehicles are diverted when the entire length of the project is assumed to be non-drivable. Detour B occurs from 2033 to end of analysis period. Cars are assumed to take the same SD 73 detour.</t>
  </si>
  <si>
    <t>8)</t>
  </si>
  <si>
    <t>9)</t>
  </si>
  <si>
    <t>10)</t>
  </si>
  <si>
    <t xml:space="preserve">Vehicle occupancy that was used in the analysis is consistent with values provided by Benefit Cost Analysis Guidance for Discretionary Grant Programs, dated March 2022 (Revised). The analysis assumed occupancy of 1.67 people per automobile and 1.00 people per truck. </t>
  </si>
  <si>
    <t>Emission rates per vehicle type are provided in the attached BCA Workbook. Total change in emissions was valued in accordance with the Benefit Cost Analysis Guidance for Discretionary Grant Programs, dated March 2022 (Revised).</t>
  </si>
  <si>
    <t>the No Build Alternative, ongoing detours are expected to occur in year 2028 due to diversions associated with bridge failure. Thus, maintenance for segments where traffic is expected to detour around, is assumed to no longer be necessary and is not quantified. This assumption was made because the requirement for trucks to detour around the bridge closure.</t>
  </si>
  <si>
    <t>The assumed service life for the Build Alternative was 30 years, which was provided through SDDOT US 12 project life-cycle cost analysis.</t>
  </si>
  <si>
    <t>Table 3 - Vehicle Occupancy</t>
  </si>
  <si>
    <t>Table 4 - AADT Data</t>
  </si>
  <si>
    <t>Annual Operation and Maintenance Cost ($)</t>
  </si>
  <si>
    <r>
      <t>Change in C0</t>
    </r>
    <r>
      <rPr>
        <vertAlign val="subscript"/>
        <sz val="9"/>
        <color theme="1"/>
        <rFont val="Calibri"/>
        <family val="2"/>
        <scheme val="minor"/>
      </rPr>
      <t>2</t>
    </r>
    <r>
      <rPr>
        <sz val="9"/>
        <color theme="1"/>
        <rFont val="Calibri"/>
        <family val="2"/>
        <scheme val="minor"/>
      </rPr>
      <t xml:space="preserve"> (metric tons)</t>
    </r>
  </si>
  <si>
    <t>Change in NOx 
(metric tons)</t>
  </si>
  <si>
    <t>Change in SO2
(metric tons)</t>
  </si>
  <si>
    <t>Change in PM
(metric tons)</t>
  </si>
  <si>
    <t>Change in VOC ($)</t>
  </si>
  <si>
    <t>Change in NOx 
($)</t>
  </si>
  <si>
    <t>Change in PM
($)</t>
  </si>
  <si>
    <t>Yearly Emissions Savings in Current Dollars ($)</t>
  </si>
  <si>
    <t>Yearly Emissions Savings of Carbon Current Dollars ($)</t>
  </si>
  <si>
    <t>Table 2 - Damage Costs for Emissions per metric ton</t>
  </si>
  <si>
    <t>Table 1 - Pollution Emission by Mode (g/VMT)</t>
  </si>
  <si>
    <t>No Build Annual VMT</t>
  </si>
  <si>
    <t>Table 1 - Per-mile Travel Time Cost by Mode</t>
  </si>
  <si>
    <t>No Build Annual VHT</t>
  </si>
  <si>
    <t>Build Annual VHT</t>
  </si>
  <si>
    <t>No Build Crash Cost</t>
  </si>
  <si>
    <t>Build Crash Cost</t>
  </si>
  <si>
    <t xml:space="preserve">Vehicle occupancy ratios used in analysis are consistent with values provided by Benefit Cost Analysis Guidance for Discretionary Grant Programs, dated March 2022 (Revised). This analysis assumed occupancy of 1.67 people per automobile and 1.00 people per truck. </t>
  </si>
  <si>
    <t>MPDG 2022 BCA SUMMARY: US 12 Reconstruction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</si>
</sst>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
    <numFmt numFmtId="165" formatCode="_(&quot;$&quot;* #,##0_);_(&quot;$&quot;* \(#,##0\);_(&quot;$&quot;* &quot;-&quot;??_);_(@_)"/>
    <numFmt numFmtId="166" formatCode="#,##0.0"/>
    <numFmt numFmtId="167" formatCode="&quot;$&quot;#,##0\ ;\(&quot;$&quot;#,##0\)"/>
    <numFmt numFmtId="168" formatCode="_(* #,##0_);_(* \(#,##0\);_(* &quot;-&quot;??_);_(@_)"/>
    <numFmt numFmtId="169" formatCode="0.0%"/>
    <numFmt numFmtId="170" formatCode="&quot;$&quot;#,##0.00"/>
    <numFmt numFmtId="171" formatCode="0.000"/>
    <numFmt numFmtId="172" formatCode="0.00000"/>
    <numFmt numFmtId="173" formatCode="#,##0_);\(#,##0_)"/>
    <numFmt numFmtId="174" formatCode="0.0000"/>
    <numFmt numFmtId="175" formatCode="0.0"/>
    <numFmt numFmtId="176" formatCode="&quot;$&quot;#,##0.000"/>
    <numFmt numFmtId="177" formatCode="#,##0.000"/>
    <numFmt numFmtId="178" formatCode="&quot;$&quot;#,##0.0"/>
    <numFmt numFmtId="179" formatCode="[$-409]d\-mmm\-yy;@"/>
  </numFmts>
  <fonts count="50"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b/>
      <sz val="11"/>
      <color theme="1"/>
      <name val="Calibri"/>
      <family val="2"/>
      <scheme val="minor"/>
    </font>
    <font>
      <sz val="11"/>
      <name val="Calibri"/>
      <family val="2"/>
      <scheme val="minor"/>
    </font>
    <font>
      <sz val="10"/>
      <name val="Arial"/>
      <family val="2"/>
    </font>
    <font>
      <b/>
      <sz val="9"/>
      <name val="Calibri"/>
      <family val="2"/>
      <scheme val="minor"/>
    </font>
    <font>
      <sz val="9"/>
      <name val="Calibri"/>
      <family val="2"/>
      <scheme val="minor"/>
    </font>
    <font>
      <b/>
      <sz val="12"/>
      <color theme="1"/>
      <name val="Calibri"/>
      <family val="2"/>
      <scheme val="minor"/>
    </font>
    <font>
      <sz val="9"/>
      <color theme="0" tint="-0.249977111117893"/>
      <name val="Calibri"/>
      <family val="2"/>
      <scheme val="minor"/>
    </font>
    <font>
      <sz val="11"/>
      <name val="Arial Narrow"/>
      <family val="2"/>
    </font>
    <font>
      <b/>
      <sz val="11"/>
      <name val="Calibri"/>
      <family val="2"/>
      <scheme val="minor"/>
    </font>
    <font>
      <b/>
      <sz val="18"/>
      <color theme="1"/>
      <name val="Calibri"/>
      <family val="2"/>
      <scheme val="minor"/>
    </font>
    <font>
      <sz val="11"/>
      <color indexed="8"/>
      <name val="Calibri"/>
      <family val="2"/>
      <scheme val="minor"/>
    </font>
    <font>
      <sz val="9"/>
      <color rgb="FF0070C0"/>
      <name val="Calibri"/>
      <family val="2"/>
      <scheme val="minor"/>
    </font>
    <font>
      <b/>
      <sz val="16"/>
      <color theme="1"/>
      <name val="Calibri"/>
      <family val="2"/>
      <scheme val="minor"/>
    </font>
    <font>
      <u/>
      <sz val="11"/>
      <color theme="10"/>
      <name val="Calibri"/>
      <family val="2"/>
      <scheme val="minor"/>
    </font>
    <font>
      <i/>
      <sz val="11"/>
      <color theme="1"/>
      <name val="Calibri"/>
      <family val="2"/>
      <scheme val="minor"/>
    </font>
    <font>
      <b/>
      <sz val="18"/>
      <color rgb="FFFF0000"/>
      <name val="Calibri"/>
      <family val="2"/>
      <scheme val="minor"/>
    </font>
    <font>
      <vertAlign val="superscript"/>
      <sz val="9"/>
      <name val="Calibri"/>
      <family val="2"/>
      <scheme val="minor"/>
    </font>
    <font>
      <b/>
      <i/>
      <sz val="9"/>
      <name val="Calibri"/>
      <family val="2"/>
      <scheme val="minor"/>
    </font>
    <font>
      <i/>
      <sz val="11"/>
      <name val="Calibri"/>
      <family val="2"/>
      <scheme val="minor"/>
    </font>
    <font>
      <sz val="9"/>
      <color rgb="FFFF0000"/>
      <name val="Calibri"/>
      <family val="2"/>
      <scheme val="minor"/>
    </font>
    <font>
      <b/>
      <sz val="10"/>
      <name val="Arial"/>
      <family val="2"/>
    </font>
    <font>
      <sz val="10"/>
      <color indexed="10"/>
      <name val="Arial"/>
      <family val="2"/>
    </font>
    <font>
      <b/>
      <sz val="14"/>
      <name val="Arial"/>
      <family val="2"/>
    </font>
    <font>
      <b/>
      <sz val="12"/>
      <name val="Arial"/>
      <family val="2"/>
    </font>
    <font>
      <sz val="10"/>
      <color rgb="FF0000FF"/>
      <name val="Arial"/>
      <family val="2"/>
    </font>
    <font>
      <sz val="8"/>
      <color theme="1"/>
      <name val="Calibri"/>
      <family val="2"/>
      <scheme val="minor"/>
    </font>
    <font>
      <i/>
      <u/>
      <sz val="8"/>
      <color theme="10"/>
      <name val="Calibri"/>
      <family val="2"/>
      <scheme val="minor"/>
    </font>
    <font>
      <sz val="10"/>
      <color theme="1"/>
      <name val="Calibri"/>
      <family val="2"/>
      <scheme val="minor"/>
    </font>
    <font>
      <sz val="11"/>
      <color rgb="FFFF0000"/>
      <name val="Calibri"/>
      <family val="2"/>
      <scheme val="minor"/>
    </font>
    <font>
      <vertAlign val="subscript"/>
      <sz val="9"/>
      <color theme="1"/>
      <name val="Calibri"/>
      <family val="2"/>
      <scheme val="minor"/>
    </font>
    <font>
      <sz val="8"/>
      <name val="Calibri"/>
      <family val="2"/>
      <scheme val="minor"/>
    </font>
    <font>
      <b/>
      <sz val="11"/>
      <name val="Times New Roman"/>
      <family val="1"/>
    </font>
    <font>
      <b/>
      <vertAlign val="subscript"/>
      <sz val="11"/>
      <name val="Times New Roman"/>
      <family val="1"/>
    </font>
    <font>
      <b/>
      <sz val="11"/>
      <color rgb="FFFFFFFF"/>
      <name val="Verdana"/>
      <family val="2"/>
    </font>
    <font>
      <sz val="9"/>
      <color rgb="FF000000"/>
      <name val="Verdana"/>
      <family val="2"/>
    </font>
    <font>
      <u/>
      <sz val="11"/>
      <color theme="1"/>
      <name val="Calibri"/>
      <family val="2"/>
      <scheme val="minor"/>
    </font>
    <font>
      <sz val="10"/>
      <name val="MS Sans Serif"/>
      <family val="2"/>
    </font>
    <font>
      <sz val="10"/>
      <color rgb="FFFF0000"/>
      <name val="Arial"/>
      <family val="2"/>
    </font>
    <font>
      <sz val="10"/>
      <color indexed="12"/>
      <name val="Arial"/>
      <family val="2"/>
    </font>
    <font>
      <sz val="10"/>
      <color rgb="FF000000"/>
      <name val="Arial"/>
      <family val="2"/>
    </font>
    <font>
      <sz val="11"/>
      <color indexed="8"/>
      <name val="Arial"/>
      <family val="2"/>
    </font>
    <font>
      <b/>
      <sz val="10"/>
      <color rgb="FF000000"/>
      <name val="Arial"/>
      <family val="2"/>
    </font>
    <font>
      <sz val="10"/>
      <name val="Arial"/>
      <family val="2"/>
    </font>
    <font>
      <sz val="11"/>
      <color rgb="FFFFFFFF"/>
      <name val="Calibri"/>
      <family val="2"/>
      <scheme val="minor"/>
    </font>
    <font>
      <sz val="9"/>
      <color theme="4"/>
      <name val="Calibri"/>
      <family val="2"/>
      <scheme val="minor"/>
    </font>
    <font>
      <sz val="11"/>
      <color theme="4"/>
      <name val="Calibri"/>
      <family val="2"/>
      <scheme val="minor"/>
    </font>
  </fonts>
  <fills count="1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theme="1" tint="0.499984740745262"/>
        <bgColor indexed="64"/>
      </patternFill>
    </fill>
    <fill>
      <patternFill patternType="solid">
        <fgColor rgb="FFFFFFFF"/>
        <bgColor indexed="64"/>
      </patternFill>
    </fill>
    <fill>
      <patternFill patternType="solid">
        <fgColor rgb="FF5A6C9B"/>
        <bgColor indexed="64"/>
      </patternFill>
    </fill>
    <fill>
      <patternFill patternType="solid">
        <fgColor rgb="FFDDDDDD"/>
        <bgColor indexed="64"/>
      </patternFill>
    </fill>
    <fill>
      <patternFill patternType="solid">
        <fgColor rgb="FF00B050"/>
        <bgColor indexed="64"/>
      </patternFill>
    </fill>
    <fill>
      <patternFill patternType="solid">
        <fgColor rgb="FF7A7A7A"/>
      </patternFill>
    </fill>
  </fills>
  <borders count="91">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double">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right style="medium">
        <color indexed="64"/>
      </right>
      <top/>
      <bottom/>
      <diagonal/>
    </border>
    <border>
      <left style="thin">
        <color indexed="64"/>
      </left>
      <right style="thin">
        <color indexed="64"/>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style="thick">
        <color indexed="64"/>
      </top>
      <bottom style="thick">
        <color indexed="64"/>
      </bottom>
      <diagonal/>
    </border>
    <border>
      <left style="hair">
        <color indexed="64"/>
      </left>
      <right style="thick">
        <color indexed="64"/>
      </right>
      <top style="thick">
        <color indexed="64"/>
      </top>
      <bottom style="thick">
        <color indexed="64"/>
      </bottom>
      <diagonal/>
    </border>
    <border>
      <left style="hair">
        <color indexed="64"/>
      </left>
      <right style="hair">
        <color indexed="64"/>
      </right>
      <top style="thick">
        <color indexed="64"/>
      </top>
      <bottom style="thick">
        <color indexed="64"/>
      </bottom>
      <diagonal/>
    </border>
    <border>
      <left/>
      <right style="hair">
        <color indexed="64"/>
      </right>
      <top style="thick">
        <color indexed="64"/>
      </top>
      <bottom style="thick">
        <color indexed="64"/>
      </bottom>
      <diagonal/>
    </border>
    <border>
      <left/>
      <right/>
      <top style="thick">
        <color indexed="64"/>
      </top>
      <bottom style="thick">
        <color indexed="64"/>
      </bottom>
      <diagonal/>
    </border>
    <border>
      <left style="hair">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s>
  <cellStyleXfs count="142">
    <xf numFmtId="0" fontId="0" fillId="0" borderId="0"/>
    <xf numFmtId="44"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3" fontId="6" fillId="0" borderId="0" applyFont="0" applyFill="0" applyBorder="0" applyAlignment="0" applyProtection="0"/>
    <xf numFmtId="167" fontId="6"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0" fontId="1" fillId="0" borderId="0"/>
    <xf numFmtId="0" fontId="1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4" fillId="0" borderId="0"/>
    <xf numFmtId="0" fontId="17" fillId="0" borderId="0" applyNumberForma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46" fillId="0" borderId="0"/>
  </cellStyleXfs>
  <cellXfs count="704">
    <xf numFmtId="0" fontId="0" fillId="0" borderId="0" xfId="0"/>
    <xf numFmtId="0" fontId="2" fillId="0" borderId="13"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 fillId="0" borderId="0" xfId="0" applyFont="1"/>
    <xf numFmtId="164" fontId="2" fillId="0" borderId="0" xfId="0" applyNumberFormat="1" applyFont="1" applyAlignment="1">
      <alignment horizontal="center"/>
    </xf>
    <xf numFmtId="0" fontId="4" fillId="0" borderId="0" xfId="0" applyFont="1"/>
    <xf numFmtId="0" fontId="0" fillId="0" borderId="0" xfId="0" applyAlignment="1">
      <alignment horizontal="right"/>
    </xf>
    <xf numFmtId="164" fontId="2" fillId="0" borderId="0" xfId="0" applyNumberFormat="1" applyFont="1" applyBorder="1" applyAlignment="1">
      <alignment horizontal="center"/>
    </xf>
    <xf numFmtId="0" fontId="0" fillId="0" borderId="0" xfId="0" applyAlignment="1"/>
    <xf numFmtId="0" fontId="2" fillId="0" borderId="0" xfId="0" applyFont="1" applyBorder="1" applyAlignment="1">
      <alignment horizontal="center"/>
    </xf>
    <xf numFmtId="0" fontId="9" fillId="0" borderId="0" xfId="0" applyFont="1" applyBorder="1" applyAlignment="1">
      <alignment horizontal="center"/>
    </xf>
    <xf numFmtId="164" fontId="10" fillId="0" borderId="0" xfId="0" applyNumberFormat="1" applyFont="1" applyFill="1" applyBorder="1" applyAlignment="1">
      <alignment horizontal="center"/>
    </xf>
    <xf numFmtId="0" fontId="4" fillId="2" borderId="37" xfId="0" applyFont="1" applyFill="1" applyBorder="1"/>
    <xf numFmtId="0" fontId="4" fillId="2" borderId="36" xfId="0" applyFont="1" applyFill="1" applyBorder="1"/>
    <xf numFmtId="0" fontId="0" fillId="0" borderId="0" xfId="0" applyFill="1"/>
    <xf numFmtId="0" fontId="4" fillId="0" borderId="0" xfId="0" applyFont="1" applyFill="1"/>
    <xf numFmtId="0" fontId="2" fillId="0" borderId="0" xfId="0" applyFont="1" applyFill="1"/>
    <xf numFmtId="0" fontId="0" fillId="0" borderId="0" xfId="0" applyFill="1" applyBorder="1"/>
    <xf numFmtId="0" fontId="0" fillId="0" borderId="0" xfId="0" applyFill="1" applyBorder="1" applyAlignment="1">
      <alignment horizontal="center"/>
    </xf>
    <xf numFmtId="0" fontId="0" fillId="0" borderId="0" xfId="0" applyBorder="1"/>
    <xf numFmtId="0" fontId="0" fillId="0" borderId="0" xfId="0" applyAlignment="1">
      <alignment vertical="top" wrapText="1"/>
    </xf>
    <xf numFmtId="0" fontId="4" fillId="0" borderId="0" xfId="0" applyFont="1" applyFill="1" applyBorder="1" applyAlignment="1">
      <alignment horizontal="left"/>
    </xf>
    <xf numFmtId="0" fontId="0" fillId="0" borderId="0" xfId="0" applyFont="1" applyFill="1"/>
    <xf numFmtId="0" fontId="0" fillId="0" borderId="0" xfId="0" applyBorder="1" applyAlignment="1">
      <alignment horizontal="center"/>
    </xf>
    <xf numFmtId="0" fontId="13" fillId="0" borderId="0" xfId="0" applyFont="1"/>
    <xf numFmtId="168" fontId="4" fillId="0" borderId="0" xfId="15" applyNumberFormat="1" applyFont="1"/>
    <xf numFmtId="0" fontId="9" fillId="0" borderId="0" xfId="0" applyFont="1" applyAlignment="1">
      <alignment horizontal="left"/>
    </xf>
    <xf numFmtId="168" fontId="0" fillId="0" borderId="0" xfId="15" applyNumberFormat="1" applyFont="1" applyBorder="1"/>
    <xf numFmtId="164" fontId="0" fillId="0" borderId="0" xfId="0" applyNumberFormat="1" applyBorder="1" applyAlignment="1">
      <alignment horizontal="center"/>
    </xf>
    <xf numFmtId="2" fontId="0" fillId="0" borderId="0" xfId="0" applyNumberFormat="1" applyBorder="1" applyAlignment="1">
      <alignment horizontal="center"/>
    </xf>
    <xf numFmtId="9" fontId="4" fillId="0" borderId="0" xfId="0" applyNumberFormat="1" applyFont="1" applyFill="1" applyBorder="1" applyAlignment="1">
      <alignment horizontal="center"/>
    </xf>
    <xf numFmtId="0" fontId="0" fillId="0" borderId="0" xfId="0" applyBorder="1" applyAlignment="1">
      <alignment vertical="top" wrapText="1"/>
    </xf>
    <xf numFmtId="168" fontId="0" fillId="0" borderId="0" xfId="0" applyNumberFormat="1" applyBorder="1"/>
    <xf numFmtId="0" fontId="0" fillId="0" borderId="0" xfId="0"/>
    <xf numFmtId="0" fontId="0" fillId="0" borderId="0" xfId="0" applyAlignment="1">
      <alignment horizontal="center"/>
    </xf>
    <xf numFmtId="0" fontId="0" fillId="0" borderId="0" xfId="0" applyAlignment="1">
      <alignment vertical="center"/>
    </xf>
    <xf numFmtId="0" fontId="9" fillId="0" borderId="0" xfId="0" applyFont="1" applyAlignment="1">
      <alignment horizontal="center" vertical="center"/>
    </xf>
    <xf numFmtId="0" fontId="0" fillId="0" borderId="0" xfId="0" applyAlignment="1">
      <alignment vertical="top"/>
    </xf>
    <xf numFmtId="164" fontId="15" fillId="0" borderId="0" xfId="0" applyNumberFormat="1" applyFont="1" applyBorder="1" applyAlignment="1">
      <alignment horizontal="center"/>
    </xf>
    <xf numFmtId="0" fontId="0" fillId="0" borderId="0" xfId="0" applyFont="1" applyFill="1" applyAlignment="1">
      <alignment horizontal="center"/>
    </xf>
    <xf numFmtId="0" fontId="0" fillId="0" borderId="0" xfId="0" applyFont="1" applyFill="1" applyBorder="1" applyAlignment="1">
      <alignment horizontal="center"/>
    </xf>
    <xf numFmtId="166" fontId="2" fillId="0" borderId="0" xfId="0" applyNumberFormat="1" applyFont="1" applyFill="1" applyBorder="1" applyAlignment="1">
      <alignment horizontal="center"/>
    </xf>
    <xf numFmtId="0" fontId="16" fillId="0" borderId="0" xfId="0" applyFont="1" applyBorder="1" applyAlignment="1">
      <alignment horizontal="center" vertical="center"/>
    </xf>
    <xf numFmtId="0" fontId="0" fillId="0" borderId="0" xfId="0" applyFill="1" applyAlignment="1">
      <alignment vertical="top"/>
    </xf>
    <xf numFmtId="164" fontId="0" fillId="0" borderId="23" xfId="0" applyNumberFormat="1" applyFont="1" applyFill="1" applyBorder="1" applyAlignment="1">
      <alignment horizontal="center"/>
    </xf>
    <xf numFmtId="37" fontId="2" fillId="0" borderId="0" xfId="0" applyNumberFormat="1" applyFont="1"/>
    <xf numFmtId="0" fontId="0" fillId="0" borderId="0" xfId="0"/>
    <xf numFmtId="0" fontId="0" fillId="0" borderId="0" xfId="0" applyFill="1" applyBorder="1" applyAlignment="1">
      <alignment horizontal="left"/>
    </xf>
    <xf numFmtId="168" fontId="0" fillId="0" borderId="0" xfId="0" applyNumberFormat="1" applyFill="1" applyBorder="1" applyAlignment="1">
      <alignment horizontal="center"/>
    </xf>
    <xf numFmtId="168" fontId="0" fillId="0" borderId="0" xfId="0" applyNumberFormat="1" applyFill="1" applyBorder="1" applyAlignment="1">
      <alignment horizontal="center" vertical="top" wrapText="1"/>
    </xf>
    <xf numFmtId="44" fontId="0" fillId="0" borderId="0" xfId="1" applyFont="1" applyFill="1" applyBorder="1"/>
    <xf numFmtId="0" fontId="0" fillId="0" borderId="0" xfId="0" applyFill="1" applyBorder="1" applyAlignment="1"/>
    <xf numFmtId="0" fontId="2" fillId="0" borderId="7" xfId="0" applyFont="1" applyFill="1" applyBorder="1" applyAlignment="1">
      <alignment horizontal="center" vertical="center"/>
    </xf>
    <xf numFmtId="0" fontId="2" fillId="0" borderId="9" xfId="0" applyFont="1" applyFill="1" applyBorder="1" applyAlignment="1">
      <alignment horizontal="center" vertical="center"/>
    </xf>
    <xf numFmtId="0" fontId="0" fillId="0" borderId="0" xfId="0" applyAlignment="1">
      <alignment horizontal="left"/>
    </xf>
    <xf numFmtId="0" fontId="2" fillId="0" borderId="37" xfId="0" applyFont="1" applyBorder="1" applyAlignment="1">
      <alignment horizontal="center"/>
    </xf>
    <xf numFmtId="0" fontId="2" fillId="0" borderId="7" xfId="0" applyFont="1" applyBorder="1" applyAlignment="1">
      <alignment horizontal="center"/>
    </xf>
    <xf numFmtId="0" fontId="2" fillId="0" borderId="44" xfId="0" applyFont="1" applyBorder="1" applyAlignment="1">
      <alignment horizontal="center"/>
    </xf>
    <xf numFmtId="0" fontId="2" fillId="0" borderId="9" xfId="0" applyFont="1" applyBorder="1" applyAlignment="1">
      <alignment horizontal="center"/>
    </xf>
    <xf numFmtId="0" fontId="0" fillId="0" borderId="0" xfId="0" applyFill="1" applyAlignment="1">
      <alignment horizontal="right"/>
    </xf>
    <xf numFmtId="1" fontId="0" fillId="0" borderId="0" xfId="0" applyNumberFormat="1"/>
    <xf numFmtId="0" fontId="0" fillId="0" borderId="0" xfId="0" applyFill="1" applyAlignment="1">
      <alignment horizontal="left"/>
    </xf>
    <xf numFmtId="170" fontId="0" fillId="0" borderId="0" xfId="1" applyNumberFormat="1" applyFont="1" applyFill="1" applyBorder="1" applyAlignment="1">
      <alignment horizontal="center"/>
    </xf>
    <xf numFmtId="169" fontId="0" fillId="0" borderId="23" xfId="16" applyNumberFormat="1" applyFont="1" applyFill="1" applyBorder="1" applyAlignment="1">
      <alignment horizontal="center"/>
    </xf>
    <xf numFmtId="0" fontId="0" fillId="0" borderId="23" xfId="0" applyFill="1" applyBorder="1" applyAlignment="1">
      <alignment horizontal="left"/>
    </xf>
    <xf numFmtId="6" fontId="3" fillId="0" borderId="0" xfId="0" applyNumberFormat="1" applyFont="1" applyFill="1"/>
    <xf numFmtId="170" fontId="0" fillId="0" borderId="23" xfId="1" applyNumberFormat="1" applyFont="1" applyFill="1" applyBorder="1" applyAlignment="1">
      <alignment horizontal="center"/>
    </xf>
    <xf numFmtId="6" fontId="2" fillId="0" borderId="14" xfId="0" applyNumberFormat="1" applyFont="1" applyFill="1" applyBorder="1" applyAlignment="1">
      <alignment horizontal="right"/>
    </xf>
    <xf numFmtId="6" fontId="2" fillId="0" borderId="19" xfId="1" applyNumberFormat="1" applyFont="1" applyFill="1" applyBorder="1" applyAlignment="1">
      <alignment horizontal="right"/>
    </xf>
    <xf numFmtId="6" fontId="2" fillId="0" borderId="15" xfId="0" applyNumberFormat="1" applyFont="1" applyFill="1" applyBorder="1" applyAlignment="1">
      <alignment horizontal="right"/>
    </xf>
    <xf numFmtId="6" fontId="2" fillId="0" borderId="20" xfId="1" applyNumberFormat="1" applyFont="1" applyFill="1" applyBorder="1" applyAlignment="1">
      <alignment horizontal="right"/>
    </xf>
    <xf numFmtId="164" fontId="2" fillId="0" borderId="40" xfId="0" applyNumberFormat="1" applyFont="1" applyBorder="1" applyAlignment="1">
      <alignment horizontal="center"/>
    </xf>
    <xf numFmtId="0" fontId="2" fillId="0" borderId="5" xfId="0" applyFont="1" applyBorder="1" applyAlignment="1">
      <alignment horizontal="center" vertical="center" wrapText="1"/>
    </xf>
    <xf numFmtId="0" fontId="4" fillId="0" borderId="23" xfId="0" applyFont="1" applyFill="1" applyBorder="1" applyAlignment="1">
      <alignment horizontal="center"/>
    </xf>
    <xf numFmtId="0" fontId="0" fillId="0" borderId="0" xfId="0" applyFill="1" applyAlignment="1">
      <alignment horizontal="left" vertical="top"/>
    </xf>
    <xf numFmtId="0" fontId="0" fillId="0" borderId="0" xfId="0" applyFill="1" applyAlignment="1">
      <alignment vertical="top" wrapText="1"/>
    </xf>
    <xf numFmtId="0" fontId="3" fillId="0" borderId="0" xfId="0" applyFont="1"/>
    <xf numFmtId="0" fontId="7" fillId="0" borderId="0" xfId="2" applyFont="1" applyFill="1" applyBorder="1" applyAlignment="1">
      <alignment horizontal="left" vertical="center"/>
    </xf>
    <xf numFmtId="0" fontId="8" fillId="0" borderId="0" xfId="2" applyFont="1" applyFill="1" applyBorder="1" applyAlignment="1">
      <alignment horizontal="left"/>
    </xf>
    <xf numFmtId="0" fontId="19" fillId="0" borderId="0" xfId="2" applyFont="1" applyFill="1" applyBorder="1" applyAlignment="1"/>
    <xf numFmtId="0" fontId="8" fillId="0" borderId="23" xfId="2" applyFont="1" applyFill="1" applyBorder="1" applyAlignment="1">
      <alignment horizontal="left" vertical="center"/>
    </xf>
    <xf numFmtId="0" fontId="8" fillId="0" borderId="23" xfId="2" applyFont="1" applyFill="1" applyBorder="1" applyAlignment="1">
      <alignment horizontal="center" vertical="center"/>
    </xf>
    <xf numFmtId="0" fontId="8" fillId="0" borderId="0" xfId="2" applyFont="1" applyFill="1" applyBorder="1" applyAlignment="1">
      <alignment horizontal="left" vertical="center"/>
    </xf>
    <xf numFmtId="172" fontId="8" fillId="0" borderId="0" xfId="2" applyNumberFormat="1" applyFont="1" applyFill="1" applyBorder="1" applyAlignment="1">
      <alignment horizontal="left"/>
    </xf>
    <xf numFmtId="0" fontId="21" fillId="0" borderId="0" xfId="2" applyFont="1" applyFill="1" applyBorder="1" applyAlignment="1">
      <alignment horizontal="left"/>
    </xf>
    <xf numFmtId="0" fontId="7" fillId="0" borderId="23" xfId="2" applyFont="1" applyFill="1" applyBorder="1" applyAlignment="1">
      <alignment horizontal="center" vertical="center"/>
    </xf>
    <xf numFmtId="10" fontId="8" fillId="0" borderId="0" xfId="2" applyNumberFormat="1" applyFont="1" applyFill="1" applyBorder="1" applyAlignment="1">
      <alignment horizontal="center" vertical="center"/>
    </xf>
    <xf numFmtId="170" fontId="8" fillId="0" borderId="23" xfId="2" applyNumberFormat="1" applyFont="1" applyFill="1" applyBorder="1" applyAlignment="1">
      <alignment horizontal="left" vertical="center"/>
    </xf>
    <xf numFmtId="170" fontId="8" fillId="0" borderId="0" xfId="2" applyNumberFormat="1" applyFont="1" applyFill="1" applyBorder="1" applyAlignment="1">
      <alignment horizontal="left" vertical="center"/>
    </xf>
    <xf numFmtId="169" fontId="8" fillId="0" borderId="23" xfId="2" applyNumberFormat="1" applyFont="1" applyFill="1" applyBorder="1" applyAlignment="1">
      <alignment horizontal="left" vertical="center"/>
    </xf>
    <xf numFmtId="0" fontId="7" fillId="0" borderId="0" xfId="0" applyFont="1" applyFill="1" applyBorder="1" applyAlignment="1">
      <alignment horizontal="left"/>
    </xf>
    <xf numFmtId="0" fontId="5" fillId="0" borderId="0" xfId="0" applyFont="1" applyFill="1" applyBorder="1" applyAlignment="1">
      <alignment horizontal="right"/>
    </xf>
    <xf numFmtId="0" fontId="12" fillId="0" borderId="0" xfId="0" applyFont="1" applyFill="1" applyBorder="1" applyAlignment="1">
      <alignment horizontal="right"/>
    </xf>
    <xf numFmtId="0" fontId="5" fillId="0" borderId="0" xfId="0" applyFont="1" applyFill="1" applyBorder="1" applyAlignment="1">
      <alignment horizontal="left" vertical="center" wrapText="1"/>
    </xf>
    <xf numFmtId="0" fontId="5" fillId="0" borderId="0" xfId="2" applyFont="1" applyFill="1" applyBorder="1" applyAlignment="1">
      <alignment horizontal="right"/>
    </xf>
    <xf numFmtId="0" fontId="8" fillId="0" borderId="0" xfId="2" applyFont="1" applyFill="1" applyBorder="1" applyAlignment="1">
      <alignment horizontal="right"/>
    </xf>
    <xf numFmtId="6" fontId="2" fillId="0" borderId="0" xfId="0" applyNumberFormat="1" applyFont="1" applyFill="1" applyBorder="1" applyAlignment="1">
      <alignment horizontal="right" indent="1"/>
    </xf>
    <xf numFmtId="0" fontId="8" fillId="0" borderId="0" xfId="2" applyFont="1" applyFill="1" applyBorder="1" applyAlignment="1">
      <alignment horizontal="center" vertical="center"/>
    </xf>
    <xf numFmtId="164" fontId="0" fillId="0" borderId="0" xfId="0" applyNumberFormat="1" applyFont="1" applyFill="1" applyBorder="1" applyAlignment="1">
      <alignment horizontal="center"/>
    </xf>
    <xf numFmtId="164" fontId="2" fillId="0" borderId="8" xfId="0" applyNumberFormat="1" applyFont="1" applyFill="1" applyBorder="1" applyAlignment="1">
      <alignment horizontal="right" vertical="center"/>
    </xf>
    <xf numFmtId="164" fontId="2" fillId="0" borderId="10" xfId="0" applyNumberFormat="1" applyFont="1" applyFill="1" applyBorder="1" applyAlignment="1">
      <alignment horizontal="right" vertical="center"/>
    </xf>
    <xf numFmtId="0" fontId="4" fillId="0" borderId="23" xfId="0" applyFont="1" applyBorder="1"/>
    <xf numFmtId="174" fontId="0" fillId="0" borderId="23" xfId="0" applyNumberFormat="1" applyBorder="1"/>
    <xf numFmtId="0" fontId="0" fillId="0" borderId="23" xfId="0" applyBorder="1"/>
    <xf numFmtId="0" fontId="2" fillId="0" borderId="14" xfId="0" applyFont="1" applyBorder="1" applyAlignment="1">
      <alignment horizontal="center" vertical="center" wrapText="1"/>
    </xf>
    <xf numFmtId="164" fontId="2" fillId="0" borderId="14" xfId="0" applyNumberFormat="1" applyFont="1" applyBorder="1" applyAlignment="1">
      <alignment horizontal="center"/>
    </xf>
    <xf numFmtId="164" fontId="2" fillId="0" borderId="15" xfId="0" applyNumberFormat="1" applyFont="1" applyBorder="1" applyAlignment="1">
      <alignment horizontal="center"/>
    </xf>
    <xf numFmtId="0" fontId="0" fillId="0" borderId="0" xfId="0"/>
    <xf numFmtId="0" fontId="17" fillId="0" borderId="0" xfId="18" applyFill="1"/>
    <xf numFmtId="164" fontId="4" fillId="0" borderId="23" xfId="0" applyNumberFormat="1" applyFont="1" applyFill="1" applyBorder="1" applyAlignment="1">
      <alignment horizontal="center"/>
    </xf>
    <xf numFmtId="169" fontId="8" fillId="0" borderId="23" xfId="2" applyNumberFormat="1" applyFont="1" applyFill="1" applyBorder="1" applyAlignment="1">
      <alignment horizontal="center" vertical="center"/>
    </xf>
    <xf numFmtId="164" fontId="2" fillId="0" borderId="41" xfId="0" applyNumberFormat="1" applyFont="1" applyBorder="1" applyAlignment="1">
      <alignment horizontal="center"/>
    </xf>
    <xf numFmtId="164" fontId="2" fillId="0" borderId="45" xfId="0" applyNumberFormat="1" applyFont="1" applyBorder="1" applyAlignment="1">
      <alignment horizontal="center"/>
    </xf>
    <xf numFmtId="0" fontId="5" fillId="0" borderId="0" xfId="2" applyFont="1" applyFill="1" applyBorder="1" applyAlignment="1">
      <alignment horizontal="left" vertical="top"/>
    </xf>
    <xf numFmtId="173" fontId="22" fillId="0" borderId="0" xfId="2" applyNumberFormat="1" applyFont="1" applyFill="1" applyBorder="1" applyAlignment="1">
      <alignment horizontal="left" vertical="top"/>
    </xf>
    <xf numFmtId="0" fontId="0" fillId="0" borderId="23" xfId="0" applyFill="1" applyBorder="1"/>
    <xf numFmtId="0" fontId="0" fillId="0" borderId="0" xfId="0" applyAlignment="1">
      <alignment horizontal="center"/>
    </xf>
    <xf numFmtId="0" fontId="0" fillId="0" borderId="0" xfId="0" applyFill="1" applyAlignment="1">
      <alignment horizontal="center"/>
    </xf>
    <xf numFmtId="44" fontId="6" fillId="0" borderId="23" xfId="20" applyFont="1" applyBorder="1" applyAlignment="1">
      <alignment vertical="center"/>
    </xf>
    <xf numFmtId="44" fontId="6" fillId="0" borderId="23" xfId="20" applyFont="1" applyBorder="1" applyAlignment="1">
      <alignment horizontal="left" vertical="center"/>
    </xf>
    <xf numFmtId="44" fontId="6" fillId="0" borderId="23" xfId="20" applyFont="1" applyBorder="1" applyAlignment="1">
      <alignment horizontal="left"/>
    </xf>
    <xf numFmtId="2" fontId="6" fillId="0" borderId="23" xfId="7" applyNumberFormat="1" applyFont="1" applyBorder="1" applyAlignment="1">
      <alignment horizontal="right" vertical="center"/>
    </xf>
    <xf numFmtId="44" fontId="6" fillId="0" borderId="22" xfId="20" applyFont="1" applyBorder="1" applyAlignment="1">
      <alignment vertical="center"/>
    </xf>
    <xf numFmtId="44" fontId="6" fillId="0" borderId="22" xfId="20" applyFont="1" applyBorder="1" applyAlignment="1">
      <alignment horizontal="left" vertical="center"/>
    </xf>
    <xf numFmtId="6" fontId="3" fillId="0" borderId="0" xfId="0" applyNumberFormat="1" applyFont="1"/>
    <xf numFmtId="0" fontId="4" fillId="0" borderId="23" xfId="0" applyFont="1" applyBorder="1" applyAlignment="1">
      <alignment horizontal="center" vertical="center"/>
    </xf>
    <xf numFmtId="0" fontId="29" fillId="0" borderId="0" xfId="0" applyFont="1"/>
    <xf numFmtId="0" fontId="30" fillId="0" borderId="0" xfId="18" applyFont="1"/>
    <xf numFmtId="0" fontId="17" fillId="0" borderId="0" xfId="18"/>
    <xf numFmtId="2" fontId="0" fillId="0" borderId="23" xfId="0" applyNumberFormat="1" applyBorder="1"/>
    <xf numFmtId="2" fontId="0" fillId="6" borderId="23" xfId="0" applyNumberFormat="1" applyFill="1" applyBorder="1"/>
    <xf numFmtId="2" fontId="0" fillId="0" borderId="23" xfId="0" applyNumberFormat="1" applyBorder="1" applyAlignment="1">
      <alignment horizontal="center"/>
    </xf>
    <xf numFmtId="44" fontId="0" fillId="0" borderId="23" xfId="1" applyFont="1" applyBorder="1" applyAlignment="1">
      <alignment horizontal="center"/>
    </xf>
    <xf numFmtId="9" fontId="0" fillId="0" borderId="0" xfId="0" applyNumberFormat="1"/>
    <xf numFmtId="0" fontId="5" fillId="0" borderId="0" xfId="0" applyFont="1"/>
    <xf numFmtId="0" fontId="12" fillId="0" borderId="0" xfId="0" applyFont="1"/>
    <xf numFmtId="44" fontId="5" fillId="0" borderId="0" xfId="1" applyFont="1" applyFill="1"/>
    <xf numFmtId="0" fontId="18" fillId="0" borderId="0" xfId="0" applyFont="1"/>
    <xf numFmtId="0" fontId="0" fillId="0" borderId="0" xfId="0"/>
    <xf numFmtId="6" fontId="2" fillId="0" borderId="12" xfId="0" applyNumberFormat="1" applyFont="1" applyFill="1" applyBorder="1" applyAlignment="1">
      <alignment horizontal="right" indent="1"/>
    </xf>
    <xf numFmtId="0" fontId="0" fillId="0" borderId="0" xfId="0"/>
    <xf numFmtId="0" fontId="0" fillId="0" borderId="0" xfId="0" applyAlignment="1">
      <alignment horizontal="center"/>
    </xf>
    <xf numFmtId="170" fontId="0" fillId="0" borderId="23" xfId="0" applyNumberFormat="1" applyFont="1" applyFill="1" applyBorder="1" applyAlignment="1">
      <alignment horizontal="center"/>
    </xf>
    <xf numFmtId="2" fontId="0" fillId="0" borderId="23" xfId="16" applyNumberFormat="1" applyFont="1" applyFill="1" applyBorder="1" applyAlignment="1">
      <alignment horizontal="center"/>
    </xf>
    <xf numFmtId="37" fontId="2" fillId="0" borderId="14" xfId="15" applyNumberFormat="1" applyFont="1" applyFill="1" applyBorder="1" applyAlignment="1">
      <alignment horizontal="center"/>
    </xf>
    <xf numFmtId="37" fontId="2" fillId="0" borderId="41" xfId="15" applyNumberFormat="1" applyFont="1" applyFill="1" applyBorder="1" applyAlignment="1">
      <alignment horizontal="center"/>
    </xf>
    <xf numFmtId="6" fontId="2" fillId="0" borderId="14" xfId="15" applyNumberFormat="1" applyFont="1" applyFill="1" applyBorder="1" applyAlignment="1">
      <alignment horizontal="right"/>
    </xf>
    <xf numFmtId="6" fontId="2" fillId="0" borderId="8" xfId="15" applyNumberFormat="1" applyFont="1" applyFill="1" applyBorder="1" applyAlignment="1">
      <alignment horizontal="right"/>
    </xf>
    <xf numFmtId="0" fontId="2" fillId="0" borderId="5" xfId="0" applyFont="1" applyBorder="1" applyAlignment="1">
      <alignment horizontal="center"/>
    </xf>
    <xf numFmtId="169" fontId="0" fillId="0" borderId="0" xfId="16" applyNumberFormat="1" applyFont="1" applyFill="1" applyBorder="1" applyAlignment="1">
      <alignment horizontal="center"/>
    </xf>
    <xf numFmtId="2" fontId="0" fillId="0" borderId="0" xfId="16" applyNumberFormat="1" applyFont="1" applyFill="1" applyBorder="1" applyAlignment="1">
      <alignment horizontal="center"/>
    </xf>
    <xf numFmtId="170" fontId="0" fillId="0" borderId="0" xfId="0" applyNumberFormat="1" applyFont="1" applyFill="1" applyBorder="1" applyAlignment="1">
      <alignment horizontal="center"/>
    </xf>
    <xf numFmtId="37" fontId="2" fillId="0" borderId="14" xfId="15" applyNumberFormat="1" applyFont="1" applyFill="1" applyBorder="1" applyAlignment="1">
      <alignment vertical="center"/>
    </xf>
    <xf numFmtId="37" fontId="2" fillId="0" borderId="15" xfId="15" applyNumberFormat="1" applyFont="1" applyFill="1" applyBorder="1" applyAlignment="1">
      <alignment vertical="center"/>
    </xf>
    <xf numFmtId="37" fontId="2" fillId="0" borderId="46" xfId="15" applyNumberFormat="1" applyFont="1" applyFill="1" applyBorder="1" applyAlignment="1">
      <alignment horizontal="center"/>
    </xf>
    <xf numFmtId="6" fontId="2" fillId="0" borderId="13" xfId="15" applyNumberFormat="1" applyFont="1" applyFill="1" applyBorder="1" applyAlignment="1">
      <alignment horizontal="right"/>
    </xf>
    <xf numFmtId="6" fontId="2" fillId="0" borderId="6" xfId="15" applyNumberFormat="1" applyFont="1" applyFill="1" applyBorder="1" applyAlignment="1">
      <alignment horizontal="right"/>
    </xf>
    <xf numFmtId="6" fontId="2" fillId="0" borderId="13" xfId="15" applyNumberFormat="1" applyFont="1" applyFill="1" applyBorder="1" applyAlignment="1"/>
    <xf numFmtId="6" fontId="2" fillId="0" borderId="14" xfId="15" applyNumberFormat="1" applyFont="1" applyFill="1" applyBorder="1" applyAlignment="1"/>
    <xf numFmtId="37" fontId="31" fillId="7" borderId="41" xfId="15" applyNumberFormat="1" applyFont="1" applyFill="1" applyBorder="1" applyAlignment="1">
      <alignment horizontal="center"/>
    </xf>
    <xf numFmtId="6" fontId="2" fillId="7" borderId="14" xfId="15" applyNumberFormat="1" applyFont="1" applyFill="1" applyBorder="1" applyAlignment="1">
      <alignment horizontal="right"/>
    </xf>
    <xf numFmtId="6" fontId="2" fillId="7" borderId="8" xfId="15" applyNumberFormat="1" applyFont="1" applyFill="1" applyBorder="1" applyAlignment="1">
      <alignment horizontal="right"/>
    </xf>
    <xf numFmtId="37" fontId="2" fillId="7" borderId="41" xfId="15" applyNumberFormat="1" applyFont="1" applyFill="1" applyBorder="1" applyAlignment="1">
      <alignment horizontal="center"/>
    </xf>
    <xf numFmtId="37" fontId="2" fillId="7" borderId="45" xfId="15" applyNumberFormat="1" applyFont="1" applyFill="1" applyBorder="1" applyAlignment="1">
      <alignment horizontal="center"/>
    </xf>
    <xf numFmtId="6" fontId="2" fillId="7" borderId="15" xfId="15" applyNumberFormat="1" applyFont="1" applyFill="1" applyBorder="1" applyAlignment="1">
      <alignment horizontal="right"/>
    </xf>
    <xf numFmtId="6" fontId="2" fillId="7" borderId="10" xfId="15" applyNumberFormat="1" applyFont="1" applyFill="1" applyBorder="1" applyAlignment="1">
      <alignment horizontal="right"/>
    </xf>
    <xf numFmtId="0" fontId="0" fillId="0" borderId="0" xfId="0"/>
    <xf numFmtId="0" fontId="5" fillId="0" borderId="0" xfId="2" applyFont="1" applyFill="1" applyBorder="1" applyAlignment="1">
      <alignment horizontal="left" vertical="top" wrapText="1"/>
    </xf>
    <xf numFmtId="0" fontId="0" fillId="0" borderId="0" xfId="0"/>
    <xf numFmtId="0" fontId="4" fillId="0" borderId="24" xfId="0" applyFont="1" applyBorder="1" applyAlignment="1">
      <alignment horizontal="left"/>
    </xf>
    <xf numFmtId="0" fontId="0" fillId="0" borderId="0" xfId="0" applyAlignment="1">
      <alignment horizontal="left" vertical="top" wrapText="1"/>
    </xf>
    <xf numFmtId="0" fontId="0" fillId="0" borderId="23" xfId="0" applyBorder="1" applyAlignment="1">
      <alignment horizontal="center" vertical="center"/>
    </xf>
    <xf numFmtId="0" fontId="0" fillId="0" borderId="23" xfId="0" applyBorder="1" applyAlignment="1">
      <alignment horizontal="center"/>
    </xf>
    <xf numFmtId="0" fontId="0" fillId="0" borderId="0" xfId="0" applyAlignment="1">
      <alignment horizontal="center"/>
    </xf>
    <xf numFmtId="37" fontId="2" fillId="0" borderId="15" xfId="15" applyNumberFormat="1" applyFont="1" applyFill="1" applyBorder="1" applyAlignment="1">
      <alignment horizontal="center"/>
    </xf>
    <xf numFmtId="0" fontId="0" fillId="0" borderId="48" xfId="0" applyFont="1" applyFill="1" applyBorder="1" applyAlignment="1"/>
    <xf numFmtId="0" fontId="4" fillId="0" borderId="0" xfId="0" applyFont="1" applyFill="1" applyBorder="1" applyAlignment="1"/>
    <xf numFmtId="37" fontId="1" fillId="0" borderId="23" xfId="15" applyNumberFormat="1" applyFont="1" applyFill="1" applyBorder="1" applyAlignment="1">
      <alignment horizontal="center"/>
    </xf>
    <xf numFmtId="0" fontId="0" fillId="0" borderId="0" xfId="0"/>
    <xf numFmtId="6" fontId="2" fillId="0" borderId="15" xfId="15" applyNumberFormat="1" applyFont="1" applyFill="1" applyBorder="1" applyAlignment="1">
      <alignment horizontal="right"/>
    </xf>
    <xf numFmtId="6" fontId="2" fillId="0" borderId="10" xfId="15" applyNumberFormat="1" applyFont="1" applyFill="1" applyBorder="1" applyAlignment="1">
      <alignment horizontal="right"/>
    </xf>
    <xf numFmtId="0" fontId="5" fillId="0" borderId="0" xfId="0" applyFont="1" applyFill="1" applyBorder="1" applyAlignment="1">
      <alignment vertical="top" wrapText="1"/>
    </xf>
    <xf numFmtId="0" fontId="0" fillId="0" borderId="66" xfId="0" applyFill="1" applyBorder="1"/>
    <xf numFmtId="175" fontId="2" fillId="0" borderId="5" xfId="0" applyNumberFormat="1" applyFont="1" applyBorder="1" applyAlignment="1">
      <alignment horizontal="center"/>
    </xf>
    <xf numFmtId="6" fontId="2" fillId="0" borderId="29" xfId="0" applyNumberFormat="1" applyFont="1" applyBorder="1" applyAlignment="1">
      <alignment horizontal="center"/>
    </xf>
    <xf numFmtId="6" fontId="2" fillId="0" borderId="18" xfId="0" applyNumberFormat="1" applyFont="1" applyBorder="1" applyAlignment="1">
      <alignment horizontal="center"/>
    </xf>
    <xf numFmtId="3" fontId="2" fillId="0" borderId="13" xfId="0" applyNumberFormat="1" applyFont="1" applyBorder="1" applyAlignment="1">
      <alignment horizontal="center"/>
    </xf>
    <xf numFmtId="177" fontId="2" fillId="0" borderId="29" xfId="0" applyNumberFormat="1" applyFont="1" applyBorder="1" applyAlignment="1">
      <alignment horizontal="center"/>
    </xf>
    <xf numFmtId="177" fontId="2" fillId="0" borderId="50" xfId="0" applyNumberFormat="1" applyFont="1" applyBorder="1" applyAlignment="1">
      <alignment horizontal="center"/>
    </xf>
    <xf numFmtId="177" fontId="2" fillId="0" borderId="18" xfId="0" applyNumberFormat="1" applyFont="1" applyBorder="1" applyAlignment="1">
      <alignment horizontal="center"/>
    </xf>
    <xf numFmtId="6" fontId="2" fillId="0" borderId="61" xfId="0" applyNumberFormat="1" applyFont="1" applyBorder="1" applyAlignment="1">
      <alignment horizontal="center"/>
    </xf>
    <xf numFmtId="6" fontId="2" fillId="0" borderId="50" xfId="0" applyNumberFormat="1" applyFont="1" applyBorder="1" applyAlignment="1">
      <alignment horizontal="center"/>
    </xf>
    <xf numFmtId="6" fontId="2" fillId="0" borderId="13" xfId="0" applyNumberFormat="1" applyFont="1" applyBorder="1" applyAlignment="1">
      <alignment horizontal="center"/>
    </xf>
    <xf numFmtId="6" fontId="2" fillId="0" borderId="6" xfId="0" applyNumberFormat="1" applyFont="1" applyBorder="1" applyAlignment="1">
      <alignment horizontal="center"/>
    </xf>
    <xf numFmtId="6" fontId="2" fillId="0" borderId="38" xfId="0" applyNumberFormat="1" applyFont="1" applyBorder="1" applyAlignment="1">
      <alignment horizontal="center"/>
    </xf>
    <xf numFmtId="6" fontId="2" fillId="0" borderId="39" xfId="0" applyNumberFormat="1" applyFont="1" applyBorder="1" applyAlignment="1">
      <alignment horizontal="center"/>
    </xf>
    <xf numFmtId="175" fontId="2" fillId="0" borderId="37" xfId="0" applyNumberFormat="1" applyFont="1" applyBorder="1" applyAlignment="1">
      <alignment horizontal="center"/>
    </xf>
    <xf numFmtId="3" fontId="2" fillId="0" borderId="14" xfId="0" applyNumberFormat="1" applyFont="1" applyBorder="1" applyAlignment="1">
      <alignment horizontal="center"/>
    </xf>
    <xf numFmtId="177" fontId="2" fillId="0" borderId="34" xfId="0" applyNumberFormat="1" applyFont="1" applyBorder="1" applyAlignment="1">
      <alignment horizontal="center"/>
    </xf>
    <xf numFmtId="177" fontId="2" fillId="0" borderId="23" xfId="0" applyNumberFormat="1" applyFont="1" applyBorder="1" applyAlignment="1">
      <alignment horizontal="center"/>
    </xf>
    <xf numFmtId="177" fontId="2" fillId="0" borderId="19" xfId="0" applyNumberFormat="1" applyFont="1" applyBorder="1" applyAlignment="1">
      <alignment horizontal="center"/>
    </xf>
    <xf numFmtId="6" fontId="2" fillId="0" borderId="49" xfId="0" applyNumberFormat="1" applyFont="1" applyBorder="1" applyAlignment="1">
      <alignment horizontal="center"/>
    </xf>
    <xf numFmtId="6" fontId="2" fillId="0" borderId="23" xfId="0" applyNumberFormat="1" applyFont="1" applyBorder="1" applyAlignment="1">
      <alignment horizontal="center"/>
    </xf>
    <xf numFmtId="6" fontId="2" fillId="0" borderId="19" xfId="0" applyNumberFormat="1" applyFont="1" applyBorder="1" applyAlignment="1">
      <alignment horizontal="center"/>
    </xf>
    <xf numFmtId="6" fontId="2" fillId="0" borderId="14" xfId="0" applyNumberFormat="1" applyFont="1" applyBorder="1" applyAlignment="1">
      <alignment horizontal="center"/>
    </xf>
    <xf numFmtId="6" fontId="2" fillId="0" borderId="8" xfId="0" applyNumberFormat="1" applyFont="1" applyBorder="1" applyAlignment="1">
      <alignment horizontal="center"/>
    </xf>
    <xf numFmtId="6" fontId="2" fillId="0" borderId="34" xfId="0" applyNumberFormat="1" applyFont="1" applyBorder="1" applyAlignment="1">
      <alignment horizontal="center"/>
    </xf>
    <xf numFmtId="174" fontId="0" fillId="0" borderId="23" xfId="0" applyNumberFormat="1" applyBorder="1" applyAlignment="1">
      <alignment horizontal="center" vertical="center"/>
    </xf>
    <xf numFmtId="0" fontId="5" fillId="0" borderId="0" xfId="0" applyFont="1" applyAlignment="1">
      <alignment horizontal="center"/>
    </xf>
    <xf numFmtId="0" fontId="12" fillId="0" borderId="0" xfId="0" applyFont="1" applyAlignment="1">
      <alignment horizontal="center"/>
    </xf>
    <xf numFmtId="0" fontId="5" fillId="0" borderId="0" xfId="0" applyFont="1" applyAlignment="1">
      <alignment horizontal="center" vertical="center"/>
    </xf>
    <xf numFmtId="6" fontId="0" fillId="0" borderId="23" xfId="0" applyNumberFormat="1" applyBorder="1"/>
    <xf numFmtId="175" fontId="2" fillId="0" borderId="9" xfId="0" applyNumberFormat="1" applyFont="1" applyBorder="1" applyAlignment="1">
      <alignment horizontal="center"/>
    </xf>
    <xf numFmtId="6" fontId="2" fillId="0" borderId="30" xfId="0" applyNumberFormat="1" applyFont="1" applyBorder="1" applyAlignment="1">
      <alignment horizontal="center"/>
    </xf>
    <xf numFmtId="6" fontId="2" fillId="0" borderId="20" xfId="0" applyNumberFormat="1" applyFont="1" applyBorder="1" applyAlignment="1">
      <alignment horizontal="center"/>
    </xf>
    <xf numFmtId="3" fontId="2" fillId="0" borderId="15" xfId="0" applyNumberFormat="1" applyFont="1" applyBorder="1" applyAlignment="1">
      <alignment horizontal="center"/>
    </xf>
    <xf numFmtId="177" fontId="2" fillId="0" borderId="30" xfId="0" applyNumberFormat="1" applyFont="1" applyBorder="1" applyAlignment="1">
      <alignment horizontal="center"/>
    </xf>
    <xf numFmtId="177" fontId="2" fillId="0" borderId="42" xfId="0" applyNumberFormat="1" applyFont="1" applyBorder="1" applyAlignment="1">
      <alignment horizontal="center"/>
    </xf>
    <xf numFmtId="177" fontId="2" fillId="0" borderId="20" xfId="0" applyNumberFormat="1" applyFont="1" applyBorder="1" applyAlignment="1">
      <alignment horizontal="center"/>
    </xf>
    <xf numFmtId="6" fontId="2" fillId="0" borderId="62" xfId="0" applyNumberFormat="1" applyFont="1" applyBorder="1" applyAlignment="1">
      <alignment horizontal="center"/>
    </xf>
    <xf numFmtId="6" fontId="2" fillId="0" borderId="42" xfId="0" applyNumberFormat="1" applyFont="1" applyBorder="1" applyAlignment="1">
      <alignment horizontal="center"/>
    </xf>
    <xf numFmtId="6" fontId="2" fillId="0" borderId="15" xfId="0" applyNumberFormat="1" applyFont="1" applyBorder="1" applyAlignment="1">
      <alignment horizontal="center"/>
    </xf>
    <xf numFmtId="6" fontId="2" fillId="0" borderId="10" xfId="0" applyNumberFormat="1" applyFont="1" applyBorder="1" applyAlignment="1">
      <alignment horizontal="center"/>
    </xf>
    <xf numFmtId="6" fontId="2" fillId="0" borderId="0" xfId="0" applyNumberFormat="1" applyFont="1" applyAlignment="1">
      <alignment horizontal="center"/>
    </xf>
    <xf numFmtId="0" fontId="23" fillId="0" borderId="0" xfId="0" applyFont="1"/>
    <xf numFmtId="0" fontId="0" fillId="0" borderId="0" xfId="0" applyAlignment="1">
      <alignment wrapText="1"/>
    </xf>
    <xf numFmtId="0" fontId="4" fillId="0" borderId="0" xfId="0" applyFont="1" applyAlignment="1">
      <alignment horizontal="center" vertical="center" textRotation="90" wrapText="1"/>
    </xf>
    <xf numFmtId="0" fontId="32" fillId="0" borderId="0" xfId="0" applyFont="1"/>
    <xf numFmtId="176" fontId="0" fillId="0" borderId="23" xfId="0" applyNumberFormat="1" applyFill="1" applyBorder="1" applyAlignment="1">
      <alignment horizontal="center"/>
    </xf>
    <xf numFmtId="2" fontId="8" fillId="0" borderId="23" xfId="2" applyNumberFormat="1" applyFont="1" applyFill="1" applyBorder="1" applyAlignment="1">
      <alignment horizontal="center" vertical="center"/>
    </xf>
    <xf numFmtId="164" fontId="2" fillId="0" borderId="46" xfId="0" applyNumberFormat="1" applyFont="1" applyBorder="1" applyAlignment="1">
      <alignment horizontal="right" vertical="center"/>
    </xf>
    <xf numFmtId="164" fontId="2" fillId="0" borderId="34" xfId="0" applyNumberFormat="1" applyFont="1" applyBorder="1" applyAlignment="1">
      <alignment horizontal="right" vertical="center" wrapText="1"/>
    </xf>
    <xf numFmtId="164" fontId="2" fillId="0" borderId="48" xfId="0" applyNumberFormat="1" applyFont="1" applyBorder="1" applyAlignment="1">
      <alignment horizontal="right" vertical="center" wrapText="1"/>
    </xf>
    <xf numFmtId="164" fontId="2" fillId="0" borderId="19" xfId="0" applyNumberFormat="1" applyFont="1" applyBorder="1" applyAlignment="1">
      <alignment horizontal="right" vertical="center" wrapText="1"/>
    </xf>
    <xf numFmtId="164" fontId="2" fillId="0" borderId="41" xfId="0" applyNumberFormat="1" applyFont="1" applyBorder="1" applyAlignment="1">
      <alignment horizontal="right" vertical="center"/>
    </xf>
    <xf numFmtId="164" fontId="2" fillId="0" borderId="38" xfId="0" applyNumberFormat="1" applyFont="1" applyBorder="1" applyAlignment="1">
      <alignment horizontal="right"/>
    </xf>
    <xf numFmtId="164" fontId="2" fillId="0" borderId="39" xfId="0" applyNumberFormat="1" applyFont="1" applyBorder="1" applyAlignment="1">
      <alignment horizontal="right"/>
    </xf>
    <xf numFmtId="164" fontId="2" fillId="0" borderId="41" xfId="0" applyNumberFormat="1" applyFont="1" applyBorder="1" applyAlignment="1">
      <alignment horizontal="right"/>
    </xf>
    <xf numFmtId="164" fontId="2" fillId="0" borderId="34" xfId="0" applyNumberFormat="1" applyFont="1" applyBorder="1" applyAlignment="1">
      <alignment horizontal="right"/>
    </xf>
    <xf numFmtId="164" fontId="2" fillId="0" borderId="30" xfId="0" applyNumberFormat="1" applyFont="1" applyBorder="1" applyAlignment="1">
      <alignment horizontal="right"/>
    </xf>
    <xf numFmtId="164" fontId="2" fillId="0" borderId="20" xfId="0" applyNumberFormat="1" applyFont="1" applyBorder="1" applyAlignment="1">
      <alignment horizontal="right"/>
    </xf>
    <xf numFmtId="164" fontId="2" fillId="0" borderId="45" xfId="0" applyNumberFormat="1" applyFont="1" applyBorder="1" applyAlignment="1">
      <alignment horizontal="right"/>
    </xf>
    <xf numFmtId="6" fontId="2" fillId="0" borderId="47" xfId="0" applyNumberFormat="1" applyFont="1" applyFill="1" applyBorder="1" applyAlignment="1">
      <alignment horizontal="right" indent="1"/>
    </xf>
    <xf numFmtId="164" fontId="2" fillId="0" borderId="18" xfId="0" applyNumberFormat="1" applyFont="1" applyBorder="1" applyAlignment="1">
      <alignment horizontal="right" vertical="center"/>
    </xf>
    <xf numFmtId="164" fontId="2" fillId="0" borderId="19" xfId="0" applyNumberFormat="1" applyFont="1" applyBorder="1" applyAlignment="1">
      <alignment horizontal="right" vertical="center"/>
    </xf>
    <xf numFmtId="164" fontId="2" fillId="0" borderId="19" xfId="0" applyNumberFormat="1" applyFont="1" applyBorder="1" applyAlignment="1">
      <alignment horizontal="right"/>
    </xf>
    <xf numFmtId="0" fontId="4" fillId="2" borderId="70" xfId="0" applyFont="1" applyFill="1" applyBorder="1"/>
    <xf numFmtId="0" fontId="4" fillId="2" borderId="30" xfId="0" applyFont="1" applyFill="1" applyBorder="1"/>
    <xf numFmtId="0" fontId="4" fillId="0" borderId="23" xfId="0" applyFont="1" applyFill="1" applyBorder="1" applyAlignment="1">
      <alignment horizontal="center"/>
    </xf>
    <xf numFmtId="0" fontId="0" fillId="0" borderId="0" xfId="0" applyBorder="1" applyAlignment="1">
      <alignment horizontal="center" vertical="center"/>
    </xf>
    <xf numFmtId="0" fontId="0" fillId="0" borderId="66" xfId="0" applyBorder="1"/>
    <xf numFmtId="2" fontId="0" fillId="0" borderId="66" xfId="0" applyNumberFormat="1" applyBorder="1"/>
    <xf numFmtId="2" fontId="0" fillId="6" borderId="66" xfId="0" applyNumberFormat="1" applyFill="1" applyBorder="1"/>
    <xf numFmtId="2" fontId="0" fillId="0" borderId="66" xfId="0" applyNumberFormat="1" applyBorder="1" applyAlignment="1">
      <alignment horizontal="center"/>
    </xf>
    <xf numFmtId="44" fontId="0" fillId="0" borderId="66" xfId="1" applyFont="1" applyBorder="1" applyAlignment="1">
      <alignment horizontal="center"/>
    </xf>
    <xf numFmtId="0" fontId="4" fillId="0" borderId="29" xfId="0" applyFont="1" applyFill="1" applyBorder="1"/>
    <xf numFmtId="0" fontId="4" fillId="0" borderId="50" xfId="0" applyFont="1" applyFill="1" applyBorder="1"/>
    <xf numFmtId="0" fontId="4" fillId="0" borderId="50" xfId="0" applyFont="1" applyBorder="1"/>
    <xf numFmtId="0" fontId="4" fillId="0" borderId="2" xfId="0" applyFont="1" applyBorder="1"/>
    <xf numFmtId="2" fontId="4" fillId="0" borderId="50" xfId="0" applyNumberFormat="1" applyFont="1" applyBorder="1"/>
    <xf numFmtId="2" fontId="4" fillId="6" borderId="50" xfId="0" applyNumberFormat="1" applyFont="1" applyFill="1" applyBorder="1"/>
    <xf numFmtId="2" fontId="4" fillId="0" borderId="50" xfId="0" applyNumberFormat="1" applyFont="1" applyBorder="1" applyAlignment="1">
      <alignment horizontal="center"/>
    </xf>
    <xf numFmtId="0" fontId="4" fillId="0" borderId="30" xfId="0" applyFont="1" applyFill="1" applyBorder="1"/>
    <xf numFmtId="0" fontId="4" fillId="0" borderId="42" xfId="0" applyFont="1" applyFill="1" applyBorder="1"/>
    <xf numFmtId="0" fontId="4" fillId="0" borderId="42" xfId="0" applyFont="1" applyBorder="1"/>
    <xf numFmtId="0" fontId="4" fillId="0" borderId="4" xfId="0" applyFont="1" applyBorder="1"/>
    <xf numFmtId="2" fontId="4" fillId="0" borderId="42" xfId="0" applyNumberFormat="1" applyFont="1" applyBorder="1"/>
    <xf numFmtId="2" fontId="4" fillId="6" borderId="42" xfId="0" applyNumberFormat="1" applyFont="1" applyFill="1" applyBorder="1"/>
    <xf numFmtId="2" fontId="4" fillId="0" borderId="42" xfId="0" applyNumberFormat="1" applyFont="1" applyBorder="1" applyAlignment="1">
      <alignment horizontal="center"/>
    </xf>
    <xf numFmtId="44" fontId="4" fillId="0" borderId="18" xfId="1" applyNumberFormat="1" applyFont="1" applyBorder="1" applyAlignment="1">
      <alignment horizontal="center"/>
    </xf>
    <xf numFmtId="44" fontId="4" fillId="0" borderId="20" xfId="1" applyNumberFormat="1" applyFont="1" applyBorder="1" applyAlignment="1">
      <alignment horizontal="center"/>
    </xf>
    <xf numFmtId="0" fontId="0" fillId="0" borderId="0" xfId="0"/>
    <xf numFmtId="0" fontId="2" fillId="0" borderId="13" xfId="0" applyFont="1" applyBorder="1" applyAlignment="1">
      <alignment horizontal="center" vertical="center" wrapText="1"/>
    </xf>
    <xf numFmtId="164" fontId="2" fillId="0" borderId="43" xfId="0" applyNumberFormat="1" applyFont="1" applyBorder="1" applyAlignment="1">
      <alignment horizontal="center"/>
    </xf>
    <xf numFmtId="0" fontId="2" fillId="0" borderId="15" xfId="0" applyFont="1" applyBorder="1" applyAlignment="1">
      <alignment horizontal="center" vertical="center" wrapText="1"/>
    </xf>
    <xf numFmtId="164" fontId="2" fillId="8" borderId="40" xfId="0" applyNumberFormat="1" applyFont="1" applyFill="1" applyBorder="1" applyAlignment="1">
      <alignment horizontal="center"/>
    </xf>
    <xf numFmtId="164" fontId="2" fillId="8" borderId="43" xfId="0" applyNumberFormat="1" applyFont="1" applyFill="1" applyBorder="1" applyAlignment="1">
      <alignment horizontal="center"/>
    </xf>
    <xf numFmtId="0" fontId="0" fillId="0" borderId="0" xfId="0"/>
    <xf numFmtId="6" fontId="0" fillId="0" borderId="0" xfId="0" applyNumberFormat="1"/>
    <xf numFmtId="0" fontId="0" fillId="0" borderId="0" xfId="0" applyFill="1" applyAlignment="1">
      <alignment horizontal="left" vertical="top" wrapText="1"/>
    </xf>
    <xf numFmtId="0" fontId="0" fillId="0" borderId="0" xfId="0" applyFont="1" applyFill="1" applyAlignment="1">
      <alignment horizontal="left" vertical="top" wrapText="1"/>
    </xf>
    <xf numFmtId="0" fontId="0" fillId="0" borderId="23" xfId="0" applyFill="1" applyBorder="1" applyAlignment="1">
      <alignment horizontal="center"/>
    </xf>
    <xf numFmtId="0" fontId="4" fillId="0" borderId="24" xfId="0" applyFont="1" applyFill="1" applyBorder="1" applyAlignment="1">
      <alignment horizontal="left"/>
    </xf>
    <xf numFmtId="0" fontId="4" fillId="0" borderId="0" xfId="0" applyFont="1" applyFill="1" applyBorder="1" applyAlignment="1">
      <alignment horizontal="center"/>
    </xf>
    <xf numFmtId="0" fontId="0" fillId="0" borderId="23" xfId="0" applyFont="1" applyFill="1" applyBorder="1" applyAlignment="1">
      <alignment horizontal="center"/>
    </xf>
    <xf numFmtId="0" fontId="4" fillId="0" borderId="0" xfId="0" applyFont="1" applyFill="1" applyBorder="1" applyAlignment="1">
      <alignment horizontal="left"/>
    </xf>
    <xf numFmtId="0" fontId="0" fillId="0" borderId="0" xfId="0"/>
    <xf numFmtId="0" fontId="4" fillId="0" borderId="23" xfId="0" applyFont="1" applyBorder="1" applyAlignment="1">
      <alignment horizontal="center" wrapText="1"/>
    </xf>
    <xf numFmtId="0" fontId="0" fillId="0" borderId="23" xfId="0" applyBorder="1" applyAlignment="1">
      <alignment horizontal="center"/>
    </xf>
    <xf numFmtId="0" fontId="0" fillId="0" borderId="0" xfId="0" applyAlignment="1">
      <alignment horizontal="center"/>
    </xf>
    <xf numFmtId="2" fontId="0" fillId="0" borderId="23" xfId="0" applyNumberFormat="1" applyFill="1" applyBorder="1" applyAlignment="1">
      <alignment horizontal="center"/>
    </xf>
    <xf numFmtId="0" fontId="12" fillId="0" borderId="23" xfId="0" applyFont="1" applyBorder="1" applyAlignment="1">
      <alignment horizontal="center" vertical="center"/>
    </xf>
    <xf numFmtId="0" fontId="12" fillId="0" borderId="23" xfId="0" applyFont="1" applyBorder="1"/>
    <xf numFmtId="0" fontId="35" fillId="0" borderId="23" xfId="0" applyFont="1" applyBorder="1" applyAlignment="1">
      <alignment horizontal="center" vertical="center"/>
    </xf>
    <xf numFmtId="0" fontId="38" fillId="11" borderId="72" xfId="0" applyFont="1" applyFill="1" applyBorder="1" applyAlignment="1">
      <alignment horizontal="left" vertical="center" wrapText="1"/>
    </xf>
    <xf numFmtId="0" fontId="38" fillId="9" borderId="72" xfId="0" applyFont="1" applyFill="1" applyBorder="1" applyAlignment="1">
      <alignment horizontal="left" vertical="center" wrapText="1"/>
    </xf>
    <xf numFmtId="0" fontId="38" fillId="11" borderId="72" xfId="0" applyFont="1" applyFill="1" applyBorder="1" applyAlignment="1">
      <alignment horizontal="center" vertical="center" wrapText="1"/>
    </xf>
    <xf numFmtId="0" fontId="38" fillId="9" borderId="72" xfId="0" applyFont="1" applyFill="1" applyBorder="1" applyAlignment="1">
      <alignment horizontal="center" vertical="center" wrapText="1"/>
    </xf>
    <xf numFmtId="0" fontId="30" fillId="0" borderId="0" xfId="18" applyFont="1" applyAlignment="1">
      <alignment horizontal="left"/>
    </xf>
    <xf numFmtId="0" fontId="29" fillId="0" borderId="0" xfId="0" applyFont="1" applyAlignment="1">
      <alignment horizontal="right"/>
    </xf>
    <xf numFmtId="0" fontId="39" fillId="0" borderId="0" xfId="0" applyFont="1"/>
    <xf numFmtId="0" fontId="39" fillId="0" borderId="0" xfId="0" applyFont="1" applyAlignment="1">
      <alignment horizontal="left"/>
    </xf>
    <xf numFmtId="0" fontId="39" fillId="0" borderId="0" xfId="0" applyFont="1" applyAlignment="1">
      <alignment horizontal="center"/>
    </xf>
    <xf numFmtId="0" fontId="0" fillId="0" borderId="0" xfId="0" applyFont="1"/>
    <xf numFmtId="0" fontId="6" fillId="0" borderId="23" xfId="140" applyFont="1" applyBorder="1" applyAlignment="1">
      <alignment vertical="center"/>
    </xf>
    <xf numFmtId="0" fontId="6" fillId="0" borderId="23" xfId="140" applyFont="1" applyBorder="1"/>
    <xf numFmtId="44" fontId="6" fillId="0" borderId="23" xfId="20" applyBorder="1" applyAlignment="1">
      <alignment horizontal="left" vertical="center"/>
    </xf>
    <xf numFmtId="44" fontId="6" fillId="0" borderId="23" xfId="20" applyBorder="1" applyAlignment="1">
      <alignment horizontal="left"/>
    </xf>
    <xf numFmtId="0" fontId="6" fillId="0" borderId="23" xfId="140" applyFont="1" applyBorder="1" applyAlignment="1">
      <alignment horizontal="left" vertical="center"/>
    </xf>
    <xf numFmtId="2" fontId="6" fillId="0" borderId="23" xfId="140" applyNumberFormat="1" applyFont="1" applyBorder="1" applyAlignment="1">
      <alignment horizontal="right" vertical="center"/>
    </xf>
    <xf numFmtId="0" fontId="6" fillId="0" borderId="0" xfId="140" applyFont="1" applyAlignment="1">
      <alignment vertical="center"/>
    </xf>
    <xf numFmtId="0" fontId="24" fillId="0" borderId="0" xfId="140" applyFont="1" applyAlignment="1">
      <alignment vertical="center"/>
    </xf>
    <xf numFmtId="2" fontId="6" fillId="0" borderId="22" xfId="140" applyNumberFormat="1" applyFont="1" applyBorder="1" applyAlignment="1">
      <alignment horizontal="right" vertical="center"/>
    </xf>
    <xf numFmtId="2" fontId="41" fillId="0" borderId="22" xfId="140" applyNumberFormat="1" applyFont="1" applyBorder="1" applyAlignment="1">
      <alignment horizontal="right" vertical="center"/>
    </xf>
    <xf numFmtId="0" fontId="42" fillId="0" borderId="0" xfId="140" applyFont="1" applyAlignment="1">
      <alignment vertical="center"/>
    </xf>
    <xf numFmtId="44" fontId="6" fillId="3" borderId="23" xfId="20" applyFont="1" applyFill="1" applyBorder="1" applyAlignment="1">
      <alignment horizontal="left"/>
    </xf>
    <xf numFmtId="0" fontId="24" fillId="0" borderId="52" xfId="140" applyFont="1" applyBorder="1" applyAlignment="1">
      <alignment horizontal="center" vertical="center"/>
    </xf>
    <xf numFmtId="0" fontId="24" fillId="0" borderId="51" xfId="140" applyFont="1" applyBorder="1" applyAlignment="1">
      <alignment horizontal="center" vertical="center"/>
    </xf>
    <xf numFmtId="44" fontId="6" fillId="0" borderId="23" xfId="20" applyFont="1" applyBorder="1"/>
    <xf numFmtId="11" fontId="6" fillId="0" borderId="23" xfId="140" applyNumberFormat="1" applyFont="1" applyBorder="1"/>
    <xf numFmtId="49" fontId="6" fillId="0" borderId="23" xfId="140" applyNumberFormat="1" applyFont="1" applyBorder="1"/>
    <xf numFmtId="2" fontId="6" fillId="0" borderId="23" xfId="7" applyNumberFormat="1" applyFont="1" applyBorder="1" applyAlignment="1">
      <alignment horizontal="right"/>
    </xf>
    <xf numFmtId="2" fontId="6" fillId="0" borderId="23" xfId="140" applyNumberFormat="1" applyFont="1" applyBorder="1" applyAlignment="1">
      <alignment horizontal="right"/>
    </xf>
    <xf numFmtId="44" fontId="6" fillId="0" borderId="23" xfId="20" applyFont="1" applyFill="1" applyBorder="1"/>
    <xf numFmtId="44" fontId="6" fillId="0" borderId="23" xfId="20" applyFont="1" applyFill="1" applyBorder="1" applyAlignment="1">
      <alignment horizontal="left"/>
    </xf>
    <xf numFmtId="2" fontId="6" fillId="0" borderId="22" xfId="140" applyNumberFormat="1" applyFont="1" applyBorder="1" applyAlignment="1">
      <alignment horizontal="right"/>
    </xf>
    <xf numFmtId="0" fontId="6" fillId="0" borderId="0" xfId="140" applyFont="1"/>
    <xf numFmtId="0" fontId="24" fillId="0" borderId="0" xfId="140" applyFont="1"/>
    <xf numFmtId="44" fontId="6" fillId="0" borderId="22" xfId="20" applyFont="1" applyBorder="1"/>
    <xf numFmtId="44" fontId="6" fillId="0" borderId="22" xfId="20" applyFont="1" applyBorder="1" applyAlignment="1">
      <alignment horizontal="left"/>
    </xf>
    <xf numFmtId="0" fontId="6" fillId="0" borderId="22" xfId="140" applyFont="1" applyBorder="1"/>
    <xf numFmtId="0" fontId="24" fillId="0" borderId="24" xfId="140" applyFont="1" applyBorder="1" applyAlignment="1">
      <alignment horizontal="center"/>
    </xf>
    <xf numFmtId="0" fontId="24" fillId="0" borderId="23" xfId="140" applyFont="1" applyBorder="1" applyAlignment="1">
      <alignment horizontal="center"/>
    </xf>
    <xf numFmtId="0" fontId="4" fillId="0" borderId="0" xfId="0" applyFont="1" applyAlignment="1">
      <alignment horizontal="center"/>
    </xf>
    <xf numFmtId="0" fontId="0" fillId="3" borderId="0" xfId="0" applyFill="1"/>
    <xf numFmtId="2" fontId="0" fillId="0" borderId="0" xfId="0" applyNumberFormat="1"/>
    <xf numFmtId="2" fontId="0" fillId="12" borderId="0" xfId="0" applyNumberFormat="1" applyFill="1"/>
    <xf numFmtId="179" fontId="24" fillId="0" borderId="76" xfId="12" applyNumberFormat="1" applyFont="1" applyBorder="1" applyAlignment="1">
      <alignment horizontal="center" vertical="center" wrapText="1"/>
    </xf>
    <xf numFmtId="179" fontId="24" fillId="0" borderId="77" xfId="12" applyNumberFormat="1" applyFont="1" applyBorder="1" applyAlignment="1">
      <alignment horizontal="center" vertical="center" wrapText="1"/>
    </xf>
    <xf numFmtId="0" fontId="24" fillId="0" borderId="78" xfId="12" applyFont="1" applyBorder="1" applyAlignment="1">
      <alignment horizontal="center" vertical="center" wrapText="1"/>
    </xf>
    <xf numFmtId="0" fontId="24" fillId="0" borderId="79" xfId="12" applyFont="1" applyBorder="1" applyAlignment="1">
      <alignment horizontal="center" vertical="center" wrapText="1"/>
    </xf>
    <xf numFmtId="2" fontId="24" fillId="0" borderId="80" xfId="12" applyNumberFormat="1" applyFont="1" applyBorder="1" applyAlignment="1">
      <alignment horizontal="center" vertical="center" wrapText="1"/>
    </xf>
    <xf numFmtId="2" fontId="45" fillId="3" borderId="81" xfId="0" applyNumberFormat="1" applyFont="1" applyFill="1" applyBorder="1" applyAlignment="1" applyProtection="1">
      <alignment horizontal="center" vertical="center" wrapText="1"/>
      <protection locked="0"/>
    </xf>
    <xf numFmtId="2" fontId="45" fillId="0" borderId="78" xfId="0" applyNumberFormat="1" applyFont="1" applyBorder="1" applyAlignment="1" applyProtection="1">
      <alignment horizontal="center" vertical="center" wrapText="1"/>
      <protection locked="0"/>
    </xf>
    <xf numFmtId="2" fontId="24" fillId="3" borderId="82" xfId="12" applyNumberFormat="1" applyFont="1" applyFill="1" applyBorder="1" applyAlignment="1" applyProtection="1">
      <alignment horizontal="center" vertical="center" wrapText="1"/>
      <protection locked="0"/>
    </xf>
    <xf numFmtId="2" fontId="24" fillId="0" borderId="79" xfId="12" applyNumberFormat="1" applyFont="1" applyBorder="1" applyAlignment="1" applyProtection="1">
      <alignment horizontal="center" vertical="center" wrapText="1"/>
      <protection locked="0"/>
    </xf>
    <xf numFmtId="2" fontId="24" fillId="3" borderId="79" xfId="12" applyNumberFormat="1" applyFont="1" applyFill="1" applyBorder="1" applyAlignment="1" applyProtection="1">
      <alignment horizontal="center" vertical="center" wrapText="1"/>
      <protection locked="0"/>
    </xf>
    <xf numFmtId="2" fontId="24" fillId="3" borderId="80" xfId="12" applyNumberFormat="1" applyFont="1" applyFill="1" applyBorder="1" applyAlignment="1" applyProtection="1">
      <alignment horizontal="center" vertical="center" wrapText="1"/>
      <protection locked="0"/>
    </xf>
    <xf numFmtId="2" fontId="24" fillId="0" borderId="80" xfId="12" applyNumberFormat="1" applyFont="1" applyBorder="1" applyAlignment="1" applyProtection="1">
      <alignment horizontal="center" vertical="center" wrapText="1"/>
      <protection locked="0"/>
    </xf>
    <xf numFmtId="2" fontId="24" fillId="3" borderId="81" xfId="12" applyNumberFormat="1" applyFont="1" applyFill="1" applyBorder="1" applyAlignment="1">
      <alignment horizontal="center" vertical="center" wrapText="1"/>
    </xf>
    <xf numFmtId="2" fontId="24" fillId="0" borderId="77" xfId="12" applyNumberFormat="1" applyFont="1" applyBorder="1" applyAlignment="1">
      <alignment horizontal="center" vertical="center" wrapText="1"/>
    </xf>
    <xf numFmtId="2" fontId="24" fillId="3" borderId="83" xfId="12" applyNumberFormat="1" applyFont="1" applyFill="1" applyBorder="1" applyAlignment="1" applyProtection="1">
      <alignment horizontal="center" vertical="center" wrapText="1"/>
      <protection locked="0"/>
    </xf>
    <xf numFmtId="2" fontId="24" fillId="0" borderId="78" xfId="12" applyNumberFormat="1" applyFont="1" applyBorder="1" applyAlignment="1" applyProtection="1">
      <alignment horizontal="center" vertical="center" wrapText="1"/>
      <protection locked="0"/>
    </xf>
    <xf numFmtId="0" fontId="24" fillId="0" borderId="78" xfId="12" applyFont="1" applyBorder="1" applyAlignment="1" applyProtection="1">
      <alignment horizontal="center" vertical="center" wrapText="1"/>
      <protection locked="0"/>
    </xf>
    <xf numFmtId="0" fontId="24" fillId="0" borderId="79" xfId="12" applyFont="1" applyBorder="1" applyAlignment="1" applyProtection="1">
      <alignment horizontal="center" vertical="center" wrapText="1"/>
      <protection locked="0"/>
    </xf>
    <xf numFmtId="171" fontId="24" fillId="0" borderId="80" xfId="12" applyNumberFormat="1" applyFont="1" applyBorder="1" applyAlignment="1" applyProtection="1">
      <alignment horizontal="center" vertical="center" wrapText="1"/>
      <protection locked="0"/>
    </xf>
    <xf numFmtId="171" fontId="24" fillId="0" borderId="79" xfId="12" applyNumberFormat="1" applyFont="1" applyBorder="1" applyAlignment="1" applyProtection="1">
      <alignment horizontal="center" vertical="center" wrapText="1"/>
      <protection locked="0"/>
    </xf>
    <xf numFmtId="0" fontId="24" fillId="0" borderId="84" xfId="12" applyFont="1" applyBorder="1" applyAlignment="1" applyProtection="1">
      <alignment horizontal="center" vertical="center" wrapText="1"/>
      <protection locked="0"/>
    </xf>
    <xf numFmtId="0" fontId="4" fillId="0" borderId="0" xfId="0" applyFont="1" applyAlignment="1">
      <alignment vertical="center"/>
    </xf>
    <xf numFmtId="37" fontId="0" fillId="0" borderId="0" xfId="0" applyNumberFormat="1"/>
    <xf numFmtId="170" fontId="0" fillId="0" borderId="0" xfId="0" applyNumberFormat="1"/>
    <xf numFmtId="0" fontId="0" fillId="0" borderId="0" xfId="0" applyFont="1" applyFill="1" applyAlignment="1">
      <alignment horizontal="left" vertical="top" wrapText="1"/>
    </xf>
    <xf numFmtId="0" fontId="0" fillId="0" borderId="23" xfId="0" applyFill="1" applyBorder="1" applyAlignment="1">
      <alignment horizontal="center"/>
    </xf>
    <xf numFmtId="0" fontId="0" fillId="0" borderId="0" xfId="0" applyFill="1" applyAlignment="1">
      <alignment horizontal="left" vertical="top" wrapText="1"/>
    </xf>
    <xf numFmtId="0" fontId="4" fillId="0" borderId="0" xfId="0" applyFont="1" applyFill="1" applyBorder="1" applyAlignment="1">
      <alignment horizontal="left"/>
    </xf>
    <xf numFmtId="0" fontId="0" fillId="0" borderId="0" xfId="0" applyAlignment="1">
      <alignment horizontal="left" vertical="top" wrapText="1"/>
    </xf>
    <xf numFmtId="0" fontId="0" fillId="0" borderId="0" xfId="0"/>
    <xf numFmtId="0" fontId="0" fillId="0" borderId="0" xfId="0" applyAlignment="1">
      <alignment horizontal="center"/>
    </xf>
    <xf numFmtId="0" fontId="0" fillId="0" borderId="0" xfId="0"/>
    <xf numFmtId="175" fontId="0" fillId="0" borderId="23" xfId="0" applyNumberFormat="1" applyFont="1" applyFill="1" applyBorder="1" applyAlignment="1">
      <alignment horizontal="center"/>
    </xf>
    <xf numFmtId="1" fontId="0" fillId="0" borderId="23" xfId="0" applyNumberFormat="1" applyFont="1" applyFill="1" applyBorder="1" applyAlignment="1">
      <alignment horizontal="center"/>
    </xf>
    <xf numFmtId="11" fontId="0" fillId="0" borderId="23" xfId="0" applyNumberFormat="1" applyFont="1" applyFill="1" applyBorder="1" applyAlignment="1">
      <alignment horizontal="center"/>
    </xf>
    <xf numFmtId="0" fontId="0" fillId="0" borderId="0" xfId="0" applyAlignment="1">
      <alignment horizontal="right" vertical="top"/>
    </xf>
    <xf numFmtId="165" fontId="2" fillId="0" borderId="0" xfId="0" applyNumberFormat="1" applyFont="1"/>
    <xf numFmtId="165" fontId="3" fillId="0" borderId="2" xfId="0" applyNumberFormat="1" applyFont="1" applyBorder="1"/>
    <xf numFmtId="164" fontId="2" fillId="0" borderId="45" xfId="0" applyNumberFormat="1" applyFont="1" applyBorder="1" applyAlignment="1">
      <alignment horizontal="right" vertical="center"/>
    </xf>
    <xf numFmtId="164" fontId="2" fillId="0" borderId="20" xfId="0" applyNumberFormat="1" applyFont="1" applyBorder="1" applyAlignment="1">
      <alignment horizontal="right" vertical="center"/>
    </xf>
    <xf numFmtId="164" fontId="2" fillId="0" borderId="30" xfId="0" applyNumberFormat="1" applyFont="1" applyBorder="1" applyAlignment="1">
      <alignment horizontal="right" vertical="center"/>
    </xf>
    <xf numFmtId="164" fontId="0" fillId="0" borderId="62" xfId="0" applyNumberFormat="1" applyBorder="1" applyAlignment="1">
      <alignment horizontal="right"/>
    </xf>
    <xf numFmtId="164" fontId="2" fillId="0" borderId="34" xfId="0" applyNumberFormat="1" applyFont="1" applyBorder="1" applyAlignment="1">
      <alignment horizontal="right" vertical="center"/>
    </xf>
    <xf numFmtId="164" fontId="0" fillId="0" borderId="49" xfId="0" applyNumberFormat="1" applyBorder="1" applyAlignment="1">
      <alignment horizontal="right"/>
    </xf>
    <xf numFmtId="164" fontId="2" fillId="0" borderId="49" xfId="0" applyNumberFormat="1" applyFont="1" applyBorder="1" applyAlignment="1">
      <alignment horizontal="right"/>
    </xf>
    <xf numFmtId="2" fontId="8" fillId="0" borderId="0" xfId="0" applyNumberFormat="1" applyFont="1" applyAlignment="1">
      <alignment horizontal="center"/>
    </xf>
    <xf numFmtId="165" fontId="8" fillId="0" borderId="0" xfId="1" applyNumberFormat="1" applyFont="1" applyFill="1" applyBorder="1" applyAlignment="1">
      <alignment horizontal="center"/>
    </xf>
    <xf numFmtId="0" fontId="8" fillId="0" borderId="0" xfId="0" applyFont="1" applyAlignment="1">
      <alignment vertical="center"/>
    </xf>
    <xf numFmtId="164" fontId="2" fillId="0" borderId="41" xfId="0" applyNumberFormat="1" applyFont="1" applyBorder="1" applyAlignment="1">
      <alignment horizontal="right" vertical="center" wrapText="1"/>
    </xf>
    <xf numFmtId="5" fontId="2" fillId="0" borderId="34" xfId="0" applyNumberFormat="1" applyFont="1" applyBorder="1" applyAlignment="1">
      <alignment horizontal="right" vertical="center" wrapText="1"/>
    </xf>
    <xf numFmtId="0" fontId="7" fillId="0" borderId="0" xfId="4" applyFont="1" applyAlignment="1">
      <alignment vertical="center"/>
    </xf>
    <xf numFmtId="0" fontId="7" fillId="0" borderId="0" xfId="0" applyFont="1" applyAlignment="1">
      <alignment vertical="center"/>
    </xf>
    <xf numFmtId="164" fontId="7" fillId="0" borderId="0" xfId="0" applyNumberFormat="1" applyFont="1" applyAlignment="1">
      <alignment horizontal="center"/>
    </xf>
    <xf numFmtId="0" fontId="12" fillId="0" borderId="0" xfId="0" applyFont="1" applyAlignment="1">
      <alignment horizontal="left"/>
    </xf>
    <xf numFmtId="165" fontId="7" fillId="0" borderId="0" xfId="1" applyNumberFormat="1" applyFont="1" applyFill="1" applyBorder="1" applyAlignment="1">
      <alignment horizontal="center"/>
    </xf>
    <xf numFmtId="0" fontId="7" fillId="0" borderId="0" xfId="0" applyFont="1" applyAlignment="1">
      <alignment horizontal="left"/>
    </xf>
    <xf numFmtId="0" fontId="8" fillId="0" borderId="0" xfId="1" applyNumberFormat="1" applyFont="1" applyFill="1" applyBorder="1" applyAlignment="1">
      <alignment horizontal="center"/>
    </xf>
    <xf numFmtId="165" fontId="8" fillId="0" borderId="0" xfId="1" applyNumberFormat="1" applyFont="1" applyBorder="1" applyAlignment="1">
      <alignment vertical="center"/>
    </xf>
    <xf numFmtId="0" fontId="8" fillId="0" borderId="0" xfId="0" applyFont="1" applyAlignment="1">
      <alignment horizontal="center" vertical="center"/>
    </xf>
    <xf numFmtId="164" fontId="5" fillId="0" borderId="23" xfId="0" applyNumberFormat="1" applyFont="1" applyBorder="1"/>
    <xf numFmtId="169" fontId="5" fillId="0" borderId="23" xfId="16" applyNumberFormat="1" applyFont="1" applyBorder="1" applyAlignment="1">
      <alignment horizontal="center"/>
    </xf>
    <xf numFmtId="0" fontId="5" fillId="0" borderId="23" xfId="0" applyFont="1" applyBorder="1" applyAlignment="1">
      <alignment horizontal="center"/>
    </xf>
    <xf numFmtId="164" fontId="2" fillId="0" borderId="46" xfId="0" applyNumberFormat="1" applyFont="1" applyBorder="1" applyAlignment="1">
      <alignment horizontal="right" vertical="center" wrapText="1"/>
    </xf>
    <xf numFmtId="5" fontId="2" fillId="0" borderId="29" xfId="0" applyNumberFormat="1" applyFont="1" applyBorder="1" applyAlignment="1">
      <alignment horizontal="right" vertical="center" wrapText="1"/>
    </xf>
    <xf numFmtId="0" fontId="12" fillId="0" borderId="23" xfId="0" applyFont="1" applyBorder="1" applyAlignment="1">
      <alignment horizontal="center"/>
    </xf>
    <xf numFmtId="0" fontId="7" fillId="0" borderId="23" xfId="0" applyFont="1" applyBorder="1" applyAlignment="1">
      <alignment vertical="center"/>
    </xf>
    <xf numFmtId="0" fontId="0" fillId="0" borderId="47" xfId="0" applyBorder="1" applyAlignment="1">
      <alignment horizontal="center" wrapText="1"/>
    </xf>
    <xf numFmtId="0" fontId="46" fillId="0" borderId="0" xfId="141" applyAlignment="1">
      <alignment vertical="center"/>
    </xf>
    <xf numFmtId="175" fontId="46" fillId="0" borderId="51" xfId="141" applyNumberFormat="1" applyBorder="1" applyAlignment="1">
      <alignment vertical="center"/>
    </xf>
    <xf numFmtId="0" fontId="24" fillId="0" borderId="51" xfId="141" applyFont="1" applyBorder="1" applyAlignment="1">
      <alignment vertical="center"/>
    </xf>
    <xf numFmtId="2" fontId="46" fillId="0" borderId="23" xfId="141" applyNumberFormat="1" applyBorder="1" applyAlignment="1">
      <alignment horizontal="right" vertical="center"/>
    </xf>
    <xf numFmtId="2" fontId="46" fillId="0" borderId="22" xfId="141" applyNumberFormat="1" applyBorder="1" applyAlignment="1">
      <alignment horizontal="right" vertical="center"/>
    </xf>
    <xf numFmtId="175" fontId="46" fillId="0" borderId="23" xfId="141" applyNumberFormat="1" applyBorder="1" applyAlignment="1">
      <alignment horizontal="right" vertical="center"/>
    </xf>
    <xf numFmtId="0" fontId="25" fillId="0" borderId="23" xfId="141" applyFont="1" applyBorder="1" applyAlignment="1">
      <alignment horizontal="left" vertical="center"/>
    </xf>
    <xf numFmtId="175" fontId="46" fillId="0" borderId="22" xfId="141" applyNumberFormat="1" applyBorder="1" applyAlignment="1">
      <alignment horizontal="right" vertical="center"/>
    </xf>
    <xf numFmtId="0" fontId="25" fillId="0" borderId="22" xfId="141" applyFont="1" applyBorder="1" applyAlignment="1">
      <alignment horizontal="left" vertical="center"/>
    </xf>
    <xf numFmtId="0" fontId="46" fillId="0" borderId="0" xfId="141" applyAlignment="1">
      <alignment horizontal="center"/>
    </xf>
    <xf numFmtId="0" fontId="46" fillId="0" borderId="42" xfId="141" applyBorder="1" applyAlignment="1">
      <alignment horizontal="center"/>
    </xf>
    <xf numFmtId="0" fontId="46" fillId="0" borderId="42" xfId="141" applyBorder="1" applyAlignment="1">
      <alignment horizontal="center" wrapText="1"/>
    </xf>
    <xf numFmtId="0" fontId="24" fillId="0" borderId="0" xfId="141" applyFont="1" applyAlignment="1">
      <alignment vertical="center"/>
    </xf>
    <xf numFmtId="49" fontId="46" fillId="0" borderId="0" xfId="141" applyNumberFormat="1" applyAlignment="1">
      <alignment vertical="center"/>
    </xf>
    <xf numFmtId="171" fontId="46" fillId="0" borderId="26" xfId="141" applyNumberFormat="1" applyBorder="1" applyAlignment="1">
      <alignment horizontal="center" vertical="center"/>
    </xf>
    <xf numFmtId="0" fontId="46" fillId="0" borderId="35" xfId="141" applyBorder="1" applyAlignment="1">
      <alignment horizontal="right" vertical="center"/>
    </xf>
    <xf numFmtId="2" fontId="46" fillId="0" borderId="0" xfId="141" applyNumberFormat="1" applyAlignment="1">
      <alignment vertical="center"/>
    </xf>
    <xf numFmtId="2" fontId="25" fillId="0" borderId="23" xfId="141" applyNumberFormat="1" applyFont="1" applyBorder="1" applyAlignment="1">
      <alignment horizontal="left" vertical="center"/>
    </xf>
    <xf numFmtId="171" fontId="25" fillId="0" borderId="22" xfId="141" applyNumberFormat="1" applyFont="1" applyBorder="1" applyAlignment="1">
      <alignment horizontal="left" vertical="center"/>
    </xf>
    <xf numFmtId="0" fontId="46" fillId="0" borderId="0" xfId="141" applyAlignment="1">
      <alignment horizontal="center" wrapText="1"/>
    </xf>
    <xf numFmtId="49" fontId="46" fillId="0" borderId="42" xfId="141" applyNumberFormat="1" applyBorder="1" applyAlignment="1">
      <alignment horizontal="center" wrapText="1"/>
    </xf>
    <xf numFmtId="49" fontId="26" fillId="0" borderId="0" xfId="141" applyNumberFormat="1" applyFont="1" applyAlignment="1">
      <alignment vertical="center"/>
    </xf>
    <xf numFmtId="44" fontId="46" fillId="0" borderId="0" xfId="141" applyNumberFormat="1" applyAlignment="1">
      <alignment vertical="center"/>
    </xf>
    <xf numFmtId="0" fontId="28" fillId="0" borderId="0" xfId="141" applyFont="1" applyAlignment="1">
      <alignment vertical="center"/>
    </xf>
    <xf numFmtId="44" fontId="46" fillId="0" borderId="23" xfId="141" applyNumberFormat="1" applyBorder="1" applyAlignment="1">
      <alignment vertical="center"/>
    </xf>
    <xf numFmtId="0" fontId="27" fillId="0" borderId="0" xfId="141" applyFont="1" applyAlignment="1">
      <alignment horizontal="right" vertical="center"/>
    </xf>
    <xf numFmtId="0" fontId="25" fillId="0" borderId="0" xfId="141" applyFont="1" applyAlignment="1">
      <alignment vertical="center"/>
    </xf>
    <xf numFmtId="0" fontId="6" fillId="0" borderId="0" xfId="141" applyFont="1" applyAlignment="1">
      <alignment vertical="center"/>
    </xf>
    <xf numFmtId="10" fontId="46" fillId="0" borderId="0" xfId="141" applyNumberFormat="1" applyAlignment="1">
      <alignment vertical="center"/>
    </xf>
    <xf numFmtId="0" fontId="46" fillId="0" borderId="0" xfId="141" applyAlignment="1">
      <alignment horizontal="right" vertical="center"/>
    </xf>
    <xf numFmtId="10" fontId="6" fillId="0" borderId="0" xfId="141" applyNumberFormat="1" applyFont="1" applyAlignment="1">
      <alignment vertical="center"/>
    </xf>
    <xf numFmtId="10" fontId="25" fillId="0" borderId="0" xfId="141" applyNumberFormat="1" applyFont="1" applyAlignment="1">
      <alignment vertical="center"/>
    </xf>
    <xf numFmtId="9" fontId="46" fillId="0" borderId="0" xfId="141" applyNumberFormat="1" applyAlignment="1">
      <alignment vertical="center"/>
    </xf>
    <xf numFmtId="1" fontId="25" fillId="0" borderId="23" xfId="141" applyNumberFormat="1" applyFont="1" applyBorder="1" applyAlignment="1">
      <alignment horizontal="right" vertical="center"/>
    </xf>
    <xf numFmtId="175" fontId="41" fillId="0" borderId="23" xfId="141" applyNumberFormat="1" applyFont="1" applyBorder="1" applyAlignment="1">
      <alignment vertical="center"/>
    </xf>
    <xf numFmtId="0" fontId="6" fillId="0" borderId="23" xfId="141" applyFont="1" applyBorder="1" applyAlignment="1">
      <alignment horizontal="left" vertical="center"/>
    </xf>
    <xf numFmtId="0" fontId="6" fillId="0" borderId="23" xfId="141" applyFont="1" applyBorder="1" applyAlignment="1">
      <alignment vertical="center"/>
    </xf>
    <xf numFmtId="1" fontId="6" fillId="0" borderId="23" xfId="141" applyNumberFormat="1" applyFont="1" applyBorder="1" applyAlignment="1">
      <alignment horizontal="right" vertical="center"/>
    </xf>
    <xf numFmtId="175" fontId="6" fillId="0" borderId="23" xfId="141" applyNumberFormat="1" applyFont="1" applyBorder="1" applyAlignment="1">
      <alignment vertical="center"/>
    </xf>
    <xf numFmtId="0" fontId="6" fillId="0" borderId="23" xfId="141" applyFont="1" applyBorder="1" applyAlignment="1">
      <alignment horizontal="left"/>
    </xf>
    <xf numFmtId="49" fontId="6" fillId="0" borderId="23" xfId="141" applyNumberFormat="1" applyFont="1" applyBorder="1" applyAlignment="1">
      <alignment horizontal="left"/>
    </xf>
    <xf numFmtId="44" fontId="6" fillId="3" borderId="23" xfId="141" applyNumberFormat="1" applyFont="1" applyFill="1" applyBorder="1" applyAlignment="1">
      <alignment vertical="top"/>
    </xf>
    <xf numFmtId="0" fontId="6" fillId="3" borderId="23" xfId="141" applyFont="1" applyFill="1" applyBorder="1" applyAlignment="1">
      <alignment horizontal="left" vertical="top"/>
    </xf>
    <xf numFmtId="11" fontId="6" fillId="3" borderId="23" xfId="141" applyNumberFormat="1" applyFont="1" applyFill="1" applyBorder="1" applyAlignment="1">
      <alignment horizontal="left" vertical="top"/>
    </xf>
    <xf numFmtId="2" fontId="6" fillId="0" borderId="23" xfId="141" applyNumberFormat="1" applyFont="1" applyBorder="1" applyAlignment="1">
      <alignment horizontal="right" vertical="center"/>
    </xf>
    <xf numFmtId="0" fontId="6" fillId="0" borderId="22" xfId="141" applyFont="1" applyBorder="1" applyAlignment="1">
      <alignment horizontal="left" vertical="center"/>
    </xf>
    <xf numFmtId="0" fontId="6" fillId="3" borderId="23" xfId="141" applyFont="1" applyFill="1" applyBorder="1" applyAlignment="1">
      <alignment horizontal="left"/>
    </xf>
    <xf numFmtId="49" fontId="6" fillId="3" borderId="23" xfId="141" applyNumberFormat="1" applyFont="1" applyFill="1" applyBorder="1" applyAlignment="1">
      <alignment horizontal="left"/>
    </xf>
    <xf numFmtId="0" fontId="42" fillId="0" borderId="0" xfId="141" applyFont="1" applyAlignment="1">
      <alignment vertical="center"/>
    </xf>
    <xf numFmtId="0" fontId="46" fillId="0" borderId="0" xfId="141" applyAlignment="1">
      <alignment horizontal="center" vertical="center"/>
    </xf>
    <xf numFmtId="0" fontId="6" fillId="0" borderId="0" xfId="141" applyFont="1"/>
    <xf numFmtId="175" fontId="6" fillId="0" borderId="0" xfId="141" applyNumberFormat="1" applyFont="1"/>
    <xf numFmtId="175" fontId="6" fillId="0" borderId="51" xfId="141" applyNumberFormat="1" applyFont="1" applyBorder="1"/>
    <xf numFmtId="0" fontId="24" fillId="0" borderId="51" xfId="141" applyFont="1" applyBorder="1"/>
    <xf numFmtId="2" fontId="6" fillId="0" borderId="0" xfId="141" applyNumberFormat="1" applyFont="1" applyAlignment="1">
      <alignment horizontal="right"/>
    </xf>
    <xf numFmtId="2" fontId="6" fillId="0" borderId="22" xfId="141" applyNumberFormat="1" applyFont="1" applyBorder="1" applyAlignment="1">
      <alignment horizontal="right"/>
    </xf>
    <xf numFmtId="49" fontId="6" fillId="0" borderId="22" xfId="141" applyNumberFormat="1" applyFont="1" applyBorder="1" applyAlignment="1">
      <alignment horizontal="right"/>
    </xf>
    <xf numFmtId="175" fontId="6" fillId="0" borderId="22" xfId="141" applyNumberFormat="1" applyFont="1" applyBorder="1" applyAlignment="1">
      <alignment horizontal="right"/>
    </xf>
    <xf numFmtId="0" fontId="6" fillId="0" borderId="22" xfId="141" applyFont="1" applyBorder="1" applyAlignment="1">
      <alignment horizontal="left"/>
    </xf>
    <xf numFmtId="0" fontId="6" fillId="0" borderId="0" xfId="141" applyFont="1" applyAlignment="1">
      <alignment horizontal="center"/>
    </xf>
    <xf numFmtId="0" fontId="6" fillId="0" borderId="42" xfId="141" applyFont="1" applyBorder="1" applyAlignment="1">
      <alignment horizontal="center"/>
    </xf>
    <xf numFmtId="0" fontId="6" fillId="0" borderId="42" xfId="141" applyFont="1" applyBorder="1" applyAlignment="1">
      <alignment horizontal="center" wrapText="1"/>
    </xf>
    <xf numFmtId="0" fontId="24" fillId="0" borderId="0" xfId="141" applyFont="1"/>
    <xf numFmtId="49" fontId="6" fillId="0" borderId="0" xfId="141" applyNumberFormat="1" applyFont="1"/>
    <xf numFmtId="2" fontId="6" fillId="0" borderId="26" xfId="141" applyNumberFormat="1" applyFont="1" applyBorder="1" applyAlignment="1">
      <alignment horizontal="center"/>
    </xf>
    <xf numFmtId="0" fontId="6" fillId="0" borderId="35" xfId="141" applyFont="1" applyBorder="1" applyAlignment="1">
      <alignment horizontal="right"/>
    </xf>
    <xf numFmtId="2" fontId="6" fillId="0" borderId="0" xfId="141" applyNumberFormat="1" applyFont="1"/>
    <xf numFmtId="0" fontId="25" fillId="0" borderId="22" xfId="141" applyFont="1" applyBorder="1" applyAlignment="1">
      <alignment horizontal="left"/>
    </xf>
    <xf numFmtId="0" fontId="43" fillId="0" borderId="23" xfId="141" applyFont="1" applyBorder="1"/>
    <xf numFmtId="0" fontId="43" fillId="0" borderId="22" xfId="141" applyFont="1" applyBorder="1"/>
    <xf numFmtId="0" fontId="6" fillId="0" borderId="0" xfId="141" applyFont="1" applyAlignment="1">
      <alignment horizontal="center" wrapText="1"/>
    </xf>
    <xf numFmtId="49" fontId="6" fillId="0" borderId="42" xfId="141" applyNumberFormat="1" applyFont="1" applyBorder="1" applyAlignment="1">
      <alignment horizontal="center" wrapText="1"/>
    </xf>
    <xf numFmtId="0" fontId="25" fillId="4" borderId="0" xfId="141" applyFont="1" applyFill="1"/>
    <xf numFmtId="49" fontId="26" fillId="0" borderId="0" xfId="141" applyNumberFormat="1" applyFont="1"/>
    <xf numFmtId="44" fontId="6" fillId="0" borderId="0" xfId="141" applyNumberFormat="1" applyFont="1"/>
    <xf numFmtId="44" fontId="46" fillId="0" borderId="0" xfId="141" applyNumberFormat="1"/>
    <xf numFmtId="49" fontId="46" fillId="0" borderId="0" xfId="141" applyNumberFormat="1"/>
    <xf numFmtId="0" fontId="28" fillId="0" borderId="0" xfId="141" applyFont="1"/>
    <xf numFmtId="0" fontId="27" fillId="0" borderId="0" xfId="141" applyFont="1" applyAlignment="1">
      <alignment horizontal="right"/>
    </xf>
    <xf numFmtId="0" fontId="46" fillId="0" borderId="0" xfId="141"/>
    <xf numFmtId="44" fontId="6" fillId="0" borderId="23" xfId="141" applyNumberFormat="1" applyFont="1" applyBorder="1"/>
    <xf numFmtId="0" fontId="25" fillId="0" borderId="0" xfId="141" applyFont="1"/>
    <xf numFmtId="10" fontId="6" fillId="0" borderId="0" xfId="141" applyNumberFormat="1" applyFont="1"/>
    <xf numFmtId="0" fontId="6" fillId="0" borderId="0" xfId="141" applyFont="1" applyAlignment="1">
      <alignment horizontal="right"/>
    </xf>
    <xf numFmtId="10" fontId="25" fillId="0" borderId="0" xfId="141" applyNumberFormat="1" applyFont="1"/>
    <xf numFmtId="9" fontId="6" fillId="0" borderId="0" xfId="141" applyNumberFormat="1" applyFont="1"/>
    <xf numFmtId="2" fontId="25" fillId="0" borderId="23" xfId="141" applyNumberFormat="1" applyFont="1" applyBorder="1" applyAlignment="1">
      <alignment horizontal="right"/>
    </xf>
    <xf numFmtId="49" fontId="6" fillId="0" borderId="23" xfId="141" applyNumberFormat="1" applyFont="1" applyBorder="1"/>
    <xf numFmtId="2" fontId="6" fillId="0" borderId="23" xfId="141" applyNumberFormat="1" applyFont="1" applyBorder="1" applyAlignment="1">
      <alignment horizontal="right"/>
    </xf>
    <xf numFmtId="0" fontId="44" fillId="0" borderId="0" xfId="141" applyFont="1" applyAlignment="1">
      <alignment vertical="top"/>
    </xf>
    <xf numFmtId="49" fontId="6" fillId="0" borderId="22" xfId="141" applyNumberFormat="1" applyFont="1" applyBorder="1"/>
    <xf numFmtId="44" fontId="0" fillId="0" borderId="23" xfId="0" applyNumberFormat="1" applyBorder="1"/>
    <xf numFmtId="44" fontId="2" fillId="0" borderId="34" xfId="0" applyNumberFormat="1" applyFont="1" applyBorder="1" applyAlignment="1">
      <alignment horizontal="right" vertical="center" wrapText="1"/>
    </xf>
    <xf numFmtId="0" fontId="0" fillId="0" borderId="23" xfId="0" applyFill="1" applyBorder="1" applyAlignment="1">
      <alignment horizontal="center"/>
    </xf>
    <xf numFmtId="0" fontId="4" fillId="0" borderId="24" xfId="0" applyFont="1" applyFill="1" applyBorder="1" applyAlignment="1">
      <alignment horizontal="left"/>
    </xf>
    <xf numFmtId="0" fontId="0" fillId="0" borderId="23" xfId="0" applyBorder="1" applyAlignment="1">
      <alignment horizontal="center"/>
    </xf>
    <xf numFmtId="0" fontId="0" fillId="0" borderId="0" xfId="0"/>
    <xf numFmtId="0" fontId="0" fillId="0" borderId="23" xfId="0" applyFill="1" applyBorder="1" applyAlignment="1">
      <alignment horizontal="center" vertical="center"/>
    </xf>
    <xf numFmtId="0" fontId="0" fillId="0" borderId="0" xfId="0" applyAlignment="1">
      <alignment horizontal="center"/>
    </xf>
    <xf numFmtId="44" fontId="0" fillId="0" borderId="0" xfId="1" applyFont="1"/>
    <xf numFmtId="6" fontId="2" fillId="0" borderId="46" xfId="15" applyNumberFormat="1" applyFont="1" applyFill="1" applyBorder="1" applyAlignment="1"/>
    <xf numFmtId="6" fontId="2" fillId="0" borderId="41" xfId="15" applyNumberFormat="1" applyFont="1" applyFill="1" applyBorder="1" applyAlignment="1"/>
    <xf numFmtId="37" fontId="2" fillId="0" borderId="41" xfId="15" applyNumberFormat="1" applyFont="1" applyFill="1" applyBorder="1" applyAlignment="1">
      <alignment vertical="center"/>
    </xf>
    <xf numFmtId="37" fontId="2" fillId="0" borderId="45" xfId="15" applyNumberFormat="1" applyFont="1" applyFill="1" applyBorder="1" applyAlignment="1">
      <alignment vertical="center"/>
    </xf>
    <xf numFmtId="37" fontId="1" fillId="0" borderId="14" xfId="15" applyNumberFormat="1" applyFont="1" applyFill="1" applyBorder="1" applyAlignment="1">
      <alignment horizontal="center"/>
    </xf>
    <xf numFmtId="0" fontId="0" fillId="0" borderId="0" xfId="0"/>
    <xf numFmtId="0" fontId="0" fillId="0" borderId="23" xfId="0" applyBorder="1" applyAlignment="1">
      <alignment horizontal="center"/>
    </xf>
    <xf numFmtId="0" fontId="0" fillId="0" borderId="0" xfId="0"/>
    <xf numFmtId="0" fontId="0" fillId="0" borderId="0" xfId="0" applyAlignment="1">
      <alignment horizontal="center"/>
    </xf>
    <xf numFmtId="0" fontId="47" fillId="13" borderId="0" xfId="0" applyFont="1" applyFill="1"/>
    <xf numFmtId="0" fontId="0" fillId="0" borderId="0" xfId="0"/>
    <xf numFmtId="164" fontId="2" fillId="0" borderId="23" xfId="0" applyNumberFormat="1" applyFont="1" applyBorder="1" applyAlignment="1">
      <alignment horizontal="center"/>
    </xf>
    <xf numFmtId="164" fontId="2" fillId="5" borderId="23" xfId="0" applyNumberFormat="1" applyFont="1" applyFill="1" applyBorder="1" applyAlignment="1">
      <alignment horizontal="center"/>
    </xf>
    <xf numFmtId="0" fontId="0" fillId="5" borderId="23" xfId="0" applyFill="1" applyBorder="1" applyAlignment="1">
      <alignment horizontal="center"/>
    </xf>
    <xf numFmtId="0" fontId="4" fillId="0" borderId="0" xfId="0" applyFont="1" applyAlignment="1">
      <alignment horizontal="left"/>
    </xf>
    <xf numFmtId="0" fontId="0" fillId="0" borderId="23" xfId="0" applyFont="1" applyBorder="1" applyAlignment="1">
      <alignment horizontal="right"/>
    </xf>
    <xf numFmtId="0" fontId="0" fillId="0" borderId="0" xfId="0"/>
    <xf numFmtId="0" fontId="0" fillId="0" borderId="0" xfId="0" applyAlignment="1">
      <alignment horizontal="center"/>
    </xf>
    <xf numFmtId="0" fontId="0" fillId="0" borderId="0" xfId="0"/>
    <xf numFmtId="0" fontId="9" fillId="0" borderId="0" xfId="0" applyFont="1" applyAlignment="1">
      <alignment horizontal="center"/>
    </xf>
    <xf numFmtId="9" fontId="4" fillId="2" borderId="0" xfId="0" applyNumberFormat="1" applyFont="1" applyFill="1" applyBorder="1" applyAlignment="1">
      <alignment horizontal="center"/>
    </xf>
    <xf numFmtId="178" fontId="0" fillId="2" borderId="0" xfId="0" applyNumberFormat="1" applyFill="1" applyBorder="1" applyAlignment="1">
      <alignment horizontal="center"/>
    </xf>
    <xf numFmtId="175" fontId="0" fillId="0" borderId="0" xfId="0" applyNumberFormat="1" applyBorder="1" applyAlignment="1">
      <alignment horizontal="center"/>
    </xf>
    <xf numFmtId="178" fontId="0" fillId="0" borderId="0" xfId="0" applyNumberFormat="1" applyBorder="1" applyAlignment="1">
      <alignment horizontal="center"/>
    </xf>
    <xf numFmtId="164" fontId="2" fillId="0" borderId="23" xfId="0" applyNumberFormat="1" applyFont="1" applyBorder="1" applyAlignment="1">
      <alignment horizontal="right" vertical="center" wrapText="1"/>
    </xf>
    <xf numFmtId="164" fontId="2" fillId="0" borderId="23" xfId="0" applyNumberFormat="1" applyFont="1" applyBorder="1" applyAlignment="1">
      <alignment horizontal="right"/>
    </xf>
    <xf numFmtId="164" fontId="2" fillId="0" borderId="22" xfId="0" applyNumberFormat="1" applyFont="1" applyBorder="1" applyAlignment="1">
      <alignment horizontal="right" vertical="center" wrapText="1"/>
    </xf>
    <xf numFmtId="164" fontId="2" fillId="0" borderId="30" xfId="0" applyNumberFormat="1" applyFont="1" applyBorder="1" applyAlignment="1">
      <alignment horizontal="right" vertical="center" wrapText="1"/>
    </xf>
    <xf numFmtId="164" fontId="2" fillId="0" borderId="42" xfId="0" applyNumberFormat="1" applyFont="1" applyBorder="1" applyAlignment="1">
      <alignment horizontal="right" vertical="center" wrapText="1"/>
    </xf>
    <xf numFmtId="164" fontId="2" fillId="0" borderId="20" xfId="0" applyNumberFormat="1" applyFont="1" applyBorder="1" applyAlignment="1">
      <alignment horizontal="right" vertical="center" wrapText="1"/>
    </xf>
    <xf numFmtId="164" fontId="2" fillId="0" borderId="68" xfId="0" applyNumberFormat="1" applyFont="1" applyBorder="1" applyAlignment="1">
      <alignment horizontal="right" vertical="center" wrapText="1"/>
    </xf>
    <xf numFmtId="164" fontId="3" fillId="0" borderId="0" xfId="0" applyNumberFormat="1" applyFont="1" applyBorder="1" applyAlignment="1">
      <alignment horizontal="center" vertical="center"/>
    </xf>
    <xf numFmtId="164" fontId="2" fillId="0" borderId="32" xfId="0" applyNumberFormat="1" applyFont="1" applyBorder="1" applyAlignment="1">
      <alignment horizontal="center"/>
    </xf>
    <xf numFmtId="164" fontId="2" fillId="0" borderId="38" xfId="0" applyNumberFormat="1" applyFont="1" applyBorder="1" applyAlignment="1">
      <alignment horizontal="right" vertical="center" wrapText="1"/>
    </xf>
    <xf numFmtId="164" fontId="2" fillId="0" borderId="25" xfId="0" applyNumberFormat="1" applyFont="1" applyBorder="1" applyAlignment="1">
      <alignment horizontal="right" vertical="center" wrapText="1"/>
    </xf>
    <xf numFmtId="164" fontId="2" fillId="0" borderId="39" xfId="0" applyNumberFormat="1" applyFont="1" applyBorder="1" applyAlignment="1">
      <alignment horizontal="right" vertical="center"/>
    </xf>
    <xf numFmtId="164" fontId="2" fillId="0" borderId="39" xfId="0" applyNumberFormat="1" applyFont="1" applyBorder="1" applyAlignment="1">
      <alignment horizontal="right" vertical="center" wrapText="1"/>
    </xf>
    <xf numFmtId="0" fontId="0" fillId="0" borderId="0" xfId="0" applyFill="1" applyAlignment="1">
      <alignment horizontal="left" vertical="top" wrapText="1"/>
    </xf>
    <xf numFmtId="0" fontId="0" fillId="0" borderId="0" xfId="0"/>
    <xf numFmtId="0" fontId="7" fillId="0" borderId="0" xfId="2" applyFont="1" applyFill="1" applyBorder="1" applyAlignment="1">
      <alignment horizontal="left"/>
    </xf>
    <xf numFmtId="0" fontId="7" fillId="0" borderId="23" xfId="2" applyFont="1" applyFill="1" applyBorder="1" applyAlignment="1">
      <alignment horizontal="center"/>
    </xf>
    <xf numFmtId="2" fontId="0" fillId="0" borderId="23" xfId="16" applyNumberFormat="1" applyFont="1" applyBorder="1" applyAlignment="1">
      <alignment horizontal="center"/>
    </xf>
    <xf numFmtId="0" fontId="2" fillId="0" borderId="40" xfId="0" applyFont="1" applyBorder="1" applyAlignment="1">
      <alignment horizontal="center"/>
    </xf>
    <xf numFmtId="0" fontId="2" fillId="0" borderId="13" xfId="0" applyFont="1" applyFill="1" applyBorder="1" applyAlignment="1">
      <alignment horizontal="center"/>
    </xf>
    <xf numFmtId="164" fontId="2" fillId="0" borderId="13" xfId="0" applyNumberFormat="1" applyFont="1" applyBorder="1" applyAlignment="1">
      <alignment horizontal="center"/>
    </xf>
    <xf numFmtId="164" fontId="2" fillId="0" borderId="46" xfId="0" applyNumberFormat="1" applyFont="1" applyBorder="1" applyAlignment="1">
      <alignment horizontal="center"/>
    </xf>
    <xf numFmtId="164" fontId="2" fillId="0" borderId="12" xfId="0" applyNumberFormat="1" applyFont="1" applyBorder="1" applyAlignment="1">
      <alignment horizontal="center"/>
    </xf>
    <xf numFmtId="0" fontId="2" fillId="0" borderId="37" xfId="0" applyFont="1" applyBorder="1" applyAlignment="1">
      <alignment horizontal="center" vertical="center" wrapText="1"/>
    </xf>
    <xf numFmtId="0" fontId="2" fillId="0" borderId="86" xfId="0" applyFont="1" applyBorder="1" applyAlignment="1">
      <alignment horizontal="center" vertical="center" wrapText="1"/>
    </xf>
    <xf numFmtId="164" fontId="2" fillId="0" borderId="56" xfId="0" applyNumberFormat="1" applyFont="1" applyBorder="1" applyAlignment="1">
      <alignment horizontal="right" vertical="center" wrapText="1"/>
    </xf>
    <xf numFmtId="164" fontId="2" fillId="0" borderId="57" xfId="0" applyNumberFormat="1" applyFont="1" applyBorder="1" applyAlignment="1">
      <alignment horizontal="right" vertical="center" wrapText="1"/>
    </xf>
    <xf numFmtId="164" fontId="2" fillId="0" borderId="87" xfId="0" applyNumberFormat="1" applyFont="1" applyBorder="1" applyAlignment="1">
      <alignment horizontal="right" vertical="center" wrapText="1"/>
    </xf>
    <xf numFmtId="164" fontId="2" fillId="0" borderId="58" xfId="0" applyNumberFormat="1" applyFont="1" applyBorder="1" applyAlignment="1">
      <alignment horizontal="right"/>
    </xf>
    <xf numFmtId="164" fontId="2" fillId="0" borderId="56" xfId="0" applyNumberFormat="1" applyFont="1" applyBorder="1" applyAlignment="1">
      <alignment horizontal="right"/>
    </xf>
    <xf numFmtId="164" fontId="2" fillId="0" borderId="58" xfId="0" applyNumberFormat="1" applyFont="1" applyBorder="1" applyAlignment="1">
      <alignment horizontal="right" vertical="center"/>
    </xf>
    <xf numFmtId="164" fontId="2" fillId="0" borderId="50" xfId="0" applyNumberFormat="1" applyFont="1" applyBorder="1" applyAlignment="1">
      <alignment horizontal="right" vertical="center" wrapText="1"/>
    </xf>
    <xf numFmtId="164" fontId="2" fillId="0" borderId="50" xfId="0" applyNumberFormat="1" applyFont="1" applyBorder="1" applyAlignment="1">
      <alignment horizontal="right"/>
    </xf>
    <xf numFmtId="164" fontId="2" fillId="0" borderId="42" xfId="0" applyNumberFormat="1" applyFont="1" applyBorder="1" applyAlignment="1">
      <alignment horizontal="right"/>
    </xf>
    <xf numFmtId="0" fontId="2" fillId="0" borderId="88" xfId="0" applyFont="1" applyBorder="1" applyAlignment="1">
      <alignment horizontal="center"/>
    </xf>
    <xf numFmtId="164" fontId="2" fillId="0" borderId="88" xfId="0" applyNumberFormat="1" applyFont="1" applyBorder="1" applyAlignment="1">
      <alignment horizontal="center"/>
    </xf>
    <xf numFmtId="164" fontId="2" fillId="0" borderId="89" xfId="0" applyNumberFormat="1" applyFont="1" applyBorder="1" applyAlignment="1">
      <alignment horizontal="center"/>
    </xf>
    <xf numFmtId="164" fontId="2" fillId="0" borderId="58" xfId="0" applyNumberFormat="1" applyFont="1" applyBorder="1" applyAlignment="1">
      <alignment horizontal="right" vertical="center" wrapText="1"/>
    </xf>
    <xf numFmtId="164" fontId="2" fillId="0" borderId="18" xfId="0" applyNumberFormat="1" applyFont="1" applyBorder="1" applyAlignment="1">
      <alignment horizontal="right" vertical="center" wrapText="1"/>
    </xf>
    <xf numFmtId="164" fontId="2" fillId="0" borderId="29" xfId="0" applyNumberFormat="1" applyFont="1" applyBorder="1" applyAlignment="1">
      <alignment horizontal="right" vertical="center" wrapText="1"/>
    </xf>
    <xf numFmtId="164" fontId="2" fillId="0" borderId="69" xfId="0" applyNumberFormat="1" applyFont="1" applyBorder="1" applyAlignment="1">
      <alignment horizontal="center"/>
    </xf>
    <xf numFmtId="6" fontId="48" fillId="0" borderId="0" xfId="0" applyNumberFormat="1" applyFont="1" applyFill="1"/>
    <xf numFmtId="6" fontId="48" fillId="0" borderId="0" xfId="0" applyNumberFormat="1" applyFont="1" applyFill="1" applyAlignment="1">
      <alignment horizontal="center"/>
    </xf>
    <xf numFmtId="164" fontId="2" fillId="0" borderId="47" xfId="0" applyNumberFormat="1" applyFont="1" applyBorder="1" applyAlignment="1">
      <alignment horizontal="center"/>
    </xf>
    <xf numFmtId="1" fontId="2" fillId="0" borderId="0" xfId="0" applyNumberFormat="1" applyFont="1" applyAlignment="1">
      <alignment horizontal="center"/>
    </xf>
    <xf numFmtId="0" fontId="4" fillId="0" borderId="0" xfId="0" applyFont="1" applyAlignment="1">
      <alignment horizontal="right"/>
    </xf>
    <xf numFmtId="164" fontId="10" fillId="0" borderId="0" xfId="0" applyNumberFormat="1" applyFont="1" applyAlignment="1">
      <alignment horizontal="center"/>
    </xf>
    <xf numFmtId="5" fontId="2" fillId="0" borderId="38" xfId="0" applyNumberFormat="1" applyFont="1" applyBorder="1" applyAlignment="1">
      <alignment horizontal="right" vertical="center" wrapText="1"/>
    </xf>
    <xf numFmtId="164" fontId="2" fillId="0" borderId="67" xfId="0" applyNumberFormat="1" applyFont="1" applyBorder="1" applyAlignment="1">
      <alignment horizontal="center"/>
    </xf>
    <xf numFmtId="0" fontId="2" fillId="0" borderId="35" xfId="0" applyFont="1" applyBorder="1" applyAlignment="1">
      <alignment horizontal="center"/>
    </xf>
    <xf numFmtId="164" fontId="0" fillId="0" borderId="39" xfId="0" applyNumberFormat="1" applyFill="1" applyBorder="1" applyAlignment="1">
      <alignment horizontal="center"/>
    </xf>
    <xf numFmtId="164" fontId="0" fillId="0" borderId="65" xfId="0" applyNumberFormat="1" applyFill="1" applyBorder="1" applyAlignment="1">
      <alignment horizontal="center"/>
    </xf>
    <xf numFmtId="2" fontId="4" fillId="0" borderId="71" xfId="0" applyNumberFormat="1" applyFont="1" applyFill="1" applyBorder="1" applyAlignment="1">
      <alignment horizontal="center"/>
    </xf>
    <xf numFmtId="164" fontId="0" fillId="0" borderId="20" xfId="0" applyNumberFormat="1" applyFill="1" applyBorder="1" applyAlignment="1">
      <alignment horizontal="center"/>
    </xf>
    <xf numFmtId="6" fontId="49" fillId="0" borderId="0" xfId="0" applyNumberFormat="1" applyFont="1"/>
    <xf numFmtId="0" fontId="5" fillId="0" borderId="0" xfId="2" applyFont="1" applyFill="1" applyBorder="1" applyAlignment="1"/>
    <xf numFmtId="1" fontId="0" fillId="0" borderId="0" xfId="0" applyNumberFormat="1" applyAlignment="1"/>
    <xf numFmtId="164" fontId="2" fillId="0" borderId="86" xfId="0" applyNumberFormat="1" applyFont="1" applyBorder="1" applyAlignment="1">
      <alignment horizontal="right" vertical="center" wrapText="1"/>
    </xf>
    <xf numFmtId="164" fontId="2" fillId="0" borderId="37" xfId="0" applyNumberFormat="1" applyFont="1" applyBorder="1" applyAlignment="1">
      <alignment horizontal="right" vertical="center" wrapText="1"/>
    </xf>
    <xf numFmtId="164" fontId="2" fillId="0" borderId="7" xfId="0" applyNumberFormat="1" applyFont="1" applyBorder="1" applyAlignment="1">
      <alignment horizontal="right" vertical="center" wrapText="1"/>
    </xf>
    <xf numFmtId="164" fontId="2" fillId="0" borderId="9" xfId="0" applyNumberFormat="1" applyFont="1" applyBorder="1" applyAlignment="1">
      <alignment horizontal="right" vertical="center" wrapText="1"/>
    </xf>
    <xf numFmtId="164" fontId="2" fillId="0" borderId="86" xfId="0" applyNumberFormat="1" applyFont="1" applyBorder="1" applyAlignment="1">
      <alignment horizontal="right"/>
    </xf>
    <xf numFmtId="164" fontId="2" fillId="0" borderId="37" xfId="0" applyNumberFormat="1" applyFont="1" applyBorder="1" applyAlignment="1">
      <alignment horizontal="right"/>
    </xf>
    <xf numFmtId="164" fontId="2" fillId="0" borderId="7" xfId="0" applyNumberFormat="1" applyFont="1" applyBorder="1" applyAlignment="1">
      <alignment horizontal="right"/>
    </xf>
    <xf numFmtId="164" fontId="2" fillId="0" borderId="9" xfId="0" applyNumberFormat="1" applyFont="1" applyBorder="1" applyAlignment="1">
      <alignment horizontal="right"/>
    </xf>
    <xf numFmtId="164" fontId="2" fillId="0" borderId="85" xfId="0" applyNumberFormat="1" applyFont="1" applyBorder="1" applyAlignment="1">
      <alignment horizontal="right"/>
    </xf>
    <xf numFmtId="164" fontId="2" fillId="0" borderId="48" xfId="0" applyNumberFormat="1" applyFont="1" applyBorder="1" applyAlignment="1">
      <alignment horizontal="right"/>
    </xf>
    <xf numFmtId="164" fontId="2" fillId="0" borderId="68" xfId="0" applyNumberFormat="1" applyFont="1" applyBorder="1" applyAlignment="1">
      <alignment horizontal="right"/>
    </xf>
    <xf numFmtId="164" fontId="2" fillId="0" borderId="35" xfId="0" applyNumberFormat="1" applyFont="1" applyBorder="1" applyAlignment="1">
      <alignment horizontal="center"/>
    </xf>
    <xf numFmtId="164" fontId="2" fillId="0" borderId="90" xfId="0" applyNumberFormat="1" applyFont="1" applyBorder="1" applyAlignment="1">
      <alignment horizontal="right"/>
    </xf>
    <xf numFmtId="164" fontId="2" fillId="0" borderId="40" xfId="0" applyNumberFormat="1" applyFont="1" applyBorder="1" applyAlignment="1">
      <alignment horizontal="right"/>
    </xf>
    <xf numFmtId="164" fontId="2" fillId="0" borderId="14" xfId="0" applyNumberFormat="1" applyFont="1" applyBorder="1" applyAlignment="1">
      <alignment horizontal="right"/>
    </xf>
    <xf numFmtId="164" fontId="2" fillId="0" borderId="15" xfId="0" applyNumberFormat="1" applyFont="1" applyBorder="1" applyAlignment="1">
      <alignment horizontal="right"/>
    </xf>
    <xf numFmtId="164" fontId="2" fillId="0" borderId="13" xfId="0" applyNumberFormat="1" applyFont="1" applyBorder="1" applyAlignment="1">
      <alignment horizontal="right"/>
    </xf>
    <xf numFmtId="164" fontId="2" fillId="0" borderId="57" xfId="0" applyNumberFormat="1" applyFont="1" applyBorder="1" applyAlignment="1">
      <alignment horizontal="right" vertical="center"/>
    </xf>
    <xf numFmtId="164" fontId="2" fillId="0" borderId="22" xfId="0" applyNumberFormat="1" applyFont="1" applyBorder="1" applyAlignment="1">
      <alignment horizontal="right" vertical="center"/>
    </xf>
    <xf numFmtId="0" fontId="0" fillId="0" borderId="0" xfId="0" applyFill="1" applyAlignment="1">
      <alignment horizontal="left" vertical="top" wrapText="1"/>
    </xf>
    <xf numFmtId="0" fontId="0" fillId="0" borderId="0" xfId="0" applyFill="1" applyAlignment="1"/>
    <xf numFmtId="0" fontId="5" fillId="0" borderId="0" xfId="2" applyFont="1" applyFill="1" applyBorder="1" applyAlignment="1">
      <alignment horizontal="left" vertical="top" wrapText="1"/>
    </xf>
    <xf numFmtId="0" fontId="8" fillId="0" borderId="66" xfId="2" applyFont="1" applyFill="1" applyBorder="1" applyAlignment="1">
      <alignment horizontal="center" vertical="center"/>
    </xf>
    <xf numFmtId="0" fontId="8" fillId="0" borderId="22" xfId="2" applyFont="1" applyFill="1" applyBorder="1" applyAlignment="1">
      <alignment horizontal="center" vertical="center"/>
    </xf>
    <xf numFmtId="0" fontId="5" fillId="0" borderId="0" xfId="0" applyFont="1" applyFill="1" applyBorder="1" applyAlignment="1">
      <alignment horizontal="left" vertical="top" wrapText="1"/>
    </xf>
    <xf numFmtId="0" fontId="8" fillId="0" borderId="23" xfId="2" applyFont="1" applyFill="1" applyBorder="1" applyAlignment="1">
      <alignment horizontal="center" vertical="center"/>
    </xf>
    <xf numFmtId="0" fontId="8" fillId="0" borderId="23" xfId="2"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0" fillId="2" borderId="11" xfId="0" applyFill="1" applyBorder="1" applyAlignment="1">
      <alignment horizontal="center" vertical="center" wrapText="1"/>
    </xf>
    <xf numFmtId="0" fontId="0" fillId="2" borderId="60" xfId="0"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0" xfId="0" applyFont="1" applyFill="1" applyBorder="1" applyAlignment="1">
      <alignment horizontal="center" vertical="center" wrapText="1"/>
    </xf>
    <xf numFmtId="164" fontId="3" fillId="0" borderId="35" xfId="0" applyNumberFormat="1" applyFont="1" applyBorder="1" applyAlignment="1">
      <alignment horizontal="center" vertical="center"/>
    </xf>
    <xf numFmtId="164" fontId="3" fillId="0" borderId="26" xfId="0" applyNumberFormat="1" applyFont="1" applyBorder="1" applyAlignment="1">
      <alignment horizontal="center" vertical="center"/>
    </xf>
    <xf numFmtId="0" fontId="3" fillId="0" borderId="35" xfId="0" applyFont="1" applyFill="1" applyBorder="1" applyAlignment="1">
      <alignment horizontal="center" vertical="center"/>
    </xf>
    <xf numFmtId="0" fontId="3" fillId="0" borderId="26"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5" xfId="0" applyFont="1" applyFill="1" applyBorder="1" applyAlignment="1">
      <alignment horizontal="center" vertical="center"/>
    </xf>
    <xf numFmtId="0" fontId="2" fillId="2" borderId="50"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85"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6" xfId="0" applyFont="1" applyFill="1" applyBorder="1" applyAlignment="1">
      <alignment horizontal="center" vertical="center"/>
    </xf>
    <xf numFmtId="0" fontId="2" fillId="0" borderId="17" xfId="0" applyFont="1" applyFill="1" applyBorder="1" applyAlignment="1">
      <alignment horizontal="center" vertical="center"/>
    </xf>
    <xf numFmtId="0" fontId="0" fillId="0" borderId="0" xfId="0" applyFill="1" applyAlignment="1">
      <alignment horizontal="left" vertical="top" wrapText="1"/>
    </xf>
    <xf numFmtId="0" fontId="0" fillId="0" borderId="0" xfId="0" applyFont="1" applyFill="1" applyAlignment="1">
      <alignment horizontal="left" vertical="top" wrapText="1"/>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7" xfId="0" applyFont="1" applyBorder="1" applyAlignment="1">
      <alignment horizontal="center" vertical="center" wrapText="1"/>
    </xf>
    <xf numFmtId="0" fontId="4" fillId="0" borderId="24" xfId="0" applyFont="1" applyFill="1" applyBorder="1" applyAlignment="1">
      <alignment horizontal="left"/>
    </xf>
    <xf numFmtId="0" fontId="0" fillId="0" borderId="48" xfId="0" applyFont="1" applyFill="1" applyBorder="1" applyAlignment="1">
      <alignment horizontal="center"/>
    </xf>
    <xf numFmtId="0" fontId="0" fillId="0" borderId="49" xfId="0" applyFont="1" applyFill="1" applyBorder="1" applyAlignment="1">
      <alignment horizontal="center"/>
    </xf>
    <xf numFmtId="0" fontId="0" fillId="0" borderId="0" xfId="0" applyAlignment="1">
      <alignment horizontal="left" wrapText="1"/>
    </xf>
    <xf numFmtId="0" fontId="0" fillId="0" borderId="23" xfId="0" applyBorder="1" applyAlignment="1">
      <alignment horizontal="center"/>
    </xf>
    <xf numFmtId="0" fontId="4" fillId="0" borderId="23" xfId="0" applyFont="1" applyBorder="1" applyAlignment="1">
      <alignment horizontal="center" wrapText="1"/>
    </xf>
    <xf numFmtId="0" fontId="0" fillId="0" borderId="23" xfId="0" applyBorder="1" applyAlignment="1">
      <alignment horizontal="center" vertical="center"/>
    </xf>
    <xf numFmtId="0" fontId="4" fillId="0" borderId="0" xfId="0" applyFont="1" applyFill="1" applyBorder="1" applyAlignment="1">
      <alignment horizontal="left"/>
    </xf>
    <xf numFmtId="0" fontId="0" fillId="0" borderId="0" xfId="0" applyAlignment="1">
      <alignment horizontal="left" vertical="top" wrapText="1"/>
    </xf>
    <xf numFmtId="0" fontId="4" fillId="0" borderId="23" xfId="0" applyFont="1" applyBorder="1" applyAlignment="1">
      <alignment horizontal="center"/>
    </xf>
    <xf numFmtId="0" fontId="2" fillId="0" borderId="16"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60" xfId="0" applyFont="1" applyBorder="1" applyAlignment="1">
      <alignment horizontal="center" vertical="center" wrapText="1"/>
    </xf>
    <xf numFmtId="0" fontId="4" fillId="0" borderId="35" xfId="0" applyFont="1" applyBorder="1" applyAlignment="1">
      <alignment horizontal="center" vertical="center"/>
    </xf>
    <xf numFmtId="0" fontId="4" fillId="0" borderId="55" xfId="0" applyFont="1" applyBorder="1" applyAlignment="1">
      <alignment horizontal="center" vertical="center"/>
    </xf>
    <xf numFmtId="0" fontId="4" fillId="0" borderId="26" xfId="0" applyFont="1" applyBorder="1" applyAlignment="1">
      <alignment horizontal="center" vertical="center"/>
    </xf>
    <xf numFmtId="0" fontId="4" fillId="0" borderId="35" xfId="0" applyFont="1" applyBorder="1" applyAlignment="1">
      <alignment horizontal="center"/>
    </xf>
    <xf numFmtId="0" fontId="4" fillId="0" borderId="55" xfId="0" applyFont="1" applyBorder="1" applyAlignment="1">
      <alignment horizontal="center"/>
    </xf>
    <xf numFmtId="0" fontId="4" fillId="0" borderId="1" xfId="0" applyFont="1" applyBorder="1" applyAlignment="1">
      <alignment horizontal="center"/>
    </xf>
    <xf numFmtId="0" fontId="4" fillId="0" borderId="28" xfId="0" applyFont="1" applyBorder="1" applyAlignment="1">
      <alignment horizontal="center"/>
    </xf>
    <xf numFmtId="0" fontId="2" fillId="0" borderId="13"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18" xfId="0" applyFont="1" applyBorder="1" applyAlignment="1">
      <alignment horizontal="center" vertical="center"/>
    </xf>
    <xf numFmtId="0" fontId="2" fillId="0" borderId="63" xfId="0" applyFont="1" applyBorder="1" applyAlignment="1">
      <alignment horizontal="center" vertical="center"/>
    </xf>
    <xf numFmtId="0" fontId="2" fillId="0" borderId="29" xfId="0" applyFont="1" applyBorder="1" applyAlignment="1">
      <alignment horizontal="center" vertical="center"/>
    </xf>
    <xf numFmtId="0" fontId="2" fillId="0" borderId="30" xfId="0" applyFont="1" applyBorder="1" applyAlignment="1">
      <alignment horizontal="center" vertical="center"/>
    </xf>
    <xf numFmtId="49" fontId="2" fillId="0" borderId="18"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2" fillId="0" borderId="28" xfId="0" applyFont="1" applyBorder="1" applyAlignment="1">
      <alignment horizontal="center" vertical="center"/>
    </xf>
    <xf numFmtId="0" fontId="2" fillId="0" borderId="27" xfId="0" applyFont="1" applyBorder="1" applyAlignment="1">
      <alignment horizontal="center" vertical="center"/>
    </xf>
    <xf numFmtId="0" fontId="0" fillId="0" borderId="35" xfId="0" applyBorder="1" applyAlignment="1">
      <alignment horizontal="center" wrapText="1"/>
    </xf>
    <xf numFmtId="0" fontId="0" fillId="0" borderId="26" xfId="0" applyBorder="1" applyAlignment="1">
      <alignment horizontal="center" wrapText="1"/>
    </xf>
    <xf numFmtId="0" fontId="0" fillId="0" borderId="35" xfId="0" applyBorder="1" applyAlignment="1">
      <alignment horizontal="center"/>
    </xf>
    <xf numFmtId="0" fontId="0" fillId="0" borderId="26" xfId="0" applyBorder="1" applyAlignment="1">
      <alignment horizontal="center"/>
    </xf>
    <xf numFmtId="0" fontId="2" fillId="0" borderId="31" xfId="0" applyFont="1" applyBorder="1" applyAlignment="1">
      <alignment horizontal="center" vertical="center" wrapText="1"/>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5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37" fillId="10" borderId="73" xfId="0" applyFont="1" applyFill="1" applyBorder="1" applyAlignment="1">
      <alignment vertical="center" wrapText="1"/>
    </xf>
    <xf numFmtId="0" fontId="37" fillId="10" borderId="74" xfId="0" applyFont="1" applyFill="1" applyBorder="1" applyAlignment="1">
      <alignment vertical="center" wrapText="1"/>
    </xf>
    <xf numFmtId="0" fontId="37" fillId="10" borderId="75" xfId="0" applyFont="1" applyFill="1" applyBorder="1" applyAlignment="1">
      <alignment vertical="center" wrapText="1"/>
    </xf>
  </cellXfs>
  <cellStyles count="142">
    <cellStyle name="Comma" xfId="15" builtinId="3"/>
    <cellStyle name="Comma 2" xfId="7" xr:uid="{00000000-0005-0000-0000-000001000000}"/>
    <cellStyle name="Comma 47 2" xfId="21" xr:uid="{00000000-0005-0000-0000-000002000000}"/>
    <cellStyle name="Comma 47 3" xfId="22" xr:uid="{00000000-0005-0000-0000-000003000000}"/>
    <cellStyle name="Comma 47 4" xfId="23" xr:uid="{00000000-0005-0000-0000-000004000000}"/>
    <cellStyle name="Comma0" xfId="8" xr:uid="{00000000-0005-0000-0000-000005000000}"/>
    <cellStyle name="Currency" xfId="1" builtinId="4"/>
    <cellStyle name="Currency 2" xfId="20" xr:uid="{00000000-0005-0000-0000-000007000000}"/>
    <cellStyle name="Currency0" xfId="9" xr:uid="{00000000-0005-0000-0000-000008000000}"/>
    <cellStyle name="Date" xfId="10" xr:uid="{00000000-0005-0000-0000-000009000000}"/>
    <cellStyle name="Fixed" xfId="11" xr:uid="{00000000-0005-0000-0000-00000A000000}"/>
    <cellStyle name="Hyperlink" xfId="18" builtinId="8"/>
    <cellStyle name="Normal" xfId="0" builtinId="0"/>
    <cellStyle name="Normal 11" xfId="24" xr:uid="{00000000-0005-0000-0000-00000D000000}"/>
    <cellStyle name="Normal 11 2" xfId="25" xr:uid="{00000000-0005-0000-0000-00000E000000}"/>
    <cellStyle name="Normal 11 3" xfId="26" xr:uid="{00000000-0005-0000-0000-00000F000000}"/>
    <cellStyle name="Normal 11 4" xfId="27" xr:uid="{00000000-0005-0000-0000-000010000000}"/>
    <cellStyle name="Normal 11 5" xfId="28" xr:uid="{00000000-0005-0000-0000-000011000000}"/>
    <cellStyle name="Normal 12" xfId="29" xr:uid="{00000000-0005-0000-0000-000012000000}"/>
    <cellStyle name="Normal 12 2" xfId="30" xr:uid="{00000000-0005-0000-0000-000013000000}"/>
    <cellStyle name="Normal 12 3" xfId="31" xr:uid="{00000000-0005-0000-0000-000014000000}"/>
    <cellStyle name="Normal 12 4" xfId="32" xr:uid="{00000000-0005-0000-0000-000015000000}"/>
    <cellStyle name="Normal 12 5" xfId="33" xr:uid="{00000000-0005-0000-0000-000016000000}"/>
    <cellStyle name="Normal 13" xfId="34" xr:uid="{00000000-0005-0000-0000-000017000000}"/>
    <cellStyle name="Normal 13 2" xfId="35" xr:uid="{00000000-0005-0000-0000-000018000000}"/>
    <cellStyle name="Normal 13 3" xfId="36" xr:uid="{00000000-0005-0000-0000-000019000000}"/>
    <cellStyle name="Normal 13 4" xfId="37" xr:uid="{00000000-0005-0000-0000-00001A000000}"/>
    <cellStyle name="Normal 13 5" xfId="38" xr:uid="{00000000-0005-0000-0000-00001B000000}"/>
    <cellStyle name="Normal 14" xfId="39" xr:uid="{00000000-0005-0000-0000-00001C000000}"/>
    <cellStyle name="Normal 14 2" xfId="40" xr:uid="{00000000-0005-0000-0000-00001D000000}"/>
    <cellStyle name="Normal 14 3" xfId="41" xr:uid="{00000000-0005-0000-0000-00001E000000}"/>
    <cellStyle name="Normal 14 4" xfId="42" xr:uid="{00000000-0005-0000-0000-00001F000000}"/>
    <cellStyle name="Normal 14 5" xfId="43" xr:uid="{00000000-0005-0000-0000-000020000000}"/>
    <cellStyle name="Normal 15" xfId="44" xr:uid="{00000000-0005-0000-0000-000021000000}"/>
    <cellStyle name="Normal 15 2" xfId="45" xr:uid="{00000000-0005-0000-0000-000022000000}"/>
    <cellStyle name="Normal 15 3" xfId="46" xr:uid="{00000000-0005-0000-0000-000023000000}"/>
    <cellStyle name="Normal 15 4" xfId="47" xr:uid="{00000000-0005-0000-0000-000024000000}"/>
    <cellStyle name="Normal 15 5" xfId="48" xr:uid="{00000000-0005-0000-0000-000025000000}"/>
    <cellStyle name="Normal 16" xfId="2" xr:uid="{00000000-0005-0000-0000-000026000000}"/>
    <cellStyle name="Normal 16 2" xfId="49" xr:uid="{00000000-0005-0000-0000-000027000000}"/>
    <cellStyle name="Normal 16 3" xfId="50" xr:uid="{00000000-0005-0000-0000-000028000000}"/>
    <cellStyle name="Normal 16 4" xfId="51" xr:uid="{00000000-0005-0000-0000-000029000000}"/>
    <cellStyle name="Normal 16 5" xfId="52" xr:uid="{00000000-0005-0000-0000-00002A000000}"/>
    <cellStyle name="Normal 17" xfId="4" xr:uid="{00000000-0005-0000-0000-00002B000000}"/>
    <cellStyle name="Normal 17 2" xfId="53" xr:uid="{00000000-0005-0000-0000-00002C000000}"/>
    <cellStyle name="Normal 17 3" xfId="54" xr:uid="{00000000-0005-0000-0000-00002D000000}"/>
    <cellStyle name="Normal 17 4" xfId="55" xr:uid="{00000000-0005-0000-0000-00002E000000}"/>
    <cellStyle name="Normal 17 5" xfId="56" xr:uid="{00000000-0005-0000-0000-00002F000000}"/>
    <cellStyle name="Normal 18" xfId="3" xr:uid="{00000000-0005-0000-0000-000030000000}"/>
    <cellStyle name="Normal 18 2" xfId="57" xr:uid="{00000000-0005-0000-0000-000031000000}"/>
    <cellStyle name="Normal 18 3" xfId="58" xr:uid="{00000000-0005-0000-0000-000032000000}"/>
    <cellStyle name="Normal 18 4" xfId="59" xr:uid="{00000000-0005-0000-0000-000033000000}"/>
    <cellStyle name="Normal 18 5" xfId="60" xr:uid="{00000000-0005-0000-0000-000034000000}"/>
    <cellStyle name="Normal 19" xfId="5" xr:uid="{00000000-0005-0000-0000-000035000000}"/>
    <cellStyle name="Normal 19 2" xfId="61" xr:uid="{00000000-0005-0000-0000-000036000000}"/>
    <cellStyle name="Normal 19 3" xfId="62" xr:uid="{00000000-0005-0000-0000-000037000000}"/>
    <cellStyle name="Normal 19 4" xfId="63" xr:uid="{00000000-0005-0000-0000-000038000000}"/>
    <cellStyle name="Normal 19 5" xfId="64" xr:uid="{00000000-0005-0000-0000-000039000000}"/>
    <cellStyle name="Normal 2" xfId="6" xr:uid="{00000000-0005-0000-0000-00003A000000}"/>
    <cellStyle name="Normal 2 2" xfId="65" xr:uid="{00000000-0005-0000-0000-00003B000000}"/>
    <cellStyle name="Normal 2 3" xfId="66" xr:uid="{00000000-0005-0000-0000-00003C000000}"/>
    <cellStyle name="Normal 2 4" xfId="67" xr:uid="{00000000-0005-0000-0000-00003D000000}"/>
    <cellStyle name="Normal 2 5" xfId="68" xr:uid="{00000000-0005-0000-0000-00003E000000}"/>
    <cellStyle name="Normal 20" xfId="69" xr:uid="{00000000-0005-0000-0000-00003F000000}"/>
    <cellStyle name="Normal 20 2" xfId="70" xr:uid="{00000000-0005-0000-0000-000040000000}"/>
    <cellStyle name="Normal 20 3" xfId="71" xr:uid="{00000000-0005-0000-0000-000041000000}"/>
    <cellStyle name="Normal 20 4" xfId="72" xr:uid="{00000000-0005-0000-0000-000042000000}"/>
    <cellStyle name="Normal 20 5" xfId="73" xr:uid="{00000000-0005-0000-0000-000043000000}"/>
    <cellStyle name="Normal 21" xfId="74" xr:uid="{00000000-0005-0000-0000-000044000000}"/>
    <cellStyle name="Normal 21 2" xfId="75" xr:uid="{00000000-0005-0000-0000-000045000000}"/>
    <cellStyle name="Normal 21 3" xfId="76" xr:uid="{00000000-0005-0000-0000-000046000000}"/>
    <cellStyle name="Normal 21 4" xfId="77" xr:uid="{00000000-0005-0000-0000-000047000000}"/>
    <cellStyle name="Normal 21 5" xfId="78" xr:uid="{00000000-0005-0000-0000-000048000000}"/>
    <cellStyle name="Normal 23" xfId="79" xr:uid="{00000000-0005-0000-0000-000049000000}"/>
    <cellStyle name="Normal 23 2" xfId="80" xr:uid="{00000000-0005-0000-0000-00004A000000}"/>
    <cellStyle name="Normal 23 3" xfId="81" xr:uid="{00000000-0005-0000-0000-00004B000000}"/>
    <cellStyle name="Normal 23 4" xfId="82" xr:uid="{00000000-0005-0000-0000-00004C000000}"/>
    <cellStyle name="Normal 23 5" xfId="83" xr:uid="{00000000-0005-0000-0000-00004D000000}"/>
    <cellStyle name="Normal 24" xfId="84" xr:uid="{00000000-0005-0000-0000-00004E000000}"/>
    <cellStyle name="Normal 24 2" xfId="85" xr:uid="{00000000-0005-0000-0000-00004F000000}"/>
    <cellStyle name="Normal 24 3" xfId="86" xr:uid="{00000000-0005-0000-0000-000050000000}"/>
    <cellStyle name="Normal 24 4" xfId="87" xr:uid="{00000000-0005-0000-0000-000051000000}"/>
    <cellStyle name="Normal 24 5" xfId="88" xr:uid="{00000000-0005-0000-0000-000052000000}"/>
    <cellStyle name="Normal 25" xfId="89" xr:uid="{00000000-0005-0000-0000-000053000000}"/>
    <cellStyle name="Normal 25 2" xfId="90" xr:uid="{00000000-0005-0000-0000-000054000000}"/>
    <cellStyle name="Normal 25 3" xfId="91" xr:uid="{00000000-0005-0000-0000-000055000000}"/>
    <cellStyle name="Normal 25 4" xfId="92" xr:uid="{00000000-0005-0000-0000-000056000000}"/>
    <cellStyle name="Normal 25 5" xfId="93" xr:uid="{00000000-0005-0000-0000-000057000000}"/>
    <cellStyle name="Normal 26" xfId="94" xr:uid="{00000000-0005-0000-0000-000058000000}"/>
    <cellStyle name="Normal 26 2" xfId="95" xr:uid="{00000000-0005-0000-0000-000059000000}"/>
    <cellStyle name="Normal 26 3" xfId="96" xr:uid="{00000000-0005-0000-0000-00005A000000}"/>
    <cellStyle name="Normal 26 4" xfId="97" xr:uid="{00000000-0005-0000-0000-00005B000000}"/>
    <cellStyle name="Normal 26 5" xfId="98" xr:uid="{00000000-0005-0000-0000-00005C000000}"/>
    <cellStyle name="Normal 27" xfId="99" xr:uid="{00000000-0005-0000-0000-00005D000000}"/>
    <cellStyle name="Normal 27 2" xfId="100" xr:uid="{00000000-0005-0000-0000-00005E000000}"/>
    <cellStyle name="Normal 27 3" xfId="101" xr:uid="{00000000-0005-0000-0000-00005F000000}"/>
    <cellStyle name="Normal 27 4" xfId="102" xr:uid="{00000000-0005-0000-0000-000060000000}"/>
    <cellStyle name="Normal 27 5" xfId="103" xr:uid="{00000000-0005-0000-0000-000061000000}"/>
    <cellStyle name="Normal 28 2" xfId="104" xr:uid="{00000000-0005-0000-0000-000062000000}"/>
    <cellStyle name="Normal 28 3" xfId="105" xr:uid="{00000000-0005-0000-0000-000063000000}"/>
    <cellStyle name="Normal 28 4" xfId="106" xr:uid="{00000000-0005-0000-0000-000064000000}"/>
    <cellStyle name="Normal 29" xfId="107" xr:uid="{00000000-0005-0000-0000-000065000000}"/>
    <cellStyle name="Normal 3" xfId="12" xr:uid="{00000000-0005-0000-0000-000066000000}"/>
    <cellStyle name="Normal 3 2" xfId="108" xr:uid="{00000000-0005-0000-0000-000067000000}"/>
    <cellStyle name="Normal 3 3" xfId="109" xr:uid="{00000000-0005-0000-0000-000068000000}"/>
    <cellStyle name="Normal 3 4" xfId="110" xr:uid="{00000000-0005-0000-0000-000069000000}"/>
    <cellStyle name="Normal 3 5" xfId="111" xr:uid="{00000000-0005-0000-0000-00006A000000}"/>
    <cellStyle name="Normal 30" xfId="112" xr:uid="{00000000-0005-0000-0000-00006B000000}"/>
    <cellStyle name="Normal 32" xfId="113" xr:uid="{00000000-0005-0000-0000-00006C000000}"/>
    <cellStyle name="Normal 4" xfId="13" xr:uid="{00000000-0005-0000-0000-00006D000000}"/>
    <cellStyle name="Normal 4 2" xfId="114" xr:uid="{00000000-0005-0000-0000-00006E000000}"/>
    <cellStyle name="Normal 4 3" xfId="115" xr:uid="{00000000-0005-0000-0000-00006F000000}"/>
    <cellStyle name="Normal 4 4" xfId="116" xr:uid="{00000000-0005-0000-0000-000070000000}"/>
    <cellStyle name="Normal 4 5" xfId="117" xr:uid="{00000000-0005-0000-0000-000071000000}"/>
    <cellStyle name="Normal 5" xfId="17" xr:uid="{00000000-0005-0000-0000-000072000000}"/>
    <cellStyle name="Normal 5 2" xfId="118" xr:uid="{00000000-0005-0000-0000-000073000000}"/>
    <cellStyle name="Normal 5 3" xfId="119" xr:uid="{00000000-0005-0000-0000-000074000000}"/>
    <cellStyle name="Normal 5 4" xfId="120" xr:uid="{00000000-0005-0000-0000-000075000000}"/>
    <cellStyle name="Normal 5 5" xfId="121" xr:uid="{00000000-0005-0000-0000-000076000000}"/>
    <cellStyle name="Normal 6" xfId="122" xr:uid="{00000000-0005-0000-0000-000077000000}"/>
    <cellStyle name="Normal 6 2" xfId="123" xr:uid="{00000000-0005-0000-0000-000078000000}"/>
    <cellStyle name="Normal 6 3" xfId="124" xr:uid="{00000000-0005-0000-0000-000079000000}"/>
    <cellStyle name="Normal 6 4" xfId="125" xr:uid="{00000000-0005-0000-0000-00007A000000}"/>
    <cellStyle name="Normal 6 5" xfId="126" xr:uid="{00000000-0005-0000-0000-00007B000000}"/>
    <cellStyle name="Normal 7" xfId="141" xr:uid="{C22493FF-6341-4B97-AE98-68F72363EF53}"/>
    <cellStyle name="Normal 7 2" xfId="127" xr:uid="{00000000-0005-0000-0000-00007C000000}"/>
    <cellStyle name="Normal 7 3" xfId="128" xr:uid="{00000000-0005-0000-0000-00007D000000}"/>
    <cellStyle name="Normal 7 4" xfId="129" xr:uid="{00000000-0005-0000-0000-00007E000000}"/>
    <cellStyle name="Normal 7 5" xfId="130" xr:uid="{00000000-0005-0000-0000-00007F000000}"/>
    <cellStyle name="Normal 8 2" xfId="131" xr:uid="{00000000-0005-0000-0000-000080000000}"/>
    <cellStyle name="Normal 8 3" xfId="132" xr:uid="{00000000-0005-0000-0000-000081000000}"/>
    <cellStyle name="Normal 8 4" xfId="133" xr:uid="{00000000-0005-0000-0000-000082000000}"/>
    <cellStyle name="Normal 8 5" xfId="134" xr:uid="{00000000-0005-0000-0000-000083000000}"/>
    <cellStyle name="Normal 9" xfId="135" xr:uid="{00000000-0005-0000-0000-000084000000}"/>
    <cellStyle name="Normal 9 2" xfId="136" xr:uid="{00000000-0005-0000-0000-000085000000}"/>
    <cellStyle name="Normal 9 3" xfId="137" xr:uid="{00000000-0005-0000-0000-000086000000}"/>
    <cellStyle name="Normal 9 4" xfId="138" xr:uid="{00000000-0005-0000-0000-000087000000}"/>
    <cellStyle name="Normal 9 5" xfId="139" xr:uid="{00000000-0005-0000-0000-000088000000}"/>
    <cellStyle name="Normal_Sheet1 2" xfId="140" xr:uid="{EE9E0D0A-AF77-4CD8-8228-84D75DE1BB8C}"/>
    <cellStyle name="Percent" xfId="16" builtinId="5"/>
    <cellStyle name="Percent 2" xfId="14" xr:uid="{00000000-0005-0000-0000-00008A000000}"/>
    <cellStyle name="Percent 3" xfId="19" xr:uid="{00000000-0005-0000-0000-00008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5" Type="http://schemas.openxmlformats.org/officeDocument/2006/relationships/image" Target="../media/image11.png"/><Relationship Id="rId4" Type="http://schemas.openxmlformats.org/officeDocument/2006/relationships/image" Target="../media/image10.emf"/></Relationships>
</file>

<file path=xl/drawings/_rels/drawing9.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7</xdr:col>
      <xdr:colOff>34636</xdr:colOff>
      <xdr:row>47</xdr:row>
      <xdr:rowOff>155863</xdr:rowOff>
    </xdr:from>
    <xdr:to>
      <xdr:col>11</xdr:col>
      <xdr:colOff>1010639</xdr:colOff>
      <xdr:row>68</xdr:row>
      <xdr:rowOff>113792</xdr:rowOff>
    </xdr:to>
    <xdr:grpSp>
      <xdr:nvGrpSpPr>
        <xdr:cNvPr id="2" name="Group 1">
          <a:extLst>
            <a:ext uri="{FF2B5EF4-FFF2-40B4-BE49-F238E27FC236}">
              <a16:creationId xmlns:a16="http://schemas.microsoft.com/office/drawing/2014/main" id="{B4AA0780-D829-4DFF-BACF-5496C5E91ED6}"/>
            </a:ext>
          </a:extLst>
        </xdr:cNvPr>
        <xdr:cNvGrpSpPr/>
      </xdr:nvGrpSpPr>
      <xdr:grpSpPr>
        <a:xfrm>
          <a:off x="7940386" y="9599220"/>
          <a:ext cx="9534896" cy="3958429"/>
          <a:chOff x="7923069" y="5051961"/>
          <a:chExt cx="9534896" cy="3958429"/>
        </a:xfrm>
      </xdr:grpSpPr>
      <xdr:pic>
        <xdr:nvPicPr>
          <xdr:cNvPr id="3" name="Picture 2">
            <a:extLst>
              <a:ext uri="{FF2B5EF4-FFF2-40B4-BE49-F238E27FC236}">
                <a16:creationId xmlns:a16="http://schemas.microsoft.com/office/drawing/2014/main" id="{650F8FC9-2919-4286-89E8-92D2506D423B}"/>
              </a:ext>
            </a:extLst>
          </xdr:cNvPr>
          <xdr:cNvPicPr>
            <a:picLocks noChangeAspect="1"/>
          </xdr:cNvPicPr>
        </xdr:nvPicPr>
        <xdr:blipFill>
          <a:blip xmlns:r="http://schemas.openxmlformats.org/officeDocument/2006/relationships" r:embed="rId1"/>
          <a:stretch>
            <a:fillRect/>
          </a:stretch>
        </xdr:blipFill>
        <xdr:spPr>
          <a:xfrm>
            <a:off x="7923069" y="5051961"/>
            <a:ext cx="9534896" cy="3958429"/>
          </a:xfrm>
          <a:prstGeom prst="rect">
            <a:avLst/>
          </a:prstGeom>
        </xdr:spPr>
      </xdr:pic>
      <xdr:pic>
        <xdr:nvPicPr>
          <xdr:cNvPr id="4" name="Picture 3">
            <a:extLst>
              <a:ext uri="{FF2B5EF4-FFF2-40B4-BE49-F238E27FC236}">
                <a16:creationId xmlns:a16="http://schemas.microsoft.com/office/drawing/2014/main" id="{D707D0A4-3863-4AB6-99A4-6FE4F092FCA7}"/>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a:xfrm>
            <a:off x="7987393" y="5129893"/>
            <a:ext cx="1389063" cy="912813"/>
          </a:xfrm>
          <a:prstGeom prst="rect">
            <a:avLst/>
          </a:prstGeom>
          <a:noFill/>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78442</xdr:rowOff>
    </xdr:from>
    <xdr:to>
      <xdr:col>8</xdr:col>
      <xdr:colOff>638736</xdr:colOff>
      <xdr:row>20</xdr:row>
      <xdr:rowOff>195002</xdr:rowOff>
    </xdr:to>
    <xdr:pic>
      <xdr:nvPicPr>
        <xdr:cNvPr id="2" name="Picture 1">
          <a:extLst>
            <a:ext uri="{FF2B5EF4-FFF2-40B4-BE49-F238E27FC236}">
              <a16:creationId xmlns:a16="http://schemas.microsoft.com/office/drawing/2014/main" id="{D79FD140-86A9-4E7F-89E3-81008305815C}"/>
            </a:ext>
          </a:extLst>
        </xdr:cNvPr>
        <xdr:cNvPicPr>
          <a:picLocks noChangeAspect="1"/>
        </xdr:cNvPicPr>
      </xdr:nvPicPr>
      <xdr:blipFill rotWithShape="1">
        <a:blip xmlns:r="http://schemas.openxmlformats.org/officeDocument/2006/relationships" r:embed="rId1"/>
        <a:srcRect r="-41091"/>
        <a:stretch/>
      </xdr:blipFill>
      <xdr:spPr>
        <a:xfrm>
          <a:off x="0" y="459442"/>
          <a:ext cx="11833412" cy="35455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9</xdr:row>
      <xdr:rowOff>1</xdr:rowOff>
    </xdr:from>
    <xdr:ext cx="5162550" cy="2941320"/>
    <xdr:pic>
      <xdr:nvPicPr>
        <xdr:cNvPr id="2" name="Picture 1">
          <a:extLst>
            <a:ext uri="{FF2B5EF4-FFF2-40B4-BE49-F238E27FC236}">
              <a16:creationId xmlns:a16="http://schemas.microsoft.com/office/drawing/2014/main" id="{CCB4EF34-63C1-4582-ACCD-939F451237E5}"/>
            </a:ext>
          </a:extLst>
        </xdr:cNvPr>
        <xdr:cNvPicPr>
          <a:picLocks noChangeAspect="1"/>
        </xdr:cNvPicPr>
      </xdr:nvPicPr>
      <xdr:blipFill>
        <a:blip xmlns:r="http://schemas.openxmlformats.org/officeDocument/2006/relationships" r:embed="rId1"/>
        <a:stretch>
          <a:fillRect/>
        </a:stretch>
      </xdr:blipFill>
      <xdr:spPr>
        <a:xfrm>
          <a:off x="0" y="1714501"/>
          <a:ext cx="5162550" cy="2941320"/>
        </a:xfrm>
        <a:prstGeom prst="rect">
          <a:avLst/>
        </a:prstGeom>
      </xdr:spPr>
    </xdr:pic>
    <xdr:clientData/>
  </xdr:oneCellAnchor>
  <xdr:twoCellAnchor>
    <xdr:from>
      <xdr:col>1</xdr:col>
      <xdr:colOff>0</xdr:colOff>
      <xdr:row>26</xdr:row>
      <xdr:rowOff>0</xdr:rowOff>
    </xdr:from>
    <xdr:to>
      <xdr:col>8</xdr:col>
      <xdr:colOff>56029</xdr:colOff>
      <xdr:row>36</xdr:row>
      <xdr:rowOff>123264</xdr:rowOff>
    </xdr:to>
    <xdr:sp macro="" textlink="">
      <xdr:nvSpPr>
        <xdr:cNvPr id="107" name="Rectangle: Rounded Corners 106">
          <a:extLst>
            <a:ext uri="{FF2B5EF4-FFF2-40B4-BE49-F238E27FC236}">
              <a16:creationId xmlns:a16="http://schemas.microsoft.com/office/drawing/2014/main" id="{5DA5127A-3850-4A78-ABE0-8CF9AC48A1AB}"/>
            </a:ext>
          </a:extLst>
        </xdr:cNvPr>
        <xdr:cNvSpPr/>
      </xdr:nvSpPr>
      <xdr:spPr>
        <a:xfrm>
          <a:off x="672353" y="5277971"/>
          <a:ext cx="6051176" cy="2028264"/>
        </a:xfrm>
        <a:prstGeom prst="round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ysClr val="windowText" lastClr="000000"/>
              </a:solidFill>
              <a:effectLst/>
              <a:latin typeface="+mn-lt"/>
              <a:ea typeface="+mn-ea"/>
              <a:cs typeface="+mn-cs"/>
            </a:rPr>
            <a:t>Note: </a:t>
          </a:r>
          <a:r>
            <a:rPr lang="en-US" sz="1600">
              <a:solidFill>
                <a:sysClr val="windowText" lastClr="000000"/>
              </a:solidFill>
              <a:effectLst/>
              <a:latin typeface="+mn-lt"/>
              <a:ea typeface="+mn-ea"/>
              <a:cs typeface="+mn-cs"/>
            </a:rPr>
            <a:t>Data used in this analysis which relates to pavement condition on US 12was obtained through coordination with - Phillip C. Clements, P.E. / Pavement Management Engineer / Office of Project Development / South Dakota Department of Transportation / Office:  605-773-3119 / Fax:  605-773-2614. This</a:t>
          </a:r>
          <a:r>
            <a:rPr lang="en-US" sz="1600" baseline="0">
              <a:solidFill>
                <a:sysClr val="windowText" lastClr="000000"/>
              </a:solidFill>
              <a:effectLst/>
              <a:latin typeface="+mn-lt"/>
              <a:ea typeface="+mn-ea"/>
              <a:cs typeface="+mn-cs"/>
            </a:rPr>
            <a:t> updated data is used in place of data presented in the SDDOT Interactive Needs Book (https://apps.sd.gov/hr53needsbook/).</a:t>
          </a:r>
          <a:endParaRPr lang="en-US" sz="1600">
            <a:solidFill>
              <a:sysClr val="windowText" lastClr="000000"/>
            </a:solidFill>
            <a:effectLst/>
            <a:latin typeface="+mn-lt"/>
            <a:ea typeface="+mn-ea"/>
            <a:cs typeface="+mn-cs"/>
          </a:endParaRPr>
        </a:p>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590550</xdr:colOff>
      <xdr:row>3</xdr:row>
      <xdr:rowOff>38100</xdr:rowOff>
    </xdr:from>
    <xdr:to>
      <xdr:col>13</xdr:col>
      <xdr:colOff>560874</xdr:colOff>
      <xdr:row>34</xdr:row>
      <xdr:rowOff>104029</xdr:rowOff>
    </xdr:to>
    <xdr:pic>
      <xdr:nvPicPr>
        <xdr:cNvPr id="2" name="Picture 1">
          <a:extLst>
            <a:ext uri="{FF2B5EF4-FFF2-40B4-BE49-F238E27FC236}">
              <a16:creationId xmlns:a16="http://schemas.microsoft.com/office/drawing/2014/main" id="{11C5F4D1-AF3F-4ABE-9DD2-458DC3DA4876}"/>
            </a:ext>
          </a:extLst>
        </xdr:cNvPr>
        <xdr:cNvPicPr>
          <a:picLocks noChangeAspect="1"/>
        </xdr:cNvPicPr>
      </xdr:nvPicPr>
      <xdr:blipFill>
        <a:blip xmlns:r="http://schemas.openxmlformats.org/officeDocument/2006/relationships" r:embed="rId1"/>
        <a:stretch>
          <a:fillRect/>
        </a:stretch>
      </xdr:blipFill>
      <xdr:spPr>
        <a:xfrm>
          <a:off x="590550" y="609600"/>
          <a:ext cx="8809524" cy="59714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8</xdr:col>
      <xdr:colOff>0</xdr:colOff>
      <xdr:row>6</xdr:row>
      <xdr:rowOff>0</xdr:rowOff>
    </xdr:from>
    <xdr:ext cx="2809524" cy="485714"/>
    <xdr:pic>
      <xdr:nvPicPr>
        <xdr:cNvPr id="2" name="Picture 1">
          <a:extLst>
            <a:ext uri="{FF2B5EF4-FFF2-40B4-BE49-F238E27FC236}">
              <a16:creationId xmlns:a16="http://schemas.microsoft.com/office/drawing/2014/main" id="{536583C3-2B30-4AB9-B6F0-157E3C83F44B}"/>
            </a:ext>
          </a:extLst>
        </xdr:cNvPr>
        <xdr:cNvPicPr>
          <a:picLocks noChangeAspect="1"/>
        </xdr:cNvPicPr>
      </xdr:nvPicPr>
      <xdr:blipFill>
        <a:blip xmlns:r="http://schemas.openxmlformats.org/officeDocument/2006/relationships" r:embed="rId1"/>
        <a:stretch>
          <a:fillRect/>
        </a:stretch>
      </xdr:blipFill>
      <xdr:spPr>
        <a:xfrm>
          <a:off x="4876800" y="971550"/>
          <a:ext cx="2809524" cy="485714"/>
        </a:xfrm>
        <a:prstGeom prst="rect">
          <a:avLst/>
        </a:prstGeom>
      </xdr:spPr>
    </xdr:pic>
    <xdr:clientData/>
  </xdr:oneCellAnchor>
  <xdr:oneCellAnchor>
    <xdr:from>
      <xdr:col>8</xdr:col>
      <xdr:colOff>1</xdr:colOff>
      <xdr:row>11</xdr:row>
      <xdr:rowOff>0</xdr:rowOff>
    </xdr:from>
    <xdr:ext cx="6234632" cy="1571625"/>
    <xdr:pic>
      <xdr:nvPicPr>
        <xdr:cNvPr id="3" name="Picture 2">
          <a:extLst>
            <a:ext uri="{FF2B5EF4-FFF2-40B4-BE49-F238E27FC236}">
              <a16:creationId xmlns:a16="http://schemas.microsoft.com/office/drawing/2014/main" id="{6B9808C5-8A37-4213-82CD-92364EF82F7F}"/>
            </a:ext>
          </a:extLst>
        </xdr:cNvPr>
        <xdr:cNvPicPr>
          <a:picLocks noChangeAspect="1"/>
        </xdr:cNvPicPr>
      </xdr:nvPicPr>
      <xdr:blipFill>
        <a:blip xmlns:r="http://schemas.openxmlformats.org/officeDocument/2006/relationships" r:embed="rId2"/>
        <a:stretch>
          <a:fillRect/>
        </a:stretch>
      </xdr:blipFill>
      <xdr:spPr>
        <a:xfrm>
          <a:off x="4876801" y="1781175"/>
          <a:ext cx="6234632" cy="157162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8</xdr:col>
      <xdr:colOff>0</xdr:colOff>
      <xdr:row>11</xdr:row>
      <xdr:rowOff>0</xdr:rowOff>
    </xdr:from>
    <xdr:ext cx="6234632" cy="1571625"/>
    <xdr:pic>
      <xdr:nvPicPr>
        <xdr:cNvPr id="2" name="Picture 1">
          <a:extLst>
            <a:ext uri="{FF2B5EF4-FFF2-40B4-BE49-F238E27FC236}">
              <a16:creationId xmlns:a16="http://schemas.microsoft.com/office/drawing/2014/main" id="{7A0BD95B-73F7-467F-9936-0495124F4C1F}"/>
            </a:ext>
          </a:extLst>
        </xdr:cNvPr>
        <xdr:cNvPicPr>
          <a:picLocks noChangeAspect="1"/>
        </xdr:cNvPicPr>
      </xdr:nvPicPr>
      <xdr:blipFill>
        <a:blip xmlns:r="http://schemas.openxmlformats.org/officeDocument/2006/relationships" r:embed="rId1"/>
        <a:stretch>
          <a:fillRect/>
        </a:stretch>
      </xdr:blipFill>
      <xdr:spPr>
        <a:xfrm>
          <a:off x="4876800" y="1781175"/>
          <a:ext cx="6234632" cy="15716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0</xdr:row>
      <xdr:rowOff>1</xdr:rowOff>
    </xdr:from>
    <xdr:to>
      <xdr:col>35</xdr:col>
      <xdr:colOff>0</xdr:colOff>
      <xdr:row>42</xdr:row>
      <xdr:rowOff>180432</xdr:rowOff>
    </xdr:to>
    <xdr:pic>
      <xdr:nvPicPr>
        <xdr:cNvPr id="4" name="Picture 3">
          <a:extLst>
            <a:ext uri="{FF2B5EF4-FFF2-40B4-BE49-F238E27FC236}">
              <a16:creationId xmlns:a16="http://schemas.microsoft.com/office/drawing/2014/main" id="{F901F808-C5D5-4332-94BB-5A301F848B88}"/>
            </a:ext>
          </a:extLst>
        </xdr:cNvPr>
        <xdr:cNvPicPr>
          <a:picLocks noChangeAspect="1"/>
        </xdr:cNvPicPr>
      </xdr:nvPicPr>
      <xdr:blipFill>
        <a:blip xmlns:r="http://schemas.openxmlformats.org/officeDocument/2006/relationships" r:embed="rId1"/>
        <a:stretch>
          <a:fillRect/>
        </a:stretch>
      </xdr:blipFill>
      <xdr:spPr>
        <a:xfrm>
          <a:off x="20764500" y="1"/>
          <a:ext cx="16421100" cy="8858746"/>
        </a:xfrm>
        <a:prstGeom prst="rect">
          <a:avLst/>
        </a:prstGeom>
      </xdr:spPr>
    </xdr:pic>
    <xdr:clientData/>
  </xdr:twoCellAnchor>
  <xdr:twoCellAnchor editAs="oneCell">
    <xdr:from>
      <xdr:col>35</xdr:col>
      <xdr:colOff>533400</xdr:colOff>
      <xdr:row>0</xdr:row>
      <xdr:rowOff>0</xdr:rowOff>
    </xdr:from>
    <xdr:to>
      <xdr:col>62</xdr:col>
      <xdr:colOff>533399</xdr:colOff>
      <xdr:row>43</xdr:row>
      <xdr:rowOff>10485</xdr:rowOff>
    </xdr:to>
    <xdr:pic>
      <xdr:nvPicPr>
        <xdr:cNvPr id="5" name="Picture 4">
          <a:extLst>
            <a:ext uri="{FF2B5EF4-FFF2-40B4-BE49-F238E27FC236}">
              <a16:creationId xmlns:a16="http://schemas.microsoft.com/office/drawing/2014/main" id="{DEC5C500-32D6-460B-816C-C69F9615B4EB}"/>
            </a:ext>
          </a:extLst>
        </xdr:cNvPr>
        <xdr:cNvPicPr>
          <a:picLocks noChangeAspect="1"/>
        </xdr:cNvPicPr>
      </xdr:nvPicPr>
      <xdr:blipFill>
        <a:blip xmlns:r="http://schemas.openxmlformats.org/officeDocument/2006/relationships" r:embed="rId2"/>
        <a:stretch>
          <a:fillRect/>
        </a:stretch>
      </xdr:blipFill>
      <xdr:spPr>
        <a:xfrm>
          <a:off x="37719000" y="0"/>
          <a:ext cx="16459200" cy="8879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81643</xdr:colOff>
      <xdr:row>3</xdr:row>
      <xdr:rowOff>272143</xdr:rowOff>
    </xdr:from>
    <xdr:to>
      <xdr:col>35</xdr:col>
      <xdr:colOff>0</xdr:colOff>
      <xdr:row>42</xdr:row>
      <xdr:rowOff>180432</xdr:rowOff>
    </xdr:to>
    <xdr:pic>
      <xdr:nvPicPr>
        <xdr:cNvPr id="2" name="Picture 1">
          <a:extLst>
            <a:ext uri="{FF2B5EF4-FFF2-40B4-BE49-F238E27FC236}">
              <a16:creationId xmlns:a16="http://schemas.microsoft.com/office/drawing/2014/main" id="{03CB932C-6FF3-4436-9986-C23E6F50DF1D}"/>
            </a:ext>
          </a:extLst>
        </xdr:cNvPr>
        <xdr:cNvPicPr>
          <a:picLocks noChangeAspect="1"/>
        </xdr:cNvPicPr>
      </xdr:nvPicPr>
      <xdr:blipFill rotWithShape="1">
        <a:blip xmlns:r="http://schemas.openxmlformats.org/officeDocument/2006/relationships" r:embed="rId1"/>
        <a:srcRect l="498" t="9520"/>
        <a:stretch/>
      </xdr:blipFill>
      <xdr:spPr>
        <a:xfrm>
          <a:off x="25336500" y="843643"/>
          <a:ext cx="16314964" cy="8018146"/>
        </a:xfrm>
        <a:prstGeom prst="rect">
          <a:avLst/>
        </a:prstGeom>
      </xdr:spPr>
    </xdr:pic>
    <xdr:clientData/>
  </xdr:twoCellAnchor>
  <xdr:twoCellAnchor editAs="oneCell">
    <xdr:from>
      <xdr:col>35</xdr:col>
      <xdr:colOff>363682</xdr:colOff>
      <xdr:row>3</xdr:row>
      <xdr:rowOff>242454</xdr:rowOff>
    </xdr:from>
    <xdr:to>
      <xdr:col>62</xdr:col>
      <xdr:colOff>256308</xdr:colOff>
      <xdr:row>42</xdr:row>
      <xdr:rowOff>166348</xdr:rowOff>
    </xdr:to>
    <xdr:pic>
      <xdr:nvPicPr>
        <xdr:cNvPr id="3" name="Picture 2">
          <a:extLst>
            <a:ext uri="{FF2B5EF4-FFF2-40B4-BE49-F238E27FC236}">
              <a16:creationId xmlns:a16="http://schemas.microsoft.com/office/drawing/2014/main" id="{23A40F92-996C-4C67-A6CE-F2CB7A329886}"/>
            </a:ext>
          </a:extLst>
        </xdr:cNvPr>
        <xdr:cNvPicPr>
          <a:picLocks noChangeAspect="1"/>
        </xdr:cNvPicPr>
      </xdr:nvPicPr>
      <xdr:blipFill rotWithShape="1">
        <a:blip xmlns:r="http://schemas.openxmlformats.org/officeDocument/2006/relationships" r:embed="rId2"/>
        <a:srcRect l="656" t="9540"/>
        <a:stretch/>
      </xdr:blipFill>
      <xdr:spPr>
        <a:xfrm>
          <a:off x="41996591" y="813954"/>
          <a:ext cx="16258308" cy="80461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0</xdr:colOff>
      <xdr:row>0</xdr:row>
      <xdr:rowOff>0</xdr:rowOff>
    </xdr:from>
    <xdr:to>
      <xdr:col>39</xdr:col>
      <xdr:colOff>25547</xdr:colOff>
      <xdr:row>47</xdr:row>
      <xdr:rowOff>52213</xdr:rowOff>
    </xdr:to>
    <xdr:pic>
      <xdr:nvPicPr>
        <xdr:cNvPr id="6" name="Picture 5">
          <a:extLst>
            <a:ext uri="{FF2B5EF4-FFF2-40B4-BE49-F238E27FC236}">
              <a16:creationId xmlns:a16="http://schemas.microsoft.com/office/drawing/2014/main" id="{B225BE9D-7C3A-4E3D-8037-E0F0F08E2C4A}"/>
            </a:ext>
          </a:extLst>
        </xdr:cNvPr>
        <xdr:cNvPicPr>
          <a:picLocks noChangeAspect="1"/>
        </xdr:cNvPicPr>
      </xdr:nvPicPr>
      <xdr:blipFill>
        <a:blip xmlns:r="http://schemas.openxmlformats.org/officeDocument/2006/relationships" r:embed="rId1"/>
        <a:stretch>
          <a:fillRect/>
        </a:stretch>
      </xdr:blipFill>
      <xdr:spPr>
        <a:xfrm>
          <a:off x="25578955" y="0"/>
          <a:ext cx="18504047" cy="9698440"/>
        </a:xfrm>
        <a:prstGeom prst="rect">
          <a:avLst/>
        </a:prstGeom>
      </xdr:spPr>
    </xdr:pic>
    <xdr:clientData/>
  </xdr:twoCellAnchor>
  <xdr:twoCellAnchor editAs="oneCell">
    <xdr:from>
      <xdr:col>20</xdr:col>
      <xdr:colOff>285750</xdr:colOff>
      <xdr:row>50</xdr:row>
      <xdr:rowOff>35256</xdr:rowOff>
    </xdr:from>
    <xdr:to>
      <xdr:col>39</xdr:col>
      <xdr:colOff>5199</xdr:colOff>
      <xdr:row>101</xdr:row>
      <xdr:rowOff>100708</xdr:rowOff>
    </xdr:to>
    <xdr:pic>
      <xdr:nvPicPr>
        <xdr:cNvPr id="7" name="Picture 6">
          <a:extLst>
            <a:ext uri="{FF2B5EF4-FFF2-40B4-BE49-F238E27FC236}">
              <a16:creationId xmlns:a16="http://schemas.microsoft.com/office/drawing/2014/main" id="{0B1B5929-3367-4F13-9A12-9DC9C1DE7CDE}"/>
            </a:ext>
          </a:extLst>
        </xdr:cNvPr>
        <xdr:cNvPicPr>
          <a:picLocks noChangeAspect="1"/>
        </xdr:cNvPicPr>
      </xdr:nvPicPr>
      <xdr:blipFill>
        <a:blip xmlns:r="http://schemas.openxmlformats.org/officeDocument/2006/relationships" r:embed="rId2"/>
        <a:stretch>
          <a:fillRect/>
        </a:stretch>
      </xdr:blipFill>
      <xdr:spPr>
        <a:xfrm>
          <a:off x="25503188" y="10227006"/>
          <a:ext cx="18637398" cy="97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21</xdr:col>
      <xdr:colOff>0</xdr:colOff>
      <xdr:row>0</xdr:row>
      <xdr:rowOff>0</xdr:rowOff>
    </xdr:from>
    <xdr:to>
      <xdr:col>38</xdr:col>
      <xdr:colOff>501796</xdr:colOff>
      <xdr:row>47</xdr:row>
      <xdr:rowOff>78190</xdr:rowOff>
    </xdr:to>
    <xdr:pic>
      <xdr:nvPicPr>
        <xdr:cNvPr id="4" name="Picture 3">
          <a:extLst>
            <a:ext uri="{FF2B5EF4-FFF2-40B4-BE49-F238E27FC236}">
              <a16:creationId xmlns:a16="http://schemas.microsoft.com/office/drawing/2014/main" id="{1D7CD067-3520-4879-BBC6-5BDC05C1924C}"/>
            </a:ext>
          </a:extLst>
        </xdr:cNvPr>
        <xdr:cNvPicPr>
          <a:picLocks noChangeAspect="1"/>
        </xdr:cNvPicPr>
      </xdr:nvPicPr>
      <xdr:blipFill>
        <a:blip xmlns:r="http://schemas.openxmlformats.org/officeDocument/2006/relationships" r:embed="rId1"/>
        <a:stretch>
          <a:fillRect/>
        </a:stretch>
      </xdr:blipFill>
      <xdr:spPr>
        <a:xfrm>
          <a:off x="25527000" y="0"/>
          <a:ext cx="18504047" cy="9698440"/>
        </a:xfrm>
        <a:prstGeom prst="rect">
          <a:avLst/>
        </a:prstGeom>
      </xdr:spPr>
    </xdr:pic>
    <xdr:clientData/>
  </xdr:twoCellAnchor>
  <xdr:twoCellAnchor editAs="oneCell">
    <xdr:from>
      <xdr:col>21</xdr:col>
      <xdr:colOff>27214</xdr:colOff>
      <xdr:row>50</xdr:row>
      <xdr:rowOff>142876</xdr:rowOff>
    </xdr:from>
    <xdr:to>
      <xdr:col>38</xdr:col>
      <xdr:colOff>519486</xdr:colOff>
      <xdr:row>102</xdr:row>
      <xdr:rowOff>17828</xdr:rowOff>
    </xdr:to>
    <xdr:pic>
      <xdr:nvPicPr>
        <xdr:cNvPr id="5" name="Picture 4">
          <a:extLst>
            <a:ext uri="{FF2B5EF4-FFF2-40B4-BE49-F238E27FC236}">
              <a16:creationId xmlns:a16="http://schemas.microsoft.com/office/drawing/2014/main" id="{DB06357F-DFF2-486E-96F7-660716ACEC05}"/>
            </a:ext>
          </a:extLst>
        </xdr:cNvPr>
        <xdr:cNvPicPr>
          <a:picLocks noChangeAspect="1"/>
        </xdr:cNvPicPr>
      </xdr:nvPicPr>
      <xdr:blipFill>
        <a:blip xmlns:r="http://schemas.openxmlformats.org/officeDocument/2006/relationships" r:embed="rId2"/>
        <a:stretch>
          <a:fillRect/>
        </a:stretch>
      </xdr:blipFill>
      <xdr:spPr>
        <a:xfrm>
          <a:off x="25703893" y="10348233"/>
          <a:ext cx="18426486" cy="97809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21</xdr:col>
      <xdr:colOff>0</xdr:colOff>
      <xdr:row>0</xdr:row>
      <xdr:rowOff>1</xdr:rowOff>
    </xdr:from>
    <xdr:to>
      <xdr:col>35</xdr:col>
      <xdr:colOff>251732</xdr:colOff>
      <xdr:row>43</xdr:row>
      <xdr:rowOff>3539</xdr:rowOff>
    </xdr:to>
    <xdr:pic>
      <xdr:nvPicPr>
        <xdr:cNvPr id="4" name="Picture 3">
          <a:extLst>
            <a:ext uri="{FF2B5EF4-FFF2-40B4-BE49-F238E27FC236}">
              <a16:creationId xmlns:a16="http://schemas.microsoft.com/office/drawing/2014/main" id="{932CB3C7-12A1-430B-814C-030299E95B42}"/>
            </a:ext>
          </a:extLst>
        </xdr:cNvPr>
        <xdr:cNvPicPr>
          <a:picLocks noChangeAspect="1"/>
        </xdr:cNvPicPr>
      </xdr:nvPicPr>
      <xdr:blipFill>
        <a:blip xmlns:r="http://schemas.openxmlformats.org/officeDocument/2006/relationships" r:embed="rId1"/>
        <a:stretch>
          <a:fillRect/>
        </a:stretch>
      </xdr:blipFill>
      <xdr:spPr>
        <a:xfrm>
          <a:off x="25527000" y="1"/>
          <a:ext cx="16396607" cy="8861788"/>
        </a:xfrm>
        <a:prstGeom prst="rect">
          <a:avLst/>
        </a:prstGeom>
      </xdr:spPr>
    </xdr:pic>
    <xdr:clientData/>
  </xdr:twoCellAnchor>
  <xdr:twoCellAnchor editAs="oneCell">
    <xdr:from>
      <xdr:col>36</xdr:col>
      <xdr:colOff>166007</xdr:colOff>
      <xdr:row>0</xdr:row>
      <xdr:rowOff>0</xdr:rowOff>
    </xdr:from>
    <xdr:to>
      <xdr:col>62</xdr:col>
      <xdr:colOff>601435</xdr:colOff>
      <xdr:row>43</xdr:row>
      <xdr:rowOff>24092</xdr:rowOff>
    </xdr:to>
    <xdr:pic>
      <xdr:nvPicPr>
        <xdr:cNvPr id="5" name="Picture 4">
          <a:extLst>
            <a:ext uri="{FF2B5EF4-FFF2-40B4-BE49-F238E27FC236}">
              <a16:creationId xmlns:a16="http://schemas.microsoft.com/office/drawing/2014/main" id="{41BFC171-6604-4DC2-8424-5BE9588F9BBE}"/>
            </a:ext>
          </a:extLst>
        </xdr:cNvPr>
        <xdr:cNvPicPr>
          <a:picLocks noChangeAspect="1"/>
        </xdr:cNvPicPr>
      </xdr:nvPicPr>
      <xdr:blipFill>
        <a:blip xmlns:r="http://schemas.openxmlformats.org/officeDocument/2006/relationships" r:embed="rId2"/>
        <a:stretch>
          <a:fillRect/>
        </a:stretch>
      </xdr:blipFill>
      <xdr:spPr>
        <a:xfrm>
          <a:off x="42457007" y="0"/>
          <a:ext cx="16532678" cy="88823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21</xdr:col>
      <xdr:colOff>0</xdr:colOff>
      <xdr:row>0</xdr:row>
      <xdr:rowOff>0</xdr:rowOff>
    </xdr:from>
    <xdr:to>
      <xdr:col>38</xdr:col>
      <xdr:colOff>501797</xdr:colOff>
      <xdr:row>47</xdr:row>
      <xdr:rowOff>78190</xdr:rowOff>
    </xdr:to>
    <xdr:pic>
      <xdr:nvPicPr>
        <xdr:cNvPr id="2" name="Picture 1">
          <a:extLst>
            <a:ext uri="{FF2B5EF4-FFF2-40B4-BE49-F238E27FC236}">
              <a16:creationId xmlns:a16="http://schemas.microsoft.com/office/drawing/2014/main" id="{3CF047CA-9502-417B-BE5C-F5621C751AED}"/>
            </a:ext>
          </a:extLst>
        </xdr:cNvPr>
        <xdr:cNvPicPr>
          <a:picLocks noChangeAspect="1"/>
        </xdr:cNvPicPr>
      </xdr:nvPicPr>
      <xdr:blipFill>
        <a:blip xmlns:r="http://schemas.openxmlformats.org/officeDocument/2006/relationships" r:embed="rId1"/>
        <a:stretch>
          <a:fillRect/>
        </a:stretch>
      </xdr:blipFill>
      <xdr:spPr>
        <a:xfrm>
          <a:off x="25498425" y="0"/>
          <a:ext cx="18408797" cy="9717490"/>
        </a:xfrm>
        <a:prstGeom prst="rect">
          <a:avLst/>
        </a:prstGeom>
      </xdr:spPr>
    </xdr:pic>
    <xdr:clientData/>
  </xdr:twoCellAnchor>
  <xdr:twoCellAnchor editAs="oneCell">
    <xdr:from>
      <xdr:col>20</xdr:col>
      <xdr:colOff>277092</xdr:colOff>
      <xdr:row>49</xdr:row>
      <xdr:rowOff>182460</xdr:rowOff>
    </xdr:from>
    <xdr:to>
      <xdr:col>38</xdr:col>
      <xdr:colOff>457637</xdr:colOff>
      <xdr:row>101</xdr:row>
      <xdr:rowOff>57412</xdr:rowOff>
    </xdr:to>
    <xdr:pic>
      <xdr:nvPicPr>
        <xdr:cNvPr id="3" name="Picture 2">
          <a:extLst>
            <a:ext uri="{FF2B5EF4-FFF2-40B4-BE49-F238E27FC236}">
              <a16:creationId xmlns:a16="http://schemas.microsoft.com/office/drawing/2014/main" id="{8C77DFBB-B0F8-4136-A1F1-BB142BA5AC5B}"/>
            </a:ext>
          </a:extLst>
        </xdr:cNvPr>
        <xdr:cNvPicPr>
          <a:picLocks noChangeAspect="1"/>
        </xdr:cNvPicPr>
      </xdr:nvPicPr>
      <xdr:blipFill>
        <a:blip xmlns:r="http://schemas.openxmlformats.org/officeDocument/2006/relationships" r:embed="rId2"/>
        <a:stretch>
          <a:fillRect/>
        </a:stretch>
      </xdr:blipFill>
      <xdr:spPr>
        <a:xfrm>
          <a:off x="25544319" y="10209687"/>
          <a:ext cx="18364636" cy="97809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21</xdr:col>
      <xdr:colOff>437029</xdr:colOff>
      <xdr:row>1</xdr:row>
      <xdr:rowOff>78442</xdr:rowOff>
    </xdr:from>
    <xdr:ext cx="6111983" cy="4124299"/>
    <xdr:pic>
      <xdr:nvPicPr>
        <xdr:cNvPr id="4" name="Picture 3">
          <a:extLst>
            <a:ext uri="{FF2B5EF4-FFF2-40B4-BE49-F238E27FC236}">
              <a16:creationId xmlns:a16="http://schemas.microsoft.com/office/drawing/2014/main" id="{EE339218-B23D-48B6-B416-662585A0F2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73604" y="268942"/>
          <a:ext cx="6111983" cy="41242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100012</xdr:colOff>
      <xdr:row>27</xdr:row>
      <xdr:rowOff>66674</xdr:rowOff>
    </xdr:from>
    <xdr:ext cx="6115050" cy="3952861"/>
    <xdr:pic>
      <xdr:nvPicPr>
        <xdr:cNvPr id="5" name="Picture 4">
          <a:extLst>
            <a:ext uri="{FF2B5EF4-FFF2-40B4-BE49-F238E27FC236}">
              <a16:creationId xmlns:a16="http://schemas.microsoft.com/office/drawing/2014/main" id="{84D78157-3028-49AB-9999-4F1B8D2BE4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969787" y="5829299"/>
          <a:ext cx="6115050" cy="39528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27506</xdr:colOff>
      <xdr:row>20</xdr:row>
      <xdr:rowOff>89471</xdr:rowOff>
    </xdr:from>
    <xdr:ext cx="4579130" cy="1307406"/>
    <xdr:pic>
      <xdr:nvPicPr>
        <xdr:cNvPr id="6" name="Picture 5">
          <a:extLst>
            <a:ext uri="{FF2B5EF4-FFF2-40B4-BE49-F238E27FC236}">
              <a16:creationId xmlns:a16="http://schemas.microsoft.com/office/drawing/2014/main" id="{24892330-B274-463A-AD85-E8FAEC30D8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888881" y="4518596"/>
          <a:ext cx="4579130" cy="13074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1</xdr:colOff>
      <xdr:row>28</xdr:row>
      <xdr:rowOff>103908</xdr:rowOff>
    </xdr:from>
    <xdr:ext cx="4565601" cy="3337619"/>
    <xdr:pic>
      <xdr:nvPicPr>
        <xdr:cNvPr id="7" name="Picture 6">
          <a:extLst>
            <a:ext uri="{FF2B5EF4-FFF2-40B4-BE49-F238E27FC236}">
              <a16:creationId xmlns:a16="http://schemas.microsoft.com/office/drawing/2014/main" id="{136D4222-E6F8-43CE-A0D2-6F84D03102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861376" y="6057033"/>
          <a:ext cx="4565601" cy="33376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15</xdr:col>
      <xdr:colOff>467590</xdr:colOff>
      <xdr:row>1</xdr:row>
      <xdr:rowOff>121228</xdr:rowOff>
    </xdr:from>
    <xdr:to>
      <xdr:col>21</xdr:col>
      <xdr:colOff>289973</xdr:colOff>
      <xdr:row>13</xdr:row>
      <xdr:rowOff>184931</xdr:rowOff>
    </xdr:to>
    <xdr:pic>
      <xdr:nvPicPr>
        <xdr:cNvPr id="9" name="Picture 8">
          <a:extLst>
            <a:ext uri="{FF2B5EF4-FFF2-40B4-BE49-F238E27FC236}">
              <a16:creationId xmlns:a16="http://schemas.microsoft.com/office/drawing/2014/main" id="{0EB41D52-DFBA-463A-9637-6DC1B6BDC1ED}"/>
            </a:ext>
          </a:extLst>
        </xdr:cNvPr>
        <xdr:cNvPicPr>
          <a:picLocks noChangeAspect="1"/>
        </xdr:cNvPicPr>
      </xdr:nvPicPr>
      <xdr:blipFill>
        <a:blip xmlns:r="http://schemas.openxmlformats.org/officeDocument/2006/relationships" r:embed="rId5"/>
        <a:stretch>
          <a:fillRect/>
        </a:stretch>
      </xdr:blipFill>
      <xdr:spPr>
        <a:xfrm>
          <a:off x="18807545" y="311728"/>
          <a:ext cx="7771428" cy="29904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21</xdr:col>
      <xdr:colOff>437029</xdr:colOff>
      <xdr:row>1</xdr:row>
      <xdr:rowOff>78442</xdr:rowOff>
    </xdr:from>
    <xdr:ext cx="6111983" cy="4124299"/>
    <xdr:pic>
      <xdr:nvPicPr>
        <xdr:cNvPr id="3" name="Picture 2">
          <a:extLst>
            <a:ext uri="{FF2B5EF4-FFF2-40B4-BE49-F238E27FC236}">
              <a16:creationId xmlns:a16="http://schemas.microsoft.com/office/drawing/2014/main" id="{60E1AD04-B92F-4444-BE24-27CD2832FA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16504" y="268942"/>
          <a:ext cx="6111983" cy="41242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100012</xdr:colOff>
      <xdr:row>27</xdr:row>
      <xdr:rowOff>66674</xdr:rowOff>
    </xdr:from>
    <xdr:ext cx="6115050" cy="3952861"/>
    <xdr:pic>
      <xdr:nvPicPr>
        <xdr:cNvPr id="4" name="Picture 3">
          <a:extLst>
            <a:ext uri="{FF2B5EF4-FFF2-40B4-BE49-F238E27FC236}">
              <a16:creationId xmlns:a16="http://schemas.microsoft.com/office/drawing/2014/main" id="{247585BB-EA41-4136-9B5B-3A91731D4B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12687" y="5829299"/>
          <a:ext cx="6115050" cy="39528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27506</xdr:colOff>
      <xdr:row>20</xdr:row>
      <xdr:rowOff>89471</xdr:rowOff>
    </xdr:from>
    <xdr:ext cx="4579130" cy="1307406"/>
    <xdr:pic>
      <xdr:nvPicPr>
        <xdr:cNvPr id="5" name="Picture 4">
          <a:extLst>
            <a:ext uri="{FF2B5EF4-FFF2-40B4-BE49-F238E27FC236}">
              <a16:creationId xmlns:a16="http://schemas.microsoft.com/office/drawing/2014/main" id="{A4B63427-3E61-40A4-A1D9-DADE5E8142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231781" y="4518596"/>
          <a:ext cx="4579130" cy="13074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1</xdr:colOff>
      <xdr:row>28</xdr:row>
      <xdr:rowOff>103908</xdr:rowOff>
    </xdr:from>
    <xdr:ext cx="4565601" cy="3337619"/>
    <xdr:pic>
      <xdr:nvPicPr>
        <xdr:cNvPr id="6" name="Picture 5">
          <a:extLst>
            <a:ext uri="{FF2B5EF4-FFF2-40B4-BE49-F238E27FC236}">
              <a16:creationId xmlns:a16="http://schemas.microsoft.com/office/drawing/2014/main" id="{D7F62CA1-E211-4D58-B2DF-8802D29960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204276" y="6057033"/>
          <a:ext cx="4565601" cy="33376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15</xdr:col>
      <xdr:colOff>467590</xdr:colOff>
      <xdr:row>1</xdr:row>
      <xdr:rowOff>121228</xdr:rowOff>
    </xdr:from>
    <xdr:to>
      <xdr:col>21</xdr:col>
      <xdr:colOff>289973</xdr:colOff>
      <xdr:row>13</xdr:row>
      <xdr:rowOff>184931</xdr:rowOff>
    </xdr:to>
    <xdr:pic>
      <xdr:nvPicPr>
        <xdr:cNvPr id="7" name="Picture 6">
          <a:extLst>
            <a:ext uri="{FF2B5EF4-FFF2-40B4-BE49-F238E27FC236}">
              <a16:creationId xmlns:a16="http://schemas.microsoft.com/office/drawing/2014/main" id="{92EE96C3-5B4A-4B69-8FB5-E2ACE7C3DF23}"/>
            </a:ext>
          </a:extLst>
        </xdr:cNvPr>
        <xdr:cNvPicPr>
          <a:picLocks noChangeAspect="1"/>
        </xdr:cNvPicPr>
      </xdr:nvPicPr>
      <xdr:blipFill>
        <a:blip xmlns:r="http://schemas.openxmlformats.org/officeDocument/2006/relationships" r:embed="rId5"/>
        <a:stretch>
          <a:fillRect/>
        </a:stretch>
      </xdr:blipFill>
      <xdr:spPr>
        <a:xfrm>
          <a:off x="18784165" y="311728"/>
          <a:ext cx="7785283" cy="2978353"/>
        </a:xfrm>
        <a:prstGeom prst="rect">
          <a:avLst/>
        </a:prstGeom>
      </xdr:spPr>
    </xdr:pic>
    <xdr:clientData/>
  </xdr:twoCellAnchor>
  <xdr:twoCellAnchor editAs="oneCell">
    <xdr:from>
      <xdr:col>16</xdr:col>
      <xdr:colOff>0</xdr:colOff>
      <xdr:row>27</xdr:row>
      <xdr:rowOff>0</xdr:rowOff>
    </xdr:from>
    <xdr:to>
      <xdr:col>19</xdr:col>
      <xdr:colOff>818029</xdr:colOff>
      <xdr:row>48</xdr:row>
      <xdr:rowOff>103667</xdr:rowOff>
    </xdr:to>
    <xdr:pic>
      <xdr:nvPicPr>
        <xdr:cNvPr id="11" name="Picture 10">
          <a:extLst>
            <a:ext uri="{FF2B5EF4-FFF2-40B4-BE49-F238E27FC236}">
              <a16:creationId xmlns:a16="http://schemas.microsoft.com/office/drawing/2014/main" id="{4D0ABE2B-529A-4C92-AA11-5454895B3512}"/>
            </a:ext>
          </a:extLst>
        </xdr:cNvPr>
        <xdr:cNvPicPr>
          <a:picLocks noChangeAspect="1"/>
        </xdr:cNvPicPr>
      </xdr:nvPicPr>
      <xdr:blipFill>
        <a:blip xmlns:r="http://schemas.openxmlformats.org/officeDocument/2006/relationships" r:embed="rId6"/>
        <a:stretch>
          <a:fillRect/>
        </a:stretch>
      </xdr:blipFill>
      <xdr:spPr>
        <a:xfrm>
          <a:off x="19139647" y="5759824"/>
          <a:ext cx="5804647" cy="41041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Current\CurrentProperty\2006%20Depr%20Recal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ONTROLLER\Plan\Debt1\Debt\Other\UAM_2750%20FY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N\MN%20-%20BNSF%20TIGER%202014\400-Technical\402%20BCA\New%20Analysis%20Network%20Grade%20Crossings\MGCAM12032009%20-%20Test42614_Staples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ns/Grant%20Applications/2020%20Grants/INFRA/TH%2010%20Rum%20River/BCA/Example%20Workbook/DRAFT_BCA%20Workbook%20-%20Bas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Projects\09000\9320\TS\INFRA%20Grant\BCA%20Workbook%20-%20Bas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Annual%20Reports\2006\R-1\330\Diverted%20W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b145489\Local%20Settings\Temporary%20Internet%20Files\OLKB2\Purchase%20Accounting%20Run%20Off%2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NT\Loco%20Depr%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 val="Data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nap.edu/download/22808" TargetMode="External"/><Relationship Id="rId1" Type="http://schemas.openxmlformats.org/officeDocument/2006/relationships/hyperlink" Target="https://www.nap.edu/download/22808" TargetMode="External"/><Relationship Id="rId4"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nap.edu/download/22808" TargetMode="External"/><Relationship Id="rId1" Type="http://schemas.openxmlformats.org/officeDocument/2006/relationships/hyperlink" Target="https://www.nap.edu/download/22808" TargetMode="External"/><Relationship Id="rId4"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7.bin"/><Relationship Id="rId1" Type="http://schemas.openxmlformats.org/officeDocument/2006/relationships/hyperlink" Target="https://apps.sd.gov/hr53needsbook/"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59999389629810485"/>
    <pageSetUpPr fitToPage="1"/>
  </sheetPr>
  <dimension ref="B2:S54"/>
  <sheetViews>
    <sheetView view="pageBreakPreview" zoomScale="85" zoomScaleNormal="85" zoomScaleSheetLayoutView="85" workbookViewId="0">
      <selection activeCell="F20" sqref="F20"/>
    </sheetView>
  </sheetViews>
  <sheetFormatPr defaultColWidth="10.7109375" defaultRowHeight="15" customHeight="1" x14ac:dyDescent="0.2"/>
  <cols>
    <col min="1" max="1" width="10.7109375" style="79"/>
    <col min="2" max="2" width="5.7109375" style="79" customWidth="1"/>
    <col min="3" max="3" width="39.140625" style="79" bestFit="1" customWidth="1"/>
    <col min="4" max="5" width="15.7109375" style="79" customWidth="1"/>
    <col min="6" max="6" width="10.7109375" style="79"/>
    <col min="7" max="7" width="23.7109375" style="79" customWidth="1"/>
    <col min="8" max="8" width="40.28515625" style="79" customWidth="1"/>
    <col min="9" max="9" width="20.7109375" style="79" customWidth="1"/>
    <col min="10" max="10" width="25.140625" style="79" customWidth="1"/>
    <col min="11" max="11" width="14.28515625" style="79" customWidth="1"/>
    <col min="12" max="12" width="11.7109375" style="84" bestFit="1" customWidth="1"/>
    <col min="13" max="18" width="10.7109375" style="84"/>
    <col min="19" max="16384" width="10.7109375" style="79"/>
  </cols>
  <sheetData>
    <row r="2" spans="2:19" ht="15" customHeight="1" x14ac:dyDescent="0.2">
      <c r="B2" s="78"/>
      <c r="L2" s="79"/>
      <c r="M2" s="79"/>
      <c r="N2" s="79"/>
      <c r="O2" s="79"/>
      <c r="P2" s="79"/>
      <c r="Q2" s="79"/>
      <c r="R2" s="79"/>
    </row>
    <row r="3" spans="2:19" ht="15" customHeight="1" x14ac:dyDescent="0.35">
      <c r="C3" s="77" t="s">
        <v>31</v>
      </c>
      <c r="F3" s="80"/>
      <c r="G3" s="544" t="s">
        <v>588</v>
      </c>
      <c r="L3" s="79"/>
      <c r="M3" s="79"/>
      <c r="N3" s="79"/>
      <c r="O3" s="79"/>
      <c r="P3" s="79"/>
      <c r="Q3" s="79"/>
      <c r="R3" s="79"/>
    </row>
    <row r="4" spans="2:19" ht="17.25" customHeight="1" x14ac:dyDescent="0.35">
      <c r="C4" s="81" t="s">
        <v>32</v>
      </c>
      <c r="D4" s="82">
        <v>2020</v>
      </c>
      <c r="F4" s="80"/>
      <c r="G4" s="86" t="s">
        <v>385</v>
      </c>
      <c r="H4" s="86" t="s">
        <v>73</v>
      </c>
      <c r="I4" s="545" t="s">
        <v>441</v>
      </c>
      <c r="J4" s="545" t="s">
        <v>589</v>
      </c>
      <c r="L4" s="79"/>
      <c r="M4" s="79"/>
      <c r="N4" s="79"/>
      <c r="O4" s="79"/>
      <c r="P4" s="79"/>
      <c r="Q4" s="79"/>
      <c r="R4" s="79"/>
    </row>
    <row r="5" spans="2:19" ht="17.25" customHeight="1" x14ac:dyDescent="0.2">
      <c r="B5" s="83"/>
      <c r="C5" s="81" t="s">
        <v>33</v>
      </c>
      <c r="D5" s="82">
        <v>2023</v>
      </c>
      <c r="E5" s="83"/>
      <c r="G5" s="611" t="s">
        <v>265</v>
      </c>
      <c r="H5" s="612" t="s">
        <v>387</v>
      </c>
      <c r="I5" s="611">
        <v>2023</v>
      </c>
      <c r="J5" s="611">
        <v>2024</v>
      </c>
      <c r="K5" s="83"/>
      <c r="L5" s="83"/>
      <c r="M5" s="83"/>
      <c r="N5" s="83"/>
      <c r="P5" s="83"/>
    </row>
    <row r="6" spans="2:19" ht="17.25" customHeight="1" x14ac:dyDescent="0.2">
      <c r="B6" s="83"/>
      <c r="C6" s="81" t="s">
        <v>34</v>
      </c>
      <c r="D6" s="82">
        <v>1</v>
      </c>
      <c r="E6" s="83"/>
      <c r="G6" s="611"/>
      <c r="H6" s="612"/>
      <c r="I6" s="611"/>
      <c r="J6" s="611"/>
      <c r="K6" s="78"/>
      <c r="L6" s="78"/>
      <c r="M6" s="78"/>
      <c r="N6" s="83"/>
      <c r="P6" s="83"/>
    </row>
    <row r="7" spans="2:19" ht="17.25" customHeight="1" x14ac:dyDescent="0.2">
      <c r="B7" s="83"/>
      <c r="C7" s="81" t="s">
        <v>35</v>
      </c>
      <c r="D7" s="82">
        <f>D5+D6</f>
        <v>2024</v>
      </c>
      <c r="E7" s="83"/>
      <c r="G7" s="611" t="s">
        <v>266</v>
      </c>
      <c r="H7" s="612" t="s">
        <v>388</v>
      </c>
      <c r="I7" s="611">
        <v>2024</v>
      </c>
      <c r="J7" s="611">
        <v>2025</v>
      </c>
      <c r="K7" s="78"/>
      <c r="L7" s="83"/>
      <c r="M7" s="83"/>
      <c r="N7" s="83"/>
      <c r="O7" s="83"/>
      <c r="P7" s="83"/>
      <c r="Q7" s="83"/>
    </row>
    <row r="8" spans="2:19" ht="17.25" customHeight="1" x14ac:dyDescent="0.2">
      <c r="B8" s="83"/>
      <c r="C8" s="81" t="s">
        <v>604</v>
      </c>
      <c r="D8" s="82">
        <v>30</v>
      </c>
      <c r="E8" s="83"/>
      <c r="G8" s="611"/>
      <c r="H8" s="612"/>
      <c r="I8" s="611"/>
      <c r="J8" s="611"/>
      <c r="L8" s="79"/>
      <c r="M8" s="83"/>
      <c r="N8" s="83"/>
      <c r="O8" s="83"/>
      <c r="P8" s="83"/>
      <c r="Q8" s="83"/>
      <c r="R8" s="79"/>
    </row>
    <row r="9" spans="2:19" ht="17.25" customHeight="1" x14ac:dyDescent="0.2">
      <c r="C9" s="81" t="s">
        <v>36</v>
      </c>
      <c r="D9" s="82">
        <f>D7+20-1</f>
        <v>2043</v>
      </c>
      <c r="E9" s="83"/>
      <c r="L9" s="79"/>
      <c r="M9" s="79"/>
      <c r="N9" s="79"/>
      <c r="O9" s="79"/>
      <c r="P9" s="79"/>
      <c r="Q9" s="79"/>
      <c r="R9" s="79"/>
    </row>
    <row r="10" spans="2:19" ht="17.25" customHeight="1" x14ac:dyDescent="0.2">
      <c r="C10" s="81" t="s">
        <v>37</v>
      </c>
      <c r="D10" s="82">
        <v>2041</v>
      </c>
      <c r="E10" s="83"/>
      <c r="G10" s="544" t="s">
        <v>616</v>
      </c>
      <c r="L10" s="79"/>
      <c r="M10" s="79"/>
      <c r="N10" s="79"/>
      <c r="O10" s="79"/>
      <c r="P10" s="79"/>
      <c r="Q10" s="79"/>
      <c r="R10" s="79"/>
    </row>
    <row r="11" spans="2:19" ht="17.25" customHeight="1" x14ac:dyDescent="0.2">
      <c r="D11" s="85"/>
      <c r="F11" s="83"/>
      <c r="G11" s="86" t="s">
        <v>385</v>
      </c>
      <c r="H11" s="86" t="s">
        <v>73</v>
      </c>
      <c r="I11" s="545" t="s">
        <v>441</v>
      </c>
      <c r="J11" s="545" t="s">
        <v>589</v>
      </c>
      <c r="L11" s="79"/>
      <c r="M11" s="79"/>
      <c r="N11" s="79"/>
      <c r="O11" s="79"/>
      <c r="P11" s="79"/>
      <c r="Q11" s="79"/>
      <c r="R11" s="79"/>
    </row>
    <row r="12" spans="2:19" ht="17.25" customHeight="1" x14ac:dyDescent="0.2">
      <c r="C12" s="77" t="s">
        <v>38</v>
      </c>
      <c r="E12" s="83"/>
      <c r="F12" s="83"/>
      <c r="G12" s="611" t="s">
        <v>386</v>
      </c>
      <c r="H12" s="612" t="s">
        <v>389</v>
      </c>
      <c r="I12" s="608">
        <v>2027</v>
      </c>
      <c r="J12" s="608">
        <v>2028</v>
      </c>
      <c r="L12" s="79"/>
      <c r="M12" s="79"/>
      <c r="N12" s="79"/>
      <c r="O12" s="79"/>
      <c r="P12" s="79"/>
      <c r="Q12" s="79"/>
      <c r="R12" s="79"/>
    </row>
    <row r="13" spans="2:19" ht="17.25" customHeight="1" x14ac:dyDescent="0.2">
      <c r="C13" s="81"/>
      <c r="D13" s="86" t="s">
        <v>12</v>
      </c>
      <c r="E13" s="86" t="s">
        <v>13</v>
      </c>
      <c r="F13" s="83"/>
      <c r="G13" s="611"/>
      <c r="H13" s="612"/>
      <c r="I13" s="609"/>
      <c r="J13" s="609"/>
      <c r="L13" s="79"/>
      <c r="M13" s="79"/>
      <c r="N13" s="79"/>
      <c r="O13" s="79"/>
      <c r="P13" s="79"/>
      <c r="Q13" s="79"/>
      <c r="R13" s="79"/>
    </row>
    <row r="14" spans="2:19" ht="17.25" customHeight="1" x14ac:dyDescent="0.2">
      <c r="C14" s="81" t="s">
        <v>54</v>
      </c>
      <c r="D14" s="111">
        <f>1-D15</f>
        <v>0.71936758893280639</v>
      </c>
      <c r="E14" s="111">
        <f>1-E15</f>
        <v>0.71936758893280639</v>
      </c>
      <c r="F14" s="83"/>
      <c r="G14" s="612" t="s">
        <v>496</v>
      </c>
      <c r="H14" s="612" t="s">
        <v>442</v>
      </c>
      <c r="I14" s="608">
        <v>2032</v>
      </c>
      <c r="J14" s="608">
        <v>2033</v>
      </c>
      <c r="K14" s="87"/>
      <c r="L14" s="79"/>
      <c r="M14" s="79"/>
      <c r="N14" s="79"/>
      <c r="O14" s="79"/>
      <c r="P14" s="79"/>
      <c r="Q14" s="79"/>
      <c r="R14" s="79"/>
    </row>
    <row r="15" spans="2:19" ht="17.25" customHeight="1" x14ac:dyDescent="0.2">
      <c r="C15" s="81" t="s">
        <v>55</v>
      </c>
      <c r="D15" s="111">
        <f>142/506</f>
        <v>0.28063241106719367</v>
      </c>
      <c r="E15" s="111">
        <f>142/506</f>
        <v>0.28063241106719367</v>
      </c>
      <c r="G15" s="612"/>
      <c r="H15" s="612"/>
      <c r="I15" s="609"/>
      <c r="J15" s="609"/>
      <c r="L15" s="79"/>
      <c r="M15" s="79"/>
      <c r="N15" s="79"/>
      <c r="O15" s="79"/>
      <c r="P15" s="79"/>
      <c r="Q15" s="79"/>
      <c r="R15" s="79"/>
    </row>
    <row r="16" spans="2:19" ht="17.25" customHeight="1" x14ac:dyDescent="0.2">
      <c r="C16" s="81" t="s">
        <v>56</v>
      </c>
      <c r="D16" s="82">
        <v>1.67</v>
      </c>
      <c r="E16" s="82">
        <v>1.67</v>
      </c>
      <c r="L16" s="79"/>
      <c r="M16" s="79"/>
      <c r="N16" s="79"/>
      <c r="O16" s="79"/>
      <c r="P16" s="79"/>
      <c r="Q16" s="79"/>
      <c r="R16" s="79"/>
      <c r="S16" s="83"/>
    </row>
    <row r="17" spans="2:18" ht="17.25" customHeight="1" x14ac:dyDescent="0.2">
      <c r="C17" s="81" t="s">
        <v>57</v>
      </c>
      <c r="D17" s="230">
        <v>1</v>
      </c>
      <c r="E17" s="230">
        <v>1</v>
      </c>
      <c r="L17" s="79"/>
      <c r="M17" s="79"/>
      <c r="N17" s="79"/>
      <c r="O17" s="79"/>
      <c r="P17" s="79"/>
      <c r="Q17" s="79"/>
      <c r="R17" s="79"/>
    </row>
    <row r="18" spans="2:18" ht="15" customHeight="1" x14ac:dyDescent="0.2">
      <c r="C18" s="83"/>
      <c r="D18" s="98"/>
      <c r="E18" s="98"/>
      <c r="L18" s="79"/>
      <c r="M18" s="79"/>
      <c r="N18" s="79"/>
      <c r="O18" s="79"/>
      <c r="P18" s="79"/>
      <c r="Q18" s="79"/>
      <c r="R18" s="79"/>
    </row>
    <row r="19" spans="2:18" ht="15" customHeight="1" x14ac:dyDescent="0.2">
      <c r="C19" s="77" t="s">
        <v>39</v>
      </c>
      <c r="D19" s="85"/>
      <c r="F19" s="83"/>
      <c r="L19" s="79"/>
      <c r="M19" s="79"/>
      <c r="N19" s="79"/>
      <c r="O19" s="79"/>
      <c r="P19" s="79"/>
      <c r="Q19" s="79"/>
      <c r="R19" s="79"/>
    </row>
    <row r="20" spans="2:18" ht="15" customHeight="1" x14ac:dyDescent="0.2">
      <c r="C20" s="81" t="s">
        <v>59</v>
      </c>
      <c r="D20" s="81">
        <v>365</v>
      </c>
      <c r="F20" s="83"/>
      <c r="L20" s="79"/>
      <c r="M20" s="79"/>
      <c r="N20" s="79"/>
      <c r="O20" s="79"/>
      <c r="P20" s="79"/>
      <c r="Q20" s="79"/>
      <c r="R20" s="79"/>
    </row>
    <row r="21" spans="2:18" ht="15" customHeight="1" x14ac:dyDescent="0.2">
      <c r="C21" s="81" t="s">
        <v>64</v>
      </c>
      <c r="D21" s="88">
        <v>17.8</v>
      </c>
      <c r="F21" s="89"/>
      <c r="L21" s="79"/>
      <c r="M21" s="79"/>
      <c r="N21" s="79"/>
      <c r="O21" s="79"/>
      <c r="P21" s="79"/>
      <c r="Q21" s="79"/>
      <c r="R21" s="79"/>
    </row>
    <row r="22" spans="2:18" ht="15" customHeight="1" x14ac:dyDescent="0.2">
      <c r="C22" s="81" t="s">
        <v>65</v>
      </c>
      <c r="D22" s="88">
        <v>32</v>
      </c>
      <c r="F22" s="83"/>
      <c r="L22" s="79"/>
      <c r="M22" s="79"/>
      <c r="N22" s="79"/>
      <c r="O22" s="79"/>
      <c r="P22" s="79"/>
      <c r="Q22" s="79"/>
      <c r="R22" s="79"/>
    </row>
    <row r="23" spans="2:18" ht="15" customHeight="1" x14ac:dyDescent="0.2">
      <c r="C23" s="81" t="s">
        <v>40</v>
      </c>
      <c r="D23" s="88">
        <v>0.45</v>
      </c>
      <c r="F23" s="83"/>
      <c r="L23" s="79"/>
      <c r="M23" s="79"/>
      <c r="N23" s="79"/>
      <c r="O23" s="79"/>
      <c r="P23" s="79"/>
      <c r="Q23" s="79"/>
      <c r="R23" s="79"/>
    </row>
    <row r="24" spans="2:18" ht="15" customHeight="1" x14ac:dyDescent="0.2">
      <c r="C24" s="81" t="s">
        <v>41</v>
      </c>
      <c r="D24" s="88">
        <v>0.94</v>
      </c>
      <c r="F24" s="83"/>
      <c r="L24" s="79"/>
      <c r="M24" s="79"/>
      <c r="N24" s="79"/>
      <c r="O24" s="79"/>
      <c r="P24" s="79"/>
      <c r="Q24" s="79"/>
      <c r="R24" s="79"/>
    </row>
    <row r="25" spans="2:18" ht="15" customHeight="1" x14ac:dyDescent="0.2">
      <c r="C25" s="81" t="s">
        <v>42</v>
      </c>
      <c r="D25" s="88">
        <f>(D21*D14*D16+D22*D15*D17)</f>
        <v>30.364158102766801</v>
      </c>
      <c r="F25" s="83"/>
      <c r="L25" s="79"/>
      <c r="M25" s="79"/>
      <c r="N25" s="79"/>
      <c r="O25" s="79"/>
      <c r="P25" s="79"/>
      <c r="Q25" s="79"/>
      <c r="R25" s="79"/>
    </row>
    <row r="26" spans="2:18" ht="15" customHeight="1" x14ac:dyDescent="0.2">
      <c r="C26" s="81" t="s">
        <v>43</v>
      </c>
      <c r="D26" s="88">
        <f>D23*D14+D24*D15</f>
        <v>0.58750988142292493</v>
      </c>
      <c r="F26" s="83"/>
      <c r="L26" s="79"/>
      <c r="M26" s="79"/>
      <c r="N26" s="79"/>
      <c r="O26" s="79"/>
      <c r="P26" s="79"/>
      <c r="Q26" s="79"/>
      <c r="R26" s="79"/>
    </row>
    <row r="27" spans="2:18" ht="15" customHeight="1" x14ac:dyDescent="0.2">
      <c r="C27" s="81" t="s">
        <v>44</v>
      </c>
      <c r="D27" s="90">
        <v>7.0000000000000007E-2</v>
      </c>
      <c r="F27" s="83"/>
      <c r="L27" s="79"/>
      <c r="M27" s="79"/>
      <c r="N27" s="79"/>
      <c r="O27" s="79"/>
      <c r="P27" s="79"/>
      <c r="Q27" s="79"/>
      <c r="R27" s="79"/>
    </row>
    <row r="28" spans="2:18" ht="15" customHeight="1" x14ac:dyDescent="0.2">
      <c r="L28" s="79"/>
      <c r="M28" s="79"/>
      <c r="N28" s="79"/>
      <c r="O28" s="79"/>
      <c r="P28" s="79"/>
      <c r="Q28" s="79"/>
      <c r="R28" s="79"/>
    </row>
    <row r="29" spans="2:18" ht="15" customHeight="1" x14ac:dyDescent="0.2">
      <c r="B29" s="91" t="s">
        <v>3</v>
      </c>
      <c r="C29" s="91"/>
      <c r="D29" s="91"/>
      <c r="L29" s="79"/>
      <c r="M29" s="79"/>
      <c r="N29" s="79"/>
      <c r="O29" s="79"/>
      <c r="P29" s="79"/>
      <c r="Q29" s="79"/>
      <c r="R29" s="79"/>
    </row>
    <row r="30" spans="2:18" ht="15" customHeight="1" x14ac:dyDescent="0.25">
      <c r="B30" s="92" t="s">
        <v>9</v>
      </c>
      <c r="C30" s="610" t="s">
        <v>601</v>
      </c>
      <c r="D30" s="610"/>
      <c r="E30" s="610"/>
      <c r="F30" s="610"/>
      <c r="G30" s="610"/>
      <c r="H30" s="610"/>
      <c r="I30" s="610"/>
      <c r="J30" s="610"/>
      <c r="L30" s="79"/>
      <c r="M30" s="79"/>
      <c r="N30" s="79"/>
      <c r="O30" s="79"/>
      <c r="P30" s="79"/>
      <c r="Q30" s="79"/>
      <c r="R30" s="79"/>
    </row>
    <row r="31" spans="2:18" ht="15" customHeight="1" x14ac:dyDescent="0.25">
      <c r="B31" s="92"/>
      <c r="C31" s="610"/>
      <c r="D31" s="610"/>
      <c r="E31" s="610"/>
      <c r="F31" s="610"/>
      <c r="G31" s="610"/>
      <c r="H31" s="610"/>
      <c r="I31" s="610"/>
      <c r="J31" s="610"/>
      <c r="L31" s="79"/>
      <c r="M31" s="79"/>
      <c r="N31" s="79"/>
      <c r="O31" s="79"/>
      <c r="P31" s="79"/>
      <c r="Q31" s="79"/>
      <c r="R31" s="79"/>
    </row>
    <row r="32" spans="2:18" ht="15" customHeight="1" x14ac:dyDescent="0.25">
      <c r="B32" s="93"/>
      <c r="C32" s="610"/>
      <c r="D32" s="610"/>
      <c r="E32" s="610"/>
      <c r="F32" s="610"/>
      <c r="G32" s="610"/>
      <c r="H32" s="610"/>
      <c r="I32" s="610"/>
      <c r="J32" s="610"/>
      <c r="L32" s="79"/>
      <c r="M32" s="79"/>
      <c r="N32" s="79"/>
      <c r="O32" s="79"/>
      <c r="P32" s="79"/>
      <c r="Q32" s="79"/>
      <c r="R32" s="79"/>
    </row>
    <row r="33" spans="2:18" ht="15" customHeight="1" x14ac:dyDescent="0.25">
      <c r="B33" s="93"/>
      <c r="C33" s="610"/>
      <c r="D33" s="610"/>
      <c r="E33" s="610"/>
      <c r="F33" s="610"/>
      <c r="G33" s="610"/>
      <c r="H33" s="610"/>
      <c r="I33" s="610"/>
      <c r="J33" s="610"/>
      <c r="L33" s="79"/>
      <c r="M33" s="79"/>
      <c r="N33" s="79"/>
      <c r="O33" s="79"/>
      <c r="P33" s="79"/>
      <c r="Q33" s="79"/>
      <c r="R33" s="79"/>
    </row>
    <row r="34" spans="2:18" ht="15" customHeight="1" x14ac:dyDescent="0.25">
      <c r="B34" s="93"/>
      <c r="C34" s="94"/>
      <c r="D34" s="94"/>
      <c r="E34" s="94"/>
      <c r="F34" s="94"/>
      <c r="G34" s="94"/>
      <c r="L34" s="79"/>
      <c r="M34" s="79"/>
      <c r="N34" s="79"/>
      <c r="O34" s="79"/>
      <c r="P34" s="79"/>
      <c r="Q34" s="79"/>
      <c r="R34" s="79"/>
    </row>
    <row r="35" spans="2:18" ht="15" customHeight="1" x14ac:dyDescent="0.25">
      <c r="B35" s="92" t="s">
        <v>8</v>
      </c>
      <c r="C35" s="610" t="s">
        <v>602</v>
      </c>
      <c r="D35" s="610"/>
      <c r="E35" s="610"/>
      <c r="F35" s="610"/>
      <c r="G35" s="610"/>
      <c r="H35" s="610"/>
      <c r="I35" s="610"/>
      <c r="J35" s="610"/>
    </row>
    <row r="36" spans="2:18" ht="15" customHeight="1" x14ac:dyDescent="0.25">
      <c r="B36" s="92"/>
      <c r="C36" s="610"/>
      <c r="D36" s="610"/>
      <c r="E36" s="610"/>
      <c r="F36" s="610"/>
      <c r="G36" s="610"/>
      <c r="H36" s="610"/>
      <c r="I36" s="610"/>
      <c r="J36" s="610"/>
      <c r="L36" s="79"/>
      <c r="M36" s="79"/>
      <c r="N36" s="79"/>
      <c r="O36" s="79"/>
      <c r="P36" s="79"/>
      <c r="Q36" s="79"/>
      <c r="R36" s="79"/>
    </row>
    <row r="37" spans="2:18" ht="15" customHeight="1" x14ac:dyDescent="0.25">
      <c r="B37" s="93"/>
      <c r="C37" s="610"/>
      <c r="D37" s="610"/>
      <c r="E37" s="610"/>
      <c r="F37" s="610"/>
      <c r="G37" s="610"/>
      <c r="H37" s="610"/>
      <c r="I37" s="610"/>
      <c r="J37" s="610"/>
      <c r="L37" s="79"/>
      <c r="M37" s="79"/>
      <c r="N37" s="79"/>
      <c r="O37" s="79"/>
      <c r="P37" s="79"/>
      <c r="Q37" s="79"/>
      <c r="R37" s="79"/>
    </row>
    <row r="38" spans="2:18" ht="15" customHeight="1" x14ac:dyDescent="0.2">
      <c r="C38" s="610"/>
      <c r="D38" s="610"/>
      <c r="E38" s="610"/>
      <c r="F38" s="610"/>
      <c r="G38" s="610"/>
      <c r="H38" s="610"/>
      <c r="I38" s="610"/>
      <c r="J38" s="610"/>
      <c r="M38" s="79"/>
      <c r="N38" s="79"/>
      <c r="O38" s="79"/>
      <c r="P38" s="79"/>
      <c r="Q38" s="79"/>
      <c r="R38" s="79"/>
    </row>
    <row r="39" spans="2:18" ht="15" customHeight="1" x14ac:dyDescent="0.2">
      <c r="C39" s="610"/>
      <c r="D39" s="610"/>
      <c r="E39" s="610"/>
      <c r="F39" s="610"/>
      <c r="G39" s="610"/>
      <c r="H39" s="610"/>
      <c r="I39" s="610"/>
      <c r="J39" s="610"/>
      <c r="L39" s="79"/>
      <c r="M39" s="79"/>
      <c r="N39" s="79"/>
      <c r="O39" s="79"/>
      <c r="P39" s="79"/>
      <c r="Q39" s="79"/>
      <c r="R39" s="79"/>
    </row>
    <row r="40" spans="2:18" ht="15" customHeight="1" x14ac:dyDescent="0.25">
      <c r="B40" s="95"/>
      <c r="C40" s="610"/>
      <c r="D40" s="610"/>
      <c r="E40" s="610"/>
      <c r="F40" s="610"/>
      <c r="G40" s="610"/>
      <c r="H40" s="610"/>
      <c r="I40" s="610"/>
      <c r="J40" s="610"/>
      <c r="L40" s="79"/>
      <c r="M40" s="79"/>
      <c r="N40" s="79"/>
      <c r="O40" s="79"/>
      <c r="P40" s="79"/>
      <c r="Q40" s="79"/>
      <c r="R40" s="79"/>
    </row>
    <row r="41" spans="2:18" ht="15" customHeight="1" x14ac:dyDescent="0.25">
      <c r="B41" s="95"/>
      <c r="C41" s="168"/>
      <c r="D41" s="168"/>
      <c r="E41" s="168"/>
      <c r="F41" s="168"/>
      <c r="G41" s="168"/>
      <c r="H41" s="168"/>
      <c r="I41" s="168"/>
      <c r="J41" s="168"/>
      <c r="L41" s="79"/>
      <c r="M41" s="79"/>
      <c r="N41" s="79"/>
      <c r="O41" s="79"/>
      <c r="P41" s="79"/>
      <c r="Q41" s="79"/>
      <c r="R41" s="79"/>
    </row>
    <row r="42" spans="2:18" ht="15" customHeight="1" x14ac:dyDescent="0.25">
      <c r="B42" s="92" t="s">
        <v>10</v>
      </c>
      <c r="C42" s="610" t="s">
        <v>652</v>
      </c>
      <c r="D42" s="610"/>
      <c r="E42" s="610"/>
      <c r="F42" s="610"/>
      <c r="G42" s="610"/>
      <c r="H42" s="610"/>
      <c r="I42" s="610"/>
      <c r="J42" s="610"/>
      <c r="L42" s="79"/>
      <c r="M42" s="79"/>
      <c r="N42" s="79"/>
      <c r="O42" s="79"/>
      <c r="P42" s="79"/>
      <c r="Q42" s="79"/>
      <c r="R42" s="79"/>
    </row>
    <row r="43" spans="2:18" ht="15" customHeight="1" x14ac:dyDescent="0.25">
      <c r="B43" s="92"/>
      <c r="C43" s="610"/>
      <c r="D43" s="610"/>
      <c r="E43" s="610"/>
      <c r="F43" s="610"/>
      <c r="G43" s="610"/>
      <c r="H43" s="610"/>
      <c r="I43" s="610"/>
      <c r="J43" s="610"/>
      <c r="L43" s="79"/>
      <c r="M43" s="79"/>
      <c r="N43" s="79"/>
      <c r="O43" s="79"/>
      <c r="P43" s="79"/>
      <c r="Q43" s="79"/>
      <c r="R43" s="79"/>
    </row>
    <row r="44" spans="2:18" ht="15" customHeight="1" x14ac:dyDescent="0.25">
      <c r="B44" s="92"/>
      <c r="C44" s="610"/>
      <c r="D44" s="610"/>
      <c r="E44" s="610"/>
      <c r="F44" s="610"/>
      <c r="G44" s="610"/>
      <c r="H44" s="610"/>
      <c r="I44" s="610"/>
      <c r="J44" s="610"/>
      <c r="L44" s="79"/>
      <c r="M44" s="79"/>
      <c r="N44" s="79"/>
      <c r="O44" s="79"/>
      <c r="P44" s="79"/>
      <c r="Q44" s="79"/>
      <c r="R44" s="79"/>
    </row>
    <row r="45" spans="2:18" ht="15" customHeight="1" x14ac:dyDescent="0.25">
      <c r="B45" s="92"/>
      <c r="C45" s="182"/>
      <c r="D45" s="182"/>
      <c r="E45" s="182"/>
      <c r="F45" s="182"/>
      <c r="G45" s="182"/>
      <c r="H45" s="182"/>
      <c r="I45" s="182"/>
      <c r="J45" s="182"/>
      <c r="L45" s="79"/>
      <c r="M45" s="79"/>
      <c r="N45" s="79"/>
      <c r="O45" s="79"/>
      <c r="P45" s="79"/>
      <c r="Q45" s="79"/>
      <c r="R45" s="79"/>
    </row>
    <row r="46" spans="2:18" ht="15" customHeight="1" x14ac:dyDescent="0.25">
      <c r="B46" s="95" t="s">
        <v>11</v>
      </c>
      <c r="C46" s="607" t="s">
        <v>603</v>
      </c>
      <c r="D46" s="607"/>
      <c r="E46" s="607"/>
      <c r="F46" s="607"/>
      <c r="G46" s="607"/>
      <c r="H46" s="607"/>
      <c r="I46" s="607"/>
      <c r="J46" s="607"/>
      <c r="L46" s="79"/>
      <c r="M46" s="79"/>
      <c r="N46" s="79"/>
      <c r="O46" s="79"/>
      <c r="P46" s="79"/>
      <c r="Q46" s="79"/>
      <c r="R46" s="79"/>
    </row>
    <row r="47" spans="2:18" ht="15" customHeight="1" x14ac:dyDescent="0.25">
      <c r="B47" s="95"/>
      <c r="C47" s="607"/>
      <c r="D47" s="607"/>
      <c r="E47" s="607"/>
      <c r="F47" s="607"/>
      <c r="G47" s="607"/>
      <c r="H47" s="607"/>
      <c r="I47" s="607"/>
      <c r="J47" s="607"/>
    </row>
    <row r="48" spans="2:18" ht="15" customHeight="1" x14ac:dyDescent="0.25">
      <c r="B48" s="95"/>
      <c r="C48" s="607"/>
      <c r="D48" s="607"/>
      <c r="E48" s="607"/>
      <c r="F48" s="607"/>
      <c r="G48" s="607"/>
      <c r="H48" s="607"/>
      <c r="I48" s="607"/>
      <c r="J48" s="607"/>
    </row>
    <row r="49" spans="2:10" ht="15" customHeight="1" x14ac:dyDescent="0.25">
      <c r="B49" s="95" t="s">
        <v>58</v>
      </c>
      <c r="C49" s="607" t="s">
        <v>45</v>
      </c>
      <c r="D49" s="607"/>
      <c r="E49" s="607"/>
      <c r="F49" s="607"/>
      <c r="G49" s="607"/>
      <c r="H49" s="607"/>
      <c r="I49" s="607"/>
      <c r="J49" s="607"/>
    </row>
    <row r="51" spans="2:10" ht="15" customHeight="1" x14ac:dyDescent="0.25">
      <c r="B51" s="95" t="s">
        <v>60</v>
      </c>
      <c r="C51" s="607" t="s">
        <v>605</v>
      </c>
      <c r="D51" s="607"/>
      <c r="E51" s="607"/>
      <c r="F51" s="607"/>
      <c r="G51" s="607"/>
      <c r="H51" s="607"/>
      <c r="I51" s="607"/>
      <c r="J51" s="607"/>
    </row>
    <row r="52" spans="2:10" ht="15" customHeight="1" x14ac:dyDescent="0.25">
      <c r="B52" s="584"/>
      <c r="C52" s="584"/>
      <c r="D52" s="584"/>
      <c r="E52" s="584"/>
      <c r="F52" s="584"/>
      <c r="G52" s="584"/>
      <c r="H52" s="584"/>
      <c r="I52" s="584"/>
      <c r="J52" s="584"/>
    </row>
    <row r="53" spans="2:10" ht="15" customHeight="1" x14ac:dyDescent="0.25">
      <c r="B53" s="95"/>
      <c r="C53" s="114"/>
      <c r="D53" s="115"/>
      <c r="E53" s="115"/>
      <c r="F53" s="115"/>
      <c r="G53" s="115"/>
    </row>
    <row r="54" spans="2:10" ht="15" customHeight="1" x14ac:dyDescent="0.2">
      <c r="B54" s="96"/>
      <c r="C54" s="168"/>
      <c r="D54" s="168"/>
      <c r="E54" s="168"/>
      <c r="F54" s="168"/>
      <c r="G54" s="168"/>
    </row>
  </sheetData>
  <mergeCells count="22">
    <mergeCell ref="G5:G6"/>
    <mergeCell ref="H5:H6"/>
    <mergeCell ref="I5:I6"/>
    <mergeCell ref="J5:J6"/>
    <mergeCell ref="G14:G15"/>
    <mergeCell ref="H14:H15"/>
    <mergeCell ref="I14:I15"/>
    <mergeCell ref="J14:J15"/>
    <mergeCell ref="G7:G8"/>
    <mergeCell ref="H7:H8"/>
    <mergeCell ref="I7:I8"/>
    <mergeCell ref="J7:J8"/>
    <mergeCell ref="G12:G13"/>
    <mergeCell ref="H12:H13"/>
    <mergeCell ref="I12:I13"/>
    <mergeCell ref="C51:J51"/>
    <mergeCell ref="J12:J13"/>
    <mergeCell ref="C35:J40"/>
    <mergeCell ref="C42:J44"/>
    <mergeCell ref="C30:J33"/>
    <mergeCell ref="C49:J49"/>
    <mergeCell ref="C46:J48"/>
  </mergeCells>
  <printOptions horizontalCentered="1"/>
  <pageMargins left="0.25" right="0.25" top="0.75" bottom="0.75" header="0.3" footer="0.3"/>
  <pageSetup paperSize="3" scale="67"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557FB-C50B-49DC-B29A-222B43E72E07}">
  <sheetPr>
    <tabColor rgb="FF00B050"/>
    <pageSetUpPr fitToPage="1"/>
  </sheetPr>
  <dimension ref="A1:AK117"/>
  <sheetViews>
    <sheetView zoomScale="85" zoomScaleNormal="85" zoomScaleSheetLayoutView="70" zoomScalePageLayoutView="55" workbookViewId="0">
      <selection activeCell="E4" sqref="E4:E5"/>
    </sheetView>
  </sheetViews>
  <sheetFormatPr defaultRowHeight="15" x14ac:dyDescent="0.25"/>
  <cols>
    <col min="1" max="1" width="3.7109375" style="287" customWidth="1"/>
    <col min="2" max="8" width="20.7109375" style="287" customWidth="1"/>
    <col min="9" max="9" width="5.7109375" style="287" customWidth="1"/>
    <col min="10" max="10" width="3" style="287" customWidth="1"/>
    <col min="11" max="11" width="39.140625" style="287" customWidth="1"/>
    <col min="12" max="12" width="29.28515625" style="287" bestFit="1" customWidth="1"/>
    <col min="13" max="13" width="39.140625" style="287" customWidth="1"/>
    <col min="14" max="14" width="29.28515625" style="287" bestFit="1" customWidth="1"/>
    <col min="15" max="15" width="16.28515625" style="287" customWidth="1"/>
    <col min="16" max="16" width="5.7109375" style="287" customWidth="1"/>
    <col min="17" max="17" width="36.140625" style="287" customWidth="1"/>
    <col min="18" max="18" width="16.28515625" style="287" customWidth="1"/>
    <col min="19" max="21" width="4.5703125" style="287" customWidth="1"/>
    <col min="22" max="22" width="18" style="287" bestFit="1" customWidth="1"/>
    <col min="23" max="23" width="22.85546875" style="287" bestFit="1" customWidth="1"/>
    <col min="24" max="25" width="50.85546875" style="287" customWidth="1"/>
    <col min="26" max="26" width="16.28515625" style="287" bestFit="1" customWidth="1"/>
    <col min="27" max="16384" width="9.140625" style="287"/>
  </cols>
  <sheetData>
    <row r="1" spans="1:13" ht="14.25" customHeight="1" x14ac:dyDescent="0.25">
      <c r="A1" s="15"/>
      <c r="B1" s="290">
        <v>1</v>
      </c>
      <c r="C1" s="522">
        <v>2</v>
      </c>
      <c r="D1" s="522">
        <v>3</v>
      </c>
      <c r="E1" s="522">
        <v>4</v>
      </c>
      <c r="F1" s="522">
        <v>5</v>
      </c>
      <c r="G1" s="522">
        <v>6</v>
      </c>
      <c r="H1" s="522">
        <v>7</v>
      </c>
    </row>
    <row r="2" spans="1:13" x14ac:dyDescent="0.25">
      <c r="B2" s="6" t="s">
        <v>225</v>
      </c>
      <c r="C2" s="6"/>
      <c r="D2" s="6"/>
    </row>
    <row r="3" spans="1:13" ht="15.75" thickBot="1" x14ac:dyDescent="0.3">
      <c r="B3" s="367" t="s">
        <v>467</v>
      </c>
      <c r="K3" s="55"/>
    </row>
    <row r="4" spans="1:13" ht="35.1" customHeight="1" x14ac:dyDescent="0.25">
      <c r="B4" s="651" t="s">
        <v>0</v>
      </c>
      <c r="C4" s="651" t="s">
        <v>646</v>
      </c>
      <c r="D4" s="653" t="s">
        <v>126</v>
      </c>
      <c r="E4" s="651" t="s">
        <v>179</v>
      </c>
      <c r="F4" s="651" t="s">
        <v>178</v>
      </c>
      <c r="G4" s="649" t="s">
        <v>180</v>
      </c>
      <c r="H4" s="647" t="s">
        <v>1</v>
      </c>
      <c r="K4" s="62"/>
      <c r="L4" s="15"/>
      <c r="M4" s="20"/>
    </row>
    <row r="5" spans="1:13" ht="43.5" customHeight="1" thickBot="1" x14ac:dyDescent="0.3">
      <c r="B5" s="652"/>
      <c r="C5" s="652"/>
      <c r="D5" s="654"/>
      <c r="E5" s="652"/>
      <c r="F5" s="652"/>
      <c r="G5" s="650"/>
      <c r="H5" s="648"/>
      <c r="K5" s="655" t="s">
        <v>647</v>
      </c>
      <c r="L5" s="655"/>
      <c r="M5" s="28"/>
    </row>
    <row r="6" spans="1:13" x14ac:dyDescent="0.25">
      <c r="B6" s="1">
        <f>Assumptions!$D$7</f>
        <v>2024</v>
      </c>
      <c r="C6" s="145">
        <v>0</v>
      </c>
      <c r="D6" s="145">
        <v>0</v>
      </c>
      <c r="E6" s="156">
        <f>C6*$L$6</f>
        <v>0</v>
      </c>
      <c r="F6" s="156">
        <f>D6*$L$6</f>
        <v>0</v>
      </c>
      <c r="G6" s="157">
        <f>(E6-F6)</f>
        <v>0</v>
      </c>
      <c r="H6" s="156">
        <f>G6*(1+0.07)^-(B6-Assumptions!$D$4)</f>
        <v>0</v>
      </c>
      <c r="I6" s="15"/>
      <c r="K6" s="65" t="s">
        <v>19</v>
      </c>
      <c r="L6" s="67">
        <f>Assumptions!D23</f>
        <v>0.45</v>
      </c>
      <c r="M6" s="15" t="s">
        <v>240</v>
      </c>
    </row>
    <row r="7" spans="1:13" x14ac:dyDescent="0.25">
      <c r="B7" s="2">
        <f>B6+1</f>
        <v>2025</v>
      </c>
      <c r="C7" s="145">
        <v>0</v>
      </c>
      <c r="D7" s="145">
        <v>0</v>
      </c>
      <c r="E7" s="147">
        <f t="shared" ref="E7:F25" si="0">C7*$L$6</f>
        <v>0</v>
      </c>
      <c r="F7" s="147">
        <f t="shared" si="0"/>
        <v>0</v>
      </c>
      <c r="G7" s="148">
        <f t="shared" ref="G7:G25" si="1">(E7-F7)</f>
        <v>0</v>
      </c>
      <c r="H7" s="147">
        <f>G7*(1+0.07)^-(B7-Assumptions!$D$4)</f>
        <v>0</v>
      </c>
      <c r="I7" s="15"/>
      <c r="M7" s="19"/>
    </row>
    <row r="8" spans="1:13" x14ac:dyDescent="0.25">
      <c r="B8" s="2">
        <f t="shared" ref="B8:B25" si="2">B7+1</f>
        <v>2026</v>
      </c>
      <c r="C8" s="145">
        <v>0</v>
      </c>
      <c r="D8" s="145">
        <v>0</v>
      </c>
      <c r="E8" s="147">
        <f t="shared" si="0"/>
        <v>0</v>
      </c>
      <c r="F8" s="147">
        <f t="shared" si="0"/>
        <v>0</v>
      </c>
      <c r="G8" s="148">
        <f t="shared" si="1"/>
        <v>0</v>
      </c>
      <c r="H8" s="147">
        <f>G8*(1+0.07)^-(B8-Assumptions!$D$4)</f>
        <v>0</v>
      </c>
      <c r="J8" s="61"/>
      <c r="K8" s="283" t="s">
        <v>194</v>
      </c>
      <c r="L8" s="283"/>
      <c r="M8" s="18"/>
    </row>
    <row r="9" spans="1:13" ht="15" customHeight="1" x14ac:dyDescent="0.25">
      <c r="B9" s="2">
        <f t="shared" si="2"/>
        <v>2027</v>
      </c>
      <c r="C9" s="145">
        <v>0</v>
      </c>
      <c r="D9" s="145">
        <v>0</v>
      </c>
      <c r="E9" s="147">
        <f t="shared" si="0"/>
        <v>0</v>
      </c>
      <c r="F9" s="147">
        <f t="shared" si="0"/>
        <v>0</v>
      </c>
      <c r="G9" s="148">
        <f t="shared" si="1"/>
        <v>0</v>
      </c>
      <c r="H9" s="147">
        <f>G9*(1+0.07)^-(B9-Assumptions!$D$4)</f>
        <v>0</v>
      </c>
      <c r="K9" s="65" t="s">
        <v>21</v>
      </c>
      <c r="L9" s="64">
        <f>Assumptions!D14</f>
        <v>0.71936758893280639</v>
      </c>
      <c r="M9" s="18" t="s">
        <v>245</v>
      </c>
    </row>
    <row r="10" spans="1:13" x14ac:dyDescent="0.25">
      <c r="B10" s="2">
        <f t="shared" si="2"/>
        <v>2028</v>
      </c>
      <c r="C10" s="145">
        <v>0</v>
      </c>
      <c r="D10" s="145">
        <v>0</v>
      </c>
      <c r="E10" s="147">
        <f t="shared" si="0"/>
        <v>0</v>
      </c>
      <c r="F10" s="147">
        <f t="shared" si="0"/>
        <v>0</v>
      </c>
      <c r="G10" s="148">
        <f t="shared" si="1"/>
        <v>0</v>
      </c>
      <c r="H10" s="147">
        <f>G10*(1+0.07)^-(B10-Assumptions!$D$4)</f>
        <v>0</v>
      </c>
      <c r="M10" s="48"/>
    </row>
    <row r="11" spans="1:13" x14ac:dyDescent="0.25">
      <c r="B11" s="2">
        <f t="shared" si="2"/>
        <v>2029</v>
      </c>
      <c r="C11" s="145">
        <v>0</v>
      </c>
      <c r="D11" s="145">
        <v>0</v>
      </c>
      <c r="E11" s="147">
        <f t="shared" si="0"/>
        <v>0</v>
      </c>
      <c r="F11" s="147">
        <f t="shared" si="0"/>
        <v>0</v>
      </c>
      <c r="G11" s="148">
        <f t="shared" si="1"/>
        <v>0</v>
      </c>
      <c r="H11" s="147">
        <f>G11*(1+0.07)^-(B11-Assumptions!$D$4)</f>
        <v>0</v>
      </c>
      <c r="K11" s="283" t="s">
        <v>632</v>
      </c>
      <c r="L11" s="283"/>
      <c r="M11" s="18"/>
    </row>
    <row r="12" spans="1:13" x14ac:dyDescent="0.25">
      <c r="B12" s="2">
        <f t="shared" si="2"/>
        <v>2030</v>
      </c>
      <c r="C12" s="145">
        <v>0</v>
      </c>
      <c r="D12" s="145">
        <v>0</v>
      </c>
      <c r="E12" s="147">
        <f t="shared" si="0"/>
        <v>0</v>
      </c>
      <c r="F12" s="147">
        <f t="shared" si="0"/>
        <v>0</v>
      </c>
      <c r="G12" s="148">
        <f t="shared" si="1"/>
        <v>0</v>
      </c>
      <c r="H12" s="147">
        <f>G12*(1+0.07)^-(B12-Assumptions!$D$4)</f>
        <v>0</v>
      </c>
      <c r="K12" s="65" t="s">
        <v>26</v>
      </c>
      <c r="L12" s="144">
        <v>1.67</v>
      </c>
      <c r="M12" s="15" t="s">
        <v>240</v>
      </c>
    </row>
    <row r="13" spans="1:13" ht="15" customHeight="1" x14ac:dyDescent="0.25">
      <c r="B13" s="2">
        <f t="shared" si="2"/>
        <v>2031</v>
      </c>
      <c r="C13" s="145">
        <v>0</v>
      </c>
      <c r="D13" s="145">
        <v>0</v>
      </c>
      <c r="E13" s="147">
        <f t="shared" si="0"/>
        <v>0</v>
      </c>
      <c r="F13" s="147">
        <f t="shared" si="0"/>
        <v>0</v>
      </c>
      <c r="G13" s="148">
        <f t="shared" si="1"/>
        <v>0</v>
      </c>
      <c r="H13" s="147">
        <f>G13*(1+0.07)^-(B13-Assumptions!$D$4)</f>
        <v>0</v>
      </c>
      <c r="M13" s="52"/>
    </row>
    <row r="14" spans="1:13" x14ac:dyDescent="0.25">
      <c r="B14" s="2">
        <f t="shared" si="2"/>
        <v>2032</v>
      </c>
      <c r="C14" s="145">
        <v>0</v>
      </c>
      <c r="D14" s="145">
        <v>0</v>
      </c>
      <c r="E14" s="147">
        <f t="shared" si="0"/>
        <v>0</v>
      </c>
      <c r="F14" s="147">
        <f t="shared" si="0"/>
        <v>0</v>
      </c>
      <c r="G14" s="148">
        <f t="shared" si="1"/>
        <v>0</v>
      </c>
      <c r="H14" s="147">
        <f>G14*(1+0.07)^-(B14-Assumptions!$D$4)</f>
        <v>0</v>
      </c>
      <c r="K14" s="283" t="s">
        <v>633</v>
      </c>
      <c r="L14" s="283"/>
      <c r="M14" s="18"/>
    </row>
    <row r="15" spans="1:13" x14ac:dyDescent="0.25">
      <c r="B15" s="2">
        <f t="shared" si="2"/>
        <v>2033</v>
      </c>
      <c r="C15" s="145">
        <f t="shared" ref="C15:C25" si="3">TREND($L$27:$L$28,$K$27:$K$28,B15)</f>
        <v>19926636.877470255</v>
      </c>
      <c r="D15" s="145">
        <f t="shared" ref="D15:D25" si="4">TREND($N$27:$N$28,$M$27:$M$28,B15)</f>
        <v>14612867.043478251</v>
      </c>
      <c r="E15" s="147">
        <f t="shared" si="0"/>
        <v>8966986.5948616154</v>
      </c>
      <c r="F15" s="147">
        <f t="shared" si="0"/>
        <v>6575790.1695652129</v>
      </c>
      <c r="G15" s="148">
        <f t="shared" si="1"/>
        <v>2391196.4252964025</v>
      </c>
      <c r="H15" s="147">
        <f>G15*(1+0.07)^-(B15-Assumptions!$D$4)</f>
        <v>992261.50441616646</v>
      </c>
      <c r="K15" s="289" t="s">
        <v>125</v>
      </c>
      <c r="L15" s="289" t="s">
        <v>200</v>
      </c>
      <c r="M15" s="19"/>
    </row>
    <row r="16" spans="1:13" x14ac:dyDescent="0.25">
      <c r="B16" s="2">
        <f t="shared" si="2"/>
        <v>2034</v>
      </c>
      <c r="C16" s="145">
        <f t="shared" si="3"/>
        <v>20225374.950592875</v>
      </c>
      <c r="D16" s="145">
        <f t="shared" si="4"/>
        <v>14831941.630434752</v>
      </c>
      <c r="E16" s="147">
        <f t="shared" si="0"/>
        <v>9101418.7277667951</v>
      </c>
      <c r="F16" s="147">
        <f t="shared" si="0"/>
        <v>6674373.7336956384</v>
      </c>
      <c r="G16" s="148">
        <f t="shared" si="1"/>
        <v>2427044.9940711567</v>
      </c>
      <c r="H16" s="147">
        <f>G16*(1+0.07)^-(B16-Assumptions!$D$4)</f>
        <v>941249.8934255857</v>
      </c>
      <c r="K16" s="282">
        <v>2021</v>
      </c>
      <c r="L16" s="282">
        <v>506</v>
      </c>
      <c r="M16" s="18" t="s">
        <v>245</v>
      </c>
    </row>
    <row r="17" spans="1:20" x14ac:dyDescent="0.25">
      <c r="B17" s="2">
        <f t="shared" si="2"/>
        <v>2035</v>
      </c>
      <c r="C17" s="145">
        <f t="shared" si="3"/>
        <v>20524113.023715377</v>
      </c>
      <c r="D17" s="145">
        <f t="shared" si="4"/>
        <v>15051016.217391253</v>
      </c>
      <c r="E17" s="147">
        <f t="shared" si="0"/>
        <v>9235850.8606719207</v>
      </c>
      <c r="F17" s="147">
        <f t="shared" si="0"/>
        <v>6772957.2978260638</v>
      </c>
      <c r="G17" s="148">
        <f t="shared" si="1"/>
        <v>2462893.5628458569</v>
      </c>
      <c r="H17" s="147">
        <f>G17*(1+0.07)^-(B17-Assumptions!$D$4)</f>
        <v>892665.96865627065</v>
      </c>
      <c r="K17" s="282">
        <v>2041</v>
      </c>
      <c r="L17" s="282">
        <v>691</v>
      </c>
      <c r="M17" s="18" t="s">
        <v>245</v>
      </c>
    </row>
    <row r="18" spans="1:20" x14ac:dyDescent="0.25">
      <c r="B18" s="2">
        <f t="shared" si="2"/>
        <v>2036</v>
      </c>
      <c r="C18" s="145">
        <f t="shared" si="3"/>
        <v>20822851.096837878</v>
      </c>
      <c r="D18" s="145">
        <f t="shared" si="4"/>
        <v>15270090.804347813</v>
      </c>
      <c r="E18" s="147">
        <f t="shared" si="0"/>
        <v>9370282.9935770463</v>
      </c>
      <c r="F18" s="147">
        <f t="shared" si="0"/>
        <v>6871540.8619565163</v>
      </c>
      <c r="G18" s="148">
        <f t="shared" si="1"/>
        <v>2498742.13162053</v>
      </c>
      <c r="H18" s="147">
        <f>G18*(1+0.07)^-(B18-Assumptions!$D$4)</f>
        <v>846410.41095189389</v>
      </c>
    </row>
    <row r="19" spans="1:20" x14ac:dyDescent="0.25">
      <c r="B19" s="2">
        <f t="shared" si="2"/>
        <v>2037</v>
      </c>
      <c r="C19" s="145">
        <f t="shared" si="3"/>
        <v>21121589.16996038</v>
      </c>
      <c r="D19" s="145">
        <f t="shared" si="4"/>
        <v>15489165.391304314</v>
      </c>
      <c r="E19" s="147">
        <f t="shared" si="0"/>
        <v>9504715.1264821719</v>
      </c>
      <c r="F19" s="147">
        <f t="shared" si="0"/>
        <v>6970124.4260869417</v>
      </c>
      <c r="G19" s="148">
        <f t="shared" si="1"/>
        <v>2534590.7003952302</v>
      </c>
      <c r="H19" s="147">
        <f>G19*(1+0.07)^-(B19-Assumptions!$D$4)</f>
        <v>802386.50605362211</v>
      </c>
      <c r="K19" s="286" t="s">
        <v>247</v>
      </c>
      <c r="L19" s="15"/>
      <c r="Q19" s="48"/>
    </row>
    <row r="20" spans="1:20" ht="14.25" customHeight="1" x14ac:dyDescent="0.25">
      <c r="B20" s="2">
        <f t="shared" si="2"/>
        <v>2038</v>
      </c>
      <c r="C20" s="145">
        <f t="shared" si="3"/>
        <v>21420327.243083</v>
      </c>
      <c r="D20" s="145">
        <f t="shared" si="4"/>
        <v>15708239.978260875</v>
      </c>
      <c r="E20" s="147">
        <f t="shared" si="0"/>
        <v>9639147.2593873497</v>
      </c>
      <c r="F20" s="147">
        <f t="shared" si="0"/>
        <v>7068707.9902173942</v>
      </c>
      <c r="G20" s="148">
        <f t="shared" si="1"/>
        <v>2570439.2691699555</v>
      </c>
      <c r="H20" s="147">
        <f>G20*(1+0.07)^-(B20-Assumptions!$D$4)</f>
        <v>760500.22884344985</v>
      </c>
      <c r="K20" s="656" t="s">
        <v>243</v>
      </c>
      <c r="L20" s="657"/>
      <c r="M20" s="656" t="s">
        <v>238</v>
      </c>
      <c r="N20" s="657"/>
    </row>
    <row r="21" spans="1:20" x14ac:dyDescent="0.25">
      <c r="B21" s="2">
        <f t="shared" si="2"/>
        <v>2039</v>
      </c>
      <c r="C21" s="145">
        <f t="shared" si="3"/>
        <v>21719065.316205502</v>
      </c>
      <c r="D21" s="145">
        <f t="shared" si="4"/>
        <v>15927314.565217376</v>
      </c>
      <c r="E21" s="147">
        <f t="shared" si="0"/>
        <v>9773579.3922924753</v>
      </c>
      <c r="F21" s="147">
        <f t="shared" si="0"/>
        <v>7167291.5543478196</v>
      </c>
      <c r="G21" s="148">
        <f t="shared" si="1"/>
        <v>2606287.8379446557</v>
      </c>
      <c r="H21" s="147">
        <f>G21*(1+0.07)^-(B21-Assumptions!$D$4)</f>
        <v>720660.30541650171</v>
      </c>
      <c r="K21" s="282" t="s">
        <v>241</v>
      </c>
      <c r="L21" s="289">
        <v>123</v>
      </c>
      <c r="M21" s="282" t="s">
        <v>241</v>
      </c>
      <c r="N21" s="289">
        <v>90.2</v>
      </c>
      <c r="O21" s="369" t="s">
        <v>492</v>
      </c>
    </row>
    <row r="22" spans="1:20" x14ac:dyDescent="0.25">
      <c r="B22" s="2">
        <f t="shared" si="2"/>
        <v>2040</v>
      </c>
      <c r="C22" s="145">
        <f t="shared" si="3"/>
        <v>22017803.389328003</v>
      </c>
      <c r="D22" s="145">
        <f t="shared" si="4"/>
        <v>16146389.152173877</v>
      </c>
      <c r="E22" s="147">
        <f t="shared" si="0"/>
        <v>9908011.5251976009</v>
      </c>
      <c r="F22" s="147">
        <f t="shared" si="0"/>
        <v>7265875.1184782451</v>
      </c>
      <c r="G22" s="148">
        <f t="shared" si="1"/>
        <v>2642136.4067193558</v>
      </c>
      <c r="H22" s="147">
        <f>G22*(1+0.07)^-(B22-Assumptions!$D$4)</f>
        <v>682778.25552263414</v>
      </c>
      <c r="K22" s="282" t="s">
        <v>242</v>
      </c>
      <c r="L22" s="289">
        <v>114</v>
      </c>
      <c r="M22" s="282" t="s">
        <v>242</v>
      </c>
      <c r="N22" s="289">
        <v>85</v>
      </c>
      <c r="O22" s="369" t="s">
        <v>492</v>
      </c>
    </row>
    <row r="23" spans="1:20" x14ac:dyDescent="0.25">
      <c r="B23" s="2">
        <f t="shared" si="2"/>
        <v>2041</v>
      </c>
      <c r="C23" s="145">
        <f t="shared" si="3"/>
        <v>22316541.462450504</v>
      </c>
      <c r="D23" s="145">
        <f t="shared" si="4"/>
        <v>16365463.739130437</v>
      </c>
      <c r="E23" s="147">
        <f t="shared" si="0"/>
        <v>10042443.658102727</v>
      </c>
      <c r="F23" s="147">
        <f t="shared" si="0"/>
        <v>7364458.6826086966</v>
      </c>
      <c r="G23" s="148">
        <f t="shared" si="1"/>
        <v>2677984.9754940299</v>
      </c>
      <c r="H23" s="147">
        <f>G23*(1+0.07)^-(B23-Assumptions!$D$4)</f>
        <v>646768.41768008389</v>
      </c>
    </row>
    <row r="24" spans="1:20" x14ac:dyDescent="0.25">
      <c r="B24" s="2">
        <f t="shared" si="2"/>
        <v>2042</v>
      </c>
      <c r="C24" s="145">
        <f t="shared" si="3"/>
        <v>22615279.535573125</v>
      </c>
      <c r="D24" s="145">
        <f t="shared" si="4"/>
        <v>16584538.326086938</v>
      </c>
      <c r="E24" s="147">
        <f t="shared" si="0"/>
        <v>10176875.791007906</v>
      </c>
      <c r="F24" s="147">
        <f t="shared" si="0"/>
        <v>7463042.2467391221</v>
      </c>
      <c r="G24" s="148">
        <f t="shared" si="1"/>
        <v>2713833.5442687841</v>
      </c>
      <c r="H24" s="147">
        <f>G24*(1+0.07)^-(B24-Assumptions!$D$4)</f>
        <v>612547.95904687408</v>
      </c>
      <c r="K24" s="286" t="s">
        <v>251</v>
      </c>
    </row>
    <row r="25" spans="1:20" ht="15" customHeight="1" thickBot="1" x14ac:dyDescent="0.3">
      <c r="B25" s="3">
        <f t="shared" si="2"/>
        <v>2043</v>
      </c>
      <c r="C25" s="175">
        <f t="shared" si="3"/>
        <v>22914017.608695626</v>
      </c>
      <c r="D25" s="175">
        <f t="shared" si="4"/>
        <v>16803612.913043439</v>
      </c>
      <c r="E25" s="180">
        <f t="shared" si="0"/>
        <v>10311307.923913032</v>
      </c>
      <c r="F25" s="180">
        <f t="shared" si="0"/>
        <v>7561625.8108695475</v>
      </c>
      <c r="G25" s="181">
        <f t="shared" si="1"/>
        <v>2749682.1130434843</v>
      </c>
      <c r="H25" s="180">
        <f>G25*(1+0.07)^-(B25-Assumptions!$D$4)</f>
        <v>580036.87193660019</v>
      </c>
      <c r="K25" s="656" t="s">
        <v>243</v>
      </c>
      <c r="L25" s="657"/>
      <c r="M25" s="656" t="s">
        <v>238</v>
      </c>
      <c r="N25" s="657"/>
    </row>
    <row r="26" spans="1:20" ht="15" customHeight="1" thickBot="1" x14ac:dyDescent="0.3">
      <c r="B26" s="4"/>
      <c r="C26" s="4"/>
      <c r="D26" s="4"/>
      <c r="E26" s="46"/>
      <c r="F26" s="46"/>
      <c r="G26" s="66" t="s">
        <v>2</v>
      </c>
      <c r="H26" s="243">
        <f>SUM(H6:H25)</f>
        <v>8478266.3219496831</v>
      </c>
      <c r="K26" s="282" t="s">
        <v>125</v>
      </c>
      <c r="L26" s="282" t="s">
        <v>190</v>
      </c>
      <c r="M26" s="282" t="s">
        <v>125</v>
      </c>
      <c r="N26" s="282" t="s">
        <v>190</v>
      </c>
    </row>
    <row r="27" spans="1:20" x14ac:dyDescent="0.25">
      <c r="C27" s="570"/>
      <c r="D27" s="570"/>
      <c r="E27" s="570"/>
      <c r="F27" s="570"/>
      <c r="G27" s="570"/>
      <c r="H27" s="570"/>
      <c r="I27" s="24"/>
      <c r="K27" s="282">
        <v>2021</v>
      </c>
      <c r="L27" s="178">
        <f>$L$9*L16*$L$21*365</f>
        <v>16341780.000000002</v>
      </c>
      <c r="M27" s="282">
        <v>2021</v>
      </c>
      <c r="N27" s="178">
        <f>$L$9*L16*$N$21*365</f>
        <v>11983972.000000002</v>
      </c>
      <c r="O27" s="287" t="s">
        <v>246</v>
      </c>
    </row>
    <row r="28" spans="1:20" x14ac:dyDescent="0.25">
      <c r="A28" s="543"/>
      <c r="B28" s="543"/>
      <c r="C28" s="570"/>
      <c r="D28" s="570"/>
      <c r="E28" s="570"/>
      <c r="F28" s="570"/>
      <c r="G28" s="570"/>
      <c r="H28" s="279"/>
      <c r="I28" s="20"/>
      <c r="K28" s="282">
        <v>2041</v>
      </c>
      <c r="L28" s="178">
        <f>$L$9*L17*$L$21*365</f>
        <v>22316541.462450594</v>
      </c>
      <c r="M28" s="282">
        <v>2041</v>
      </c>
      <c r="N28" s="178">
        <f>$L$9*L17*$N$21*365</f>
        <v>16365463.739130437</v>
      </c>
      <c r="O28" s="287" t="s">
        <v>246</v>
      </c>
      <c r="T28" s="20"/>
    </row>
    <row r="29" spans="1:20" ht="15" customHeight="1" x14ac:dyDescent="0.25">
      <c r="A29" s="15"/>
      <c r="B29" s="16" t="s">
        <v>3</v>
      </c>
      <c r="C29" s="16"/>
      <c r="D29" s="16"/>
      <c r="E29" s="15"/>
      <c r="F29" s="15"/>
      <c r="G29" s="543"/>
      <c r="I29" s="20"/>
    </row>
    <row r="30" spans="1:20" x14ac:dyDescent="0.25">
      <c r="A30" s="60" t="s">
        <v>9</v>
      </c>
      <c r="B30" s="645" t="s">
        <v>608</v>
      </c>
      <c r="C30" s="645"/>
      <c r="D30" s="645"/>
      <c r="E30" s="645"/>
      <c r="F30" s="645"/>
      <c r="G30" s="645"/>
      <c r="H30" s="15"/>
    </row>
    <row r="31" spans="1:20" x14ac:dyDescent="0.25">
      <c r="A31" s="60"/>
      <c r="B31" s="645"/>
      <c r="C31" s="645"/>
      <c r="D31" s="645"/>
      <c r="E31" s="645"/>
      <c r="F31" s="645"/>
      <c r="G31" s="645"/>
      <c r="H31" s="15"/>
    </row>
    <row r="32" spans="1:20" x14ac:dyDescent="0.25">
      <c r="A32" s="60"/>
      <c r="B32" s="645"/>
      <c r="C32" s="645"/>
      <c r="D32" s="645"/>
      <c r="E32" s="645"/>
      <c r="F32" s="645"/>
      <c r="G32" s="645"/>
      <c r="H32" s="15"/>
    </row>
    <row r="33" spans="1:9" ht="15" customHeight="1" x14ac:dyDescent="0.25">
      <c r="A33" s="60"/>
      <c r="B33" s="645"/>
      <c r="C33" s="645"/>
      <c r="D33" s="645"/>
      <c r="E33" s="645"/>
      <c r="F33" s="645"/>
      <c r="G33" s="645"/>
      <c r="H33" s="15"/>
      <c r="I33" s="20"/>
    </row>
    <row r="34" spans="1:9" ht="15" customHeight="1" x14ac:dyDescent="0.25">
      <c r="A34" s="60"/>
      <c r="B34" s="645"/>
      <c r="C34" s="645"/>
      <c r="D34" s="645"/>
      <c r="E34" s="645"/>
      <c r="F34" s="645"/>
      <c r="G34" s="645"/>
      <c r="H34" s="15"/>
      <c r="I34" s="20"/>
    </row>
    <row r="35" spans="1:9" ht="15" customHeight="1" x14ac:dyDescent="0.25">
      <c r="A35" s="60"/>
      <c r="B35" s="645"/>
      <c r="C35" s="645"/>
      <c r="D35" s="645"/>
      <c r="E35" s="645"/>
      <c r="F35" s="645"/>
      <c r="G35" s="645"/>
      <c r="I35" s="28"/>
    </row>
    <row r="36" spans="1:9" ht="15" customHeight="1" x14ac:dyDescent="0.25">
      <c r="A36" s="60"/>
      <c r="B36" s="76"/>
      <c r="C36" s="76"/>
      <c r="D36" s="76"/>
      <c r="E36" s="76"/>
      <c r="F36" s="76"/>
      <c r="G36" s="543"/>
      <c r="I36" s="33"/>
    </row>
    <row r="37" spans="1:9" x14ac:dyDescent="0.25">
      <c r="A37" s="60" t="s">
        <v>8</v>
      </c>
      <c r="B37" s="645" t="s">
        <v>384</v>
      </c>
      <c r="C37" s="645"/>
      <c r="D37" s="645"/>
      <c r="E37" s="645"/>
      <c r="F37" s="645"/>
      <c r="G37" s="645"/>
    </row>
    <row r="38" spans="1:9" x14ac:dyDescent="0.25">
      <c r="A38" s="60"/>
      <c r="B38" s="645"/>
      <c r="C38" s="645"/>
      <c r="D38" s="645"/>
      <c r="E38" s="645"/>
      <c r="F38" s="645"/>
      <c r="G38" s="645"/>
    </row>
    <row r="39" spans="1:9" ht="15" customHeight="1" x14ac:dyDescent="0.25">
      <c r="A39" s="60"/>
      <c r="B39" s="605"/>
      <c r="C39" s="605"/>
      <c r="D39" s="605"/>
      <c r="E39" s="605"/>
      <c r="F39" s="605"/>
      <c r="G39" s="605"/>
    </row>
    <row r="40" spans="1:9" ht="15" customHeight="1" x14ac:dyDescent="0.25">
      <c r="A40" s="60" t="s">
        <v>10</v>
      </c>
      <c r="B40" s="645" t="s">
        <v>628</v>
      </c>
      <c r="C40" s="645"/>
      <c r="D40" s="645"/>
      <c r="E40" s="645"/>
      <c r="F40" s="645"/>
      <c r="G40" s="645"/>
    </row>
    <row r="41" spans="1:9" ht="15" customHeight="1" x14ac:dyDescent="0.25">
      <c r="A41" s="60"/>
      <c r="B41" s="645"/>
      <c r="C41" s="645"/>
      <c r="D41" s="645"/>
      <c r="E41" s="645"/>
      <c r="F41" s="645"/>
      <c r="G41" s="645"/>
    </row>
    <row r="42" spans="1:9" ht="15" customHeight="1" x14ac:dyDescent="0.25">
      <c r="A42" s="60"/>
      <c r="B42" s="645"/>
      <c r="C42" s="645"/>
      <c r="D42" s="645"/>
      <c r="E42" s="645"/>
      <c r="F42" s="645"/>
      <c r="G42" s="645"/>
    </row>
    <row r="43" spans="1:9" x14ac:dyDescent="0.25">
      <c r="A43" s="60"/>
      <c r="B43" s="645"/>
      <c r="C43" s="645"/>
      <c r="D43" s="645"/>
      <c r="E43" s="645"/>
      <c r="F43" s="645"/>
      <c r="G43" s="645"/>
    </row>
    <row r="44" spans="1:9" ht="15" customHeight="1" x14ac:dyDescent="0.25">
      <c r="A44" s="60"/>
      <c r="B44" s="76"/>
      <c r="C44" s="76"/>
      <c r="D44" s="76"/>
      <c r="E44" s="76"/>
      <c r="F44" s="76"/>
      <c r="G44" s="543"/>
    </row>
    <row r="45" spans="1:9" x14ac:dyDescent="0.25">
      <c r="A45" s="60" t="s">
        <v>11</v>
      </c>
      <c r="B45" s="645" t="s">
        <v>381</v>
      </c>
      <c r="C45" s="645"/>
      <c r="D45" s="645"/>
      <c r="E45" s="645"/>
      <c r="F45" s="645"/>
      <c r="G45" s="645"/>
    </row>
    <row r="46" spans="1:9" x14ac:dyDescent="0.25">
      <c r="A46" s="60"/>
      <c r="B46" s="645"/>
      <c r="C46" s="645"/>
      <c r="D46" s="645"/>
      <c r="E46" s="645"/>
      <c r="F46" s="645"/>
      <c r="G46" s="645"/>
    </row>
    <row r="47" spans="1:9" x14ac:dyDescent="0.25">
      <c r="A47" s="60"/>
      <c r="B47" s="645"/>
      <c r="C47" s="645"/>
      <c r="D47" s="645"/>
      <c r="E47" s="645"/>
      <c r="F47" s="645"/>
      <c r="G47" s="645"/>
      <c r="H47" s="15"/>
    </row>
    <row r="48" spans="1:9" ht="15" customHeight="1" x14ac:dyDescent="0.25">
      <c r="A48" s="60"/>
      <c r="B48" s="645"/>
      <c r="C48" s="645"/>
      <c r="D48" s="645"/>
      <c r="E48" s="645"/>
      <c r="F48" s="645"/>
      <c r="G48" s="645"/>
      <c r="H48" s="15"/>
    </row>
    <row r="49" spans="1:37" x14ac:dyDescent="0.25">
      <c r="A49" s="60"/>
      <c r="B49" s="645"/>
      <c r="C49" s="645"/>
      <c r="D49" s="645"/>
      <c r="E49" s="645"/>
      <c r="F49" s="645"/>
      <c r="G49" s="645"/>
      <c r="H49" s="15"/>
      <c r="V49" s="36" t="s">
        <v>619</v>
      </c>
      <c r="W49" s="543"/>
      <c r="X49" s="543"/>
      <c r="Y49" s="543"/>
      <c r="Z49" s="543"/>
      <c r="AA49" s="543"/>
      <c r="AB49" s="543"/>
      <c r="AC49" s="543"/>
      <c r="AD49" s="543"/>
      <c r="AE49" s="543"/>
      <c r="AF49" s="543"/>
      <c r="AG49" s="543"/>
      <c r="AH49" s="543"/>
      <c r="AI49" s="543"/>
      <c r="AJ49" s="543"/>
      <c r="AK49" s="36" t="s">
        <v>619</v>
      </c>
    </row>
    <row r="50" spans="1:37" x14ac:dyDescent="0.25">
      <c r="A50" s="60"/>
      <c r="B50" s="645"/>
      <c r="C50" s="645"/>
      <c r="D50" s="645"/>
      <c r="E50" s="645"/>
      <c r="F50" s="645"/>
      <c r="G50" s="645"/>
    </row>
    <row r="51" spans="1:37" ht="15" customHeight="1" x14ac:dyDescent="0.25">
      <c r="A51" s="7" t="s">
        <v>58</v>
      </c>
      <c r="B51" s="645" t="s">
        <v>609</v>
      </c>
      <c r="C51" s="645"/>
      <c r="D51" s="645"/>
      <c r="E51" s="645"/>
      <c r="F51" s="645"/>
      <c r="G51" s="645"/>
    </row>
    <row r="52" spans="1:37" x14ac:dyDescent="0.25">
      <c r="A52" s="7"/>
      <c r="B52" s="645"/>
      <c r="C52" s="645"/>
      <c r="D52" s="645"/>
      <c r="E52" s="645"/>
      <c r="F52" s="645"/>
      <c r="G52" s="645"/>
    </row>
    <row r="53" spans="1:37" x14ac:dyDescent="0.25">
      <c r="A53" s="7"/>
      <c r="B53" s="76"/>
      <c r="C53" s="76"/>
      <c r="D53" s="76"/>
      <c r="E53" s="76"/>
      <c r="F53" s="76"/>
      <c r="G53" s="543"/>
    </row>
    <row r="54" spans="1:37" x14ac:dyDescent="0.25">
      <c r="A54" s="7"/>
      <c r="B54" s="76"/>
      <c r="C54" s="76"/>
      <c r="D54" s="76"/>
      <c r="E54" s="76"/>
      <c r="F54" s="76"/>
      <c r="G54" s="76"/>
    </row>
    <row r="55" spans="1:37" x14ac:dyDescent="0.25">
      <c r="A55" s="7" t="s">
        <v>60</v>
      </c>
      <c r="B55" s="645" t="s">
        <v>621</v>
      </c>
      <c r="C55" s="645"/>
      <c r="D55" s="645"/>
      <c r="E55" s="645"/>
      <c r="F55" s="645"/>
      <c r="G55" s="645"/>
    </row>
    <row r="56" spans="1:37" x14ac:dyDescent="0.25">
      <c r="A56" s="7"/>
      <c r="B56" s="645"/>
      <c r="C56" s="645"/>
      <c r="D56" s="645"/>
      <c r="E56" s="645"/>
      <c r="F56" s="645"/>
      <c r="G56" s="645"/>
    </row>
    <row r="57" spans="1:37" x14ac:dyDescent="0.25">
      <c r="A57" s="7"/>
      <c r="B57" s="76"/>
      <c r="C57" s="76"/>
      <c r="D57" s="76"/>
      <c r="E57" s="76"/>
      <c r="F57" s="76"/>
      <c r="G57" s="543"/>
    </row>
    <row r="58" spans="1:37" x14ac:dyDescent="0.25">
      <c r="A58" s="7" t="s">
        <v>610</v>
      </c>
      <c r="B58" s="645" t="s">
        <v>622</v>
      </c>
      <c r="C58" s="645"/>
      <c r="D58" s="645"/>
      <c r="E58" s="645"/>
      <c r="F58" s="645"/>
      <c r="G58" s="645"/>
    </row>
    <row r="59" spans="1:37" x14ac:dyDescent="0.25">
      <c r="A59" s="7"/>
      <c r="B59" s="645"/>
      <c r="C59" s="645"/>
      <c r="D59" s="645"/>
      <c r="E59" s="645"/>
      <c r="F59" s="645"/>
      <c r="G59" s="645"/>
      <c r="I59" s="9"/>
      <c r="J59" s="9"/>
      <c r="K59" s="9"/>
      <c r="L59" s="9"/>
      <c r="M59" s="9"/>
      <c r="N59" s="9"/>
      <c r="O59" s="9"/>
      <c r="P59" s="9"/>
      <c r="Q59" s="9"/>
      <c r="R59" s="9"/>
      <c r="S59" s="9"/>
      <c r="T59" s="9"/>
      <c r="U59" s="9"/>
    </row>
    <row r="60" spans="1:37" x14ac:dyDescent="0.25">
      <c r="A60" s="7"/>
      <c r="B60" s="543"/>
      <c r="C60" s="543"/>
      <c r="D60" s="543"/>
      <c r="E60" s="543"/>
      <c r="F60" s="543"/>
      <c r="G60" s="543"/>
      <c r="I60" s="9"/>
      <c r="J60" s="9"/>
      <c r="K60" s="9"/>
      <c r="L60" s="9"/>
      <c r="M60" s="9"/>
      <c r="N60" s="9"/>
      <c r="O60" s="9"/>
      <c r="P60" s="9"/>
      <c r="Q60" s="9"/>
      <c r="R60" s="9"/>
      <c r="S60" s="9"/>
      <c r="T60" s="9"/>
      <c r="U60" s="9"/>
    </row>
    <row r="61" spans="1:37" x14ac:dyDescent="0.25">
      <c r="A61" s="7" t="s">
        <v>625</v>
      </c>
      <c r="B61" s="658" t="s">
        <v>623</v>
      </c>
      <c r="C61" s="658"/>
      <c r="D61" s="658"/>
      <c r="E61" s="658"/>
      <c r="F61" s="658"/>
      <c r="G61" s="658"/>
      <c r="I61" s="9"/>
      <c r="J61" s="9"/>
      <c r="K61" s="9"/>
      <c r="L61" s="9"/>
      <c r="M61" s="9"/>
      <c r="N61" s="9"/>
      <c r="O61" s="9"/>
      <c r="P61" s="9"/>
      <c r="Q61" s="9"/>
      <c r="R61" s="9"/>
      <c r="S61" s="9"/>
      <c r="T61" s="9"/>
      <c r="U61" s="9"/>
    </row>
    <row r="62" spans="1:37" x14ac:dyDescent="0.25">
      <c r="A62" s="7"/>
      <c r="B62" s="658"/>
      <c r="C62" s="658"/>
      <c r="D62" s="658"/>
      <c r="E62" s="658"/>
      <c r="F62" s="658"/>
      <c r="G62" s="658"/>
      <c r="H62" s="9"/>
      <c r="I62" s="9"/>
      <c r="J62" s="9"/>
      <c r="K62" s="9"/>
      <c r="L62" s="9"/>
      <c r="M62" s="9"/>
      <c r="N62" s="9"/>
      <c r="O62" s="9"/>
      <c r="P62" s="9"/>
      <c r="Q62" s="9"/>
      <c r="R62" s="9"/>
      <c r="S62" s="9"/>
      <c r="T62" s="9"/>
      <c r="U62" s="9"/>
    </row>
    <row r="63" spans="1:37" x14ac:dyDescent="0.25">
      <c r="A63" s="7"/>
      <c r="B63" s="543"/>
      <c r="C63" s="543"/>
      <c r="D63" s="543"/>
      <c r="E63" s="543"/>
      <c r="F63" s="543"/>
      <c r="G63" s="543"/>
      <c r="H63" s="9"/>
      <c r="I63" s="9"/>
      <c r="J63" s="9"/>
      <c r="K63" s="9"/>
      <c r="L63" s="9"/>
      <c r="M63" s="9"/>
      <c r="N63" s="9"/>
      <c r="O63" s="9"/>
      <c r="P63" s="9"/>
      <c r="Q63" s="9"/>
      <c r="R63" s="9"/>
      <c r="S63" s="9"/>
      <c r="T63" s="9"/>
      <c r="U63" s="9"/>
    </row>
    <row r="64" spans="1:37" x14ac:dyDescent="0.25">
      <c r="A64" s="7" t="s">
        <v>626</v>
      </c>
      <c r="B64" s="658" t="s">
        <v>624</v>
      </c>
      <c r="C64" s="658"/>
      <c r="D64" s="658"/>
      <c r="E64" s="658"/>
      <c r="F64" s="658"/>
      <c r="G64" s="658"/>
      <c r="H64" s="9"/>
      <c r="I64" s="9"/>
      <c r="J64" s="9"/>
      <c r="K64" s="9"/>
      <c r="L64" s="9"/>
      <c r="M64" s="9"/>
      <c r="N64" s="9"/>
      <c r="O64" s="9"/>
      <c r="P64" s="9"/>
      <c r="Q64" s="9"/>
      <c r="R64" s="9"/>
      <c r="S64" s="9"/>
      <c r="T64" s="9"/>
      <c r="U64" s="9"/>
    </row>
    <row r="65" spans="1:21" x14ac:dyDescent="0.25">
      <c r="A65" s="7"/>
      <c r="B65" s="658"/>
      <c r="C65" s="658"/>
      <c r="D65" s="658"/>
      <c r="E65" s="658"/>
      <c r="F65" s="658"/>
      <c r="G65" s="658"/>
      <c r="H65" s="9"/>
      <c r="I65" s="9"/>
      <c r="J65" s="9"/>
      <c r="K65" s="9"/>
      <c r="L65" s="9"/>
      <c r="M65" s="9"/>
      <c r="N65" s="9"/>
      <c r="O65" s="9"/>
      <c r="P65" s="9"/>
      <c r="Q65" s="9"/>
      <c r="R65" s="9"/>
      <c r="S65" s="9"/>
      <c r="T65" s="9"/>
      <c r="U65" s="9"/>
    </row>
    <row r="66" spans="1:21" x14ac:dyDescent="0.25">
      <c r="A66" s="7"/>
      <c r="B66" s="658"/>
      <c r="C66" s="658"/>
      <c r="D66" s="658"/>
      <c r="E66" s="658"/>
      <c r="F66" s="658"/>
      <c r="G66" s="658"/>
      <c r="H66" s="9"/>
      <c r="I66" s="9"/>
      <c r="J66" s="9"/>
      <c r="K66" s="9"/>
      <c r="L66" s="9"/>
      <c r="M66" s="9"/>
      <c r="N66" s="9"/>
      <c r="O66" s="9"/>
      <c r="P66" s="9"/>
      <c r="Q66" s="9"/>
      <c r="R66" s="9"/>
      <c r="S66" s="9"/>
      <c r="T66" s="9"/>
      <c r="U66" s="9"/>
    </row>
    <row r="67" spans="1:21" x14ac:dyDescent="0.25">
      <c r="H67" s="9"/>
      <c r="I67" s="9"/>
      <c r="J67" s="9"/>
      <c r="K67" s="9"/>
      <c r="L67" s="9"/>
      <c r="M67" s="9"/>
      <c r="N67" s="9"/>
      <c r="O67" s="9"/>
      <c r="P67" s="9"/>
      <c r="Q67" s="9"/>
      <c r="R67" s="9"/>
      <c r="S67" s="9"/>
      <c r="T67" s="9"/>
      <c r="U67" s="9"/>
    </row>
    <row r="68" spans="1:21" x14ac:dyDescent="0.25">
      <c r="H68" s="9"/>
      <c r="I68" s="9"/>
      <c r="J68" s="9"/>
      <c r="K68" s="9"/>
      <c r="L68" s="9"/>
      <c r="M68" s="9"/>
      <c r="N68" s="9"/>
      <c r="O68" s="9"/>
      <c r="P68" s="9"/>
      <c r="Q68" s="9"/>
      <c r="R68" s="9"/>
      <c r="S68" s="9"/>
      <c r="T68" s="9"/>
      <c r="U68" s="9"/>
    </row>
    <row r="69" spans="1:21" x14ac:dyDescent="0.25">
      <c r="H69" s="9"/>
      <c r="I69" s="9"/>
      <c r="J69" s="9"/>
      <c r="K69" s="9"/>
      <c r="L69" s="9"/>
      <c r="M69" s="9"/>
      <c r="N69" s="9"/>
      <c r="O69" s="9"/>
      <c r="P69" s="9"/>
      <c r="Q69" s="9"/>
      <c r="R69" s="9"/>
      <c r="S69" s="9"/>
      <c r="T69" s="9"/>
      <c r="U69" s="9"/>
    </row>
    <row r="70" spans="1:21" x14ac:dyDescent="0.25">
      <c r="H70" s="9"/>
      <c r="I70" s="9"/>
      <c r="J70" s="9"/>
      <c r="K70" s="9"/>
      <c r="L70" s="9"/>
      <c r="M70" s="9"/>
      <c r="N70" s="9"/>
      <c r="O70" s="9"/>
      <c r="P70" s="9"/>
      <c r="Q70" s="9"/>
      <c r="R70" s="9"/>
      <c r="S70" s="9"/>
      <c r="T70" s="9"/>
      <c r="U70" s="9"/>
    </row>
    <row r="71" spans="1:21" x14ac:dyDescent="0.25">
      <c r="H71" s="9"/>
      <c r="I71" s="9"/>
      <c r="J71" s="9"/>
      <c r="K71" s="9"/>
      <c r="L71" s="9"/>
      <c r="M71" s="9"/>
      <c r="N71" s="9"/>
      <c r="O71" s="9"/>
      <c r="P71" s="9"/>
      <c r="Q71" s="9"/>
      <c r="R71" s="9"/>
      <c r="S71" s="9"/>
      <c r="T71" s="9"/>
      <c r="U71" s="9"/>
    </row>
    <row r="72" spans="1:21" x14ac:dyDescent="0.25">
      <c r="H72" s="9"/>
      <c r="I72" s="9"/>
      <c r="J72" s="9"/>
      <c r="K72" s="9"/>
      <c r="L72" s="9"/>
      <c r="M72" s="9"/>
      <c r="N72" s="9"/>
      <c r="O72" s="9"/>
      <c r="P72" s="9"/>
      <c r="Q72" s="9"/>
      <c r="R72" s="9"/>
      <c r="S72" s="9"/>
      <c r="T72" s="9"/>
      <c r="U72" s="9"/>
    </row>
    <row r="73" spans="1:21" x14ac:dyDescent="0.25">
      <c r="H73" s="9"/>
      <c r="I73" s="9"/>
      <c r="J73" s="9"/>
      <c r="K73" s="9"/>
      <c r="L73" s="9"/>
      <c r="M73" s="9"/>
      <c r="N73" s="9"/>
      <c r="O73" s="9"/>
      <c r="P73" s="9"/>
      <c r="Q73" s="9"/>
      <c r="R73" s="9"/>
      <c r="S73" s="9"/>
      <c r="T73" s="9"/>
      <c r="U73" s="9"/>
    </row>
    <row r="74" spans="1:21" x14ac:dyDescent="0.25">
      <c r="H74" s="9"/>
      <c r="I74" s="9"/>
      <c r="J74" s="9"/>
      <c r="K74" s="9"/>
      <c r="L74" s="9"/>
      <c r="M74" s="9"/>
      <c r="N74" s="9"/>
      <c r="O74" s="9"/>
      <c r="P74" s="9"/>
      <c r="Q74" s="9"/>
      <c r="R74" s="9"/>
      <c r="S74" s="9"/>
      <c r="T74" s="9"/>
      <c r="U74" s="9"/>
    </row>
    <row r="75" spans="1:21" x14ac:dyDescent="0.25">
      <c r="H75" s="9"/>
      <c r="I75" s="9"/>
      <c r="J75" s="9"/>
      <c r="K75" s="9"/>
      <c r="L75" s="9"/>
      <c r="M75" s="9"/>
      <c r="N75" s="9"/>
      <c r="O75" s="9"/>
      <c r="P75" s="9"/>
      <c r="Q75" s="9"/>
      <c r="R75" s="9"/>
      <c r="S75" s="9"/>
      <c r="T75" s="9"/>
      <c r="U75" s="9"/>
    </row>
    <row r="76" spans="1:21" x14ac:dyDescent="0.25">
      <c r="H76" s="9"/>
      <c r="I76" s="9"/>
      <c r="J76" s="9"/>
      <c r="K76" s="9"/>
      <c r="L76" s="9"/>
      <c r="M76" s="9"/>
      <c r="N76" s="9"/>
      <c r="O76" s="9"/>
      <c r="P76" s="9"/>
      <c r="Q76" s="9"/>
      <c r="R76" s="9"/>
      <c r="S76" s="9"/>
      <c r="T76" s="9"/>
      <c r="U76" s="9"/>
    </row>
    <row r="77" spans="1:21" x14ac:dyDescent="0.25">
      <c r="H77" s="9"/>
      <c r="I77" s="9"/>
      <c r="J77" s="9"/>
      <c r="K77" s="9"/>
      <c r="L77" s="9"/>
      <c r="M77" s="9"/>
      <c r="N77" s="9"/>
      <c r="O77" s="9"/>
      <c r="P77" s="9"/>
      <c r="Q77" s="9"/>
      <c r="R77" s="9"/>
      <c r="S77" s="9"/>
      <c r="T77" s="9"/>
      <c r="U77" s="9"/>
    </row>
    <row r="78" spans="1:21" x14ac:dyDescent="0.25">
      <c r="H78" s="9"/>
      <c r="I78" s="9"/>
      <c r="J78" s="9"/>
      <c r="K78" s="9"/>
      <c r="L78" s="9"/>
      <c r="M78" s="9"/>
      <c r="N78" s="9"/>
      <c r="O78" s="9"/>
      <c r="P78" s="9"/>
      <c r="Q78" s="9"/>
      <c r="R78" s="9"/>
      <c r="S78" s="9"/>
      <c r="T78" s="9"/>
      <c r="U78" s="9"/>
    </row>
    <row r="79" spans="1:21" x14ac:dyDescent="0.25">
      <c r="H79" s="9"/>
      <c r="I79" s="9"/>
      <c r="J79" s="9"/>
      <c r="K79" s="9"/>
      <c r="L79" s="9"/>
      <c r="M79" s="9"/>
      <c r="N79" s="9"/>
      <c r="O79" s="9"/>
      <c r="P79" s="9"/>
      <c r="Q79" s="9"/>
      <c r="R79" s="9"/>
      <c r="S79" s="9"/>
      <c r="T79" s="9"/>
      <c r="U79" s="9"/>
    </row>
    <row r="80" spans="1:21" x14ac:dyDescent="0.25">
      <c r="H80" s="9"/>
      <c r="I80" s="9"/>
      <c r="J80" s="9"/>
      <c r="K80" s="9"/>
      <c r="L80" s="9"/>
      <c r="M80" s="9"/>
      <c r="N80" s="9"/>
      <c r="O80" s="9"/>
      <c r="P80" s="9"/>
      <c r="Q80" s="9"/>
      <c r="R80" s="9"/>
      <c r="S80" s="9"/>
      <c r="T80" s="9"/>
      <c r="U80" s="9"/>
    </row>
    <row r="81" spans="8:21" x14ac:dyDescent="0.25">
      <c r="H81" s="9"/>
      <c r="I81" s="9"/>
      <c r="J81" s="9"/>
      <c r="K81" s="9"/>
      <c r="L81" s="9"/>
      <c r="M81" s="9"/>
      <c r="N81" s="9"/>
      <c r="O81" s="9"/>
      <c r="P81" s="9"/>
      <c r="Q81" s="9"/>
      <c r="R81" s="9"/>
      <c r="S81" s="9"/>
      <c r="T81" s="9"/>
      <c r="U81" s="9"/>
    </row>
    <row r="82" spans="8:21" x14ac:dyDescent="0.25">
      <c r="H82" s="9"/>
      <c r="I82" s="9"/>
      <c r="J82" s="9"/>
      <c r="K82" s="9"/>
      <c r="L82" s="9"/>
      <c r="M82" s="9"/>
      <c r="N82" s="9"/>
      <c r="O82" s="9"/>
      <c r="P82" s="9"/>
      <c r="Q82" s="9"/>
      <c r="R82" s="9"/>
      <c r="S82" s="9"/>
      <c r="T82" s="9"/>
      <c r="U82" s="9"/>
    </row>
    <row r="83" spans="8:21" x14ac:dyDescent="0.25">
      <c r="H83" s="9"/>
      <c r="I83" s="9"/>
      <c r="J83" s="9"/>
      <c r="K83" s="9"/>
      <c r="L83" s="9"/>
      <c r="M83" s="9"/>
      <c r="N83" s="9"/>
      <c r="O83" s="9"/>
      <c r="P83" s="9"/>
      <c r="Q83" s="9"/>
      <c r="R83" s="9"/>
      <c r="S83" s="9"/>
      <c r="T83" s="9"/>
      <c r="U83" s="9"/>
    </row>
    <row r="84" spans="8:21" x14ac:dyDescent="0.25">
      <c r="H84" s="9"/>
      <c r="I84" s="9"/>
      <c r="J84" s="9"/>
      <c r="K84" s="9"/>
      <c r="L84" s="9"/>
      <c r="M84" s="9"/>
      <c r="N84" s="9"/>
      <c r="O84" s="9"/>
      <c r="P84" s="9"/>
      <c r="Q84" s="9"/>
      <c r="R84" s="9"/>
      <c r="S84" s="9"/>
      <c r="T84" s="9"/>
      <c r="U84" s="9"/>
    </row>
    <row r="85" spans="8:21" x14ac:dyDescent="0.25">
      <c r="H85" s="9"/>
      <c r="I85" s="9"/>
      <c r="J85" s="9"/>
      <c r="K85" s="9"/>
      <c r="L85" s="9"/>
      <c r="M85" s="9"/>
      <c r="N85" s="9"/>
      <c r="O85" s="9"/>
      <c r="P85" s="9"/>
      <c r="Q85" s="9"/>
      <c r="R85" s="9"/>
      <c r="S85" s="9"/>
      <c r="T85" s="9"/>
      <c r="U85" s="9"/>
    </row>
    <row r="86" spans="8:21" x14ac:dyDescent="0.25">
      <c r="H86" s="9"/>
      <c r="I86" s="9"/>
      <c r="J86" s="9"/>
      <c r="K86" s="9"/>
      <c r="L86" s="9"/>
      <c r="M86" s="9"/>
      <c r="N86" s="9"/>
      <c r="O86" s="9"/>
      <c r="P86" s="9"/>
      <c r="Q86" s="9"/>
      <c r="R86" s="9"/>
      <c r="S86" s="9"/>
      <c r="T86" s="9"/>
      <c r="U86" s="9"/>
    </row>
    <row r="87" spans="8:21" x14ac:dyDescent="0.25">
      <c r="H87" s="9"/>
      <c r="I87" s="9"/>
      <c r="J87" s="9"/>
      <c r="K87" s="9"/>
      <c r="L87" s="9"/>
      <c r="M87" s="9"/>
      <c r="N87" s="9"/>
      <c r="O87" s="9"/>
      <c r="P87" s="9"/>
      <c r="Q87" s="9"/>
      <c r="R87" s="9"/>
      <c r="S87" s="9"/>
      <c r="T87" s="9"/>
      <c r="U87" s="9"/>
    </row>
    <row r="88" spans="8:21" x14ac:dyDescent="0.25">
      <c r="H88" s="9"/>
      <c r="I88" s="9"/>
      <c r="J88" s="9"/>
      <c r="K88" s="9"/>
      <c r="L88" s="9"/>
      <c r="M88" s="9"/>
      <c r="N88" s="9"/>
      <c r="O88" s="9"/>
      <c r="P88" s="9"/>
      <c r="Q88" s="9"/>
      <c r="R88" s="9"/>
      <c r="S88" s="9"/>
      <c r="T88" s="9"/>
      <c r="U88" s="9"/>
    </row>
    <row r="89" spans="8:21" x14ac:dyDescent="0.25">
      <c r="H89" s="9"/>
      <c r="I89" s="9"/>
      <c r="J89" s="9"/>
      <c r="K89" s="9"/>
      <c r="L89" s="9"/>
      <c r="M89" s="9"/>
      <c r="N89" s="9"/>
      <c r="O89" s="9"/>
      <c r="P89" s="9"/>
      <c r="Q89" s="9"/>
      <c r="R89" s="9"/>
      <c r="S89" s="9"/>
      <c r="T89" s="9"/>
      <c r="U89" s="9"/>
    </row>
    <row r="90" spans="8:21" x14ac:dyDescent="0.25">
      <c r="H90" s="9"/>
      <c r="I90" s="9"/>
      <c r="J90" s="9"/>
      <c r="K90" s="9"/>
      <c r="L90" s="9"/>
      <c r="M90" s="9"/>
      <c r="N90" s="9"/>
      <c r="O90" s="9"/>
      <c r="P90" s="9"/>
      <c r="Q90" s="9"/>
      <c r="R90" s="9"/>
      <c r="S90" s="9"/>
      <c r="T90" s="9"/>
      <c r="U90" s="9"/>
    </row>
    <row r="91" spans="8:21" x14ac:dyDescent="0.25">
      <c r="H91" s="9"/>
      <c r="I91" s="9"/>
      <c r="J91" s="9"/>
      <c r="K91" s="9"/>
      <c r="L91" s="9"/>
      <c r="M91" s="9"/>
      <c r="N91" s="9"/>
      <c r="O91" s="9"/>
      <c r="P91" s="9"/>
      <c r="Q91" s="9"/>
      <c r="R91" s="9"/>
      <c r="S91" s="9"/>
      <c r="T91" s="9"/>
      <c r="U91" s="9"/>
    </row>
    <row r="92" spans="8:21" x14ac:dyDescent="0.25">
      <c r="H92" s="9"/>
      <c r="I92" s="9"/>
      <c r="J92" s="9"/>
      <c r="K92" s="9"/>
      <c r="L92" s="9"/>
      <c r="M92" s="9"/>
      <c r="N92" s="9"/>
      <c r="O92" s="9"/>
      <c r="P92" s="9"/>
      <c r="Q92" s="9"/>
      <c r="R92" s="9"/>
      <c r="S92" s="9"/>
      <c r="T92" s="9"/>
      <c r="U92" s="9"/>
    </row>
    <row r="93" spans="8:21" x14ac:dyDescent="0.25">
      <c r="H93" s="9"/>
      <c r="I93" s="9"/>
      <c r="J93" s="9"/>
      <c r="K93" s="9"/>
      <c r="L93" s="9"/>
      <c r="M93" s="9"/>
      <c r="N93" s="9"/>
      <c r="O93" s="9"/>
      <c r="P93" s="9"/>
      <c r="Q93" s="9"/>
      <c r="R93" s="9"/>
      <c r="S93" s="9"/>
      <c r="T93" s="9"/>
      <c r="U93" s="9"/>
    </row>
    <row r="94" spans="8:21" x14ac:dyDescent="0.25">
      <c r="H94" s="9"/>
      <c r="I94" s="9"/>
      <c r="J94" s="9"/>
      <c r="K94" s="9"/>
      <c r="L94" s="9"/>
      <c r="M94" s="9"/>
      <c r="N94" s="9"/>
      <c r="O94" s="9"/>
      <c r="P94" s="9"/>
      <c r="Q94" s="9"/>
      <c r="R94" s="9"/>
      <c r="S94" s="9"/>
      <c r="T94" s="9"/>
      <c r="U94" s="9"/>
    </row>
    <row r="95" spans="8:21" x14ac:dyDescent="0.25">
      <c r="H95" s="9"/>
      <c r="I95" s="9"/>
      <c r="J95" s="9"/>
      <c r="K95" s="9"/>
      <c r="L95" s="9"/>
      <c r="M95" s="9"/>
      <c r="N95" s="9"/>
      <c r="O95" s="9"/>
      <c r="P95" s="9"/>
      <c r="Q95" s="9"/>
      <c r="R95" s="9"/>
      <c r="S95" s="9"/>
      <c r="T95" s="9"/>
      <c r="U95" s="9"/>
    </row>
    <row r="96" spans="8:21" x14ac:dyDescent="0.25">
      <c r="H96" s="9"/>
      <c r="I96" s="9"/>
      <c r="J96" s="9"/>
      <c r="K96" s="9"/>
      <c r="L96" s="9"/>
      <c r="M96" s="9"/>
      <c r="N96" s="9"/>
      <c r="O96" s="9"/>
      <c r="P96" s="9"/>
      <c r="Q96" s="9"/>
      <c r="R96" s="9"/>
      <c r="S96" s="9"/>
      <c r="T96" s="9"/>
      <c r="U96" s="9"/>
    </row>
    <row r="97" spans="8:22" x14ac:dyDescent="0.25">
      <c r="H97" s="9"/>
      <c r="I97" s="9"/>
      <c r="J97" s="9"/>
      <c r="K97" s="9"/>
      <c r="L97" s="9"/>
      <c r="M97" s="9"/>
      <c r="N97" s="9"/>
      <c r="O97" s="9"/>
      <c r="P97" s="9"/>
      <c r="Q97" s="9"/>
      <c r="R97" s="9"/>
      <c r="S97" s="9"/>
      <c r="T97" s="9"/>
      <c r="U97" s="9"/>
    </row>
    <row r="98" spans="8:22" x14ac:dyDescent="0.25">
      <c r="H98" s="9"/>
      <c r="I98" s="9"/>
      <c r="J98" s="9"/>
      <c r="K98" s="9"/>
      <c r="L98" s="9"/>
      <c r="M98" s="9"/>
      <c r="N98" s="9"/>
      <c r="O98" s="9"/>
      <c r="P98" s="9"/>
      <c r="Q98" s="9"/>
      <c r="R98" s="9"/>
      <c r="S98" s="9"/>
      <c r="T98" s="9"/>
      <c r="U98" s="9"/>
    </row>
    <row r="99" spans="8:22" x14ac:dyDescent="0.25">
      <c r="H99" s="9"/>
      <c r="I99" s="9"/>
      <c r="J99" s="9"/>
      <c r="K99" s="9"/>
      <c r="L99" s="9"/>
      <c r="M99" s="9"/>
      <c r="N99" s="9"/>
      <c r="O99" s="9"/>
      <c r="P99" s="9"/>
      <c r="Q99" s="9"/>
      <c r="R99" s="9"/>
      <c r="S99" s="9"/>
      <c r="T99" s="9"/>
      <c r="U99" s="9"/>
    </row>
    <row r="100" spans="8:22" x14ac:dyDescent="0.25">
      <c r="H100" s="9"/>
      <c r="I100" s="9"/>
      <c r="J100" s="9"/>
      <c r="K100" s="9"/>
      <c r="L100" s="9"/>
      <c r="M100" s="9"/>
      <c r="N100" s="9"/>
      <c r="O100" s="9"/>
      <c r="P100" s="9"/>
      <c r="Q100" s="9"/>
      <c r="R100" s="9"/>
      <c r="S100" s="9"/>
      <c r="T100" s="9"/>
      <c r="U100" s="9"/>
    </row>
    <row r="101" spans="8:22" x14ac:dyDescent="0.25">
      <c r="H101" s="9"/>
      <c r="I101" s="9"/>
      <c r="J101" s="9"/>
      <c r="K101" s="9"/>
      <c r="L101" s="9"/>
      <c r="M101" s="9"/>
      <c r="N101" s="9"/>
      <c r="O101" s="9"/>
      <c r="P101" s="9"/>
      <c r="Q101" s="9"/>
      <c r="R101" s="9"/>
      <c r="S101" s="9"/>
      <c r="T101" s="9"/>
      <c r="U101" s="9"/>
    </row>
    <row r="102" spans="8:22" x14ac:dyDescent="0.25">
      <c r="H102" s="9"/>
      <c r="I102" s="9"/>
      <c r="J102" s="9"/>
      <c r="K102" s="9"/>
      <c r="L102" s="9"/>
      <c r="M102" s="9"/>
      <c r="N102" s="9"/>
      <c r="O102" s="9"/>
      <c r="P102" s="9"/>
      <c r="Q102" s="9"/>
      <c r="R102" s="9"/>
      <c r="S102" s="9"/>
      <c r="T102" s="9"/>
      <c r="U102" s="9"/>
    </row>
    <row r="103" spans="8:22" x14ac:dyDescent="0.25">
      <c r="H103" s="9"/>
      <c r="I103" s="9"/>
      <c r="J103" s="9"/>
      <c r="K103" s="9"/>
      <c r="L103" s="9"/>
      <c r="M103" s="9"/>
      <c r="N103" s="9"/>
      <c r="O103" s="9"/>
      <c r="P103" s="9"/>
      <c r="Q103" s="9"/>
      <c r="R103" s="9"/>
      <c r="S103" s="9"/>
      <c r="T103" s="9"/>
      <c r="U103" s="9"/>
      <c r="V103" s="36" t="s">
        <v>619</v>
      </c>
    </row>
    <row r="104" spans="8:22" x14ac:dyDescent="0.25">
      <c r="H104" s="9"/>
      <c r="I104" s="9"/>
      <c r="J104" s="9"/>
      <c r="K104" s="9"/>
      <c r="L104" s="9"/>
      <c r="M104" s="9"/>
      <c r="N104" s="9"/>
      <c r="O104" s="9"/>
      <c r="P104" s="9"/>
      <c r="Q104" s="9"/>
      <c r="R104" s="9"/>
      <c r="S104" s="9"/>
      <c r="T104" s="9"/>
      <c r="U104" s="9"/>
    </row>
    <row r="105" spans="8:22" x14ac:dyDescent="0.25">
      <c r="H105" s="9"/>
      <c r="I105" s="9"/>
      <c r="J105" s="9"/>
      <c r="K105" s="9"/>
      <c r="L105" s="9"/>
      <c r="M105" s="9"/>
      <c r="N105" s="9"/>
      <c r="O105" s="9"/>
      <c r="P105" s="9"/>
      <c r="Q105" s="9"/>
      <c r="R105" s="9"/>
      <c r="S105" s="9"/>
      <c r="T105" s="9"/>
      <c r="U105" s="9"/>
    </row>
    <row r="106" spans="8:22" x14ac:dyDescent="0.25">
      <c r="H106" s="9"/>
      <c r="I106" s="9"/>
      <c r="J106" s="9"/>
      <c r="K106" s="9"/>
      <c r="L106" s="9"/>
      <c r="M106" s="9"/>
      <c r="N106" s="9"/>
      <c r="O106" s="9"/>
      <c r="P106" s="9"/>
      <c r="Q106" s="9"/>
      <c r="R106" s="9"/>
      <c r="S106" s="9"/>
      <c r="T106" s="9"/>
      <c r="U106" s="9"/>
    </row>
    <row r="107" spans="8:22" x14ac:dyDescent="0.25">
      <c r="H107" s="9"/>
      <c r="I107" s="9"/>
      <c r="J107" s="9"/>
      <c r="K107" s="9"/>
      <c r="L107" s="9"/>
      <c r="M107" s="9"/>
      <c r="N107" s="9"/>
      <c r="O107" s="9"/>
      <c r="P107" s="9"/>
      <c r="Q107" s="9"/>
      <c r="R107" s="9"/>
      <c r="S107" s="9"/>
      <c r="T107" s="9"/>
      <c r="U107" s="9"/>
    </row>
    <row r="108" spans="8:22" x14ac:dyDescent="0.25">
      <c r="H108" s="9"/>
      <c r="I108" s="9"/>
      <c r="J108" s="9"/>
      <c r="K108" s="9"/>
      <c r="L108" s="9"/>
      <c r="M108" s="9"/>
      <c r="N108" s="9"/>
      <c r="O108" s="9"/>
      <c r="P108" s="9"/>
      <c r="Q108" s="9"/>
      <c r="R108" s="9"/>
      <c r="S108" s="9"/>
      <c r="T108" s="9"/>
      <c r="U108" s="9"/>
    </row>
    <row r="109" spans="8:22" x14ac:dyDescent="0.25">
      <c r="H109" s="9"/>
      <c r="I109" s="9"/>
      <c r="J109" s="9"/>
      <c r="K109" s="9"/>
      <c r="L109" s="9"/>
      <c r="M109" s="9"/>
      <c r="N109" s="9"/>
      <c r="O109" s="9"/>
      <c r="P109" s="9"/>
      <c r="Q109" s="9"/>
      <c r="R109" s="9"/>
      <c r="S109" s="9"/>
      <c r="T109" s="9"/>
      <c r="U109" s="9"/>
    </row>
    <row r="110" spans="8:22" x14ac:dyDescent="0.25">
      <c r="H110" s="9"/>
      <c r="I110" s="9"/>
      <c r="J110" s="9"/>
      <c r="K110" s="9"/>
      <c r="L110" s="9"/>
      <c r="M110" s="9"/>
      <c r="N110" s="9"/>
      <c r="O110" s="9"/>
      <c r="P110" s="9"/>
      <c r="Q110" s="9"/>
      <c r="R110" s="9"/>
      <c r="S110" s="9"/>
      <c r="T110" s="9"/>
      <c r="U110" s="9"/>
    </row>
    <row r="111" spans="8:22" x14ac:dyDescent="0.25">
      <c r="H111" s="9"/>
      <c r="I111" s="9"/>
      <c r="J111" s="9"/>
      <c r="K111" s="9"/>
      <c r="L111" s="9"/>
      <c r="M111" s="9"/>
      <c r="N111" s="9"/>
      <c r="O111" s="9"/>
      <c r="P111" s="9"/>
      <c r="Q111" s="9"/>
      <c r="R111" s="9"/>
      <c r="S111" s="9"/>
      <c r="T111" s="9"/>
      <c r="U111" s="9"/>
    </row>
    <row r="112" spans="8:22" x14ac:dyDescent="0.25">
      <c r="H112" s="9"/>
      <c r="I112" s="9"/>
      <c r="J112" s="9"/>
      <c r="K112" s="9"/>
      <c r="L112" s="9"/>
      <c r="M112" s="9"/>
      <c r="N112" s="9"/>
      <c r="O112" s="9"/>
      <c r="P112" s="9"/>
      <c r="Q112" s="9"/>
      <c r="R112" s="9"/>
      <c r="S112" s="9"/>
      <c r="T112" s="9"/>
      <c r="U112" s="9"/>
    </row>
    <row r="113" spans="8:21" x14ac:dyDescent="0.25">
      <c r="H113" s="9"/>
      <c r="I113" s="9"/>
      <c r="J113" s="9"/>
      <c r="K113" s="9"/>
      <c r="L113" s="9"/>
      <c r="M113" s="9"/>
      <c r="N113" s="9"/>
      <c r="O113" s="9"/>
      <c r="P113" s="9"/>
      <c r="Q113" s="9"/>
      <c r="R113" s="9"/>
      <c r="S113" s="9"/>
      <c r="T113" s="9"/>
      <c r="U113" s="9"/>
    </row>
    <row r="114" spans="8:21" x14ac:dyDescent="0.25">
      <c r="H114" s="9"/>
      <c r="I114" s="9"/>
      <c r="J114" s="9"/>
      <c r="K114" s="9"/>
      <c r="L114" s="9"/>
      <c r="M114" s="9"/>
      <c r="N114" s="9"/>
      <c r="O114" s="9"/>
      <c r="P114" s="9"/>
      <c r="Q114" s="9"/>
      <c r="R114" s="9"/>
      <c r="S114" s="9"/>
      <c r="T114" s="9"/>
      <c r="U114" s="9"/>
    </row>
    <row r="115" spans="8:21" x14ac:dyDescent="0.25">
      <c r="H115" s="9"/>
    </row>
    <row r="116" spans="8:21" x14ac:dyDescent="0.25">
      <c r="H116" s="9"/>
    </row>
    <row r="117" spans="8:21" x14ac:dyDescent="0.25">
      <c r="H117" s="9"/>
    </row>
  </sheetData>
  <mergeCells count="21">
    <mergeCell ref="B55:G56"/>
    <mergeCell ref="B58:G59"/>
    <mergeCell ref="B61:G62"/>
    <mergeCell ref="B64:G66"/>
    <mergeCell ref="B51:G52"/>
    <mergeCell ref="B30:G35"/>
    <mergeCell ref="B37:G38"/>
    <mergeCell ref="B40:G43"/>
    <mergeCell ref="B45:G50"/>
    <mergeCell ref="H4:H5"/>
    <mergeCell ref="G4:G5"/>
    <mergeCell ref="B4:B5"/>
    <mergeCell ref="C4:C5"/>
    <mergeCell ref="D4:D5"/>
    <mergeCell ref="E4:E5"/>
    <mergeCell ref="F4:F5"/>
    <mergeCell ref="K5:L5"/>
    <mergeCell ref="K20:L20"/>
    <mergeCell ref="M20:N20"/>
    <mergeCell ref="K25:L25"/>
    <mergeCell ref="M25:N25"/>
  </mergeCells>
  <pageMargins left="0.25" right="0.25" top="0.75" bottom="0.75" header="0.3" footer="0.3"/>
  <pageSetup scale="4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291A4-204C-4581-BBD0-73E9D1D3AF64}">
  <sheetPr>
    <tabColor rgb="FF00B050"/>
    <pageSetUpPr fitToPage="1"/>
  </sheetPr>
  <dimension ref="A1:AX72"/>
  <sheetViews>
    <sheetView view="pageBreakPreview" zoomScale="70" zoomScaleNormal="40" zoomScaleSheetLayoutView="70" workbookViewId="0">
      <selection activeCell="C22" sqref="C22"/>
    </sheetView>
  </sheetViews>
  <sheetFormatPr defaultRowHeight="15" x14ac:dyDescent="0.25"/>
  <cols>
    <col min="1" max="1" width="3.7109375" style="287" customWidth="1"/>
    <col min="2" max="8" width="20.7109375" style="287" customWidth="1"/>
    <col min="9" max="10" width="5.7109375" style="287" customWidth="1"/>
    <col min="11" max="11" width="49.140625" style="287" customWidth="1"/>
    <col min="12" max="13" width="21.85546875" style="287" customWidth="1"/>
    <col min="14" max="15" width="10.85546875" style="287" customWidth="1"/>
    <col min="16" max="16" width="12.5703125" style="287" customWidth="1"/>
    <col min="17" max="17" width="18" style="287" bestFit="1" customWidth="1"/>
    <col min="18" max="18" width="22.7109375" style="287" bestFit="1" customWidth="1"/>
    <col min="19" max="19" width="34.140625" style="287" bestFit="1" customWidth="1"/>
    <col min="20" max="21" width="16" style="287" bestFit="1" customWidth="1"/>
    <col min="22" max="34" width="9.140625" style="287"/>
    <col min="35" max="35" width="21.7109375" style="287" customWidth="1"/>
    <col min="36" max="36" width="14.85546875" style="287" customWidth="1"/>
    <col min="37" max="46" width="9.140625" style="287"/>
    <col min="47" max="47" width="10.85546875" style="287" bestFit="1" customWidth="1"/>
    <col min="48" max="48" width="27.28515625" style="287" customWidth="1"/>
    <col min="49" max="49" width="11" style="287" bestFit="1" customWidth="1"/>
    <col min="50" max="50" width="11.5703125" style="287" bestFit="1" customWidth="1"/>
    <col min="51" max="16384" width="9.140625" style="287"/>
  </cols>
  <sheetData>
    <row r="1" spans="1:50" x14ac:dyDescent="0.25">
      <c r="A1" s="15"/>
      <c r="B1" s="290">
        <v>1</v>
      </c>
      <c r="C1" s="290">
        <v>2</v>
      </c>
      <c r="D1" s="290">
        <v>3</v>
      </c>
      <c r="E1" s="290">
        <v>4</v>
      </c>
      <c r="F1" s="290">
        <v>5</v>
      </c>
      <c r="G1" s="290">
        <v>6</v>
      </c>
      <c r="H1" s="290">
        <v>7</v>
      </c>
    </row>
    <row r="2" spans="1:50" x14ac:dyDescent="0.25">
      <c r="B2" s="6" t="s">
        <v>218</v>
      </c>
    </row>
    <row r="3" spans="1:50" ht="15.75" customHeight="1" thickBot="1" x14ac:dyDescent="0.3">
      <c r="B3" s="287" t="s">
        <v>495</v>
      </c>
      <c r="K3" s="55"/>
      <c r="AH3" s="664" t="s">
        <v>152</v>
      </c>
      <c r="AI3" s="664" t="s">
        <v>153</v>
      </c>
      <c r="AJ3" s="660" t="s">
        <v>154</v>
      </c>
      <c r="AK3" s="659" t="s">
        <v>155</v>
      </c>
      <c r="AL3" s="659"/>
      <c r="AM3" s="659"/>
      <c r="AN3" s="659"/>
      <c r="AO3" s="659"/>
      <c r="AQ3" s="659" t="s">
        <v>156</v>
      </c>
      <c r="AR3" s="659"/>
      <c r="AS3" s="659"/>
      <c r="AT3" s="659"/>
      <c r="AU3" s="659"/>
      <c r="AV3" s="288" t="s">
        <v>157</v>
      </c>
      <c r="AW3" s="660" t="s">
        <v>158</v>
      </c>
      <c r="AX3" s="660"/>
    </row>
    <row r="4" spans="1:50" ht="35.1" customHeight="1" x14ac:dyDescent="0.25">
      <c r="B4" s="651" t="s">
        <v>0</v>
      </c>
      <c r="C4" s="651" t="s">
        <v>646</v>
      </c>
      <c r="D4" s="653" t="s">
        <v>126</v>
      </c>
      <c r="E4" s="651" t="s">
        <v>179</v>
      </c>
      <c r="F4" s="651" t="s">
        <v>178</v>
      </c>
      <c r="G4" s="649" t="s">
        <v>180</v>
      </c>
      <c r="H4" s="647" t="s">
        <v>1</v>
      </c>
      <c r="K4" s="62"/>
      <c r="L4" s="15"/>
      <c r="M4" s="18"/>
      <c r="N4" s="15"/>
      <c r="O4" s="15"/>
      <c r="AH4" s="664"/>
      <c r="AI4" s="664"/>
      <c r="AJ4" s="660"/>
      <c r="AK4" s="659" t="s">
        <v>159</v>
      </c>
      <c r="AL4" s="659"/>
      <c r="AM4" s="659"/>
      <c r="AN4" s="659"/>
      <c r="AO4" s="659"/>
      <c r="AQ4" s="659" t="s">
        <v>159</v>
      </c>
      <c r="AR4" s="659"/>
      <c r="AS4" s="659"/>
      <c r="AT4" s="659"/>
      <c r="AU4" s="659"/>
      <c r="AV4" s="289" t="s">
        <v>160</v>
      </c>
      <c r="AW4" s="289" t="s">
        <v>160</v>
      </c>
      <c r="AX4" s="289" t="s">
        <v>161</v>
      </c>
    </row>
    <row r="5" spans="1:50" ht="43.5" customHeight="1" thickBot="1" x14ac:dyDescent="0.3">
      <c r="B5" s="652"/>
      <c r="C5" s="652"/>
      <c r="D5" s="654"/>
      <c r="E5" s="652"/>
      <c r="F5" s="652"/>
      <c r="G5" s="650"/>
      <c r="H5" s="648"/>
      <c r="K5" s="177" t="s">
        <v>188</v>
      </c>
      <c r="L5" s="284"/>
      <c r="M5" s="15"/>
      <c r="N5" s="15"/>
      <c r="O5" s="15"/>
      <c r="AH5" s="664"/>
      <c r="AI5" s="664"/>
      <c r="AJ5" s="660"/>
      <c r="AK5" s="102">
        <v>2</v>
      </c>
      <c r="AL5" s="102">
        <v>3</v>
      </c>
      <c r="AM5" s="102">
        <v>4</v>
      </c>
      <c r="AN5" s="102">
        <v>5</v>
      </c>
      <c r="AO5" s="102">
        <v>6</v>
      </c>
      <c r="AQ5" s="102">
        <v>2</v>
      </c>
      <c r="AR5" s="102">
        <v>3</v>
      </c>
      <c r="AS5" s="102">
        <v>4</v>
      </c>
      <c r="AT5" s="102">
        <v>5</v>
      </c>
      <c r="AU5" s="102">
        <v>6</v>
      </c>
      <c r="AV5" s="289" t="s">
        <v>162</v>
      </c>
      <c r="AW5" s="289"/>
      <c r="AX5" s="289"/>
    </row>
    <row r="6" spans="1:50" x14ac:dyDescent="0.25">
      <c r="B6" s="1">
        <f>Assumptions!$D$7</f>
        <v>2024</v>
      </c>
      <c r="C6" s="145">
        <f t="shared" ref="C6:C9" si="0">TREND($L$25:$L$26,$K$25:$K$26,B6)</f>
        <v>1804021.625</v>
      </c>
      <c r="D6" s="145">
        <v>0</v>
      </c>
      <c r="E6" s="156">
        <f t="shared" ref="E6:E8" si="1">C6*$L$15</f>
        <v>131653.76655356551</v>
      </c>
      <c r="F6" s="156">
        <f>D6*$L$15</f>
        <v>0</v>
      </c>
      <c r="G6" s="157">
        <f>(E6-F6)</f>
        <v>131653.76655356551</v>
      </c>
      <c r="H6" s="156">
        <f>G6*(1+0.07)^-(B6-Assumptions!$D$4)</f>
        <v>100438.02815173774</v>
      </c>
      <c r="I6" s="15"/>
      <c r="K6" s="65" t="s">
        <v>185</v>
      </c>
      <c r="L6" s="143">
        <f>AX11</f>
        <v>5.9250000000000046E-2</v>
      </c>
      <c r="M6" s="15"/>
      <c r="N6" s="15"/>
      <c r="O6" s="15"/>
      <c r="AH6" s="661" t="s">
        <v>163</v>
      </c>
      <c r="AI6" s="116" t="s">
        <v>164</v>
      </c>
      <c r="AJ6" s="116">
        <v>21.3</v>
      </c>
      <c r="AK6" s="104">
        <v>1.02</v>
      </c>
      <c r="AL6" s="104">
        <v>1.03</v>
      </c>
      <c r="AM6" s="104">
        <v>1.07</v>
      </c>
      <c r="AN6" s="104">
        <v>1.1399999999999999</v>
      </c>
      <c r="AO6" s="104">
        <v>1.21</v>
      </c>
      <c r="AQ6" s="130">
        <f t="shared" ref="AQ6:AU12" si="2">$AJ6*AK6</f>
        <v>21.726000000000003</v>
      </c>
      <c r="AR6" s="130">
        <f t="shared" si="2"/>
        <v>21.939</v>
      </c>
      <c r="AS6" s="131">
        <f t="shared" si="2"/>
        <v>22.791</v>
      </c>
      <c r="AT6" s="131">
        <f t="shared" si="2"/>
        <v>24.282</v>
      </c>
      <c r="AU6" s="131">
        <f t="shared" si="2"/>
        <v>25.773</v>
      </c>
      <c r="AV6" s="132">
        <f>AVERAGE(AS6:AU6)</f>
        <v>24.282</v>
      </c>
      <c r="AW6" s="132">
        <f>AV6-AJ6</f>
        <v>2.9819999999999993</v>
      </c>
      <c r="AX6" s="133">
        <f>AW6/100</f>
        <v>2.9819999999999992E-2</v>
      </c>
    </row>
    <row r="7" spans="1:50" x14ac:dyDescent="0.25">
      <c r="B7" s="2">
        <f>B6+1</f>
        <v>2025</v>
      </c>
      <c r="C7" s="145">
        <f t="shared" si="0"/>
        <v>1835285.6999999955</v>
      </c>
      <c r="D7" s="145">
        <v>0</v>
      </c>
      <c r="E7" s="147">
        <f t="shared" si="1"/>
        <v>133935.35407697593</v>
      </c>
      <c r="F7" s="147">
        <f t="shared" ref="F7:F25" si="3">D7*$L$15</f>
        <v>0</v>
      </c>
      <c r="G7" s="148">
        <f t="shared" ref="G7:G25" si="4">(E7-F7)</f>
        <v>133935.35407697593</v>
      </c>
      <c r="H7" s="147">
        <f>G7*(1+0.07)^-(B7-Assumptions!$D$4)</f>
        <v>95494.056401135429</v>
      </c>
      <c r="I7" s="15"/>
      <c r="K7" s="65" t="s">
        <v>186</v>
      </c>
      <c r="L7" s="143">
        <f>AX12</f>
        <v>7.8333333333333283E-2</v>
      </c>
      <c r="M7" s="15"/>
      <c r="N7" s="15"/>
      <c r="O7" s="15"/>
      <c r="AH7" s="661"/>
      <c r="AI7" s="116" t="s">
        <v>165</v>
      </c>
      <c r="AJ7" s="116">
        <v>26.5</v>
      </c>
      <c r="AK7" s="104">
        <v>1.01</v>
      </c>
      <c r="AL7" s="104">
        <v>1.01</v>
      </c>
      <c r="AM7" s="104">
        <v>1.04</v>
      </c>
      <c r="AN7" s="104">
        <v>1.1000000000000001</v>
      </c>
      <c r="AO7" s="104">
        <v>1.1599999999999999</v>
      </c>
      <c r="AQ7" s="130">
        <f t="shared" si="2"/>
        <v>26.765000000000001</v>
      </c>
      <c r="AR7" s="130">
        <f t="shared" si="2"/>
        <v>26.765000000000001</v>
      </c>
      <c r="AS7" s="131">
        <f t="shared" si="2"/>
        <v>27.560000000000002</v>
      </c>
      <c r="AT7" s="131">
        <f t="shared" si="2"/>
        <v>29.150000000000002</v>
      </c>
      <c r="AU7" s="131">
        <f t="shared" si="2"/>
        <v>30.74</v>
      </c>
      <c r="AV7" s="132">
        <f>AVERAGE(AS7:AU7)</f>
        <v>29.150000000000002</v>
      </c>
      <c r="AW7" s="132">
        <f>AV7-AJ7</f>
        <v>2.6500000000000021</v>
      </c>
      <c r="AX7" s="133">
        <f>AW7/100</f>
        <v>2.650000000000002E-2</v>
      </c>
    </row>
    <row r="8" spans="1:50" x14ac:dyDescent="0.25">
      <c r="B8" s="2">
        <f t="shared" ref="B8:B25" si="5">B7+1</f>
        <v>2026</v>
      </c>
      <c r="C8" s="145">
        <f t="shared" si="0"/>
        <v>1866549.7749999985</v>
      </c>
      <c r="D8" s="145">
        <v>0</v>
      </c>
      <c r="E8" s="147">
        <f t="shared" si="1"/>
        <v>136216.94160038687</v>
      </c>
      <c r="F8" s="147">
        <f t="shared" si="3"/>
        <v>0</v>
      </c>
      <c r="G8" s="148">
        <f t="shared" si="4"/>
        <v>136216.94160038687</v>
      </c>
      <c r="H8" s="147">
        <f>G8*(1+0.07)^-(B8-Assumptions!$D$4)</f>
        <v>90767.0997874858</v>
      </c>
      <c r="J8" s="61"/>
      <c r="K8" s="523"/>
      <c r="L8" s="63"/>
      <c r="M8" s="19"/>
      <c r="N8" s="15"/>
      <c r="O8" s="15"/>
      <c r="AH8" s="661"/>
      <c r="AI8" s="116" t="s">
        <v>166</v>
      </c>
      <c r="AJ8" s="116">
        <v>28.2</v>
      </c>
      <c r="AK8" s="104">
        <v>1.01</v>
      </c>
      <c r="AL8" s="104">
        <v>1.03</v>
      </c>
      <c r="AM8" s="104">
        <v>1.08</v>
      </c>
      <c r="AN8" s="104">
        <v>1.18</v>
      </c>
      <c r="AO8" s="104">
        <v>1.29</v>
      </c>
      <c r="AQ8" s="130">
        <f t="shared" si="2"/>
        <v>28.481999999999999</v>
      </c>
      <c r="AR8" s="130">
        <f t="shared" si="2"/>
        <v>29.045999999999999</v>
      </c>
      <c r="AS8" s="131">
        <f t="shared" si="2"/>
        <v>30.456</v>
      </c>
      <c r="AT8" s="131">
        <f t="shared" si="2"/>
        <v>33.275999999999996</v>
      </c>
      <c r="AU8" s="131">
        <f t="shared" si="2"/>
        <v>36.378</v>
      </c>
      <c r="AV8" s="132">
        <f>AVERAGE(AS8:AU8)</f>
        <v>33.369999999999997</v>
      </c>
      <c r="AW8" s="132">
        <f>AV8-AJ8</f>
        <v>5.1699999999999982</v>
      </c>
      <c r="AX8" s="133">
        <f>AW8/100</f>
        <v>5.1699999999999982E-2</v>
      </c>
    </row>
    <row r="9" spans="1:50" ht="14.25" customHeight="1" x14ac:dyDescent="0.25">
      <c r="B9" s="2">
        <f t="shared" si="5"/>
        <v>2027</v>
      </c>
      <c r="C9" s="145">
        <f t="shared" si="0"/>
        <v>1897813.849999994</v>
      </c>
      <c r="D9" s="146">
        <v>0</v>
      </c>
      <c r="E9" s="147">
        <f t="shared" ref="E9:E25" si="6">C9*$L$15</f>
        <v>138498.52912379729</v>
      </c>
      <c r="F9" s="147">
        <f t="shared" si="3"/>
        <v>0</v>
      </c>
      <c r="G9" s="148">
        <f t="shared" si="4"/>
        <v>138498.52912379729</v>
      </c>
      <c r="H9" s="147">
        <f>G9*(1+0.07)^-(B9-Assumptions!$D$4)</f>
        <v>86249.923263240285</v>
      </c>
      <c r="J9" s="61"/>
      <c r="K9" s="48"/>
      <c r="L9" s="63"/>
      <c r="M9" s="19"/>
      <c r="N9" s="15"/>
      <c r="O9" s="15"/>
      <c r="AH9" s="661"/>
      <c r="AI9" s="116" t="s">
        <v>167</v>
      </c>
      <c r="AJ9" s="116">
        <v>48.1</v>
      </c>
      <c r="AK9" s="104">
        <v>1.01</v>
      </c>
      <c r="AL9" s="104">
        <v>1.01</v>
      </c>
      <c r="AM9" s="104">
        <v>1.04</v>
      </c>
      <c r="AN9" s="104">
        <v>1.1000000000000001</v>
      </c>
      <c r="AO9" s="104">
        <v>1.17</v>
      </c>
      <c r="AQ9" s="130">
        <f t="shared" si="2"/>
        <v>48.581000000000003</v>
      </c>
      <c r="AR9" s="130">
        <f t="shared" si="2"/>
        <v>48.581000000000003</v>
      </c>
      <c r="AS9" s="131">
        <f t="shared" si="2"/>
        <v>50.024000000000001</v>
      </c>
      <c r="AT9" s="131">
        <f t="shared" si="2"/>
        <v>52.910000000000004</v>
      </c>
      <c r="AU9" s="131">
        <f t="shared" si="2"/>
        <v>56.277000000000001</v>
      </c>
      <c r="AV9" s="132">
        <f>AVERAGE(AS9:AU9)</f>
        <v>53.070333333333338</v>
      </c>
      <c r="AW9" s="132">
        <f>AV9-AJ9</f>
        <v>4.9703333333333362</v>
      </c>
      <c r="AX9" s="133">
        <f>AW9/100</f>
        <v>4.9703333333333363E-2</v>
      </c>
    </row>
    <row r="10" spans="1:50" ht="15.75" thickBot="1" x14ac:dyDescent="0.3">
      <c r="B10" s="2">
        <f t="shared" si="5"/>
        <v>2028</v>
      </c>
      <c r="C10" s="145">
        <v>0</v>
      </c>
      <c r="D10" s="146">
        <v>0</v>
      </c>
      <c r="E10" s="147">
        <f t="shared" si="6"/>
        <v>0</v>
      </c>
      <c r="F10" s="147">
        <f t="shared" si="3"/>
        <v>0</v>
      </c>
      <c r="G10" s="148">
        <f t="shared" si="4"/>
        <v>0</v>
      </c>
      <c r="H10" s="147">
        <f>G10*(1+0.07)^-(B10-Assumptions!$D$4)</f>
        <v>0</v>
      </c>
      <c r="K10" s="662" t="s">
        <v>194</v>
      </c>
      <c r="L10" s="662"/>
      <c r="M10" s="18"/>
      <c r="N10" s="15"/>
      <c r="O10" s="15"/>
      <c r="AH10" s="661"/>
      <c r="AI10" s="183" t="s">
        <v>168</v>
      </c>
      <c r="AJ10" s="183">
        <v>130</v>
      </c>
      <c r="AK10" s="251">
        <v>1.01</v>
      </c>
      <c r="AL10" s="251">
        <v>1.02</v>
      </c>
      <c r="AM10" s="251">
        <v>1.04</v>
      </c>
      <c r="AN10" s="251">
        <v>1.08</v>
      </c>
      <c r="AO10" s="251">
        <v>1.1299999999999999</v>
      </c>
      <c r="AQ10" s="252">
        <f t="shared" si="2"/>
        <v>131.30000000000001</v>
      </c>
      <c r="AR10" s="252">
        <f t="shared" si="2"/>
        <v>132.6</v>
      </c>
      <c r="AS10" s="253">
        <f t="shared" si="2"/>
        <v>135.20000000000002</v>
      </c>
      <c r="AT10" s="253">
        <f t="shared" si="2"/>
        <v>140.4</v>
      </c>
      <c r="AU10" s="253">
        <f t="shared" si="2"/>
        <v>146.89999999999998</v>
      </c>
      <c r="AV10" s="254">
        <f>AVERAGE(AS10:AU10)</f>
        <v>140.83333333333334</v>
      </c>
      <c r="AW10" s="254">
        <f>AV10-AJ10</f>
        <v>10.833333333333343</v>
      </c>
      <c r="AX10" s="255">
        <f>AW10/100</f>
        <v>0.10833333333333343</v>
      </c>
    </row>
    <row r="11" spans="1:50" x14ac:dyDescent="0.25">
      <c r="B11" s="2">
        <f t="shared" si="5"/>
        <v>2029</v>
      </c>
      <c r="C11" s="145">
        <v>0</v>
      </c>
      <c r="D11" s="146">
        <v>0</v>
      </c>
      <c r="E11" s="147">
        <f t="shared" si="6"/>
        <v>0</v>
      </c>
      <c r="F11" s="147">
        <f t="shared" si="3"/>
        <v>0</v>
      </c>
      <c r="G11" s="148">
        <f t="shared" si="4"/>
        <v>0</v>
      </c>
      <c r="H11" s="147">
        <f>G11*(1+0.07)^-(B11-Assumptions!$D$4)</f>
        <v>0</v>
      </c>
      <c r="K11" s="65" t="s">
        <v>21</v>
      </c>
      <c r="L11" s="64">
        <f>Assumptions!D14</f>
        <v>0.71936758893280639</v>
      </c>
      <c r="M11" s="15"/>
      <c r="N11" s="15"/>
      <c r="O11" s="15"/>
      <c r="AH11" s="250"/>
      <c r="AI11" s="256" t="s">
        <v>228</v>
      </c>
      <c r="AJ11" s="257">
        <f>Assumptions!D23*100</f>
        <v>45</v>
      </c>
      <c r="AK11" s="258">
        <f>AVERAGE(AK6:AK9)</f>
        <v>1.0125</v>
      </c>
      <c r="AL11" s="258">
        <f t="shared" ref="AL11:AO11" si="7">AVERAGE(AL6:AL9)</f>
        <v>1.02</v>
      </c>
      <c r="AM11" s="258">
        <f t="shared" si="7"/>
        <v>1.0575000000000001</v>
      </c>
      <c r="AN11" s="258">
        <f t="shared" si="7"/>
        <v>1.1299999999999999</v>
      </c>
      <c r="AO11" s="258">
        <f t="shared" si="7"/>
        <v>1.2075</v>
      </c>
      <c r="AP11" s="259"/>
      <c r="AQ11" s="260">
        <f t="shared" si="2"/>
        <v>45.5625</v>
      </c>
      <c r="AR11" s="260">
        <f t="shared" si="2"/>
        <v>45.9</v>
      </c>
      <c r="AS11" s="261">
        <f t="shared" si="2"/>
        <v>47.587500000000006</v>
      </c>
      <c r="AT11" s="261">
        <f t="shared" si="2"/>
        <v>50.849999999999994</v>
      </c>
      <c r="AU11" s="261">
        <f t="shared" si="2"/>
        <v>54.337499999999999</v>
      </c>
      <c r="AV11" s="262">
        <f t="shared" ref="AV11" si="8">AVERAGE(AS11:AU11)</f>
        <v>50.925000000000004</v>
      </c>
      <c r="AW11" s="262">
        <f t="shared" ref="AW11:AW12" si="9">AV11-AJ11</f>
        <v>5.9250000000000043</v>
      </c>
      <c r="AX11" s="270">
        <f t="shared" ref="AX11:AX12" si="10">AW11/100</f>
        <v>5.9250000000000046E-2</v>
      </c>
    </row>
    <row r="12" spans="1:50" ht="15.75" thickBot="1" x14ac:dyDescent="0.3">
      <c r="B12" s="2">
        <f t="shared" si="5"/>
        <v>2030</v>
      </c>
      <c r="C12" s="145">
        <v>0</v>
      </c>
      <c r="D12" s="146">
        <v>0</v>
      </c>
      <c r="E12" s="147">
        <f t="shared" si="6"/>
        <v>0</v>
      </c>
      <c r="F12" s="147">
        <f t="shared" si="3"/>
        <v>0</v>
      </c>
      <c r="G12" s="148">
        <f t="shared" si="4"/>
        <v>0</v>
      </c>
      <c r="H12" s="147">
        <f>G12*(1+0.07)^-(B12-Assumptions!$D$4)</f>
        <v>0</v>
      </c>
      <c r="K12" s="65" t="s">
        <v>22</v>
      </c>
      <c r="L12" s="64">
        <f>Assumptions!D15</f>
        <v>0.28063241106719367</v>
      </c>
      <c r="M12" s="15"/>
      <c r="N12" s="15"/>
      <c r="O12" s="15"/>
      <c r="AH12" s="250"/>
      <c r="AI12" s="263" t="s">
        <v>227</v>
      </c>
      <c r="AJ12" s="264">
        <f>Assumptions!D24*100</f>
        <v>94</v>
      </c>
      <c r="AK12" s="265">
        <f>AK10</f>
        <v>1.01</v>
      </c>
      <c r="AL12" s="265">
        <f t="shared" ref="AL12:AO12" si="11">AL10</f>
        <v>1.02</v>
      </c>
      <c r="AM12" s="265">
        <f t="shared" si="11"/>
        <v>1.04</v>
      </c>
      <c r="AN12" s="265">
        <f t="shared" si="11"/>
        <v>1.08</v>
      </c>
      <c r="AO12" s="265">
        <f t="shared" si="11"/>
        <v>1.1299999999999999</v>
      </c>
      <c r="AP12" s="266"/>
      <c r="AQ12" s="267">
        <f t="shared" si="2"/>
        <v>94.94</v>
      </c>
      <c r="AR12" s="267">
        <f t="shared" si="2"/>
        <v>95.88</v>
      </c>
      <c r="AS12" s="268">
        <f t="shared" si="2"/>
        <v>97.76</v>
      </c>
      <c r="AT12" s="268">
        <f t="shared" si="2"/>
        <v>101.52000000000001</v>
      </c>
      <c r="AU12" s="268">
        <f t="shared" si="2"/>
        <v>106.21999999999998</v>
      </c>
      <c r="AV12" s="269">
        <f>AVERAGE(AS12:AU12)</f>
        <v>101.83333333333333</v>
      </c>
      <c r="AW12" s="269">
        <f t="shared" si="9"/>
        <v>7.8333333333333286</v>
      </c>
      <c r="AX12" s="271">
        <f t="shared" si="10"/>
        <v>7.8333333333333283E-2</v>
      </c>
    </row>
    <row r="13" spans="1:50" ht="15" customHeight="1" x14ac:dyDescent="0.25">
      <c r="B13" s="2">
        <f t="shared" si="5"/>
        <v>2031</v>
      </c>
      <c r="C13" s="145">
        <v>0</v>
      </c>
      <c r="D13" s="146">
        <v>0</v>
      </c>
      <c r="E13" s="147">
        <f t="shared" si="6"/>
        <v>0</v>
      </c>
      <c r="F13" s="147">
        <f t="shared" si="3"/>
        <v>0</v>
      </c>
      <c r="G13" s="148">
        <f t="shared" si="4"/>
        <v>0</v>
      </c>
      <c r="H13" s="147">
        <f>G13*(1+0.07)^-(B13-Assumptions!$D$4)</f>
        <v>0</v>
      </c>
      <c r="K13" s="48"/>
      <c r="L13" s="51"/>
      <c r="M13" s="15"/>
      <c r="N13" s="15"/>
      <c r="O13" s="15"/>
    </row>
    <row r="14" spans="1:50" x14ac:dyDescent="0.25">
      <c r="B14" s="2">
        <f t="shared" si="5"/>
        <v>2032</v>
      </c>
      <c r="C14" s="145">
        <v>0</v>
      </c>
      <c r="D14" s="146">
        <v>0</v>
      </c>
      <c r="E14" s="147">
        <f t="shared" si="6"/>
        <v>0</v>
      </c>
      <c r="F14" s="147">
        <f t="shared" si="3"/>
        <v>0</v>
      </c>
      <c r="G14" s="148">
        <f t="shared" si="4"/>
        <v>0</v>
      </c>
      <c r="H14" s="147">
        <f>G14*(1+0.07)^-(B14-Assumptions!$D$4)</f>
        <v>0</v>
      </c>
      <c r="K14" s="286" t="s">
        <v>195</v>
      </c>
      <c r="L14" s="40"/>
      <c r="M14" s="15"/>
      <c r="N14" s="15"/>
      <c r="O14" s="15"/>
      <c r="AI14" s="287" t="s">
        <v>169</v>
      </c>
      <c r="AJ14" s="287">
        <v>63.4</v>
      </c>
      <c r="AK14" s="287" t="s">
        <v>170</v>
      </c>
    </row>
    <row r="15" spans="1:50" x14ac:dyDescent="0.25">
      <c r="B15" s="2">
        <f t="shared" si="5"/>
        <v>2033</v>
      </c>
      <c r="C15" s="145">
        <v>0</v>
      </c>
      <c r="D15" s="146">
        <v>0</v>
      </c>
      <c r="E15" s="147">
        <f t="shared" si="6"/>
        <v>0</v>
      </c>
      <c r="F15" s="147">
        <f t="shared" si="3"/>
        <v>0</v>
      </c>
      <c r="G15" s="148">
        <f t="shared" si="4"/>
        <v>0</v>
      </c>
      <c r="H15" s="147">
        <f>G15*(1+0.07)^-(B15-Assumptions!$D$4)</f>
        <v>0</v>
      </c>
      <c r="K15" s="176" t="s">
        <v>187</v>
      </c>
      <c r="L15" s="229">
        <f>(L6*L12)+(L7*L11)</f>
        <v>7.2977931488801037E-2</v>
      </c>
      <c r="M15" s="15"/>
      <c r="N15" s="15"/>
      <c r="O15" s="15"/>
      <c r="AI15" s="287" t="s">
        <v>171</v>
      </c>
      <c r="AJ15" s="287">
        <f>AJ14*3</f>
        <v>190.2</v>
      </c>
      <c r="AK15" s="287" t="s">
        <v>170</v>
      </c>
      <c r="AL15" s="287" t="s">
        <v>172</v>
      </c>
    </row>
    <row r="16" spans="1:50" x14ac:dyDescent="0.25">
      <c r="B16" s="2">
        <f t="shared" si="5"/>
        <v>2034</v>
      </c>
      <c r="C16" s="145">
        <v>0</v>
      </c>
      <c r="D16" s="163">
        <v>0</v>
      </c>
      <c r="E16" s="161">
        <f t="shared" si="6"/>
        <v>0</v>
      </c>
      <c r="F16" s="161">
        <f t="shared" si="3"/>
        <v>0</v>
      </c>
      <c r="G16" s="162">
        <f t="shared" si="4"/>
        <v>0</v>
      </c>
      <c r="H16" s="161">
        <f>G16*(1+0.07)^-(B16-Assumptions!$D$4)</f>
        <v>0</v>
      </c>
      <c r="K16" s="48"/>
      <c r="L16" s="51"/>
      <c r="M16" s="18"/>
      <c r="N16" s="15"/>
      <c r="O16" s="15"/>
      <c r="AI16" s="287" t="s">
        <v>173</v>
      </c>
      <c r="AJ16" s="287">
        <f>AJ14*4</f>
        <v>253.6</v>
      </c>
      <c r="AK16" s="287" t="s">
        <v>170</v>
      </c>
      <c r="AL16" s="287" t="s">
        <v>174</v>
      </c>
    </row>
    <row r="17" spans="1:48" x14ac:dyDescent="0.25">
      <c r="B17" s="2">
        <f t="shared" si="5"/>
        <v>2035</v>
      </c>
      <c r="C17" s="145">
        <v>0</v>
      </c>
      <c r="D17" s="163">
        <v>0</v>
      </c>
      <c r="E17" s="161">
        <f t="shared" si="6"/>
        <v>0</v>
      </c>
      <c r="F17" s="161">
        <f t="shared" si="3"/>
        <v>0</v>
      </c>
      <c r="G17" s="162">
        <f t="shared" si="4"/>
        <v>0</v>
      </c>
      <c r="H17" s="161">
        <f>G17*(1+0.07)^-(B17-Assumptions!$D$4)</f>
        <v>0</v>
      </c>
      <c r="K17" s="286" t="s">
        <v>250</v>
      </c>
      <c r="L17" s="51"/>
      <c r="M17" s="19"/>
      <c r="N17" s="15"/>
      <c r="O17" s="15"/>
    </row>
    <row r="18" spans="1:48" x14ac:dyDescent="0.25">
      <c r="B18" s="2">
        <f t="shared" si="5"/>
        <v>2036</v>
      </c>
      <c r="C18" s="145">
        <v>0</v>
      </c>
      <c r="D18" s="163">
        <v>0</v>
      </c>
      <c r="E18" s="161">
        <f t="shared" si="6"/>
        <v>0</v>
      </c>
      <c r="F18" s="161">
        <f t="shared" si="3"/>
        <v>0</v>
      </c>
      <c r="G18" s="162">
        <f t="shared" si="4"/>
        <v>0</v>
      </c>
      <c r="H18" s="161">
        <f>G18*(1+0.07)^-(B18-Assumptions!$D$4)</f>
        <v>0</v>
      </c>
      <c r="K18" s="282" t="s">
        <v>241</v>
      </c>
      <c r="L18" s="291">
        <v>9.26</v>
      </c>
      <c r="M18" s="19"/>
      <c r="N18" s="15"/>
      <c r="O18" s="15"/>
      <c r="AT18" s="134"/>
    </row>
    <row r="19" spans="1:48" x14ac:dyDescent="0.25">
      <c r="B19" s="2">
        <f t="shared" si="5"/>
        <v>2037</v>
      </c>
      <c r="C19" s="145">
        <v>0</v>
      </c>
      <c r="D19" s="163">
        <v>0</v>
      </c>
      <c r="E19" s="161">
        <f t="shared" si="6"/>
        <v>0</v>
      </c>
      <c r="F19" s="161">
        <f t="shared" si="3"/>
        <v>0</v>
      </c>
      <c r="G19" s="162">
        <f t="shared" si="4"/>
        <v>0</v>
      </c>
      <c r="H19" s="161">
        <f>G19*(1+0.07)^-(B19-Assumptions!$D$4)</f>
        <v>0</v>
      </c>
      <c r="K19" s="282" t="s">
        <v>125</v>
      </c>
      <c r="L19" s="282" t="s">
        <v>200</v>
      </c>
      <c r="M19" s="49"/>
      <c r="N19" s="15"/>
      <c r="O19" s="15"/>
      <c r="AI19" s="287" t="s">
        <v>219</v>
      </c>
      <c r="AT19" s="134"/>
    </row>
    <row r="20" spans="1:48" ht="14.25" customHeight="1" x14ac:dyDescent="0.25">
      <c r="B20" s="2">
        <f t="shared" si="5"/>
        <v>2038</v>
      </c>
      <c r="C20" s="145">
        <v>0</v>
      </c>
      <c r="D20" s="163">
        <v>0</v>
      </c>
      <c r="E20" s="161">
        <f t="shared" si="6"/>
        <v>0</v>
      </c>
      <c r="F20" s="161">
        <f t="shared" si="3"/>
        <v>0</v>
      </c>
      <c r="G20" s="162">
        <f t="shared" si="4"/>
        <v>0</v>
      </c>
      <c r="H20" s="161">
        <f>G20*(1+0.07)^-(B20-Assumptions!$D$4)</f>
        <v>0</v>
      </c>
      <c r="K20" s="282">
        <v>2021</v>
      </c>
      <c r="L20" s="282">
        <v>506</v>
      </c>
      <c r="M20" s="18" t="s">
        <v>245</v>
      </c>
    </row>
    <row r="21" spans="1:48" x14ac:dyDescent="0.25">
      <c r="B21" s="2">
        <f t="shared" si="5"/>
        <v>2039</v>
      </c>
      <c r="C21" s="145">
        <v>0</v>
      </c>
      <c r="D21" s="163">
        <v>0</v>
      </c>
      <c r="E21" s="161">
        <f t="shared" si="6"/>
        <v>0</v>
      </c>
      <c r="F21" s="161">
        <f t="shared" si="3"/>
        <v>0</v>
      </c>
      <c r="G21" s="162">
        <f t="shared" si="4"/>
        <v>0</v>
      </c>
      <c r="H21" s="161">
        <f>G21*(1+0.07)^-(B21-Assumptions!$D$4)</f>
        <v>0</v>
      </c>
      <c r="K21" s="282">
        <v>2041</v>
      </c>
      <c r="L21" s="282">
        <v>691</v>
      </c>
      <c r="M21" s="18" t="s">
        <v>245</v>
      </c>
      <c r="AT21" s="135"/>
      <c r="AU21" s="136"/>
      <c r="AV21" s="136"/>
    </row>
    <row r="22" spans="1:48" x14ac:dyDescent="0.25">
      <c r="B22" s="2">
        <f t="shared" si="5"/>
        <v>2040</v>
      </c>
      <c r="C22" s="145">
        <v>0</v>
      </c>
      <c r="D22" s="163">
        <v>0</v>
      </c>
      <c r="E22" s="161">
        <f t="shared" si="6"/>
        <v>0</v>
      </c>
      <c r="F22" s="161">
        <f t="shared" si="3"/>
        <v>0</v>
      </c>
      <c r="G22" s="162">
        <f t="shared" si="4"/>
        <v>0</v>
      </c>
      <c r="H22" s="161">
        <f>G22*(1+0.07)^-(B22-Assumptions!$D$4)</f>
        <v>0</v>
      </c>
      <c r="AT22" s="135"/>
      <c r="AU22" s="137"/>
      <c r="AV22" s="137"/>
    </row>
    <row r="23" spans="1:48" x14ac:dyDescent="0.25">
      <c r="B23" s="2">
        <f t="shared" si="5"/>
        <v>2041</v>
      </c>
      <c r="C23" s="145">
        <v>0</v>
      </c>
      <c r="D23" s="163">
        <v>0</v>
      </c>
      <c r="E23" s="161">
        <f t="shared" si="6"/>
        <v>0</v>
      </c>
      <c r="F23" s="161">
        <f t="shared" si="3"/>
        <v>0</v>
      </c>
      <c r="G23" s="162">
        <f t="shared" si="4"/>
        <v>0</v>
      </c>
      <c r="H23" s="161">
        <f>G23*(1+0.07)^-(B23-Assumptions!$D$4)</f>
        <v>0</v>
      </c>
      <c r="K23" s="286" t="s">
        <v>252</v>
      </c>
      <c r="U23" s="6" t="s">
        <v>149</v>
      </c>
      <c r="AT23" s="135"/>
      <c r="AU23" s="137"/>
      <c r="AV23" s="137"/>
    </row>
    <row r="24" spans="1:48" x14ac:dyDescent="0.25">
      <c r="B24" s="2">
        <f t="shared" si="5"/>
        <v>2042</v>
      </c>
      <c r="C24" s="145">
        <v>0</v>
      </c>
      <c r="D24" s="163">
        <v>0</v>
      </c>
      <c r="E24" s="161">
        <f t="shared" si="6"/>
        <v>0</v>
      </c>
      <c r="F24" s="161">
        <f t="shared" si="3"/>
        <v>0</v>
      </c>
      <c r="G24" s="162">
        <f t="shared" si="4"/>
        <v>0</v>
      </c>
      <c r="H24" s="161">
        <f>G24*(1+0.07)^-(B24-Assumptions!$D$4)</f>
        <v>0</v>
      </c>
      <c r="K24" s="282" t="s">
        <v>125</v>
      </c>
      <c r="L24" s="282" t="s">
        <v>177</v>
      </c>
      <c r="U24" s="6" t="s">
        <v>150</v>
      </c>
    </row>
    <row r="25" spans="1:48" ht="15" customHeight="1" thickBot="1" x14ac:dyDescent="0.3">
      <c r="B25" s="3">
        <f t="shared" si="5"/>
        <v>2043</v>
      </c>
      <c r="C25" s="175">
        <v>0</v>
      </c>
      <c r="D25" s="164">
        <v>0</v>
      </c>
      <c r="E25" s="165">
        <f t="shared" si="6"/>
        <v>0</v>
      </c>
      <c r="F25" s="165">
        <f t="shared" si="3"/>
        <v>0</v>
      </c>
      <c r="G25" s="166">
        <f t="shared" si="4"/>
        <v>0</v>
      </c>
      <c r="H25" s="165">
        <f>G25*(1+0.07)^-(B25-Assumptions!$D$4)</f>
        <v>0</v>
      </c>
      <c r="K25" s="282">
        <v>2021</v>
      </c>
      <c r="L25" s="178">
        <f>L18*L20*365</f>
        <v>1710229.4</v>
      </c>
      <c r="U25" s="663" t="s">
        <v>226</v>
      </c>
      <c r="V25" s="663"/>
      <c r="W25" s="663"/>
      <c r="X25" s="663"/>
      <c r="Y25" s="663"/>
      <c r="Z25" s="663"/>
      <c r="AA25" s="663"/>
      <c r="AB25" s="663"/>
      <c r="AC25" s="663"/>
      <c r="AD25" s="663"/>
      <c r="AE25" s="663"/>
    </row>
    <row r="26" spans="1:48" ht="15" customHeight="1" thickBot="1" x14ac:dyDescent="0.3">
      <c r="B26" s="4"/>
      <c r="C26" s="46"/>
      <c r="D26" s="46"/>
      <c r="E26" s="46"/>
      <c r="F26" s="46"/>
      <c r="G26" s="66" t="s">
        <v>2</v>
      </c>
      <c r="H26" s="243">
        <f>SUM(H6:H25)</f>
        <v>372949.1076035992</v>
      </c>
      <c r="K26" s="282">
        <v>2041</v>
      </c>
      <c r="L26" s="178">
        <f>L18*L21*365</f>
        <v>2335510.9</v>
      </c>
      <c r="U26" s="663"/>
      <c r="V26" s="663"/>
      <c r="W26" s="663"/>
      <c r="X26" s="663"/>
      <c r="Y26" s="663"/>
      <c r="Z26" s="663"/>
      <c r="AA26" s="663"/>
      <c r="AB26" s="663"/>
      <c r="AC26" s="663"/>
      <c r="AD26" s="663"/>
      <c r="AE26" s="663"/>
    </row>
    <row r="27" spans="1:48" x14ac:dyDescent="0.25">
      <c r="B27" s="570"/>
      <c r="C27" s="570"/>
      <c r="D27" s="570"/>
      <c r="E27" s="570"/>
      <c r="F27" s="570"/>
      <c r="G27" s="570"/>
      <c r="H27" s="570"/>
      <c r="I27" s="24"/>
      <c r="U27" s="129" t="s">
        <v>151</v>
      </c>
      <c r="Y27" s="287" t="s">
        <v>220</v>
      </c>
    </row>
    <row r="28" spans="1:48" x14ac:dyDescent="0.25">
      <c r="A28" s="15"/>
      <c r="B28" s="16" t="s">
        <v>3</v>
      </c>
      <c r="C28" s="15"/>
      <c r="D28" s="15"/>
      <c r="E28" s="15"/>
      <c r="F28" s="15"/>
      <c r="G28" s="15"/>
      <c r="I28" s="20"/>
      <c r="J28" s="20"/>
      <c r="K28" s="18"/>
    </row>
    <row r="29" spans="1:48" ht="15" customHeight="1" x14ac:dyDescent="0.25">
      <c r="A29" s="60" t="s">
        <v>9</v>
      </c>
      <c r="B29" s="645" t="s">
        <v>608</v>
      </c>
      <c r="C29" s="645"/>
      <c r="D29" s="645"/>
      <c r="E29" s="645"/>
      <c r="F29" s="645"/>
      <c r="G29" s="645"/>
      <c r="I29" s="20"/>
      <c r="J29" s="20"/>
      <c r="K29" s="18"/>
    </row>
    <row r="30" spans="1:48" x14ac:dyDescent="0.25">
      <c r="A30" s="60"/>
      <c r="B30" s="645"/>
      <c r="C30" s="645"/>
      <c r="D30" s="645"/>
      <c r="E30" s="645"/>
      <c r="F30" s="645"/>
      <c r="G30" s="645"/>
      <c r="H30" s="15"/>
      <c r="I30" s="32"/>
      <c r="J30" s="28"/>
      <c r="K30" s="18"/>
      <c r="AI30" s="129"/>
    </row>
    <row r="31" spans="1:48" x14ac:dyDescent="0.25">
      <c r="A31" s="60"/>
      <c r="B31" s="645"/>
      <c r="C31" s="645"/>
      <c r="D31" s="645"/>
      <c r="E31" s="645"/>
      <c r="F31" s="645"/>
      <c r="G31" s="645"/>
      <c r="H31" s="15"/>
      <c r="I31" s="32"/>
      <c r="J31" s="33"/>
      <c r="K31" s="18"/>
    </row>
    <row r="32" spans="1:48" x14ac:dyDescent="0.25">
      <c r="A32" s="60"/>
      <c r="B32" s="645"/>
      <c r="C32" s="645"/>
      <c r="D32" s="645"/>
      <c r="E32" s="645"/>
      <c r="F32" s="645"/>
      <c r="G32" s="645"/>
      <c r="H32" s="15"/>
      <c r="J32" s="32"/>
      <c r="K32" s="18"/>
    </row>
    <row r="33" spans="1:35" ht="15" customHeight="1" x14ac:dyDescent="0.25">
      <c r="A33" s="60"/>
      <c r="B33" s="645"/>
      <c r="C33" s="645"/>
      <c r="D33" s="645"/>
      <c r="E33" s="645"/>
      <c r="F33" s="645"/>
      <c r="G33" s="645"/>
      <c r="J33" s="32"/>
      <c r="K33" s="18"/>
    </row>
    <row r="34" spans="1:35" ht="15" customHeight="1" x14ac:dyDescent="0.25">
      <c r="A34" s="60"/>
      <c r="B34" s="645"/>
      <c r="C34" s="645"/>
      <c r="D34" s="645"/>
      <c r="E34" s="645"/>
      <c r="F34" s="645"/>
      <c r="G34" s="645"/>
      <c r="J34" s="32"/>
      <c r="K34" s="18"/>
    </row>
    <row r="35" spans="1:35" ht="15" customHeight="1" x14ac:dyDescent="0.25">
      <c r="A35" s="60"/>
      <c r="B35" s="542"/>
      <c r="C35" s="542"/>
      <c r="D35" s="542"/>
      <c r="E35" s="542"/>
      <c r="F35" s="542"/>
      <c r="G35" s="55"/>
      <c r="J35" s="32"/>
      <c r="K35" s="18"/>
    </row>
    <row r="36" spans="1:35" ht="15" customHeight="1" x14ac:dyDescent="0.25">
      <c r="A36" s="60" t="s">
        <v>10</v>
      </c>
      <c r="B36" s="645" t="s">
        <v>384</v>
      </c>
      <c r="C36" s="645"/>
      <c r="D36" s="645"/>
      <c r="E36" s="645"/>
      <c r="F36" s="645"/>
      <c r="G36" s="645"/>
      <c r="J36" s="32"/>
      <c r="K36" s="18"/>
    </row>
    <row r="37" spans="1:35" ht="15" customHeight="1" x14ac:dyDescent="0.25">
      <c r="A37" s="7"/>
      <c r="B37" s="645"/>
      <c r="C37" s="645"/>
      <c r="D37" s="645"/>
      <c r="E37" s="645"/>
      <c r="F37" s="645"/>
      <c r="G37" s="645"/>
      <c r="J37" s="21"/>
      <c r="K37" s="18"/>
    </row>
    <row r="38" spans="1:35" x14ac:dyDescent="0.25">
      <c r="A38" s="60"/>
      <c r="B38" s="542"/>
      <c r="C38" s="542"/>
      <c r="D38" s="542"/>
      <c r="E38" s="542"/>
      <c r="F38" s="542"/>
      <c r="G38" s="542"/>
      <c r="J38" s="21"/>
      <c r="K38" s="18"/>
    </row>
    <row r="39" spans="1:35" ht="15" customHeight="1" x14ac:dyDescent="0.25">
      <c r="A39" s="60" t="s">
        <v>11</v>
      </c>
      <c r="B39" s="645" t="s">
        <v>628</v>
      </c>
      <c r="C39" s="645"/>
      <c r="D39" s="645"/>
      <c r="E39" s="645"/>
      <c r="F39" s="645"/>
      <c r="G39" s="645"/>
      <c r="I39" s="15"/>
      <c r="J39" s="21"/>
      <c r="K39" s="18"/>
    </row>
    <row r="40" spans="1:35" ht="15" customHeight="1" x14ac:dyDescent="0.25">
      <c r="A40" s="60"/>
      <c r="B40" s="645"/>
      <c r="C40" s="645"/>
      <c r="D40" s="645"/>
      <c r="E40" s="645"/>
      <c r="F40" s="645"/>
      <c r="G40" s="645"/>
      <c r="K40" s="18"/>
    </row>
    <row r="41" spans="1:35" ht="15" customHeight="1" x14ac:dyDescent="0.25">
      <c r="A41" s="60"/>
      <c r="B41" s="645"/>
      <c r="C41" s="645"/>
      <c r="D41" s="645"/>
      <c r="E41" s="645"/>
      <c r="F41" s="645"/>
      <c r="G41" s="645"/>
      <c r="K41" s="18"/>
    </row>
    <row r="42" spans="1:35" ht="15" customHeight="1" x14ac:dyDescent="0.25">
      <c r="A42" s="7"/>
      <c r="B42" s="645"/>
      <c r="C42" s="645"/>
      <c r="D42" s="645"/>
      <c r="E42" s="645"/>
      <c r="F42" s="645"/>
      <c r="G42" s="645"/>
      <c r="K42" s="18"/>
    </row>
    <row r="43" spans="1:35" x14ac:dyDescent="0.25">
      <c r="A43" s="60"/>
      <c r="B43" s="542"/>
      <c r="C43" s="542"/>
      <c r="D43" s="542"/>
      <c r="E43" s="542"/>
      <c r="F43" s="542"/>
      <c r="G43" s="55"/>
      <c r="K43" s="18"/>
    </row>
    <row r="44" spans="1:35" x14ac:dyDescent="0.25">
      <c r="A44" s="60" t="s">
        <v>58</v>
      </c>
      <c r="B44" s="645" t="s">
        <v>381</v>
      </c>
      <c r="C44" s="645"/>
      <c r="D44" s="645"/>
      <c r="E44" s="645"/>
      <c r="F44" s="645"/>
      <c r="G44" s="645"/>
      <c r="K44" s="18"/>
    </row>
    <row r="45" spans="1:35" x14ac:dyDescent="0.25">
      <c r="A45" s="60"/>
      <c r="B45" s="645"/>
      <c r="C45" s="645"/>
      <c r="D45" s="645"/>
      <c r="E45" s="645"/>
      <c r="F45" s="645"/>
      <c r="G45" s="645"/>
      <c r="H45" s="15"/>
      <c r="K45" s="18"/>
    </row>
    <row r="46" spans="1:35" ht="15" customHeight="1" x14ac:dyDescent="0.25">
      <c r="A46" s="7"/>
      <c r="B46" s="645"/>
      <c r="C46" s="645"/>
      <c r="D46" s="645"/>
      <c r="E46" s="645"/>
      <c r="F46" s="645"/>
      <c r="G46" s="645"/>
      <c r="H46" s="15"/>
      <c r="K46" s="18"/>
    </row>
    <row r="47" spans="1:35" x14ac:dyDescent="0.25">
      <c r="A47" s="60"/>
      <c r="B47" s="645"/>
      <c r="C47" s="645"/>
      <c r="D47" s="645"/>
      <c r="E47" s="645"/>
      <c r="F47" s="645"/>
      <c r="G47" s="645"/>
      <c r="H47" s="15"/>
      <c r="K47" s="18"/>
    </row>
    <row r="48" spans="1:35" ht="15" customHeight="1" x14ac:dyDescent="0.25">
      <c r="A48" s="60"/>
      <c r="B48" s="645"/>
      <c r="C48" s="645"/>
      <c r="D48" s="645"/>
      <c r="E48" s="645"/>
      <c r="F48" s="645"/>
      <c r="G48" s="645"/>
      <c r="K48" s="18"/>
      <c r="AI48" s="6" t="s">
        <v>149</v>
      </c>
    </row>
    <row r="49" spans="1:35" x14ac:dyDescent="0.25">
      <c r="A49" s="60"/>
      <c r="B49" s="645"/>
      <c r="C49" s="645"/>
      <c r="D49" s="645"/>
      <c r="E49" s="645"/>
      <c r="F49" s="645"/>
      <c r="G49" s="645"/>
      <c r="K49" s="18"/>
      <c r="AI49" s="6" t="s">
        <v>150</v>
      </c>
    </row>
    <row r="50" spans="1:35" x14ac:dyDescent="0.25">
      <c r="A50" s="60"/>
      <c r="B50" s="542"/>
      <c r="C50" s="542"/>
      <c r="D50" s="542"/>
      <c r="E50" s="542"/>
      <c r="F50" s="542"/>
      <c r="G50" s="55"/>
      <c r="K50" s="18"/>
      <c r="P50" s="9"/>
      <c r="Q50" s="9"/>
      <c r="R50" s="9"/>
      <c r="S50" s="9"/>
      <c r="T50" s="9"/>
      <c r="U50" s="6" t="s">
        <v>149</v>
      </c>
    </row>
    <row r="51" spans="1:35" ht="15" customHeight="1" x14ac:dyDescent="0.25">
      <c r="A51" s="7" t="s">
        <v>60</v>
      </c>
      <c r="B51" s="645" t="s">
        <v>609</v>
      </c>
      <c r="C51" s="645"/>
      <c r="D51" s="645"/>
      <c r="E51" s="645"/>
      <c r="F51" s="645"/>
      <c r="G51" s="645"/>
      <c r="K51" s="18"/>
      <c r="P51" s="9"/>
      <c r="Q51" s="9"/>
      <c r="R51" s="9"/>
      <c r="S51" s="9"/>
      <c r="T51" s="9"/>
      <c r="U51" s="6" t="s">
        <v>150</v>
      </c>
    </row>
    <row r="52" spans="1:35" x14ac:dyDescent="0.25">
      <c r="A52" s="7"/>
      <c r="B52" s="645"/>
      <c r="C52" s="645"/>
      <c r="D52" s="645"/>
      <c r="E52" s="645"/>
      <c r="F52" s="645"/>
      <c r="G52" s="645"/>
      <c r="K52" s="18"/>
      <c r="P52" s="9"/>
      <c r="Q52" s="9"/>
      <c r="R52" s="9"/>
      <c r="S52" s="9"/>
      <c r="T52" s="9"/>
      <c r="U52" s="129" t="s">
        <v>151</v>
      </c>
      <c r="Y52" s="287" t="s">
        <v>220</v>
      </c>
    </row>
    <row r="53" spans="1:35" x14ac:dyDescent="0.25">
      <c r="A53" s="7"/>
      <c r="B53" s="542"/>
      <c r="C53" s="542"/>
      <c r="D53" s="542"/>
      <c r="E53" s="55"/>
      <c r="F53" s="55"/>
      <c r="G53" s="55"/>
      <c r="K53" s="18"/>
      <c r="P53" s="9"/>
      <c r="Q53" s="9"/>
      <c r="R53" s="9"/>
      <c r="S53" s="9"/>
      <c r="T53" s="9"/>
    </row>
    <row r="54" spans="1:35" x14ac:dyDescent="0.25">
      <c r="A54" s="7" t="s">
        <v>610</v>
      </c>
      <c r="B54" s="645" t="s">
        <v>611</v>
      </c>
      <c r="C54" s="645"/>
      <c r="D54" s="645"/>
      <c r="E54" s="645"/>
      <c r="F54" s="645"/>
      <c r="G54" s="645"/>
      <c r="K54" s="127"/>
      <c r="L54" s="128"/>
      <c r="P54" s="9"/>
      <c r="Q54" s="9"/>
      <c r="R54" s="9"/>
      <c r="S54" s="9"/>
      <c r="T54" s="9"/>
      <c r="U54" s="138"/>
    </row>
    <row r="55" spans="1:35" x14ac:dyDescent="0.25">
      <c r="A55" s="7"/>
      <c r="B55" s="645"/>
      <c r="C55" s="645"/>
      <c r="D55" s="645"/>
      <c r="E55" s="645"/>
      <c r="F55" s="645"/>
      <c r="G55" s="645"/>
      <c r="P55" s="9"/>
      <c r="Q55" s="9"/>
      <c r="R55" s="9"/>
      <c r="S55" s="9"/>
      <c r="T55" s="9"/>
      <c r="U55" s="138"/>
    </row>
    <row r="56" spans="1:35" x14ac:dyDescent="0.25">
      <c r="P56" s="9"/>
      <c r="Q56" s="9"/>
      <c r="R56" s="9"/>
      <c r="S56" s="9"/>
      <c r="T56" s="9"/>
    </row>
    <row r="57" spans="1:35" x14ac:dyDescent="0.25">
      <c r="P57" s="9"/>
      <c r="Q57" s="9"/>
      <c r="R57" s="9"/>
      <c r="S57" s="9"/>
      <c r="T57" s="9"/>
    </row>
    <row r="58" spans="1:35" x14ac:dyDescent="0.25">
      <c r="P58" s="9"/>
      <c r="Q58" s="9"/>
      <c r="R58" s="9"/>
      <c r="S58" s="9"/>
      <c r="T58" s="9"/>
    </row>
    <row r="59" spans="1:35" x14ac:dyDescent="0.25">
      <c r="P59" s="9"/>
      <c r="Q59" s="9"/>
      <c r="R59" s="9"/>
      <c r="S59" s="9"/>
      <c r="T59" s="9"/>
    </row>
    <row r="60" spans="1:35" x14ac:dyDescent="0.25">
      <c r="P60" s="9"/>
      <c r="Q60" s="9"/>
      <c r="R60" s="9"/>
      <c r="S60" s="9"/>
      <c r="T60" s="9"/>
    </row>
    <row r="61" spans="1:35" x14ac:dyDescent="0.25">
      <c r="P61" s="9"/>
      <c r="Q61" s="9"/>
      <c r="R61" s="9"/>
      <c r="S61" s="9"/>
      <c r="T61" s="9"/>
    </row>
    <row r="62" spans="1:35" x14ac:dyDescent="0.25">
      <c r="P62" s="9"/>
      <c r="Q62" s="9"/>
      <c r="R62" s="9"/>
      <c r="S62" s="9"/>
      <c r="T62" s="9"/>
    </row>
    <row r="63" spans="1:35" x14ac:dyDescent="0.25">
      <c r="P63" s="9"/>
      <c r="Q63" s="9"/>
      <c r="R63" s="9"/>
      <c r="S63" s="9"/>
      <c r="T63" s="9"/>
    </row>
    <row r="64" spans="1:35" x14ac:dyDescent="0.25">
      <c r="P64" s="9"/>
      <c r="Q64" s="9"/>
      <c r="R64" s="9"/>
      <c r="S64" s="9"/>
      <c r="T64" s="9"/>
    </row>
    <row r="65" spans="16:22" x14ac:dyDescent="0.25">
      <c r="P65" s="9"/>
      <c r="Q65" s="9"/>
      <c r="R65" s="9"/>
      <c r="S65" s="9"/>
      <c r="T65" s="9"/>
    </row>
    <row r="66" spans="16:22" x14ac:dyDescent="0.25">
      <c r="P66" s="9"/>
      <c r="Q66" s="9"/>
      <c r="R66" s="9"/>
      <c r="S66" s="9"/>
      <c r="T66" s="9"/>
      <c r="U66" s="9"/>
      <c r="V66" s="9"/>
    </row>
    <row r="67" spans="16:22" x14ac:dyDescent="0.25">
      <c r="P67" s="9"/>
      <c r="Q67" s="9"/>
      <c r="R67" s="9"/>
      <c r="S67" s="9"/>
      <c r="T67" s="9"/>
      <c r="U67" s="9"/>
      <c r="V67" s="9"/>
    </row>
    <row r="68" spans="16:22" x14ac:dyDescent="0.25">
      <c r="P68" s="9"/>
      <c r="Q68" s="9"/>
      <c r="R68" s="9"/>
      <c r="S68" s="9"/>
      <c r="T68" s="9"/>
      <c r="U68" s="9"/>
      <c r="V68" s="9"/>
    </row>
    <row r="69" spans="16:22" x14ac:dyDescent="0.25">
      <c r="P69" s="9"/>
      <c r="Q69" s="9"/>
      <c r="R69" s="9"/>
      <c r="S69" s="9"/>
      <c r="T69" s="9"/>
      <c r="U69" s="9"/>
      <c r="V69" s="9"/>
    </row>
    <row r="70" spans="16:22" x14ac:dyDescent="0.25">
      <c r="P70" s="9"/>
      <c r="Q70" s="9"/>
      <c r="R70" s="9"/>
      <c r="S70" s="9"/>
      <c r="T70" s="9"/>
      <c r="U70" s="9"/>
      <c r="V70" s="9"/>
    </row>
    <row r="71" spans="16:22" x14ac:dyDescent="0.25">
      <c r="P71" s="9"/>
      <c r="Q71" s="9"/>
      <c r="R71" s="9"/>
      <c r="S71" s="9"/>
      <c r="T71" s="9"/>
      <c r="U71" s="9"/>
      <c r="V71" s="9"/>
    </row>
    <row r="72" spans="16:22" x14ac:dyDescent="0.25">
      <c r="P72" s="9"/>
      <c r="Q72" s="9"/>
      <c r="R72" s="9"/>
      <c r="S72" s="9"/>
      <c r="T72" s="9"/>
      <c r="U72" s="9"/>
      <c r="V72" s="9"/>
    </row>
  </sheetData>
  <mergeCells count="24">
    <mergeCell ref="B54:G55"/>
    <mergeCell ref="AH3:AH5"/>
    <mergeCell ref="AI3:AI5"/>
    <mergeCell ref="AK3:AO3"/>
    <mergeCell ref="G4:G5"/>
    <mergeCell ref="AJ3:AJ5"/>
    <mergeCell ref="B29:G34"/>
    <mergeCell ref="B36:G37"/>
    <mergeCell ref="B39:G42"/>
    <mergeCell ref="B44:G49"/>
    <mergeCell ref="AQ3:AU3"/>
    <mergeCell ref="AW3:AX3"/>
    <mergeCell ref="B51:G52"/>
    <mergeCell ref="H4:H5"/>
    <mergeCell ref="AK4:AO4"/>
    <mergeCell ref="AQ4:AU4"/>
    <mergeCell ref="AH6:AH10"/>
    <mergeCell ref="K10:L10"/>
    <mergeCell ref="U25:AE26"/>
    <mergeCell ref="B4:B5"/>
    <mergeCell ref="C4:C5"/>
    <mergeCell ref="D4:D5"/>
    <mergeCell ref="E4:E5"/>
    <mergeCell ref="F4:F5"/>
  </mergeCells>
  <hyperlinks>
    <hyperlink ref="U52" r:id="rId1" xr:uid="{D0246245-1FF9-42E3-BC0D-D7D6FB5CD368}"/>
    <hyperlink ref="U27" r:id="rId2" xr:uid="{603B59E2-A536-46D4-A21C-4C2700055B99}"/>
  </hyperlinks>
  <pageMargins left="0.25" right="0.25" top="0.75" bottom="0.75" header="0.3" footer="0.3"/>
  <pageSetup scale="48" orientation="landscape"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051A2-39E9-49B6-B831-EDF969166CA7}">
  <sheetPr>
    <tabColor rgb="FF00B050"/>
    <pageSetUpPr fitToPage="1"/>
  </sheetPr>
  <dimension ref="A1:AX72"/>
  <sheetViews>
    <sheetView view="pageBreakPreview" zoomScale="85" zoomScaleNormal="40" zoomScaleSheetLayoutView="85" workbookViewId="0">
      <selection activeCell="AQ3" sqref="AQ3:AU3"/>
    </sheetView>
  </sheetViews>
  <sheetFormatPr defaultRowHeight="15" x14ac:dyDescent="0.25"/>
  <cols>
    <col min="1" max="1" width="3.7109375" style="287" customWidth="1"/>
    <col min="2" max="8" width="20.7109375" style="287" customWidth="1"/>
    <col min="9" max="10" width="5.7109375" style="287" customWidth="1"/>
    <col min="11" max="11" width="49.140625" style="287" customWidth="1"/>
    <col min="12" max="13" width="21.85546875" style="287" customWidth="1"/>
    <col min="14" max="15" width="10.85546875" style="287" customWidth="1"/>
    <col min="16" max="16" width="12.5703125" style="287" customWidth="1"/>
    <col min="17" max="17" width="18" style="287" bestFit="1" customWidth="1"/>
    <col min="18" max="18" width="22.7109375" style="287" bestFit="1" customWidth="1"/>
    <col min="19" max="19" width="34.140625" style="287" bestFit="1" customWidth="1"/>
    <col min="20" max="21" width="16" style="287" bestFit="1" customWidth="1"/>
    <col min="22" max="34" width="9.140625" style="287"/>
    <col min="35" max="35" width="21.7109375" style="287" customWidth="1"/>
    <col min="36" max="36" width="14.85546875" style="287" customWidth="1"/>
    <col min="37" max="46" width="9.140625" style="287"/>
    <col min="47" max="47" width="10.85546875" style="287" bestFit="1" customWidth="1"/>
    <col min="48" max="48" width="27.28515625" style="287" customWidth="1"/>
    <col min="49" max="49" width="11" style="287" bestFit="1" customWidth="1"/>
    <col min="50" max="50" width="11.5703125" style="287" bestFit="1" customWidth="1"/>
    <col min="51" max="16384" width="9.140625" style="287"/>
  </cols>
  <sheetData>
    <row r="1" spans="1:50" x14ac:dyDescent="0.25">
      <c r="A1" s="15"/>
      <c r="B1" s="290">
        <v>1</v>
      </c>
      <c r="C1" s="290">
        <v>2</v>
      </c>
      <c r="D1" s="290">
        <v>3</v>
      </c>
      <c r="E1" s="290">
        <v>4</v>
      </c>
      <c r="F1" s="290">
        <v>5</v>
      </c>
      <c r="G1" s="290">
        <v>6</v>
      </c>
      <c r="H1" s="290">
        <v>7</v>
      </c>
    </row>
    <row r="2" spans="1:50" x14ac:dyDescent="0.25">
      <c r="B2" s="6" t="s">
        <v>218</v>
      </c>
    </row>
    <row r="3" spans="1:50" ht="15.75" customHeight="1" thickBot="1" x14ac:dyDescent="0.3">
      <c r="B3" s="287" t="s">
        <v>494</v>
      </c>
      <c r="K3" s="55"/>
      <c r="AH3" s="664" t="s">
        <v>152</v>
      </c>
      <c r="AI3" s="664" t="s">
        <v>153</v>
      </c>
      <c r="AJ3" s="660" t="s">
        <v>154</v>
      </c>
      <c r="AK3" s="659" t="s">
        <v>155</v>
      </c>
      <c r="AL3" s="659"/>
      <c r="AM3" s="659"/>
      <c r="AN3" s="659"/>
      <c r="AO3" s="659"/>
      <c r="AQ3" s="659" t="s">
        <v>156</v>
      </c>
      <c r="AR3" s="659"/>
      <c r="AS3" s="659"/>
      <c r="AT3" s="659"/>
      <c r="AU3" s="659"/>
      <c r="AV3" s="288" t="s">
        <v>157</v>
      </c>
      <c r="AW3" s="660" t="s">
        <v>158</v>
      </c>
      <c r="AX3" s="660"/>
    </row>
    <row r="4" spans="1:50" ht="35.1" customHeight="1" x14ac:dyDescent="0.25">
      <c r="B4" s="651" t="s">
        <v>0</v>
      </c>
      <c r="C4" s="651" t="s">
        <v>646</v>
      </c>
      <c r="D4" s="653" t="s">
        <v>126</v>
      </c>
      <c r="E4" s="651" t="s">
        <v>179</v>
      </c>
      <c r="F4" s="651" t="s">
        <v>178</v>
      </c>
      <c r="G4" s="649" t="s">
        <v>180</v>
      </c>
      <c r="H4" s="647" t="s">
        <v>1</v>
      </c>
      <c r="K4" s="62"/>
      <c r="L4" s="15"/>
      <c r="M4" s="18"/>
      <c r="N4" s="15"/>
      <c r="O4" s="15"/>
      <c r="AH4" s="664"/>
      <c r="AI4" s="664"/>
      <c r="AJ4" s="660"/>
      <c r="AK4" s="659" t="s">
        <v>159</v>
      </c>
      <c r="AL4" s="659"/>
      <c r="AM4" s="659"/>
      <c r="AN4" s="659"/>
      <c r="AO4" s="659"/>
      <c r="AQ4" s="659" t="s">
        <v>159</v>
      </c>
      <c r="AR4" s="659"/>
      <c r="AS4" s="659"/>
      <c r="AT4" s="659"/>
      <c r="AU4" s="659"/>
      <c r="AV4" s="289" t="s">
        <v>160</v>
      </c>
      <c r="AW4" s="289" t="s">
        <v>160</v>
      </c>
      <c r="AX4" s="289" t="s">
        <v>161</v>
      </c>
    </row>
    <row r="5" spans="1:50" ht="43.5" customHeight="1" thickBot="1" x14ac:dyDescent="0.3">
      <c r="B5" s="652"/>
      <c r="C5" s="652"/>
      <c r="D5" s="654"/>
      <c r="E5" s="652"/>
      <c r="F5" s="652"/>
      <c r="G5" s="650"/>
      <c r="H5" s="648"/>
      <c r="K5" s="177" t="s">
        <v>188</v>
      </c>
      <c r="L5" s="284"/>
      <c r="M5" s="15"/>
      <c r="N5" s="15"/>
      <c r="O5" s="15"/>
      <c r="AH5" s="664"/>
      <c r="AI5" s="664"/>
      <c r="AJ5" s="660"/>
      <c r="AK5" s="102">
        <v>2</v>
      </c>
      <c r="AL5" s="102">
        <v>3</v>
      </c>
      <c r="AM5" s="102">
        <v>4</v>
      </c>
      <c r="AN5" s="102">
        <v>5</v>
      </c>
      <c r="AO5" s="102">
        <v>6</v>
      </c>
      <c r="AQ5" s="102">
        <v>2</v>
      </c>
      <c r="AR5" s="102">
        <v>3</v>
      </c>
      <c r="AS5" s="102">
        <v>4</v>
      </c>
      <c r="AT5" s="102">
        <v>5</v>
      </c>
      <c r="AU5" s="102">
        <v>6</v>
      </c>
      <c r="AV5" s="289" t="s">
        <v>162</v>
      </c>
      <c r="AW5" s="289"/>
      <c r="AX5" s="289"/>
    </row>
    <row r="6" spans="1:50" x14ac:dyDescent="0.25">
      <c r="B6" s="1">
        <f>Assumptions!$D$7</f>
        <v>2024</v>
      </c>
      <c r="C6" s="155">
        <v>0</v>
      </c>
      <c r="D6" s="155">
        <v>0</v>
      </c>
      <c r="E6" s="156">
        <f>C6*$L$6</f>
        <v>0</v>
      </c>
      <c r="F6" s="156">
        <v>0</v>
      </c>
      <c r="G6" s="157">
        <f>(E6-F6)</f>
        <v>0</v>
      </c>
      <c r="H6" s="156">
        <f>G6*(1+0.07)^-(B6-Assumptions!$D$4)</f>
        <v>0</v>
      </c>
      <c r="I6" s="15"/>
      <c r="K6" s="65" t="s">
        <v>185</v>
      </c>
      <c r="L6" s="143">
        <f>AX11</f>
        <v>5.9250000000000046E-2</v>
      </c>
      <c r="M6" s="15"/>
      <c r="N6" s="15"/>
      <c r="O6" s="15"/>
      <c r="AH6" s="661" t="s">
        <v>163</v>
      </c>
      <c r="AI6" s="116" t="s">
        <v>164</v>
      </c>
      <c r="AJ6" s="116">
        <v>21.3</v>
      </c>
      <c r="AK6" s="104">
        <v>1.02</v>
      </c>
      <c r="AL6" s="104">
        <v>1.03</v>
      </c>
      <c r="AM6" s="104">
        <v>1.07</v>
      </c>
      <c r="AN6" s="104">
        <v>1.1399999999999999</v>
      </c>
      <c r="AO6" s="104">
        <v>1.21</v>
      </c>
      <c r="AQ6" s="130">
        <f t="shared" ref="AQ6:AU12" si="0">$AJ6*AK6</f>
        <v>21.726000000000003</v>
      </c>
      <c r="AR6" s="130">
        <f t="shared" si="0"/>
        <v>21.939</v>
      </c>
      <c r="AS6" s="131">
        <f t="shared" si="0"/>
        <v>22.791</v>
      </c>
      <c r="AT6" s="131">
        <f t="shared" si="0"/>
        <v>24.282</v>
      </c>
      <c r="AU6" s="131">
        <f t="shared" si="0"/>
        <v>25.773</v>
      </c>
      <c r="AV6" s="132">
        <f>AVERAGE(AS6:AU6)</f>
        <v>24.282</v>
      </c>
      <c r="AW6" s="132">
        <f>AV6-AJ6</f>
        <v>2.9819999999999993</v>
      </c>
      <c r="AX6" s="133">
        <f>AW6/100</f>
        <v>2.9819999999999992E-2</v>
      </c>
    </row>
    <row r="7" spans="1:50" x14ac:dyDescent="0.25">
      <c r="B7" s="2">
        <f>B6+1</f>
        <v>2025</v>
      </c>
      <c r="C7" s="146">
        <v>0</v>
      </c>
      <c r="D7" s="146">
        <v>0</v>
      </c>
      <c r="E7" s="147">
        <f t="shared" ref="E7:E25" si="1">C7*$L$6</f>
        <v>0</v>
      </c>
      <c r="F7" s="147">
        <v>0</v>
      </c>
      <c r="G7" s="148">
        <f t="shared" ref="G7:G25" si="2">(E7-F7)</f>
        <v>0</v>
      </c>
      <c r="H7" s="147">
        <f>G7*(1+0.07)^-(B7-Assumptions!$D$4)</f>
        <v>0</v>
      </c>
      <c r="I7" s="15"/>
      <c r="K7" s="48"/>
      <c r="L7" s="63"/>
      <c r="M7" s="15"/>
      <c r="N7" s="15"/>
      <c r="O7" s="15"/>
      <c r="AH7" s="661"/>
      <c r="AI7" s="116" t="s">
        <v>165</v>
      </c>
      <c r="AJ7" s="116">
        <v>26.5</v>
      </c>
      <c r="AK7" s="104">
        <v>1.01</v>
      </c>
      <c r="AL7" s="104">
        <v>1.01</v>
      </c>
      <c r="AM7" s="104">
        <v>1.04</v>
      </c>
      <c r="AN7" s="104">
        <v>1.1000000000000001</v>
      </c>
      <c r="AO7" s="104">
        <v>1.1599999999999999</v>
      </c>
      <c r="AQ7" s="130">
        <f t="shared" si="0"/>
        <v>26.765000000000001</v>
      </c>
      <c r="AR7" s="130">
        <f t="shared" si="0"/>
        <v>26.765000000000001</v>
      </c>
      <c r="AS7" s="131">
        <f t="shared" si="0"/>
        <v>27.560000000000002</v>
      </c>
      <c r="AT7" s="131">
        <f t="shared" si="0"/>
        <v>29.150000000000002</v>
      </c>
      <c r="AU7" s="131">
        <f t="shared" si="0"/>
        <v>30.74</v>
      </c>
      <c r="AV7" s="132">
        <f>AVERAGE(AS7:AU7)</f>
        <v>29.150000000000002</v>
      </c>
      <c r="AW7" s="132">
        <f>AV7-AJ7</f>
        <v>2.6500000000000021</v>
      </c>
      <c r="AX7" s="133">
        <f>AW7/100</f>
        <v>2.650000000000002E-2</v>
      </c>
    </row>
    <row r="8" spans="1:50" x14ac:dyDescent="0.25">
      <c r="B8" s="2">
        <f t="shared" ref="B8:B25" si="3">B7+1</f>
        <v>2026</v>
      </c>
      <c r="C8" s="146">
        <v>0</v>
      </c>
      <c r="D8" s="146">
        <v>0</v>
      </c>
      <c r="E8" s="147">
        <f t="shared" si="1"/>
        <v>0</v>
      </c>
      <c r="F8" s="147">
        <v>0</v>
      </c>
      <c r="G8" s="148">
        <f t="shared" si="2"/>
        <v>0</v>
      </c>
      <c r="H8" s="147">
        <f>G8*(1+0.07)^-(B8-Assumptions!$D$4)</f>
        <v>0</v>
      </c>
      <c r="J8" s="61"/>
      <c r="M8" s="19"/>
      <c r="N8" s="15"/>
      <c r="O8" s="15"/>
      <c r="AH8" s="661"/>
      <c r="AI8" s="116" t="s">
        <v>166</v>
      </c>
      <c r="AJ8" s="116">
        <v>28.2</v>
      </c>
      <c r="AK8" s="104">
        <v>1.01</v>
      </c>
      <c r="AL8" s="104">
        <v>1.03</v>
      </c>
      <c r="AM8" s="104">
        <v>1.08</v>
      </c>
      <c r="AN8" s="104">
        <v>1.18</v>
      </c>
      <c r="AO8" s="104">
        <v>1.29</v>
      </c>
      <c r="AQ8" s="130">
        <f t="shared" si="0"/>
        <v>28.481999999999999</v>
      </c>
      <c r="AR8" s="130">
        <f t="shared" si="0"/>
        <v>29.045999999999999</v>
      </c>
      <c r="AS8" s="131">
        <f t="shared" si="0"/>
        <v>30.456</v>
      </c>
      <c r="AT8" s="131">
        <f t="shared" si="0"/>
        <v>33.275999999999996</v>
      </c>
      <c r="AU8" s="131">
        <f t="shared" si="0"/>
        <v>36.378</v>
      </c>
      <c r="AV8" s="132">
        <f>AVERAGE(AS8:AU8)</f>
        <v>33.369999999999997</v>
      </c>
      <c r="AW8" s="132">
        <f>AV8-AJ8</f>
        <v>5.1699999999999982</v>
      </c>
      <c r="AX8" s="133">
        <f>AW8/100</f>
        <v>5.1699999999999982E-2</v>
      </c>
    </row>
    <row r="9" spans="1:50" ht="14.25" customHeight="1" x14ac:dyDescent="0.25">
      <c r="B9" s="2">
        <f t="shared" si="3"/>
        <v>2027</v>
      </c>
      <c r="C9" s="146">
        <v>0</v>
      </c>
      <c r="D9" s="146">
        <v>0</v>
      </c>
      <c r="E9" s="147">
        <f t="shared" si="1"/>
        <v>0</v>
      </c>
      <c r="F9" s="147">
        <v>0</v>
      </c>
      <c r="G9" s="148">
        <f t="shared" si="2"/>
        <v>0</v>
      </c>
      <c r="H9" s="147">
        <f>G9*(1+0.07)^-(B9-Assumptions!$D$4)</f>
        <v>0</v>
      </c>
      <c r="J9" s="61"/>
      <c r="K9" s="286" t="s">
        <v>194</v>
      </c>
      <c r="L9" s="286"/>
      <c r="M9" s="19"/>
      <c r="N9" s="15"/>
      <c r="O9" s="15"/>
      <c r="AH9" s="661"/>
      <c r="AI9" s="116" t="s">
        <v>167</v>
      </c>
      <c r="AJ9" s="116">
        <v>48.1</v>
      </c>
      <c r="AK9" s="104">
        <v>1.01</v>
      </c>
      <c r="AL9" s="104">
        <v>1.01</v>
      </c>
      <c r="AM9" s="104">
        <v>1.04</v>
      </c>
      <c r="AN9" s="104">
        <v>1.1000000000000001</v>
      </c>
      <c r="AO9" s="104">
        <v>1.17</v>
      </c>
      <c r="AQ9" s="130">
        <f t="shared" si="0"/>
        <v>48.581000000000003</v>
      </c>
      <c r="AR9" s="130">
        <f t="shared" si="0"/>
        <v>48.581000000000003</v>
      </c>
      <c r="AS9" s="131">
        <f t="shared" si="0"/>
        <v>50.024000000000001</v>
      </c>
      <c r="AT9" s="131">
        <f t="shared" si="0"/>
        <v>52.910000000000004</v>
      </c>
      <c r="AU9" s="131">
        <f t="shared" si="0"/>
        <v>56.277000000000001</v>
      </c>
      <c r="AV9" s="132">
        <f>AVERAGE(AS9:AU9)</f>
        <v>53.070333333333338</v>
      </c>
      <c r="AW9" s="132">
        <f>AV9-AJ9</f>
        <v>4.9703333333333362</v>
      </c>
      <c r="AX9" s="133">
        <f>AW9/100</f>
        <v>4.9703333333333363E-2</v>
      </c>
    </row>
    <row r="10" spans="1:50" ht="15.75" thickBot="1" x14ac:dyDescent="0.3">
      <c r="B10" s="2">
        <f t="shared" si="3"/>
        <v>2028</v>
      </c>
      <c r="C10" s="145">
        <f t="shared" ref="C10:C14" si="4">TREND($L$21:$L$22,$K$21:$K$22,B10)</f>
        <v>788270.7207509838</v>
      </c>
      <c r="D10" s="146">
        <v>0</v>
      </c>
      <c r="E10" s="147">
        <f t="shared" si="1"/>
        <v>46705.040204495825</v>
      </c>
      <c r="F10" s="147">
        <v>0</v>
      </c>
      <c r="G10" s="148">
        <f t="shared" si="2"/>
        <v>46705.040204495825</v>
      </c>
      <c r="H10" s="147">
        <f>G10*(1+0.07)^-(B10-Assumptions!$D$4)</f>
        <v>27182.758628092732</v>
      </c>
      <c r="K10" s="65" t="s">
        <v>21</v>
      </c>
      <c r="L10" s="64">
        <f>Assumptions!D14</f>
        <v>0.71936758893280639</v>
      </c>
      <c r="M10" s="18"/>
      <c r="N10" s="15"/>
      <c r="O10" s="15"/>
      <c r="AH10" s="661"/>
      <c r="AI10" s="183" t="s">
        <v>168</v>
      </c>
      <c r="AJ10" s="183">
        <v>130</v>
      </c>
      <c r="AK10" s="251">
        <v>1.01</v>
      </c>
      <c r="AL10" s="251">
        <v>1.02</v>
      </c>
      <c r="AM10" s="251">
        <v>1.04</v>
      </c>
      <c r="AN10" s="251">
        <v>1.08</v>
      </c>
      <c r="AO10" s="251">
        <v>1.1299999999999999</v>
      </c>
      <c r="AQ10" s="252">
        <f t="shared" si="0"/>
        <v>131.30000000000001</v>
      </c>
      <c r="AR10" s="252">
        <f t="shared" si="0"/>
        <v>132.6</v>
      </c>
      <c r="AS10" s="253">
        <f t="shared" si="0"/>
        <v>135.20000000000002</v>
      </c>
      <c r="AT10" s="253">
        <f t="shared" si="0"/>
        <v>140.4</v>
      </c>
      <c r="AU10" s="253">
        <f t="shared" si="0"/>
        <v>146.89999999999998</v>
      </c>
      <c r="AV10" s="254">
        <f>AVERAGE(AS10:AU10)</f>
        <v>140.83333333333334</v>
      </c>
      <c r="AW10" s="254">
        <f>AV10-AJ10</f>
        <v>10.833333333333343</v>
      </c>
      <c r="AX10" s="255">
        <f>AW10/100</f>
        <v>0.10833333333333343</v>
      </c>
    </row>
    <row r="11" spans="1:50" x14ac:dyDescent="0.25">
      <c r="B11" s="2">
        <f t="shared" si="3"/>
        <v>2029</v>
      </c>
      <c r="C11" s="145">
        <f t="shared" si="4"/>
        <v>801046.02371541038</v>
      </c>
      <c r="D11" s="160">
        <v>0</v>
      </c>
      <c r="E11" s="161">
        <f t="shared" si="1"/>
        <v>47461.976905138101</v>
      </c>
      <c r="F11" s="161">
        <v>0</v>
      </c>
      <c r="G11" s="162">
        <f t="shared" si="2"/>
        <v>47461.976905138101</v>
      </c>
      <c r="H11" s="161">
        <f>G11*(1+0.07)^-(B11-Assumptions!$D$4)</f>
        <v>25816.170728454166</v>
      </c>
      <c r="K11" s="65" t="s">
        <v>22</v>
      </c>
      <c r="L11" s="64">
        <f>Assumptions!D15</f>
        <v>0.28063241106719367</v>
      </c>
      <c r="M11" s="15"/>
      <c r="N11" s="15"/>
      <c r="O11" s="15"/>
      <c r="AH11" s="250"/>
      <c r="AI11" s="256" t="s">
        <v>228</v>
      </c>
      <c r="AJ11" s="257">
        <f>Assumptions!D23*100</f>
        <v>45</v>
      </c>
      <c r="AK11" s="258">
        <f>AVERAGE(AK6:AK9)</f>
        <v>1.0125</v>
      </c>
      <c r="AL11" s="258">
        <f t="shared" ref="AL11:AO11" si="5">AVERAGE(AL6:AL9)</f>
        <v>1.02</v>
      </c>
      <c r="AM11" s="258">
        <f t="shared" si="5"/>
        <v>1.0575000000000001</v>
      </c>
      <c r="AN11" s="258">
        <f t="shared" si="5"/>
        <v>1.1299999999999999</v>
      </c>
      <c r="AO11" s="258">
        <f t="shared" si="5"/>
        <v>1.2075</v>
      </c>
      <c r="AP11" s="259"/>
      <c r="AQ11" s="260">
        <f t="shared" si="0"/>
        <v>45.5625</v>
      </c>
      <c r="AR11" s="260">
        <f t="shared" si="0"/>
        <v>45.9</v>
      </c>
      <c r="AS11" s="261">
        <f t="shared" si="0"/>
        <v>47.587500000000006</v>
      </c>
      <c r="AT11" s="261">
        <f t="shared" si="0"/>
        <v>50.849999999999994</v>
      </c>
      <c r="AU11" s="261">
        <f t="shared" si="0"/>
        <v>54.337499999999999</v>
      </c>
      <c r="AV11" s="262">
        <f t="shared" ref="AV11" si="6">AVERAGE(AS11:AU11)</f>
        <v>50.925000000000004</v>
      </c>
      <c r="AW11" s="262">
        <f t="shared" ref="AW11:AW12" si="7">AV11-AJ11</f>
        <v>5.9250000000000043</v>
      </c>
      <c r="AX11" s="270">
        <f t="shared" ref="AX11:AX12" si="8">AW11/100</f>
        <v>5.9250000000000046E-2</v>
      </c>
    </row>
    <row r="12" spans="1:50" ht="15.75" thickBot="1" x14ac:dyDescent="0.3">
      <c r="B12" s="2">
        <f t="shared" si="3"/>
        <v>2030</v>
      </c>
      <c r="C12" s="145">
        <f t="shared" si="4"/>
        <v>813821.32667984068</v>
      </c>
      <c r="D12" s="163">
        <v>0</v>
      </c>
      <c r="E12" s="161">
        <f t="shared" si="1"/>
        <v>48218.913605780595</v>
      </c>
      <c r="F12" s="161">
        <v>0</v>
      </c>
      <c r="G12" s="162">
        <f t="shared" si="2"/>
        <v>48218.913605780595</v>
      </c>
      <c r="H12" s="161">
        <f>G12*(1+0.07)^-(B12-Assumptions!$D$4)</f>
        <v>24512.05059900368</v>
      </c>
      <c r="M12" s="15"/>
      <c r="N12" s="15"/>
      <c r="O12" s="15"/>
      <c r="AH12" s="250"/>
      <c r="AI12" s="263" t="s">
        <v>227</v>
      </c>
      <c r="AJ12" s="264">
        <f>Assumptions!D24*100</f>
        <v>94</v>
      </c>
      <c r="AK12" s="265">
        <f>AK10</f>
        <v>1.01</v>
      </c>
      <c r="AL12" s="265">
        <f t="shared" ref="AL12:AO12" si="9">AL10</f>
        <v>1.02</v>
      </c>
      <c r="AM12" s="265">
        <f t="shared" si="9"/>
        <v>1.04</v>
      </c>
      <c r="AN12" s="265">
        <f t="shared" si="9"/>
        <v>1.08</v>
      </c>
      <c r="AO12" s="265">
        <f t="shared" si="9"/>
        <v>1.1299999999999999</v>
      </c>
      <c r="AP12" s="266"/>
      <c r="AQ12" s="267">
        <f t="shared" si="0"/>
        <v>94.94</v>
      </c>
      <c r="AR12" s="267">
        <f t="shared" si="0"/>
        <v>95.88</v>
      </c>
      <c r="AS12" s="268">
        <f t="shared" si="0"/>
        <v>97.76</v>
      </c>
      <c r="AT12" s="268">
        <f t="shared" si="0"/>
        <v>101.52000000000001</v>
      </c>
      <c r="AU12" s="268">
        <f t="shared" si="0"/>
        <v>106.21999999999998</v>
      </c>
      <c r="AV12" s="269">
        <f>AVERAGE(AS12:AU12)</f>
        <v>101.83333333333333</v>
      </c>
      <c r="AW12" s="269">
        <f t="shared" si="7"/>
        <v>7.8333333333333286</v>
      </c>
      <c r="AX12" s="271">
        <f t="shared" si="8"/>
        <v>7.8333333333333283E-2</v>
      </c>
    </row>
    <row r="13" spans="1:50" ht="15" customHeight="1" x14ac:dyDescent="0.25">
      <c r="B13" s="2">
        <f t="shared" si="3"/>
        <v>2031</v>
      </c>
      <c r="C13" s="145">
        <f t="shared" si="4"/>
        <v>826596.62964426726</v>
      </c>
      <c r="D13" s="163">
        <v>0</v>
      </c>
      <c r="E13" s="161">
        <f t="shared" si="1"/>
        <v>48975.850306422872</v>
      </c>
      <c r="F13" s="161">
        <v>0</v>
      </c>
      <c r="G13" s="162">
        <f t="shared" si="2"/>
        <v>48975.850306422872</v>
      </c>
      <c r="H13" s="161">
        <f>G13*(1+0.07)^-(B13-Assumptions!$D$4)</f>
        <v>23268.073677538287</v>
      </c>
      <c r="K13" s="286" t="s">
        <v>253</v>
      </c>
      <c r="L13" s="51"/>
      <c r="M13" s="19"/>
      <c r="N13" s="15"/>
      <c r="O13" s="15"/>
    </row>
    <row r="14" spans="1:50" x14ac:dyDescent="0.25">
      <c r="B14" s="2">
        <f t="shared" si="3"/>
        <v>2032</v>
      </c>
      <c r="C14" s="145">
        <f t="shared" si="4"/>
        <v>839371.93260869384</v>
      </c>
      <c r="D14" s="163">
        <v>0</v>
      </c>
      <c r="E14" s="161">
        <f t="shared" si="1"/>
        <v>49732.787007065148</v>
      </c>
      <c r="F14" s="161">
        <v>0</v>
      </c>
      <c r="G14" s="162">
        <f t="shared" si="2"/>
        <v>49732.787007065148</v>
      </c>
      <c r="H14" s="161">
        <f>G14*(1+0.07)^-(B14-Assumptions!$D$4)</f>
        <v>22081.952197509181</v>
      </c>
      <c r="K14" s="282" t="s">
        <v>241</v>
      </c>
      <c r="L14" s="291">
        <f>9.26-4</f>
        <v>5.26</v>
      </c>
      <c r="M14" s="19"/>
      <c r="N14" s="15"/>
      <c r="O14" s="15"/>
      <c r="AI14" s="287" t="s">
        <v>169</v>
      </c>
      <c r="AJ14" s="287">
        <v>63.4</v>
      </c>
      <c r="AK14" s="287" t="s">
        <v>170</v>
      </c>
    </row>
    <row r="15" spans="1:50" x14ac:dyDescent="0.25">
      <c r="B15" s="2">
        <f t="shared" si="3"/>
        <v>2033</v>
      </c>
      <c r="C15" s="145">
        <v>0</v>
      </c>
      <c r="D15" s="163">
        <v>0</v>
      </c>
      <c r="E15" s="161">
        <f t="shared" si="1"/>
        <v>0</v>
      </c>
      <c r="F15" s="161">
        <v>0</v>
      </c>
      <c r="G15" s="162">
        <f t="shared" si="2"/>
        <v>0</v>
      </c>
      <c r="H15" s="161">
        <f>G15*(1+0.07)^-(B15-Assumptions!$D$4)</f>
        <v>0</v>
      </c>
      <c r="K15" s="282" t="s">
        <v>125</v>
      </c>
      <c r="L15" s="282" t="s">
        <v>200</v>
      </c>
      <c r="M15" s="49"/>
      <c r="N15" s="15"/>
      <c r="O15" s="15"/>
      <c r="AI15" s="287" t="s">
        <v>171</v>
      </c>
      <c r="AJ15" s="287">
        <f>AJ14*3</f>
        <v>190.2</v>
      </c>
      <c r="AK15" s="287" t="s">
        <v>170</v>
      </c>
      <c r="AL15" s="287" t="s">
        <v>172</v>
      </c>
    </row>
    <row r="16" spans="1:50" x14ac:dyDescent="0.25">
      <c r="B16" s="2">
        <f t="shared" si="3"/>
        <v>2034</v>
      </c>
      <c r="C16" s="145">
        <v>0</v>
      </c>
      <c r="D16" s="163">
        <v>0</v>
      </c>
      <c r="E16" s="161">
        <f t="shared" si="1"/>
        <v>0</v>
      </c>
      <c r="F16" s="161">
        <v>0</v>
      </c>
      <c r="G16" s="162">
        <f t="shared" si="2"/>
        <v>0</v>
      </c>
      <c r="H16" s="161">
        <f>G16*(1+0.07)^-(B16-Assumptions!$D$4)</f>
        <v>0</v>
      </c>
      <c r="K16" s="282">
        <v>2021</v>
      </c>
      <c r="L16" s="282">
        <v>506</v>
      </c>
      <c r="M16" s="18" t="s">
        <v>245</v>
      </c>
      <c r="N16" s="15"/>
      <c r="O16" s="15"/>
      <c r="AI16" s="287" t="s">
        <v>173</v>
      </c>
      <c r="AJ16" s="287">
        <f>AJ14*4</f>
        <v>253.6</v>
      </c>
      <c r="AK16" s="287" t="s">
        <v>170</v>
      </c>
      <c r="AL16" s="287" t="s">
        <v>174</v>
      </c>
    </row>
    <row r="17" spans="1:48" x14ac:dyDescent="0.25">
      <c r="B17" s="2">
        <f t="shared" si="3"/>
        <v>2035</v>
      </c>
      <c r="C17" s="145">
        <v>0</v>
      </c>
      <c r="D17" s="163">
        <v>0</v>
      </c>
      <c r="E17" s="161">
        <f t="shared" si="1"/>
        <v>0</v>
      </c>
      <c r="F17" s="161">
        <v>0</v>
      </c>
      <c r="G17" s="162">
        <f t="shared" si="2"/>
        <v>0</v>
      </c>
      <c r="H17" s="161">
        <f>G17*(1+0.07)^-(B17-Assumptions!$D$4)</f>
        <v>0</v>
      </c>
      <c r="K17" s="282">
        <v>2041</v>
      </c>
      <c r="L17" s="282">
        <v>691</v>
      </c>
      <c r="M17" s="18" t="s">
        <v>245</v>
      </c>
      <c r="N17" s="15"/>
      <c r="O17" s="15"/>
    </row>
    <row r="18" spans="1:48" x14ac:dyDescent="0.25">
      <c r="B18" s="2">
        <f t="shared" si="3"/>
        <v>2036</v>
      </c>
      <c r="C18" s="145">
        <v>0</v>
      </c>
      <c r="D18" s="163">
        <v>0</v>
      </c>
      <c r="E18" s="161">
        <f t="shared" si="1"/>
        <v>0</v>
      </c>
      <c r="F18" s="161">
        <v>0</v>
      </c>
      <c r="G18" s="162">
        <f t="shared" si="2"/>
        <v>0</v>
      </c>
      <c r="H18" s="161">
        <f>G18*(1+0.07)^-(B18-Assumptions!$D$4)</f>
        <v>0</v>
      </c>
      <c r="N18" s="15"/>
      <c r="O18" s="15"/>
      <c r="AT18" s="134"/>
    </row>
    <row r="19" spans="1:48" x14ac:dyDescent="0.25">
      <c r="B19" s="2">
        <f t="shared" si="3"/>
        <v>2037</v>
      </c>
      <c r="C19" s="145">
        <v>0</v>
      </c>
      <c r="D19" s="163">
        <v>0</v>
      </c>
      <c r="E19" s="161">
        <f t="shared" si="1"/>
        <v>0</v>
      </c>
      <c r="F19" s="161">
        <v>0</v>
      </c>
      <c r="G19" s="162">
        <f t="shared" si="2"/>
        <v>0</v>
      </c>
      <c r="H19" s="161">
        <f>G19*(1+0.07)^-(B19-Assumptions!$D$4)</f>
        <v>0</v>
      </c>
      <c r="K19" s="286" t="s">
        <v>254</v>
      </c>
      <c r="N19" s="15"/>
      <c r="O19" s="15"/>
      <c r="AI19" s="287" t="s">
        <v>219</v>
      </c>
      <c r="AT19" s="134"/>
    </row>
    <row r="20" spans="1:48" ht="14.25" customHeight="1" x14ac:dyDescent="0.25">
      <c r="B20" s="2">
        <f t="shared" si="3"/>
        <v>2038</v>
      </c>
      <c r="C20" s="145">
        <v>0</v>
      </c>
      <c r="D20" s="163">
        <v>0</v>
      </c>
      <c r="E20" s="161">
        <f t="shared" si="1"/>
        <v>0</v>
      </c>
      <c r="F20" s="161">
        <v>0</v>
      </c>
      <c r="G20" s="162">
        <f t="shared" si="2"/>
        <v>0</v>
      </c>
      <c r="H20" s="161">
        <f>G20*(1+0.07)^-(B20-Assumptions!$D$4)</f>
        <v>0</v>
      </c>
      <c r="K20" s="282" t="s">
        <v>125</v>
      </c>
      <c r="L20" s="282" t="s">
        <v>177</v>
      </c>
    </row>
    <row r="21" spans="1:48" x14ac:dyDescent="0.25">
      <c r="B21" s="2">
        <f t="shared" si="3"/>
        <v>2039</v>
      </c>
      <c r="C21" s="145">
        <v>0</v>
      </c>
      <c r="D21" s="163">
        <v>0</v>
      </c>
      <c r="E21" s="161">
        <f t="shared" si="1"/>
        <v>0</v>
      </c>
      <c r="F21" s="161">
        <v>0</v>
      </c>
      <c r="G21" s="162">
        <f t="shared" si="2"/>
        <v>0</v>
      </c>
      <c r="H21" s="161">
        <f>G21*(1+0.07)^-(B21-Assumptions!$D$4)</f>
        <v>0</v>
      </c>
      <c r="K21" s="282">
        <v>2021</v>
      </c>
      <c r="L21" s="178">
        <f>L14*L16*L10*365</f>
        <v>698843.60000000009</v>
      </c>
      <c r="AT21" s="135"/>
      <c r="AU21" s="136"/>
      <c r="AV21" s="136"/>
    </row>
    <row r="22" spans="1:48" x14ac:dyDescent="0.25">
      <c r="B22" s="2">
        <f t="shared" si="3"/>
        <v>2040</v>
      </c>
      <c r="C22" s="145">
        <v>0</v>
      </c>
      <c r="D22" s="163">
        <v>0</v>
      </c>
      <c r="E22" s="161">
        <f t="shared" si="1"/>
        <v>0</v>
      </c>
      <c r="F22" s="161">
        <v>0</v>
      </c>
      <c r="G22" s="162">
        <f t="shared" si="2"/>
        <v>0</v>
      </c>
      <c r="H22" s="161">
        <f>G22*(1+0.07)^-(B22-Assumptions!$D$4)</f>
        <v>0</v>
      </c>
      <c r="K22" s="282">
        <v>2041</v>
      </c>
      <c r="L22" s="178">
        <f>L14*L17*L10*365</f>
        <v>954349.65928853757</v>
      </c>
      <c r="AT22" s="135"/>
      <c r="AU22" s="137"/>
      <c r="AV22" s="137"/>
    </row>
    <row r="23" spans="1:48" x14ac:dyDescent="0.25">
      <c r="B23" s="2">
        <f t="shared" si="3"/>
        <v>2041</v>
      </c>
      <c r="C23" s="145">
        <v>0</v>
      </c>
      <c r="D23" s="163">
        <v>0</v>
      </c>
      <c r="E23" s="161">
        <f t="shared" si="1"/>
        <v>0</v>
      </c>
      <c r="F23" s="161">
        <v>0</v>
      </c>
      <c r="G23" s="162">
        <f t="shared" si="2"/>
        <v>0</v>
      </c>
      <c r="H23" s="161">
        <f>G23*(1+0.07)^-(B23-Assumptions!$D$4)</f>
        <v>0</v>
      </c>
      <c r="U23" s="6" t="s">
        <v>149</v>
      </c>
      <c r="AT23" s="135"/>
      <c r="AU23" s="137"/>
      <c r="AV23" s="137"/>
    </row>
    <row r="24" spans="1:48" x14ac:dyDescent="0.25">
      <c r="B24" s="2">
        <f t="shared" si="3"/>
        <v>2042</v>
      </c>
      <c r="C24" s="145">
        <v>0</v>
      </c>
      <c r="D24" s="163">
        <v>0</v>
      </c>
      <c r="E24" s="161">
        <f t="shared" si="1"/>
        <v>0</v>
      </c>
      <c r="F24" s="161">
        <v>0</v>
      </c>
      <c r="G24" s="162">
        <f t="shared" si="2"/>
        <v>0</v>
      </c>
      <c r="H24" s="161">
        <f>G24*(1+0.07)^-(B24-Assumptions!$D$4)</f>
        <v>0</v>
      </c>
      <c r="U24" s="6" t="s">
        <v>150</v>
      </c>
    </row>
    <row r="25" spans="1:48" ht="15" customHeight="1" thickBot="1" x14ac:dyDescent="0.3">
      <c r="B25" s="3">
        <f t="shared" si="3"/>
        <v>2043</v>
      </c>
      <c r="C25" s="175">
        <v>0</v>
      </c>
      <c r="D25" s="164">
        <v>0</v>
      </c>
      <c r="E25" s="165">
        <f t="shared" si="1"/>
        <v>0</v>
      </c>
      <c r="F25" s="165">
        <v>0</v>
      </c>
      <c r="G25" s="166">
        <f t="shared" si="2"/>
        <v>0</v>
      </c>
      <c r="H25" s="165">
        <f>G25*(1+0.07)^-(B25-Assumptions!$D$4)</f>
        <v>0</v>
      </c>
      <c r="U25" s="663" t="s">
        <v>226</v>
      </c>
      <c r="V25" s="663"/>
      <c r="W25" s="663"/>
      <c r="X25" s="663"/>
      <c r="Y25" s="663"/>
      <c r="Z25" s="663"/>
      <c r="AA25" s="663"/>
      <c r="AB25" s="663"/>
      <c r="AC25" s="663"/>
      <c r="AD25" s="663"/>
      <c r="AE25" s="663"/>
    </row>
    <row r="26" spans="1:48" ht="15" customHeight="1" thickBot="1" x14ac:dyDescent="0.3">
      <c r="B26" s="4"/>
      <c r="C26" s="46"/>
      <c r="D26" s="46"/>
      <c r="E26" s="46"/>
      <c r="F26" s="46"/>
      <c r="G26" s="243">
        <f>SUM(G6:G25)</f>
        <v>241094.56802890252</v>
      </c>
      <c r="H26" s="243">
        <f>SUM(H6:H25)</f>
        <v>122861.00583059803</v>
      </c>
      <c r="U26" s="663"/>
      <c r="V26" s="663"/>
      <c r="W26" s="663"/>
      <c r="X26" s="663"/>
      <c r="Y26" s="663"/>
      <c r="Z26" s="663"/>
      <c r="AA26" s="663"/>
      <c r="AB26" s="663"/>
      <c r="AC26" s="663"/>
      <c r="AD26" s="663"/>
      <c r="AE26" s="663"/>
    </row>
    <row r="27" spans="1:48" x14ac:dyDescent="0.25">
      <c r="C27" s="570"/>
      <c r="D27" s="570"/>
      <c r="E27" s="570"/>
      <c r="F27" s="570"/>
      <c r="G27" s="570"/>
      <c r="H27" s="570"/>
      <c r="I27" s="24"/>
      <c r="U27" s="129" t="s">
        <v>151</v>
      </c>
      <c r="Y27" s="287" t="s">
        <v>220</v>
      </c>
    </row>
    <row r="28" spans="1:48" x14ac:dyDescent="0.25">
      <c r="A28" s="15"/>
      <c r="B28" s="16" t="s">
        <v>3</v>
      </c>
      <c r="C28" s="15"/>
      <c r="D28" s="15"/>
      <c r="E28" s="15"/>
      <c r="F28" s="15"/>
      <c r="G28" s="15"/>
      <c r="I28" s="20"/>
      <c r="J28" s="20"/>
      <c r="K28" s="18"/>
    </row>
    <row r="29" spans="1:48" ht="15" customHeight="1" x14ac:dyDescent="0.25">
      <c r="A29" s="60" t="s">
        <v>9</v>
      </c>
      <c r="B29" s="645" t="s">
        <v>608</v>
      </c>
      <c r="C29" s="645"/>
      <c r="D29" s="645"/>
      <c r="E29" s="645"/>
      <c r="F29" s="645"/>
      <c r="G29" s="645"/>
      <c r="H29" s="645"/>
      <c r="I29" s="20"/>
      <c r="J29" s="20"/>
      <c r="K29" s="18"/>
    </row>
    <row r="30" spans="1:48" x14ac:dyDescent="0.25">
      <c r="A30" s="15"/>
      <c r="B30" s="645"/>
      <c r="C30" s="645"/>
      <c r="D30" s="645"/>
      <c r="E30" s="645"/>
      <c r="F30" s="645"/>
      <c r="G30" s="645"/>
      <c r="H30" s="645"/>
      <c r="I30" s="32"/>
      <c r="J30" s="28"/>
      <c r="K30" s="18"/>
      <c r="AI30" s="129"/>
    </row>
    <row r="31" spans="1:48" x14ac:dyDescent="0.25">
      <c r="A31" s="15"/>
      <c r="B31" s="645"/>
      <c r="C31" s="645"/>
      <c r="D31" s="645"/>
      <c r="E31" s="645"/>
      <c r="F31" s="645"/>
      <c r="G31" s="645"/>
      <c r="H31" s="645"/>
      <c r="I31" s="32"/>
      <c r="J31" s="33"/>
      <c r="K31" s="18"/>
    </row>
    <row r="32" spans="1:48" x14ac:dyDescent="0.25">
      <c r="A32" s="15"/>
      <c r="B32" s="645"/>
      <c r="C32" s="645"/>
      <c r="D32" s="645"/>
      <c r="E32" s="645"/>
      <c r="F32" s="645"/>
      <c r="G32" s="645"/>
      <c r="H32" s="645"/>
      <c r="J32" s="32"/>
      <c r="K32" s="18"/>
    </row>
    <row r="33" spans="1:35" ht="15" customHeight="1" x14ac:dyDescent="0.25">
      <c r="A33" s="15"/>
      <c r="B33" s="76"/>
      <c r="C33" s="76"/>
      <c r="D33" s="76"/>
      <c r="E33" s="76"/>
      <c r="F33" s="76"/>
      <c r="G33" s="76"/>
      <c r="J33" s="32"/>
      <c r="K33" s="18"/>
    </row>
    <row r="34" spans="1:35" ht="15" customHeight="1" x14ac:dyDescent="0.25">
      <c r="A34" s="60" t="s">
        <v>8</v>
      </c>
      <c r="B34" s="645" t="s">
        <v>384</v>
      </c>
      <c r="C34" s="645"/>
      <c r="D34" s="645"/>
      <c r="E34" s="645"/>
      <c r="F34" s="645"/>
      <c r="G34" s="645"/>
      <c r="H34" s="645"/>
      <c r="J34" s="32"/>
      <c r="K34" s="18"/>
    </row>
    <row r="35" spans="1:35" ht="15" customHeight="1" x14ac:dyDescent="0.25">
      <c r="A35" s="60"/>
      <c r="B35" s="645"/>
      <c r="C35" s="645"/>
      <c r="D35" s="645"/>
      <c r="E35" s="645"/>
      <c r="F35" s="645"/>
      <c r="G35" s="645"/>
      <c r="H35" s="645"/>
      <c r="J35" s="32"/>
      <c r="K35" s="18"/>
    </row>
    <row r="36" spans="1:35" ht="15" customHeight="1" x14ac:dyDescent="0.25">
      <c r="A36" s="60"/>
      <c r="B36" s="645"/>
      <c r="C36" s="645"/>
      <c r="D36" s="645"/>
      <c r="E36" s="645"/>
      <c r="F36" s="645"/>
      <c r="G36" s="645"/>
      <c r="H36" s="645"/>
      <c r="J36" s="32"/>
      <c r="K36" s="18"/>
    </row>
    <row r="37" spans="1:35" ht="15" customHeight="1" x14ac:dyDescent="0.25">
      <c r="A37" s="60" t="s">
        <v>10</v>
      </c>
      <c r="B37" s="645" t="s">
        <v>628</v>
      </c>
      <c r="C37" s="645"/>
      <c r="D37" s="645"/>
      <c r="E37" s="645"/>
      <c r="F37" s="645"/>
      <c r="G37" s="645"/>
      <c r="H37" s="645"/>
      <c r="J37" s="21"/>
      <c r="K37" s="18"/>
    </row>
    <row r="38" spans="1:35" x14ac:dyDescent="0.25">
      <c r="A38" s="15"/>
      <c r="B38" s="645"/>
      <c r="C38" s="645"/>
      <c r="D38" s="645"/>
      <c r="E38" s="645"/>
      <c r="F38" s="645"/>
      <c r="G38" s="645"/>
      <c r="H38" s="645"/>
      <c r="J38" s="21"/>
      <c r="K38" s="18"/>
    </row>
    <row r="39" spans="1:35" ht="15" customHeight="1" x14ac:dyDescent="0.25">
      <c r="A39" s="15"/>
      <c r="B39" s="645"/>
      <c r="C39" s="645"/>
      <c r="D39" s="645"/>
      <c r="E39" s="645"/>
      <c r="F39" s="645"/>
      <c r="G39" s="645"/>
      <c r="H39" s="645"/>
      <c r="I39" s="15"/>
      <c r="J39" s="21"/>
      <c r="K39" s="18"/>
    </row>
    <row r="40" spans="1:35" ht="15" customHeight="1" x14ac:dyDescent="0.25">
      <c r="A40" s="15"/>
      <c r="B40" s="76"/>
      <c r="C40" s="76"/>
      <c r="D40" s="76"/>
      <c r="E40" s="76"/>
      <c r="F40" s="76"/>
      <c r="G40" s="76"/>
      <c r="K40" s="18"/>
    </row>
    <row r="41" spans="1:35" ht="15" customHeight="1" x14ac:dyDescent="0.25">
      <c r="A41" s="15"/>
      <c r="B41" s="76"/>
      <c r="C41" s="76"/>
      <c r="D41" s="76"/>
      <c r="E41" s="76"/>
      <c r="F41" s="76"/>
      <c r="G41" s="76"/>
      <c r="K41" s="18"/>
    </row>
    <row r="42" spans="1:35" ht="15" customHeight="1" x14ac:dyDescent="0.25">
      <c r="A42" s="60" t="s">
        <v>11</v>
      </c>
      <c r="B42" s="645" t="s">
        <v>381</v>
      </c>
      <c r="C42" s="645"/>
      <c r="D42" s="645"/>
      <c r="E42" s="645"/>
      <c r="F42" s="645"/>
      <c r="G42" s="645"/>
      <c r="H42" s="645"/>
      <c r="K42" s="18"/>
    </row>
    <row r="43" spans="1:35" x14ac:dyDescent="0.25">
      <c r="A43" s="15"/>
      <c r="B43" s="645"/>
      <c r="C43" s="645"/>
      <c r="D43" s="645"/>
      <c r="E43" s="645"/>
      <c r="F43" s="645"/>
      <c r="G43" s="645"/>
      <c r="H43" s="645"/>
      <c r="K43" s="18"/>
    </row>
    <row r="44" spans="1:35" ht="15" customHeight="1" x14ac:dyDescent="0.25">
      <c r="A44" s="15"/>
      <c r="B44" s="645"/>
      <c r="C44" s="645"/>
      <c r="D44" s="645"/>
      <c r="E44" s="645"/>
      <c r="F44" s="645"/>
      <c r="G44" s="645"/>
      <c r="H44" s="645"/>
      <c r="K44" s="18"/>
    </row>
    <row r="45" spans="1:35" x14ac:dyDescent="0.25">
      <c r="A45" s="15"/>
      <c r="B45" s="645"/>
      <c r="C45" s="645"/>
      <c r="D45" s="645"/>
      <c r="E45" s="645"/>
      <c r="F45" s="645"/>
      <c r="G45" s="645"/>
      <c r="H45" s="645"/>
      <c r="K45" s="18"/>
    </row>
    <row r="46" spans="1:35" ht="15" customHeight="1" x14ac:dyDescent="0.25">
      <c r="B46" s="76"/>
      <c r="C46" s="76"/>
      <c r="D46" s="76"/>
      <c r="E46" s="76"/>
      <c r="F46" s="76"/>
      <c r="G46" s="76"/>
      <c r="H46" s="15"/>
      <c r="K46" s="18"/>
    </row>
    <row r="47" spans="1:35" ht="15" customHeight="1" x14ac:dyDescent="0.25">
      <c r="A47" s="60" t="s">
        <v>58</v>
      </c>
      <c r="B47" s="645" t="s">
        <v>609</v>
      </c>
      <c r="C47" s="645"/>
      <c r="D47" s="645"/>
      <c r="E47" s="645"/>
      <c r="F47" s="645"/>
      <c r="G47" s="645"/>
      <c r="H47" s="645"/>
      <c r="K47" s="18"/>
    </row>
    <row r="48" spans="1:35" ht="15" customHeight="1" x14ac:dyDescent="0.25">
      <c r="A48" s="15"/>
      <c r="B48" s="645"/>
      <c r="C48" s="645"/>
      <c r="D48" s="645"/>
      <c r="E48" s="645"/>
      <c r="F48" s="645"/>
      <c r="G48" s="645"/>
      <c r="H48" s="645"/>
      <c r="K48" s="18"/>
      <c r="AI48" s="6" t="s">
        <v>149</v>
      </c>
    </row>
    <row r="49" spans="1:35" x14ac:dyDescent="0.25">
      <c r="A49" s="60"/>
      <c r="B49" s="645"/>
      <c r="C49" s="645"/>
      <c r="D49" s="645"/>
      <c r="E49" s="645"/>
      <c r="F49" s="645"/>
      <c r="G49" s="645"/>
      <c r="H49" s="645"/>
      <c r="K49" s="18"/>
      <c r="AI49" s="6" t="s">
        <v>150</v>
      </c>
    </row>
    <row r="50" spans="1:35" x14ac:dyDescent="0.25">
      <c r="A50" s="15"/>
      <c r="B50" s="645"/>
      <c r="C50" s="645"/>
      <c r="D50" s="645"/>
      <c r="E50" s="645"/>
      <c r="F50" s="645"/>
      <c r="G50" s="645"/>
      <c r="H50" s="645"/>
      <c r="K50" s="18"/>
      <c r="P50" s="9"/>
      <c r="Q50" s="9"/>
      <c r="R50" s="9"/>
      <c r="S50" s="9"/>
      <c r="T50" s="9"/>
      <c r="U50" s="6" t="s">
        <v>149</v>
      </c>
    </row>
    <row r="51" spans="1:35" ht="15" customHeight="1" x14ac:dyDescent="0.25">
      <c r="B51" s="76"/>
      <c r="C51" s="76"/>
      <c r="D51" s="76"/>
      <c r="E51" s="76"/>
      <c r="F51" s="76"/>
      <c r="G51" s="76"/>
      <c r="K51" s="18"/>
      <c r="P51" s="9"/>
      <c r="Q51" s="9"/>
      <c r="R51" s="9"/>
      <c r="S51" s="9"/>
      <c r="T51" s="9"/>
      <c r="U51" s="6" t="s">
        <v>150</v>
      </c>
    </row>
    <row r="52" spans="1:35" x14ac:dyDescent="0.25">
      <c r="A52" s="60" t="s">
        <v>60</v>
      </c>
      <c r="B52" s="645" t="s">
        <v>611</v>
      </c>
      <c r="C52" s="645"/>
      <c r="D52" s="645"/>
      <c r="E52" s="645"/>
      <c r="F52" s="645"/>
      <c r="G52" s="645"/>
      <c r="K52" s="18"/>
      <c r="P52" s="9"/>
      <c r="Q52" s="9"/>
      <c r="R52" s="9"/>
      <c r="S52" s="9"/>
      <c r="T52" s="9"/>
      <c r="U52" s="129" t="s">
        <v>151</v>
      </c>
      <c r="Y52" s="287" t="s">
        <v>220</v>
      </c>
    </row>
    <row r="53" spans="1:35" x14ac:dyDescent="0.25">
      <c r="A53" s="543"/>
      <c r="B53" s="645"/>
      <c r="C53" s="645"/>
      <c r="D53" s="645"/>
      <c r="E53" s="645"/>
      <c r="F53" s="645"/>
      <c r="G53" s="645"/>
      <c r="K53" s="18"/>
      <c r="P53" s="9"/>
      <c r="Q53" s="9"/>
      <c r="R53" s="9"/>
      <c r="S53" s="9"/>
      <c r="T53" s="9"/>
    </row>
    <row r="54" spans="1:35" x14ac:dyDescent="0.25">
      <c r="A54" s="543"/>
      <c r="K54" s="127"/>
      <c r="L54" s="128"/>
      <c r="P54" s="9"/>
      <c r="Q54" s="9"/>
      <c r="R54" s="9"/>
      <c r="S54" s="9"/>
      <c r="T54" s="9"/>
      <c r="U54" s="138"/>
    </row>
    <row r="55" spans="1:35" x14ac:dyDescent="0.25">
      <c r="A55" s="543"/>
      <c r="P55" s="9"/>
      <c r="Q55" s="9"/>
      <c r="R55" s="9"/>
      <c r="S55" s="9"/>
      <c r="T55" s="9"/>
      <c r="U55" s="138"/>
    </row>
    <row r="56" spans="1:35" x14ac:dyDescent="0.25">
      <c r="A56" s="543"/>
      <c r="B56" s="543"/>
      <c r="C56" s="543"/>
      <c r="D56" s="543"/>
      <c r="E56" s="543"/>
      <c r="F56" s="543"/>
      <c r="G56" s="543"/>
      <c r="P56" s="9"/>
      <c r="Q56" s="9"/>
      <c r="R56" s="9"/>
      <c r="S56" s="9"/>
      <c r="T56" s="9"/>
    </row>
    <row r="57" spans="1:35" x14ac:dyDescent="0.25">
      <c r="A57" s="543"/>
      <c r="B57" s="543"/>
      <c r="C57" s="543"/>
      <c r="D57" s="543"/>
      <c r="E57" s="543"/>
      <c r="F57" s="543"/>
      <c r="G57" s="543"/>
      <c r="P57" s="9"/>
      <c r="Q57" s="9"/>
      <c r="R57" s="9"/>
      <c r="S57" s="9"/>
      <c r="T57" s="9"/>
    </row>
    <row r="58" spans="1:35" x14ac:dyDescent="0.25">
      <c r="A58" s="543"/>
      <c r="B58" s="543"/>
      <c r="C58" s="543"/>
      <c r="D58" s="543"/>
      <c r="E58" s="543"/>
      <c r="F58" s="543"/>
      <c r="G58" s="543"/>
      <c r="P58" s="9"/>
      <c r="Q58" s="9"/>
      <c r="R58" s="9"/>
      <c r="S58" s="9"/>
      <c r="T58" s="9"/>
    </row>
    <row r="59" spans="1:35" x14ac:dyDescent="0.25">
      <c r="P59" s="9"/>
      <c r="Q59" s="9"/>
      <c r="R59" s="9"/>
      <c r="S59" s="9"/>
      <c r="T59" s="9"/>
    </row>
    <row r="60" spans="1:35" x14ac:dyDescent="0.25">
      <c r="P60" s="9"/>
      <c r="Q60" s="9"/>
      <c r="R60" s="9"/>
      <c r="S60" s="9"/>
      <c r="T60" s="9"/>
    </row>
    <row r="61" spans="1:35" x14ac:dyDescent="0.25">
      <c r="P61" s="9"/>
      <c r="Q61" s="9"/>
      <c r="R61" s="9"/>
      <c r="S61" s="9"/>
      <c r="T61" s="9"/>
    </row>
    <row r="62" spans="1:35" x14ac:dyDescent="0.25">
      <c r="P62" s="9"/>
      <c r="Q62" s="9"/>
      <c r="R62" s="9"/>
      <c r="S62" s="9"/>
      <c r="T62" s="9"/>
    </row>
    <row r="63" spans="1:35" x14ac:dyDescent="0.25">
      <c r="P63" s="9"/>
      <c r="Q63" s="9"/>
      <c r="R63" s="9"/>
      <c r="S63" s="9"/>
      <c r="T63" s="9"/>
    </row>
    <row r="64" spans="1:35" x14ac:dyDescent="0.25">
      <c r="P64" s="9"/>
      <c r="Q64" s="9"/>
      <c r="R64" s="9"/>
      <c r="S64" s="9"/>
      <c r="T64" s="9"/>
    </row>
    <row r="65" spans="16:22" x14ac:dyDescent="0.25">
      <c r="P65" s="9"/>
      <c r="Q65" s="9"/>
      <c r="R65" s="9"/>
      <c r="S65" s="9"/>
      <c r="T65" s="9"/>
    </row>
    <row r="66" spans="16:22" x14ac:dyDescent="0.25">
      <c r="P66" s="9"/>
      <c r="Q66" s="9"/>
      <c r="R66" s="9"/>
      <c r="S66" s="9"/>
      <c r="T66" s="9"/>
      <c r="U66" s="9"/>
      <c r="V66" s="9"/>
    </row>
    <row r="67" spans="16:22" x14ac:dyDescent="0.25">
      <c r="P67" s="9"/>
      <c r="Q67" s="9"/>
      <c r="R67" s="9"/>
      <c r="S67" s="9"/>
      <c r="T67" s="9"/>
      <c r="U67" s="9"/>
      <c r="V67" s="9"/>
    </row>
    <row r="68" spans="16:22" x14ac:dyDescent="0.25">
      <c r="P68" s="9"/>
      <c r="Q68" s="9"/>
      <c r="R68" s="9"/>
      <c r="S68" s="9"/>
      <c r="T68" s="9"/>
      <c r="U68" s="9"/>
      <c r="V68" s="9"/>
    </row>
    <row r="69" spans="16:22" x14ac:dyDescent="0.25">
      <c r="P69" s="9"/>
      <c r="Q69" s="9"/>
      <c r="R69" s="9"/>
      <c r="S69" s="9"/>
      <c r="T69" s="9"/>
      <c r="U69" s="9"/>
      <c r="V69" s="9"/>
    </row>
    <row r="70" spans="16:22" x14ac:dyDescent="0.25">
      <c r="P70" s="9"/>
      <c r="Q70" s="9"/>
      <c r="R70" s="9"/>
      <c r="S70" s="9"/>
      <c r="T70" s="9"/>
      <c r="U70" s="9"/>
      <c r="V70" s="9"/>
    </row>
    <row r="71" spans="16:22" x14ac:dyDescent="0.25">
      <c r="P71" s="9"/>
      <c r="Q71" s="9"/>
      <c r="R71" s="9"/>
      <c r="S71" s="9"/>
      <c r="T71" s="9"/>
      <c r="U71" s="9"/>
      <c r="V71" s="9"/>
    </row>
    <row r="72" spans="16:22" x14ac:dyDescent="0.25">
      <c r="P72" s="9"/>
      <c r="Q72" s="9"/>
      <c r="R72" s="9"/>
      <c r="S72" s="9"/>
      <c r="T72" s="9"/>
      <c r="U72" s="9"/>
      <c r="V72" s="9"/>
    </row>
  </sheetData>
  <mergeCells count="23">
    <mergeCell ref="B52:G53"/>
    <mergeCell ref="AJ3:AJ5"/>
    <mergeCell ref="AK3:AO3"/>
    <mergeCell ref="B29:H32"/>
    <mergeCell ref="B34:H36"/>
    <mergeCell ref="B37:H39"/>
    <mergeCell ref="B42:H45"/>
    <mergeCell ref="B47:H50"/>
    <mergeCell ref="AH6:AH10"/>
    <mergeCell ref="U25:AE26"/>
    <mergeCell ref="B4:B5"/>
    <mergeCell ref="C4:C5"/>
    <mergeCell ref="D4:D5"/>
    <mergeCell ref="E4:E5"/>
    <mergeCell ref="F4:F5"/>
    <mergeCell ref="G4:G5"/>
    <mergeCell ref="AQ3:AU3"/>
    <mergeCell ref="AW3:AX3"/>
    <mergeCell ref="H4:H5"/>
    <mergeCell ref="AK4:AO4"/>
    <mergeCell ref="AQ4:AU4"/>
    <mergeCell ref="AH3:AH5"/>
    <mergeCell ref="AI3:AI5"/>
  </mergeCells>
  <hyperlinks>
    <hyperlink ref="U52" r:id="rId1" xr:uid="{61407095-9739-4863-9C8B-D32E89E82B98}"/>
    <hyperlink ref="U27" r:id="rId2" xr:uid="{88DCF42E-D3F1-4000-9657-F84A9B13986E}"/>
  </hyperlinks>
  <pageMargins left="0.25" right="0.25" top="0.75" bottom="0.75" header="0.3" footer="0.3"/>
  <pageSetup scale="48" orientation="landscape"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D42E1-20DE-484E-A60C-D1D209D3F4FC}">
  <sheetPr>
    <tabColor rgb="FF00B050"/>
    <pageSetUpPr fitToPage="1"/>
  </sheetPr>
  <dimension ref="A1:AE69"/>
  <sheetViews>
    <sheetView zoomScale="70" zoomScaleNormal="70" zoomScaleSheetLayoutView="85" workbookViewId="0">
      <selection activeCell="W24" sqref="W24"/>
    </sheetView>
  </sheetViews>
  <sheetFormatPr defaultRowHeight="15" x14ac:dyDescent="0.25"/>
  <cols>
    <col min="1" max="1" width="9.140625" style="169"/>
    <col min="2" max="3" width="15.7109375" style="169" customWidth="1"/>
    <col min="4" max="5" width="18.5703125" style="169" customWidth="1"/>
    <col min="6" max="15" width="15.7109375" style="169" customWidth="1"/>
    <col min="16" max="16" width="17.7109375" style="169" customWidth="1"/>
    <col min="17" max="17" width="15.7109375" style="169" customWidth="1"/>
    <col min="18" max="22" width="15.42578125" style="169" customWidth="1"/>
    <col min="23" max="23" width="21.85546875" style="169" customWidth="1"/>
    <col min="24" max="24" width="15.7109375" style="169" customWidth="1"/>
    <col min="25" max="25" width="12.28515625" style="169" customWidth="1"/>
    <col min="26" max="26" width="19.140625" style="169" customWidth="1"/>
    <col min="27" max="27" width="13.85546875" style="169" customWidth="1"/>
    <col min="28" max="31" width="13.140625" style="169" customWidth="1"/>
    <col min="32" max="16384" width="9.140625" style="169"/>
  </cols>
  <sheetData>
    <row r="1" spans="2:31" ht="15.75" thickBot="1" x14ac:dyDescent="0.3">
      <c r="B1" s="6" t="s">
        <v>48</v>
      </c>
      <c r="C1" s="6"/>
      <c r="D1" s="6"/>
      <c r="E1" s="6"/>
    </row>
    <row r="2" spans="2:31" ht="15.75" thickBot="1" x14ac:dyDescent="0.3">
      <c r="C2" s="672" t="s">
        <v>201</v>
      </c>
      <c r="D2" s="673"/>
      <c r="E2" s="674"/>
      <c r="F2" s="675" t="s">
        <v>202</v>
      </c>
      <c r="G2" s="676"/>
      <c r="H2" s="676"/>
      <c r="I2" s="676"/>
      <c r="J2" s="676"/>
      <c r="K2" s="676"/>
      <c r="L2" s="676"/>
      <c r="M2" s="676"/>
      <c r="N2" s="676"/>
      <c r="O2" s="677" t="s">
        <v>203</v>
      </c>
      <c r="P2" s="678"/>
    </row>
    <row r="3" spans="2:31" ht="35.1" customHeight="1" x14ac:dyDescent="0.25">
      <c r="B3" s="679" t="s">
        <v>0</v>
      </c>
      <c r="C3" s="651" t="s">
        <v>635</v>
      </c>
      <c r="D3" s="667" t="s">
        <v>643</v>
      </c>
      <c r="E3" s="681" t="s">
        <v>204</v>
      </c>
      <c r="F3" s="651" t="s">
        <v>205</v>
      </c>
      <c r="G3" s="667" t="s">
        <v>636</v>
      </c>
      <c r="H3" s="669" t="s">
        <v>637</v>
      </c>
      <c r="I3" s="665" t="s">
        <v>638</v>
      </c>
      <c r="J3" s="667" t="s">
        <v>639</v>
      </c>
      <c r="K3" s="669" t="s">
        <v>640</v>
      </c>
      <c r="L3" s="665" t="s">
        <v>641</v>
      </c>
      <c r="M3" s="651" t="s">
        <v>642</v>
      </c>
      <c r="N3" s="687" t="s">
        <v>1</v>
      </c>
      <c r="O3" s="683" t="s">
        <v>206</v>
      </c>
      <c r="P3" s="685" t="s">
        <v>207</v>
      </c>
      <c r="R3" s="109"/>
    </row>
    <row r="4" spans="2:31" ht="35.1" customHeight="1" thickBot="1" x14ac:dyDescent="0.3">
      <c r="B4" s="680"/>
      <c r="C4" s="671"/>
      <c r="D4" s="668"/>
      <c r="E4" s="682"/>
      <c r="F4" s="671"/>
      <c r="G4" s="668"/>
      <c r="H4" s="670"/>
      <c r="I4" s="666"/>
      <c r="J4" s="668"/>
      <c r="K4" s="670"/>
      <c r="L4" s="666"/>
      <c r="M4" s="671"/>
      <c r="N4" s="688"/>
      <c r="O4" s="684"/>
      <c r="P4" s="686"/>
    </row>
    <row r="5" spans="2:31" ht="15" customHeight="1" x14ac:dyDescent="0.25">
      <c r="B5" s="1">
        <f>Assumptions!$D$7</f>
        <v>2024</v>
      </c>
      <c r="C5" s="184">
        <f>($F5*$V$7*Assumptions!$D$14+$F5*$V$8*Assumptions!$D$15)/10^6</f>
        <v>0</v>
      </c>
      <c r="D5" s="185">
        <f t="shared" ref="D5:D24" si="0">C5*_xlfn.XLOOKUP($B5,$R$13:$R$48,$V$13:$V$48)</f>
        <v>0</v>
      </c>
      <c r="E5" s="186">
        <f>D5*(1+0.03)^-($B5-Assumptions!$D$4)</f>
        <v>0</v>
      </c>
      <c r="F5" s="187">
        <f>SUM('VOC-Detour-Truck'!C6,'VOC-Detour-Car_A'!C6,'VOC-Detour-Car_B'!C6)-SUM('VOC-Detour-Truck'!D6,'VOC-Detour-Car_A'!D6,'VOC-Detour-Car_B'!D6)</f>
        <v>0</v>
      </c>
      <c r="G5" s="188">
        <f>($F5*S$7*Assumptions!$D$14+$F5*S$8*Assumptions!$D$15)/10^6</f>
        <v>0</v>
      </c>
      <c r="H5" s="189">
        <f>($F5*T$7*Assumptions!$D$14+$F5*T$8*Assumptions!$D$15)/10^6</f>
        <v>0</v>
      </c>
      <c r="I5" s="190">
        <f>($F5*U$7*Assumptions!$D$14+$F5*U$8*Assumptions!$D$15)/10^6</f>
        <v>0</v>
      </c>
      <c r="J5" s="191">
        <f t="shared" ref="J5:J24" si="1">G5*_xlfn.XLOOKUP($B5,$R$13:$R$48,$S$13:$S$48)</f>
        <v>0</v>
      </c>
      <c r="K5" s="192">
        <f t="shared" ref="K5:K24" si="2">G5*_xlfn.XLOOKUP($B5,$R$13:$R$48,$S$13:$S$48)</f>
        <v>0</v>
      </c>
      <c r="L5" s="186">
        <f t="shared" ref="L5:L24" si="3">H5*_xlfn.XLOOKUP($B5,$R$13:$R$48,$U$13:$U$48)</f>
        <v>0</v>
      </c>
      <c r="M5" s="193">
        <f t="shared" ref="M5:M24" si="4">SUM(J5:L5)</f>
        <v>0</v>
      </c>
      <c r="N5" s="194">
        <f>M5*(1+0.07)^-(B5-Assumptions!$D$4)</f>
        <v>0</v>
      </c>
      <c r="O5" s="195">
        <f t="shared" ref="O5:P24" si="5">M5+D5</f>
        <v>0</v>
      </c>
      <c r="P5" s="196">
        <f t="shared" si="5"/>
        <v>0</v>
      </c>
      <c r="R5" s="170" t="s">
        <v>645</v>
      </c>
      <c r="S5" s="170"/>
      <c r="T5" s="170"/>
      <c r="U5" s="170"/>
      <c r="V5" s="170"/>
      <c r="Y5" s="6" t="s">
        <v>208</v>
      </c>
    </row>
    <row r="6" spans="2:31" ht="15" customHeight="1" x14ac:dyDescent="0.25">
      <c r="B6" s="2">
        <f t="shared" ref="B6:B24" si="6">+B5+1</f>
        <v>2025</v>
      </c>
      <c r="C6" s="197">
        <f>($F6*$V$7*Assumptions!$D$14+$F6*$V$8*Assumptions!$D$15)/10^6</f>
        <v>0</v>
      </c>
      <c r="D6" s="195">
        <f t="shared" si="0"/>
        <v>0</v>
      </c>
      <c r="E6" s="196">
        <f>D6*(1+0.03)^-($B6-Assumptions!$D$4)</f>
        <v>0</v>
      </c>
      <c r="F6" s="198">
        <f>SUM('VOC-Detour-Truck'!C7,'VOC-Detour-Car_A'!C7,'VOC-Detour-Car_B'!C7)-SUM('VOC-Detour-Truck'!D7,'VOC-Detour-Car_A'!D7,'VOC-Detour-Car_B'!D7)</f>
        <v>0</v>
      </c>
      <c r="G6" s="199">
        <f>($F6*S$7*Assumptions!$D$14+$F6*S$8*Assumptions!$D$15)/10^6</f>
        <v>0</v>
      </c>
      <c r="H6" s="200">
        <f>($F6*T$7*Assumptions!$D$14+$F6*T$8*Assumptions!$D$15)/10^6</f>
        <v>0</v>
      </c>
      <c r="I6" s="201">
        <f>($F6*U$7*Assumptions!$D$14+$F6*U$8*Assumptions!$D$15)/10^6</f>
        <v>0</v>
      </c>
      <c r="J6" s="202">
        <f t="shared" si="1"/>
        <v>0</v>
      </c>
      <c r="K6" s="203">
        <f t="shared" si="2"/>
        <v>0</v>
      </c>
      <c r="L6" s="204">
        <f t="shared" si="3"/>
        <v>0</v>
      </c>
      <c r="M6" s="205">
        <f t="shared" si="4"/>
        <v>0</v>
      </c>
      <c r="N6" s="206">
        <f>M6*(1+0.07)^-(B6-Assumptions!$D$4)</f>
        <v>0</v>
      </c>
      <c r="O6" s="207">
        <f t="shared" si="5"/>
        <v>0</v>
      </c>
      <c r="P6" s="204">
        <f t="shared" si="5"/>
        <v>0</v>
      </c>
      <c r="R6" s="293" t="s">
        <v>49</v>
      </c>
      <c r="S6" s="292" t="s">
        <v>255</v>
      </c>
      <c r="T6" s="292" t="s">
        <v>256</v>
      </c>
      <c r="U6" s="292" t="s">
        <v>257</v>
      </c>
      <c r="V6" s="292" t="s">
        <v>258</v>
      </c>
      <c r="Y6" s="104" t="s">
        <v>209</v>
      </c>
      <c r="Z6" s="104" t="s">
        <v>210</v>
      </c>
      <c r="AA6" s="104" t="s">
        <v>211</v>
      </c>
      <c r="AB6" s="126" t="s">
        <v>255</v>
      </c>
      <c r="AC6" s="294" t="s">
        <v>259</v>
      </c>
      <c r="AD6" s="126" t="s">
        <v>257</v>
      </c>
      <c r="AE6" s="126" t="s">
        <v>258</v>
      </c>
    </row>
    <row r="7" spans="2:31" ht="15" customHeight="1" x14ac:dyDescent="0.25">
      <c r="B7" s="2">
        <f t="shared" si="6"/>
        <v>2026</v>
      </c>
      <c r="C7" s="197">
        <f>($F7*$V$7*Assumptions!$D$14+$F7*$V$8*Assumptions!$D$15)/10^6</f>
        <v>0</v>
      </c>
      <c r="D7" s="195">
        <f t="shared" si="0"/>
        <v>0</v>
      </c>
      <c r="E7" s="196">
        <f>D7*(1+0.03)^-($B7-Assumptions!$D$4)</f>
        <v>0</v>
      </c>
      <c r="F7" s="198">
        <f>SUM('VOC-Detour-Truck'!C8,'VOC-Detour-Car_A'!C8,'VOC-Detour-Car_B'!C8)-SUM('VOC-Detour-Truck'!D8,'VOC-Detour-Car_A'!D8,'VOC-Detour-Car_B'!D8)</f>
        <v>0</v>
      </c>
      <c r="G7" s="199">
        <f>($F7*S$7*Assumptions!$D$14+$F7*S$8*Assumptions!$D$15)/10^6</f>
        <v>0</v>
      </c>
      <c r="H7" s="200">
        <f>($F7*T$7*Assumptions!$D$14+$F7*T$8*Assumptions!$D$15)/10^6</f>
        <v>0</v>
      </c>
      <c r="I7" s="201">
        <f>($F7*U$7*Assumptions!$D$14+$F7*U$8*Assumptions!$D$15)/10^6</f>
        <v>0</v>
      </c>
      <c r="J7" s="202">
        <f t="shared" si="1"/>
        <v>0</v>
      </c>
      <c r="K7" s="203">
        <f t="shared" si="2"/>
        <v>0</v>
      </c>
      <c r="L7" s="204">
        <f t="shared" si="3"/>
        <v>0</v>
      </c>
      <c r="M7" s="205">
        <f t="shared" si="4"/>
        <v>0</v>
      </c>
      <c r="N7" s="206">
        <f>M7*(1+0.07)^-(B7-Assumptions!$D$4)</f>
        <v>0</v>
      </c>
      <c r="O7" s="207">
        <f t="shared" si="5"/>
        <v>0</v>
      </c>
      <c r="P7" s="204">
        <f t="shared" si="5"/>
        <v>0</v>
      </c>
      <c r="R7" s="102" t="s">
        <v>50</v>
      </c>
      <c r="S7" s="208">
        <f>AB25</f>
        <v>0.22790983982547491</v>
      </c>
      <c r="T7" s="208">
        <f t="shared" ref="T7:V7" si="7">AC25</f>
        <v>2.0699004398994176E-3</v>
      </c>
      <c r="U7" s="208">
        <f t="shared" si="7"/>
        <v>5.8180715878192544E-3</v>
      </c>
      <c r="V7" s="208">
        <f t="shared" si="7"/>
        <v>317.22468262036</v>
      </c>
      <c r="Y7" s="173">
        <v>11</v>
      </c>
      <c r="Z7" s="104" t="s">
        <v>175</v>
      </c>
      <c r="AA7" s="104" t="s">
        <v>212</v>
      </c>
      <c r="AB7" s="103">
        <v>0.73690802096518104</v>
      </c>
      <c r="AC7" s="103">
        <v>2.4081927794970298E-3</v>
      </c>
      <c r="AD7" s="103">
        <v>1.78605259703664E-2</v>
      </c>
      <c r="AE7" s="103">
        <v>362.51238716242</v>
      </c>
    </row>
    <row r="8" spans="2:31" ht="15" customHeight="1" x14ac:dyDescent="0.25">
      <c r="B8" s="2">
        <f t="shared" si="6"/>
        <v>2027</v>
      </c>
      <c r="C8" s="197">
        <f>($F8*$V$7*Assumptions!$D$14+$F8*$V$8*Assumptions!$D$15)/10^6</f>
        <v>0</v>
      </c>
      <c r="D8" s="195">
        <f t="shared" si="0"/>
        <v>0</v>
      </c>
      <c r="E8" s="196">
        <f>D8*(1+0.03)^-($B8-Assumptions!$D$4)</f>
        <v>0</v>
      </c>
      <c r="F8" s="198">
        <f>SUM('VOC-Detour-Truck'!C9,'VOC-Detour-Car_A'!C9,'VOC-Detour-Car_B'!C9)-SUM('VOC-Detour-Truck'!D9,'VOC-Detour-Car_A'!D9,'VOC-Detour-Car_B'!D9)</f>
        <v>0</v>
      </c>
      <c r="G8" s="199">
        <f>($F8*S$7*Assumptions!$D$14+$F8*S$8*Assumptions!$D$15)/10^6</f>
        <v>0</v>
      </c>
      <c r="H8" s="200">
        <f>($F8*T$7*Assumptions!$D$14+$F8*T$8*Assumptions!$D$15)/10^6</f>
        <v>0</v>
      </c>
      <c r="I8" s="201">
        <f>($F8*U$7*Assumptions!$D$14+$F8*U$8*Assumptions!$D$15)/10^6</f>
        <v>0</v>
      </c>
      <c r="J8" s="202">
        <f t="shared" si="1"/>
        <v>0</v>
      </c>
      <c r="K8" s="203">
        <f t="shared" si="2"/>
        <v>0</v>
      </c>
      <c r="L8" s="204">
        <f t="shared" si="3"/>
        <v>0</v>
      </c>
      <c r="M8" s="205">
        <f t="shared" si="4"/>
        <v>0</v>
      </c>
      <c r="N8" s="206">
        <f>M8*(1+0.07)^-(B8-Assumptions!$D$4)</f>
        <v>0</v>
      </c>
      <c r="O8" s="207">
        <f t="shared" si="5"/>
        <v>0</v>
      </c>
      <c r="P8" s="204">
        <f t="shared" si="5"/>
        <v>0</v>
      </c>
      <c r="R8" s="102" t="s">
        <v>46</v>
      </c>
      <c r="S8" s="208">
        <f t="shared" ref="S8:V8" si="8">AB26</f>
        <v>2.099484306313415</v>
      </c>
      <c r="T8" s="208">
        <f t="shared" si="8"/>
        <v>4.7858028693373951E-3</v>
      </c>
      <c r="U8" s="208">
        <f t="shared" si="8"/>
        <v>3.2505287070740692E-2</v>
      </c>
      <c r="V8" s="208">
        <f t="shared" si="8"/>
        <v>1238.7315972924489</v>
      </c>
      <c r="Y8" s="173">
        <v>21</v>
      </c>
      <c r="Z8" s="104" t="s">
        <v>213</v>
      </c>
      <c r="AA8" s="104" t="s">
        <v>212</v>
      </c>
      <c r="AB8" s="103">
        <v>3.7528759722247264E-2</v>
      </c>
      <c r="AC8" s="103">
        <v>1.6122938930079201E-3</v>
      </c>
      <c r="AD8" s="103">
        <v>1.1798384221972261E-3</v>
      </c>
      <c r="AE8" s="103">
        <v>243.79125643460799</v>
      </c>
    </row>
    <row r="9" spans="2:31" ht="15" customHeight="1" x14ac:dyDescent="0.25">
      <c r="B9" s="2">
        <f t="shared" si="6"/>
        <v>2028</v>
      </c>
      <c r="C9" s="197">
        <f>($F9*$V$7*Assumptions!$D$14+$F9*$V$8*Assumptions!$D$15)/10^6</f>
        <v>1561.5524346316463</v>
      </c>
      <c r="D9" s="195">
        <f>C9*_xlfn.XLOOKUP($B9,$R$13:$R$48,$V$13:$V$48)</f>
        <v>93693.146077898782</v>
      </c>
      <c r="E9" s="196">
        <f>D9*(1+0.03)^-($B9-Assumptions!$D$4)</f>
        <v>73962.234705817813</v>
      </c>
      <c r="F9" s="198">
        <f>SUM('VOC-Detour-Truck'!C10,'VOC-Detour-Car_A'!C10,'VOC-Detour-Car_B'!C10)-SUM('VOC-Detour-Truck'!D10,'VOC-Detour-Car_A'!D10,'VOC-Detour-Car_B'!D10)</f>
        <v>2711831.7717391215</v>
      </c>
      <c r="G9" s="199">
        <f>($F9*S$7*Assumptions!$D$14+$F9*S$8*Assumptions!$D$15)/10^6</f>
        <v>2.0423735091545554</v>
      </c>
      <c r="H9" s="200">
        <f>($F9*T$7*Assumptions!$D$14+$F9*T$8*Assumptions!$D$15)/10^6</f>
        <v>7.6800992685351942E-3</v>
      </c>
      <c r="I9" s="201">
        <f>($F9*U$7*Assumptions!$D$14+$F9*U$8*Assumptions!$D$15)/10^6</f>
        <v>3.608734663132724E-2</v>
      </c>
      <c r="J9" s="202">
        <f t="shared" si="1"/>
        <v>35537.299059289267</v>
      </c>
      <c r="K9" s="203">
        <f t="shared" si="2"/>
        <v>35537.299059289267</v>
      </c>
      <c r="L9" s="204">
        <f t="shared" si="3"/>
        <v>6455.8914451306846</v>
      </c>
      <c r="M9" s="205">
        <f t="shared" si="4"/>
        <v>77530.489563709212</v>
      </c>
      <c r="N9" s="206">
        <f>M9*(1+0.07)^-(B9-Assumptions!$D$4)</f>
        <v>45123.45080746345</v>
      </c>
      <c r="O9" s="207">
        <f t="shared" si="5"/>
        <v>171223.63564160798</v>
      </c>
      <c r="P9" s="204">
        <f t="shared" si="5"/>
        <v>119085.68551328126</v>
      </c>
      <c r="R9" s="6"/>
      <c r="S9" s="209"/>
      <c r="T9" s="210"/>
      <c r="U9" s="209"/>
      <c r="V9" s="211"/>
      <c r="Y9" s="173">
        <v>31</v>
      </c>
      <c r="Z9" s="104" t="s">
        <v>213</v>
      </c>
      <c r="AA9" s="104" t="s">
        <v>212</v>
      </c>
      <c r="AB9" s="103">
        <v>5.602001301010253E-2</v>
      </c>
      <c r="AC9" s="103">
        <v>2.0534055761767299E-3</v>
      </c>
      <c r="AD9" s="103">
        <v>1.6834690354423085E-3</v>
      </c>
      <c r="AE9" s="103">
        <v>318.590574637288</v>
      </c>
    </row>
    <row r="10" spans="2:31" ht="15" customHeight="1" x14ac:dyDescent="0.25">
      <c r="B10" s="2">
        <f t="shared" si="6"/>
        <v>2029</v>
      </c>
      <c r="C10" s="197">
        <f>($F10*$V$7*Assumptions!$D$14+$F10*$V$8*Assumptions!$D$15)/10^6</f>
        <v>1586.8601175407071</v>
      </c>
      <c r="D10" s="195">
        <f t="shared" si="0"/>
        <v>96798.467169983123</v>
      </c>
      <c r="E10" s="196">
        <f>D10*(1+0.03)^-($B10-Assumptions!$D$4)</f>
        <v>74187.964904290318</v>
      </c>
      <c r="F10" s="198">
        <f>SUM('VOC-Detour-Truck'!C11,'VOC-Detour-Car_A'!C11,'VOC-Detour-Car_B'!C11)-SUM('VOC-Detour-Truck'!D11,'VOC-Detour-Car_A'!D11,'VOC-Detour-Car_B'!D11)</f>
        <v>2755781.7391304374</v>
      </c>
      <c r="G10" s="199">
        <f>($F10*S$7*Assumptions!$D$14+$F10*S$8*Assumptions!$D$15)/10^6</f>
        <v>2.0754737368543967</v>
      </c>
      <c r="H10" s="200">
        <f>($F10*T$7*Assumptions!$D$14+$F10*T$8*Assumptions!$D$15)/10^6</f>
        <v>7.8045686828741674E-3</v>
      </c>
      <c r="I10" s="201">
        <f>($F10*U$7*Assumptions!$D$14+$F10*U$8*Assumptions!$D$15)/10^6</f>
        <v>3.6672205074323054E-2</v>
      </c>
      <c r="J10" s="202">
        <f t="shared" si="1"/>
        <v>36735.885142322819</v>
      </c>
      <c r="K10" s="203">
        <f t="shared" si="2"/>
        <v>36735.885142322819</v>
      </c>
      <c r="L10" s="204">
        <f t="shared" si="3"/>
        <v>6665.1016551745388</v>
      </c>
      <c r="M10" s="205">
        <f t="shared" si="4"/>
        <v>80136.871939820179</v>
      </c>
      <c r="N10" s="206">
        <f>M10*(1+0.07)^-(B10-Assumptions!$D$4)</f>
        <v>43589.148673212985</v>
      </c>
      <c r="O10" s="207">
        <f t="shared" si="5"/>
        <v>176935.33910980332</v>
      </c>
      <c r="P10" s="204">
        <f t="shared" si="5"/>
        <v>117777.1135775033</v>
      </c>
      <c r="S10" s="174"/>
      <c r="T10" s="174"/>
      <c r="U10" s="174"/>
      <c r="V10" s="174"/>
      <c r="Y10" s="173">
        <v>32</v>
      </c>
      <c r="Z10" s="104" t="s">
        <v>213</v>
      </c>
      <c r="AA10" s="104" t="s">
        <v>212</v>
      </c>
      <c r="AB10" s="103">
        <v>8.1182565604368817E-2</v>
      </c>
      <c r="AC10" s="103">
        <v>2.2057095109159902E-3</v>
      </c>
      <c r="AD10" s="103">
        <v>2.5484529232710825E-3</v>
      </c>
      <c r="AE10" s="103">
        <v>344.00451224712401</v>
      </c>
    </row>
    <row r="11" spans="2:31" ht="15" customHeight="1" x14ac:dyDescent="0.25">
      <c r="B11" s="2">
        <f t="shared" si="6"/>
        <v>2030</v>
      </c>
      <c r="C11" s="197">
        <f>($F11*$V$7*Assumptions!$D$14+$F11*$V$8*Assumptions!$D$15)/10^6</f>
        <v>1612.1678004497489</v>
      </c>
      <c r="D11" s="195">
        <f t="shared" si="0"/>
        <v>99954.403627884429</v>
      </c>
      <c r="E11" s="196">
        <f>D11*(1+0.03)^-($B11-Assumptions!$D$4)</f>
        <v>74375.46350663995</v>
      </c>
      <c r="F11" s="198">
        <f>SUM('VOC-Detour-Truck'!C12,'VOC-Detour-Car_A'!C12,'VOC-Detour-Car_B'!C12)-SUM('VOC-Detour-Truck'!D12,'VOC-Detour-Car_A'!D12,'VOC-Detour-Car_B'!D12)</f>
        <v>2799731.7065217197</v>
      </c>
      <c r="G11" s="199">
        <f>($F11*S$7*Assumptions!$D$14+$F11*S$8*Assumptions!$D$15)/10^6</f>
        <v>2.1085739645542136</v>
      </c>
      <c r="H11" s="200">
        <f>($F11*T$7*Assumptions!$D$14+$F11*T$8*Assumptions!$D$15)/10^6</f>
        <v>7.929038097213046E-3</v>
      </c>
      <c r="I11" s="201">
        <f>($F11*U$7*Assumptions!$D$14+$F11*U$8*Assumptions!$D$15)/10^6</f>
        <v>3.7257063517318424E-2</v>
      </c>
      <c r="J11" s="202">
        <f t="shared" si="1"/>
        <v>38165.188758431264</v>
      </c>
      <c r="K11" s="203">
        <f t="shared" si="2"/>
        <v>38165.188758431264</v>
      </c>
      <c r="L11" s="204">
        <f t="shared" si="3"/>
        <v>6879.2334531420383</v>
      </c>
      <c r="M11" s="205">
        <f t="shared" si="4"/>
        <v>83209.610970004564</v>
      </c>
      <c r="N11" s="206">
        <f>M11*(1+0.07)^-(B11-Assumptions!$D$4)</f>
        <v>42299.546835407069</v>
      </c>
      <c r="O11" s="207">
        <f t="shared" si="5"/>
        <v>183164.01459788898</v>
      </c>
      <c r="P11" s="204">
        <f t="shared" si="5"/>
        <v>116675.01034204703</v>
      </c>
      <c r="R11" s="6" t="s">
        <v>644</v>
      </c>
      <c r="Y11" s="173">
        <v>41</v>
      </c>
      <c r="Z11" s="104" t="s">
        <v>214</v>
      </c>
      <c r="AA11" s="104" t="s">
        <v>215</v>
      </c>
      <c r="AB11" s="103">
        <v>2.237602310868759</v>
      </c>
      <c r="AC11" s="103">
        <v>5.5717265564873301E-3</v>
      </c>
      <c r="AD11" s="103">
        <v>1.658066855283262E-2</v>
      </c>
      <c r="AE11" s="103">
        <v>1406.7823013201701</v>
      </c>
    </row>
    <row r="12" spans="2:31" ht="15" customHeight="1" x14ac:dyDescent="0.25">
      <c r="B12" s="2">
        <f t="shared" si="6"/>
        <v>2031</v>
      </c>
      <c r="C12" s="197">
        <f>($F12*$V$7*Assumptions!$D$14+$F12*$V$8*Assumptions!$D$15)/10^6</f>
        <v>1637.4754833588081</v>
      </c>
      <c r="D12" s="195">
        <f t="shared" si="0"/>
        <v>103160.95545160491</v>
      </c>
      <c r="E12" s="196">
        <f>D12*(1+0.03)^-($B12-Assumptions!$D$4)</f>
        <v>74525.669132496463</v>
      </c>
      <c r="F12" s="198">
        <f>SUM('VOC-Detour-Truck'!C13,'VOC-Detour-Car_A'!C13,'VOC-Detour-Car_B'!C13)-SUM('VOC-Detour-Truck'!D13,'VOC-Detour-Car_A'!D13,'VOC-Detour-Car_B'!D13)</f>
        <v>2843681.6739130318</v>
      </c>
      <c r="G12" s="199">
        <f>($F12*S$7*Assumptions!$D$14+$F12*S$8*Assumptions!$D$15)/10^6</f>
        <v>2.1416741922540519</v>
      </c>
      <c r="H12" s="200">
        <f>($F12*T$7*Assumptions!$D$14+$F12*T$8*Assumptions!$D$15)/10^6</f>
        <v>8.0535075115520088E-3</v>
      </c>
      <c r="I12" s="201">
        <f>($F12*U$7*Assumptions!$D$14+$F12*U$8*Assumptions!$D$15)/10^6</f>
        <v>3.7841921960314197E-2</v>
      </c>
      <c r="J12" s="202">
        <f t="shared" si="1"/>
        <v>38764.302879798335</v>
      </c>
      <c r="K12" s="203">
        <f t="shared" si="2"/>
        <v>38764.302879798335</v>
      </c>
      <c r="L12" s="204">
        <f t="shared" si="3"/>
        <v>6987.2231170225232</v>
      </c>
      <c r="M12" s="205">
        <f t="shared" si="4"/>
        <v>84515.828876619198</v>
      </c>
      <c r="N12" s="206">
        <f>M12*(1+0.07)^-(B12-Assumptions!$D$4)</f>
        <v>40152.861480007763</v>
      </c>
      <c r="O12" s="207">
        <f t="shared" si="5"/>
        <v>187676.78432822411</v>
      </c>
      <c r="P12" s="204">
        <f t="shared" si="5"/>
        <v>114678.53061250423</v>
      </c>
      <c r="R12" s="126" t="s">
        <v>125</v>
      </c>
      <c r="S12" s="126" t="s">
        <v>255</v>
      </c>
      <c r="T12" s="126" t="s">
        <v>256</v>
      </c>
      <c r="U12" s="126" t="s">
        <v>257</v>
      </c>
      <c r="V12" s="126" t="s">
        <v>258</v>
      </c>
      <c r="Y12" s="173">
        <v>42</v>
      </c>
      <c r="Z12" s="104" t="s">
        <v>214</v>
      </c>
      <c r="AA12" s="104" t="s">
        <v>215</v>
      </c>
      <c r="AB12" s="103">
        <v>1.9658170115512426</v>
      </c>
      <c r="AC12" s="103">
        <v>5.4889920561794897E-3</v>
      </c>
      <c r="AD12" s="103">
        <v>1.2308421676718551E-2</v>
      </c>
      <c r="AE12" s="103">
        <v>1391.9649569298599</v>
      </c>
    </row>
    <row r="13" spans="2:31" ht="15" customHeight="1" x14ac:dyDescent="0.25">
      <c r="B13" s="2">
        <f t="shared" si="6"/>
        <v>2032</v>
      </c>
      <c r="C13" s="197">
        <f>($F13*$V$7*Assumptions!$D$14+$F13*$V$8*Assumptions!$D$15)/10^6</f>
        <v>1662.7831662678689</v>
      </c>
      <c r="D13" s="195">
        <f t="shared" si="0"/>
        <v>106418.12264114361</v>
      </c>
      <c r="E13" s="196">
        <f>D13*(1+0.03)^-($B13-Assumptions!$D$4)</f>
        <v>74639.530108406441</v>
      </c>
      <c r="F13" s="198">
        <f>SUM('VOC-Detour-Truck'!C14,'VOC-Detour-Car_A'!C14,'VOC-Detour-Car_B'!C14)-SUM('VOC-Detour-Truck'!D14,'VOC-Detour-Car_A'!D14,'VOC-Detour-Car_B'!D14)</f>
        <v>2887631.6413043477</v>
      </c>
      <c r="G13" s="199">
        <f>($F13*S$7*Assumptions!$D$14+$F13*S$8*Assumptions!$D$15)/10^6</f>
        <v>2.1747744199538941</v>
      </c>
      <c r="H13" s="200">
        <f>($F13*T$7*Assumptions!$D$14+$F13*T$8*Assumptions!$D$15)/10^6</f>
        <v>8.1779769258909837E-3</v>
      </c>
      <c r="I13" s="201">
        <f>($F13*U$7*Assumptions!$D$14+$F13*U$8*Assumptions!$D$15)/10^6</f>
        <v>3.8426780403310025E-2</v>
      </c>
      <c r="J13" s="202">
        <f t="shared" si="1"/>
        <v>39363.417001165486</v>
      </c>
      <c r="K13" s="203">
        <f t="shared" si="2"/>
        <v>39363.417001165486</v>
      </c>
      <c r="L13" s="204">
        <f t="shared" si="3"/>
        <v>7095.2127809030171</v>
      </c>
      <c r="M13" s="205">
        <f t="shared" si="4"/>
        <v>85822.046783233993</v>
      </c>
      <c r="N13" s="206">
        <f>M13*(1+0.07)^-(B13-Assumptions!$D$4)</f>
        <v>38106.015138273768</v>
      </c>
      <c r="O13" s="207">
        <f t="shared" si="5"/>
        <v>192240.16942437761</v>
      </c>
      <c r="P13" s="204">
        <f t="shared" si="5"/>
        <v>112745.54524668021</v>
      </c>
      <c r="R13" s="172">
        <v>2021</v>
      </c>
      <c r="S13" s="212">
        <v>15600</v>
      </c>
      <c r="T13" s="212">
        <v>41500</v>
      </c>
      <c r="U13" s="212">
        <v>748600</v>
      </c>
      <c r="V13" s="212">
        <v>52</v>
      </c>
      <c r="Y13" s="173">
        <v>43</v>
      </c>
      <c r="Z13" s="104" t="s">
        <v>214</v>
      </c>
      <c r="AA13" s="104" t="s">
        <v>215</v>
      </c>
      <c r="AB13" s="103">
        <v>1.9469017025302577</v>
      </c>
      <c r="AC13" s="103">
        <v>3.66910948950592E-3</v>
      </c>
      <c r="AD13" s="103">
        <v>5.5096995199883071E-2</v>
      </c>
      <c r="AE13" s="103">
        <v>1071.1129065416801</v>
      </c>
    </row>
    <row r="14" spans="2:31" ht="15" customHeight="1" x14ac:dyDescent="0.25">
      <c r="B14" s="2">
        <f t="shared" si="6"/>
        <v>2033</v>
      </c>
      <c r="C14" s="197">
        <f>($F14*$V$7*Assumptions!$D$14+$F14*$V$8*Assumptions!$D$15)/10^6</f>
        <v>4253.4927742787422</v>
      </c>
      <c r="D14" s="195">
        <f t="shared" si="0"/>
        <v>276477.03032811824</v>
      </c>
      <c r="E14" s="196">
        <f>D14*(1+0.03)^-($B14-Assumptions!$D$4)</f>
        <v>188267.4042792666</v>
      </c>
      <c r="F14" s="198">
        <f>SUM('VOC-Detour-Truck'!C15,'VOC-Detour-Car_A'!C15,'VOC-Detour-Car_B'!C15)-SUM('VOC-Detour-Truck'!D15,'VOC-Detour-Car_A'!D15,'VOC-Detour-Car_B'!D15)</f>
        <v>7386723.9999999106</v>
      </c>
      <c r="G14" s="199">
        <f>($F14*S$7*Assumptions!$D$14+$F14*S$8*Assumptions!$D$15)/10^6</f>
        <v>5.5631951709751224</v>
      </c>
      <c r="H14" s="200">
        <f>($F14*T$7*Assumptions!$D$14+$F14*T$8*Assumptions!$D$15)/10^6</f>
        <v>2.0919724512589777E-2</v>
      </c>
      <c r="I14" s="201">
        <f>($F14*U$7*Assumptions!$D$14+$F14*U$8*Assumptions!$D$15)/10^6</f>
        <v>9.8297863545934075E-2</v>
      </c>
      <c r="J14" s="202">
        <f t="shared" si="1"/>
        <v>100693.83259464972</v>
      </c>
      <c r="K14" s="203">
        <f t="shared" si="2"/>
        <v>100693.83259464972</v>
      </c>
      <c r="L14" s="204">
        <f t="shared" si="3"/>
        <v>18149.952987122891</v>
      </c>
      <c r="M14" s="205">
        <f t="shared" si="4"/>
        <v>219537.61817642234</v>
      </c>
      <c r="N14" s="206">
        <f>M14*(1+0.07)^-(B14-Assumptions!$D$4)</f>
        <v>91100.306517343677</v>
      </c>
      <c r="O14" s="207">
        <f t="shared" si="5"/>
        <v>496014.64850454056</v>
      </c>
      <c r="P14" s="204">
        <f t="shared" si="5"/>
        <v>279367.71079661028</v>
      </c>
      <c r="R14" s="172">
        <v>2022</v>
      </c>
      <c r="S14" s="212">
        <v>15800</v>
      </c>
      <c r="T14" s="212">
        <v>42300</v>
      </c>
      <c r="U14" s="212">
        <v>761600</v>
      </c>
      <c r="V14" s="212">
        <v>53</v>
      </c>
      <c r="Y14" s="173">
        <v>51</v>
      </c>
      <c r="Z14" s="104" t="s">
        <v>216</v>
      </c>
      <c r="AA14" s="104" t="s">
        <v>215</v>
      </c>
      <c r="AB14" s="103">
        <v>2.48942987946789</v>
      </c>
      <c r="AC14" s="103">
        <v>5.2833773025508703E-3</v>
      </c>
      <c r="AD14" s="103">
        <v>3.4321389281753531E-2</v>
      </c>
      <c r="AE14" s="103">
        <v>1427.83446247497</v>
      </c>
    </row>
    <row r="15" spans="2:31" ht="15" customHeight="1" x14ac:dyDescent="0.25">
      <c r="B15" s="2">
        <f t="shared" si="6"/>
        <v>2034</v>
      </c>
      <c r="C15" s="197">
        <f>($F15*$V$7*Assumptions!$D$14+$F15*$V$8*Assumptions!$D$15)/10^6</f>
        <v>4317.2606967456968</v>
      </c>
      <c r="D15" s="195">
        <f t="shared" si="0"/>
        <v>284939.20598521602</v>
      </c>
      <c r="E15" s="196">
        <f>D15*(1+0.03)^-($B15-Assumptions!$D$4)</f>
        <v>188378.38265264558</v>
      </c>
      <c r="F15" s="198">
        <f>SUM('VOC-Detour-Truck'!C16,'VOC-Detour-Car_A'!C16,'VOC-Detour-Car_B'!C16)-SUM('VOC-Detour-Truck'!D16,'VOC-Detour-Car_A'!D16,'VOC-Detour-Car_B'!D16)</f>
        <v>7497465</v>
      </c>
      <c r="G15" s="199">
        <f>($F15*S$7*Assumptions!$D$14+$F15*S$8*Assumptions!$D$15)/10^6</f>
        <v>5.6465980159209268</v>
      </c>
      <c r="H15" s="200">
        <f>($F15*T$7*Assumptions!$D$14+$F15*T$8*Assumptions!$D$15)/10^6</f>
        <v>2.1233350852527564E-2</v>
      </c>
      <c r="I15" s="201">
        <f>($F15*U$7*Assumptions!$D$14+$F15*U$8*Assumptions!$D$15)/10^6</f>
        <v>9.9771534920003166E-2</v>
      </c>
      <c r="J15" s="202">
        <f t="shared" si="1"/>
        <v>102203.42408816877</v>
      </c>
      <c r="K15" s="203">
        <f t="shared" si="2"/>
        <v>102203.42408816877</v>
      </c>
      <c r="L15" s="204">
        <f t="shared" si="3"/>
        <v>18422.055199652914</v>
      </c>
      <c r="M15" s="205">
        <f t="shared" si="4"/>
        <v>222828.90337599046</v>
      </c>
      <c r="N15" s="206">
        <f>M15*(1+0.07)^-(B15-Assumptions!$D$4)</f>
        <v>86416.890526192699</v>
      </c>
      <c r="O15" s="207">
        <f t="shared" si="5"/>
        <v>507768.10936120647</v>
      </c>
      <c r="P15" s="204">
        <f t="shared" si="5"/>
        <v>274795.27317883831</v>
      </c>
      <c r="R15" s="172">
        <v>2023</v>
      </c>
      <c r="S15" s="212">
        <v>16000</v>
      </c>
      <c r="T15" s="212">
        <v>43100</v>
      </c>
      <c r="U15" s="212">
        <v>774700</v>
      </c>
      <c r="V15" s="212">
        <v>54</v>
      </c>
      <c r="Y15" s="173">
        <v>52</v>
      </c>
      <c r="Z15" s="104" t="s">
        <v>216</v>
      </c>
      <c r="AA15" s="104" t="s">
        <v>215</v>
      </c>
      <c r="AB15" s="103">
        <v>0.95074648895471525</v>
      </c>
      <c r="AC15" s="103">
        <v>3.5321878667988801E-3</v>
      </c>
      <c r="AD15" s="103">
        <v>1.5158170819293781E-2</v>
      </c>
      <c r="AE15" s="103">
        <v>862.616489254057</v>
      </c>
    </row>
    <row r="16" spans="2:31" ht="15" customHeight="1" x14ac:dyDescent="0.25">
      <c r="B16" s="2">
        <f t="shared" si="6"/>
        <v>2035</v>
      </c>
      <c r="C16" s="197">
        <f>($F16*$V$7*Assumptions!$D$14+$F16*$V$8*Assumptions!$D$15)/10^6</f>
        <v>4381.0286192125986</v>
      </c>
      <c r="D16" s="195">
        <f t="shared" si="0"/>
        <v>293528.91748724412</v>
      </c>
      <c r="E16" s="196">
        <f>D16*(1+0.03)^-($B16-Assumptions!$D$4)</f>
        <v>188405.04259561296</v>
      </c>
      <c r="F16" s="198">
        <f>SUM('VOC-Detour-Truck'!C17,'VOC-Detour-Car_A'!C17,'VOC-Detour-Car_B'!C17)-SUM('VOC-Detour-Truck'!D17,'VOC-Detour-Car_A'!D17,'VOC-Detour-Car_B'!D17)</f>
        <v>7608206</v>
      </c>
      <c r="G16" s="199">
        <f>($F16*S$7*Assumptions!$D$14+$F16*S$8*Assumptions!$D$15)/10^6</f>
        <v>5.7300008608666646</v>
      </c>
      <c r="H16" s="200">
        <f>($F16*T$7*Assumptions!$D$14+$F16*T$8*Assumptions!$D$15)/10^6</f>
        <v>2.1546977192465098E-2</v>
      </c>
      <c r="I16" s="201">
        <f>($F16*U$7*Assumptions!$D$14+$F16*U$8*Assumptions!$D$15)/10^6</f>
        <v>0.10124520629407108</v>
      </c>
      <c r="J16" s="202">
        <f t="shared" si="1"/>
        <v>103713.01558168663</v>
      </c>
      <c r="K16" s="203">
        <f t="shared" si="2"/>
        <v>103713.01558168663</v>
      </c>
      <c r="L16" s="204">
        <f t="shared" si="3"/>
        <v>18694.157412182718</v>
      </c>
      <c r="M16" s="205">
        <f t="shared" si="4"/>
        <v>226120.18857555598</v>
      </c>
      <c r="N16" s="206">
        <f>M16*(1+0.07)^-(B16-Assumptions!$D$4)</f>
        <v>81956.362309990029</v>
      </c>
      <c r="O16" s="207">
        <f t="shared" si="5"/>
        <v>519649.1060628001</v>
      </c>
      <c r="P16" s="204">
        <f t="shared" si="5"/>
        <v>270361.40490560298</v>
      </c>
      <c r="R16" s="172">
        <v>2024</v>
      </c>
      <c r="S16" s="212">
        <v>16200</v>
      </c>
      <c r="T16" s="212">
        <v>44000</v>
      </c>
      <c r="U16" s="212">
        <v>788100</v>
      </c>
      <c r="V16" s="212">
        <v>55</v>
      </c>
      <c r="Y16" s="173">
        <v>53</v>
      </c>
      <c r="Z16" s="104" t="s">
        <v>216</v>
      </c>
      <c r="AA16" s="104" t="s">
        <v>215</v>
      </c>
      <c r="AB16" s="103">
        <v>0.89067775827536644</v>
      </c>
      <c r="AC16" s="103">
        <v>3.4020765235606102E-3</v>
      </c>
      <c r="AD16" s="103">
        <v>1.349939126139434E-2</v>
      </c>
      <c r="AE16" s="103">
        <v>829.46088804247995</v>
      </c>
    </row>
    <row r="17" spans="1:31" ht="15" customHeight="1" x14ac:dyDescent="0.25">
      <c r="B17" s="2">
        <f t="shared" si="6"/>
        <v>2036</v>
      </c>
      <c r="C17" s="197">
        <f>($F17*$V$7*Assumptions!$D$14+$F17*$V$8*Assumptions!$D$15)/10^6</f>
        <v>4444.7965416794668</v>
      </c>
      <c r="D17" s="195">
        <f t="shared" si="0"/>
        <v>306690.9613758832</v>
      </c>
      <c r="E17" s="196">
        <f>D17*(1+0.03)^-($B17-Assumptions!$D$4)</f>
        <v>191119.66768708345</v>
      </c>
      <c r="F17" s="198">
        <f>SUM('VOC-Detour-Truck'!C18,'VOC-Detour-Car_A'!C18,'VOC-Detour-Car_B'!C18)-SUM('VOC-Detour-Truck'!D18,'VOC-Detour-Car_A'!D18,'VOC-Detour-Car_B'!D18)</f>
        <v>7718946.9999999404</v>
      </c>
      <c r="G17" s="199">
        <f>($F17*S$7*Assumptions!$D$14+$F17*S$8*Assumptions!$D$15)/10^6</f>
        <v>5.8134037058123589</v>
      </c>
      <c r="H17" s="200">
        <f>($F17*T$7*Assumptions!$D$14+$F17*T$8*Assumptions!$D$15)/10^6</f>
        <v>2.1860603532402462E-2</v>
      </c>
      <c r="I17" s="201">
        <f>($F17*U$7*Assumptions!$D$14+$F17*U$8*Assumptions!$D$15)/10^6</f>
        <v>0.1027188776681382</v>
      </c>
      <c r="J17" s="202">
        <f t="shared" si="1"/>
        <v>105222.60707520369</v>
      </c>
      <c r="K17" s="203">
        <f t="shared" si="2"/>
        <v>105222.60707520369</v>
      </c>
      <c r="L17" s="204">
        <f t="shared" si="3"/>
        <v>18966.259624712377</v>
      </c>
      <c r="M17" s="205">
        <f t="shared" si="4"/>
        <v>229411.47377511975</v>
      </c>
      <c r="N17" s="206">
        <f>M17*(1+0.07)^-(B17-Assumptions!$D$4)</f>
        <v>77709.603299139955</v>
      </c>
      <c r="O17" s="207">
        <f t="shared" si="5"/>
        <v>536102.43515100295</v>
      </c>
      <c r="P17" s="204">
        <f t="shared" si="5"/>
        <v>268829.27098622342</v>
      </c>
      <c r="R17" s="172">
        <v>2025</v>
      </c>
      <c r="S17" s="212">
        <v>16500</v>
      </c>
      <c r="T17" s="212">
        <v>44900</v>
      </c>
      <c r="U17" s="212">
        <v>801700</v>
      </c>
      <c r="V17" s="212">
        <v>56</v>
      </c>
      <c r="Y17" s="173">
        <v>54</v>
      </c>
      <c r="Z17" s="104" t="s">
        <v>216</v>
      </c>
      <c r="AA17" s="104" t="s">
        <v>215</v>
      </c>
      <c r="AB17" s="103">
        <v>1.6481032166429217</v>
      </c>
      <c r="AC17" s="103">
        <v>6.0326542026046303E-3</v>
      </c>
      <c r="AD17" s="103">
        <v>4.2864875162321965E-2</v>
      </c>
      <c r="AE17" s="103">
        <v>1166.1048437433201</v>
      </c>
    </row>
    <row r="18" spans="1:31" ht="15" customHeight="1" x14ac:dyDescent="0.25">
      <c r="B18" s="2">
        <f t="shared" si="6"/>
        <v>2037</v>
      </c>
      <c r="C18" s="197">
        <f>($F18*$V$7*Assumptions!$D$14+$F18*$V$8*Assumptions!$D$15)/10^6</f>
        <v>4508.5644641463532</v>
      </c>
      <c r="D18" s="195">
        <f t="shared" si="0"/>
        <v>315599.5124902447</v>
      </c>
      <c r="E18" s="196">
        <f>D18*(1+0.03)^-($B18-Assumptions!$D$4)</f>
        <v>190942.89535719034</v>
      </c>
      <c r="F18" s="198">
        <f>SUM('VOC-Detour-Truck'!C19,'VOC-Detour-Car_A'!C19,'VOC-Detour-Car_B'!C19)-SUM('VOC-Detour-Truck'!D19,'VOC-Detour-Car_A'!D19,'VOC-Detour-Car_B'!D19)</f>
        <v>7829687.9999999106</v>
      </c>
      <c r="G18" s="199">
        <f>($F18*S$7*Assumptions!$D$14+$F18*S$8*Assumptions!$D$15)/10^6</f>
        <v>5.8968065507580754</v>
      </c>
      <c r="H18" s="200">
        <f>($F18*T$7*Assumptions!$D$14+$F18*T$8*Assumptions!$D$15)/10^6</f>
        <v>2.2174229872339912E-2</v>
      </c>
      <c r="I18" s="201">
        <f>($F18*U$7*Assumptions!$D$14+$F18*U$8*Assumptions!$D$15)/10^6</f>
        <v>0.10419254904220571</v>
      </c>
      <c r="J18" s="202">
        <f t="shared" si="1"/>
        <v>106732.19856872117</v>
      </c>
      <c r="K18" s="203">
        <f t="shared" si="2"/>
        <v>106732.19856872117</v>
      </c>
      <c r="L18" s="204">
        <f t="shared" si="3"/>
        <v>19238.361837242108</v>
      </c>
      <c r="M18" s="205">
        <f t="shared" si="4"/>
        <v>232702.75897468446</v>
      </c>
      <c r="N18" s="206">
        <f>M18*(1+0.07)^-(B18-Assumptions!$D$4)</f>
        <v>73667.734081727482</v>
      </c>
      <c r="O18" s="207">
        <f t="shared" si="5"/>
        <v>548302.27146492922</v>
      </c>
      <c r="P18" s="204">
        <f t="shared" si="5"/>
        <v>264610.62943891785</v>
      </c>
      <c r="R18" s="172">
        <v>2026</v>
      </c>
      <c r="S18" s="212">
        <v>16800</v>
      </c>
      <c r="T18" s="212">
        <v>45700</v>
      </c>
      <c r="U18" s="212">
        <v>814500</v>
      </c>
      <c r="V18" s="212">
        <v>57</v>
      </c>
      <c r="Y18" s="173">
        <v>61</v>
      </c>
      <c r="Z18" s="104" t="s">
        <v>217</v>
      </c>
      <c r="AA18" s="104" t="s">
        <v>215</v>
      </c>
      <c r="AB18" s="103">
        <v>3.0234078113615883</v>
      </c>
      <c r="AC18" s="103">
        <v>4.9760807160904204E-3</v>
      </c>
      <c r="AD18" s="103">
        <v>4.3407648080982714E-2</v>
      </c>
      <c r="AE18" s="103">
        <v>1463.90880302132</v>
      </c>
    </row>
    <row r="19" spans="1:31" ht="15" customHeight="1" x14ac:dyDescent="0.25">
      <c r="B19" s="2">
        <f t="shared" si="6"/>
        <v>2038</v>
      </c>
      <c r="C19" s="197">
        <f>($F19*$V$7*Assumptions!$D$14+$F19*$V$8*Assumptions!$D$15)/10^6</f>
        <v>4572.332386613306</v>
      </c>
      <c r="D19" s="195">
        <f t="shared" si="0"/>
        <v>324635.59944954474</v>
      </c>
      <c r="E19" s="196">
        <f>D19*(1+0.03)^-($B19-Assumptions!$D$4)</f>
        <v>190689.20055694206</v>
      </c>
      <c r="F19" s="198">
        <f>SUM('VOC-Detour-Truck'!C20,'VOC-Detour-Car_A'!C20,'VOC-Detour-Car_B'!C20)-SUM('VOC-Detour-Truck'!D20,'VOC-Detour-Car_A'!D20,'VOC-Detour-Car_B'!D20)</f>
        <v>7940429</v>
      </c>
      <c r="G19" s="199">
        <f>($F19*S$7*Assumptions!$D$14+$F19*S$8*Assumptions!$D$15)/10^6</f>
        <v>5.9802093957038798</v>
      </c>
      <c r="H19" s="200">
        <f>($F19*T$7*Assumptions!$D$14+$F19*T$8*Assumptions!$D$15)/10^6</f>
        <v>2.2487856212277699E-2</v>
      </c>
      <c r="I19" s="201">
        <f>($F19*U$7*Assumptions!$D$14+$F19*U$8*Assumptions!$D$15)/10^6</f>
        <v>0.10566622041627481</v>
      </c>
      <c r="J19" s="202">
        <f t="shared" si="1"/>
        <v>108241.79006224022</v>
      </c>
      <c r="K19" s="203">
        <f t="shared" si="2"/>
        <v>108241.79006224022</v>
      </c>
      <c r="L19" s="204">
        <f t="shared" si="3"/>
        <v>19510.46404977213</v>
      </c>
      <c r="M19" s="205">
        <f t="shared" si="4"/>
        <v>235994.04417425257</v>
      </c>
      <c r="N19" s="206">
        <f>M19*(1+0.07)^-(B19-Assumptions!$D$4)</f>
        <v>69822.122137966624</v>
      </c>
      <c r="O19" s="207">
        <f t="shared" si="5"/>
        <v>560629.64362379734</v>
      </c>
      <c r="P19" s="204">
        <f t="shared" si="5"/>
        <v>260511.32269490868</v>
      </c>
      <c r="R19" s="172">
        <v>2027</v>
      </c>
      <c r="S19" s="212">
        <v>17100</v>
      </c>
      <c r="T19" s="212">
        <v>46500</v>
      </c>
      <c r="U19" s="212">
        <v>827400</v>
      </c>
      <c r="V19" s="212">
        <v>58</v>
      </c>
      <c r="Y19" s="173">
        <v>62</v>
      </c>
      <c r="Z19" s="104" t="s">
        <v>217</v>
      </c>
      <c r="AA19" s="104" t="s">
        <v>215</v>
      </c>
      <c r="AB19" s="103">
        <v>3.7426725771679936</v>
      </c>
      <c r="AC19" s="103">
        <v>5.1160211102583997E-3</v>
      </c>
      <c r="AD19" s="103">
        <v>5.9310023601485649E-2</v>
      </c>
      <c r="AE19" s="103">
        <v>1528.79872430418</v>
      </c>
    </row>
    <row r="20" spans="1:31" ht="15" customHeight="1" x14ac:dyDescent="0.25">
      <c r="B20" s="2">
        <f t="shared" si="6"/>
        <v>2039</v>
      </c>
      <c r="C20" s="197">
        <f>($F20*$V$7*Assumptions!$D$14+$F20*$V$8*Assumptions!$D$15)/10^6</f>
        <v>4636.1003090802096</v>
      </c>
      <c r="D20" s="195">
        <f t="shared" si="0"/>
        <v>333799.22225377511</v>
      </c>
      <c r="E20" s="196">
        <f>D20*(1+0.03)^-($B20-Assumptions!$D$4)</f>
        <v>190361.03221201609</v>
      </c>
      <c r="F20" s="198">
        <f>SUM('VOC-Detour-Truck'!C21,'VOC-Detour-Car_A'!C21,'VOC-Detour-Car_B'!C21)-SUM('VOC-Detour-Truck'!D21,'VOC-Detour-Car_A'!D21,'VOC-Detour-Car_B'!D21)</f>
        <v>8051170</v>
      </c>
      <c r="G20" s="199">
        <f>($F20*S$7*Assumptions!$D$14+$F20*S$8*Assumptions!$D$15)/10^6</f>
        <v>6.0636122406496185</v>
      </c>
      <c r="H20" s="200">
        <f>($F20*T$7*Assumptions!$D$14+$F20*T$8*Assumptions!$D$15)/10^6</f>
        <v>2.2801482552215226E-2</v>
      </c>
      <c r="I20" s="201">
        <f>($F20*U$7*Assumptions!$D$14+$F20*U$8*Assumptions!$D$15)/10^6</f>
        <v>0.10713989179034272</v>
      </c>
      <c r="J20" s="202">
        <f t="shared" si="1"/>
        <v>109751.3815557581</v>
      </c>
      <c r="K20" s="203">
        <f t="shared" si="2"/>
        <v>109751.3815557581</v>
      </c>
      <c r="L20" s="204">
        <f t="shared" si="3"/>
        <v>19782.566262301931</v>
      </c>
      <c r="M20" s="205">
        <f t="shared" si="4"/>
        <v>239285.32937381812</v>
      </c>
      <c r="N20" s="206">
        <f>M20*(1+0.07)^-(B20-Assumptions!$D$4)</f>
        <v>66164.387539104107</v>
      </c>
      <c r="O20" s="207">
        <f t="shared" si="5"/>
        <v>573084.55162759323</v>
      </c>
      <c r="P20" s="204">
        <f t="shared" si="5"/>
        <v>256525.41975112021</v>
      </c>
      <c r="R20" s="172">
        <v>2028</v>
      </c>
      <c r="S20" s="212">
        <v>17400</v>
      </c>
      <c r="T20" s="212">
        <v>47300</v>
      </c>
      <c r="U20" s="212">
        <v>840600</v>
      </c>
      <c r="V20" s="212">
        <v>60</v>
      </c>
      <c r="Y20" s="169" t="s">
        <v>260</v>
      </c>
    </row>
    <row r="21" spans="1:31" ht="15" customHeight="1" x14ac:dyDescent="0.25">
      <c r="B21" s="2">
        <f t="shared" si="6"/>
        <v>2040</v>
      </c>
      <c r="C21" s="197">
        <f>($F21*$V$7*Assumptions!$D$14+$F21*$V$8*Assumptions!$D$15)/10^6</f>
        <v>4699.8682315470942</v>
      </c>
      <c r="D21" s="195">
        <f t="shared" si="0"/>
        <v>343090.38090293785</v>
      </c>
      <c r="E21" s="196">
        <f>D21*(1+0.03)^-($B21-Assumptions!$D$4)</f>
        <v>189960.82540051104</v>
      </c>
      <c r="F21" s="198">
        <f>SUM('VOC-Detour-Truck'!C22,'VOC-Detour-Car_A'!C22,'VOC-Detour-Car_B'!C22)-SUM('VOC-Detour-Truck'!D22,'VOC-Detour-Car_A'!D22,'VOC-Detour-Car_B'!D22)</f>
        <v>8161910.9999999702</v>
      </c>
      <c r="G21" s="199">
        <f>($F21*S$7*Assumptions!$D$14+$F21*S$8*Assumptions!$D$15)/10^6</f>
        <v>6.147015085595334</v>
      </c>
      <c r="H21" s="200">
        <f>($F21*T$7*Assumptions!$D$14+$F21*T$8*Assumptions!$D$15)/10^6</f>
        <v>2.311510889215268E-2</v>
      </c>
      <c r="I21" s="201">
        <f>($F21*U$7*Assumptions!$D$14+$F21*U$8*Assumptions!$D$15)/10^6</f>
        <v>0.10861356316441025</v>
      </c>
      <c r="J21" s="202">
        <f t="shared" si="1"/>
        <v>111260.97304927555</v>
      </c>
      <c r="K21" s="203">
        <f t="shared" si="2"/>
        <v>111260.97304927555</v>
      </c>
      <c r="L21" s="204">
        <f t="shared" si="3"/>
        <v>20054.668474831666</v>
      </c>
      <c r="M21" s="205">
        <f t="shared" si="4"/>
        <v>242576.61457338277</v>
      </c>
      <c r="N21" s="206">
        <f>M21*(1+0.07)^-(B21-Assumptions!$D$4)</f>
        <v>62686.406844017743</v>
      </c>
      <c r="O21" s="207">
        <f t="shared" si="5"/>
        <v>585666.99547632062</v>
      </c>
      <c r="P21" s="204">
        <f t="shared" si="5"/>
        <v>252647.23224452877</v>
      </c>
      <c r="R21" s="172">
        <v>2029</v>
      </c>
      <c r="S21" s="212">
        <v>17700</v>
      </c>
      <c r="T21" s="212">
        <v>48200</v>
      </c>
      <c r="U21" s="212">
        <v>854000</v>
      </c>
      <c r="V21" s="212">
        <v>61</v>
      </c>
      <c r="Y21" s="287"/>
    </row>
    <row r="22" spans="1:31" ht="15" customHeight="1" x14ac:dyDescent="0.25">
      <c r="B22" s="2">
        <f t="shared" si="6"/>
        <v>2041</v>
      </c>
      <c r="C22" s="197">
        <f>($F22*$V$7*Assumptions!$D$14+$F22*$V$8*Assumptions!$D$15)/10^6</f>
        <v>4763.6361540139624</v>
      </c>
      <c r="D22" s="195">
        <f t="shared" si="0"/>
        <v>352509.07539703324</v>
      </c>
      <c r="E22" s="196">
        <f>D22*(1+0.03)^-($B22-Assumptions!$D$4)</f>
        <v>189490.99823104855</v>
      </c>
      <c r="F22" s="198">
        <f>SUM('VOC-Detour-Truck'!C23,'VOC-Detour-Car_A'!C23,'VOC-Detour-Car_B'!C23)-SUM('VOC-Detour-Truck'!D23,'VOC-Detour-Car_A'!D23,'VOC-Detour-Car_B'!D23)</f>
        <v>8272651.9999999106</v>
      </c>
      <c r="G22" s="199">
        <f>($F22*S$7*Assumptions!$D$14+$F22*S$8*Assumptions!$D$15)/10^6</f>
        <v>6.2304179305410274</v>
      </c>
      <c r="H22" s="200">
        <f>($F22*T$7*Assumptions!$D$14+$F22*T$8*Assumptions!$D$15)/10^6</f>
        <v>2.3428735232090041E-2</v>
      </c>
      <c r="I22" s="201">
        <f>($F22*U$7*Assumptions!$D$14+$F22*U$8*Assumptions!$D$15)/10^6</f>
        <v>0.11008723453847735</v>
      </c>
      <c r="J22" s="202">
        <f t="shared" si="1"/>
        <v>112770.56454279259</v>
      </c>
      <c r="K22" s="203">
        <f t="shared" si="2"/>
        <v>112770.56454279259</v>
      </c>
      <c r="L22" s="204">
        <f t="shared" si="3"/>
        <v>20326.770687361321</v>
      </c>
      <c r="M22" s="205">
        <f t="shared" si="4"/>
        <v>245867.89977294649</v>
      </c>
      <c r="N22" s="206">
        <f>M22*(1+0.07)^-(B22-Assumptions!$D$4)</f>
        <v>59380.315404920606</v>
      </c>
      <c r="O22" s="207">
        <f t="shared" si="5"/>
        <v>598376.97516997973</v>
      </c>
      <c r="P22" s="204">
        <f t="shared" si="5"/>
        <v>248871.31363596916</v>
      </c>
      <c r="R22" s="172">
        <v>2030</v>
      </c>
      <c r="S22" s="212">
        <v>18100</v>
      </c>
      <c r="T22" s="212">
        <v>49100</v>
      </c>
      <c r="U22" s="212">
        <v>867600</v>
      </c>
      <c r="V22" s="212">
        <v>62</v>
      </c>
    </row>
    <row r="23" spans="1:31" ht="15" customHeight="1" x14ac:dyDescent="0.25">
      <c r="B23" s="2">
        <f t="shared" si="6"/>
        <v>2042</v>
      </c>
      <c r="C23" s="197">
        <f>($F23*$V$7*Assumptions!$D$14+$F23*$V$8*Assumptions!$D$15)/10^6</f>
        <v>4827.4040764809342</v>
      </c>
      <c r="D23" s="195">
        <f t="shared" si="0"/>
        <v>362055.30573607009</v>
      </c>
      <c r="E23" s="196">
        <f>D23*(1+0.03)^-($B23-Assumptions!$D$4)</f>
        <v>188953.94896840674</v>
      </c>
      <c r="F23" s="198">
        <f>SUM('VOC-Detour-Truck'!C24,'VOC-Detour-Car_A'!C24,'VOC-Detour-Car_B'!C24)-SUM('VOC-Detour-Truck'!D24,'VOC-Detour-Car_A'!D24,'VOC-Detour-Car_B'!D24)</f>
        <v>8383393.0000000298</v>
      </c>
      <c r="G23" s="199">
        <f>($F23*S$7*Assumptions!$D$14+$F23*S$8*Assumptions!$D$15)/10^6</f>
        <v>6.3138207754868558</v>
      </c>
      <c r="H23" s="200">
        <f>($F23*T$7*Assumptions!$D$14+$F23*T$8*Assumptions!$D$15)/10^6</f>
        <v>2.3742361572027911E-2</v>
      </c>
      <c r="I23" s="201">
        <f>($F23*U$7*Assumptions!$D$14+$F23*U$8*Assumptions!$D$15)/10^6</f>
        <v>0.11156090591254685</v>
      </c>
      <c r="J23" s="202">
        <f t="shared" si="1"/>
        <v>114280.1560363121</v>
      </c>
      <c r="K23" s="203">
        <f t="shared" si="2"/>
        <v>114280.1560363121</v>
      </c>
      <c r="L23" s="204">
        <f t="shared" si="3"/>
        <v>20598.872899891416</v>
      </c>
      <c r="M23" s="205">
        <f t="shared" si="4"/>
        <v>249159.18497251562</v>
      </c>
      <c r="N23" s="206">
        <f>M23*(1+0.07)^-(B23-Assumptions!$D$4)</f>
        <v>56238.508273660358</v>
      </c>
      <c r="O23" s="207">
        <f t="shared" si="5"/>
        <v>611214.49070858571</v>
      </c>
      <c r="P23" s="204">
        <f t="shared" si="5"/>
        <v>245192.45724206709</v>
      </c>
      <c r="R23" s="172">
        <v>2031</v>
      </c>
      <c r="S23" s="212">
        <v>18100</v>
      </c>
      <c r="T23" s="212">
        <v>49100</v>
      </c>
      <c r="U23" s="212">
        <v>867600</v>
      </c>
      <c r="V23" s="212">
        <v>63</v>
      </c>
    </row>
    <row r="24" spans="1:31" ht="15" customHeight="1" thickBot="1" x14ac:dyDescent="0.3">
      <c r="B24" s="3">
        <f t="shared" si="6"/>
        <v>2043</v>
      </c>
      <c r="C24" s="213">
        <f>($F24*$V$7*Assumptions!$D$14+$F24*$V$8*Assumptions!$D$15)/10^6</f>
        <v>4891.1719989478361</v>
      </c>
      <c r="D24" s="214">
        <f t="shared" si="0"/>
        <v>376620.24391898338</v>
      </c>
      <c r="E24" s="215">
        <f>D24*(1+0.03)^-($B24-Assumptions!$D$4)</f>
        <v>190830.36988532776</v>
      </c>
      <c r="F24" s="216">
        <f>SUM('VOC-Detour-Truck'!C25,'VOC-Detour-Car_A'!C25,'VOC-Detour-Car_B'!C25)-SUM('VOC-Detour-Truck'!D25,'VOC-Detour-Car_A'!D25,'VOC-Detour-Car_B'!D25)</f>
        <v>8494134.0000000298</v>
      </c>
      <c r="G24" s="217">
        <f>($F24*S$7*Assumptions!$D$14+$F24*S$8*Assumptions!$D$15)/10^6</f>
        <v>6.3972236204325936</v>
      </c>
      <c r="H24" s="218">
        <f>($F24*T$7*Assumptions!$D$14+$F24*T$8*Assumptions!$D$15)/10^6</f>
        <v>2.4055987911965445E-2</v>
      </c>
      <c r="I24" s="219">
        <f>($F24*U$7*Assumptions!$D$14+$F24*U$8*Assumptions!$D$15)/10^6</f>
        <v>0.11303457728661474</v>
      </c>
      <c r="J24" s="220">
        <f t="shared" si="1"/>
        <v>115789.74752982994</v>
      </c>
      <c r="K24" s="221">
        <f t="shared" si="2"/>
        <v>115789.74752982994</v>
      </c>
      <c r="L24" s="215">
        <f t="shared" si="3"/>
        <v>20870.97511242122</v>
      </c>
      <c r="M24" s="222">
        <f t="shared" si="4"/>
        <v>252450.47017208108</v>
      </c>
      <c r="N24" s="223">
        <f>M24*(1+0.07)^-(B24-Assumptions!$D$4)</f>
        <v>53253.639881833937</v>
      </c>
      <c r="O24" s="214">
        <f t="shared" si="5"/>
        <v>629070.71409106441</v>
      </c>
      <c r="P24" s="215">
        <f t="shared" si="5"/>
        <v>244084.00976716168</v>
      </c>
      <c r="R24" s="172">
        <v>2032</v>
      </c>
      <c r="S24" s="212">
        <v>18100</v>
      </c>
      <c r="T24" s="212">
        <v>49100</v>
      </c>
      <c r="U24" s="212">
        <v>867600</v>
      </c>
      <c r="V24" s="212">
        <v>64</v>
      </c>
      <c r="AA24" s="102" t="s">
        <v>49</v>
      </c>
      <c r="AB24" s="126" t="s">
        <v>255</v>
      </c>
      <c r="AC24" s="294" t="s">
        <v>259</v>
      </c>
      <c r="AD24" s="126" t="s">
        <v>257</v>
      </c>
      <c r="AE24" s="126" t="s">
        <v>258</v>
      </c>
    </row>
    <row r="25" spans="1:31" ht="15" customHeight="1" x14ac:dyDescent="0.25">
      <c r="B25" s="4"/>
      <c r="C25" s="4"/>
      <c r="D25" s="125" t="s">
        <v>2</v>
      </c>
      <c r="E25" s="224">
        <f>SUM(E5:E24)</f>
        <v>2459090.6301837019</v>
      </c>
      <c r="F25" s="225"/>
      <c r="G25" s="4"/>
      <c r="H25" s="4"/>
      <c r="I25" s="4"/>
      <c r="J25" s="4"/>
      <c r="K25" s="4"/>
      <c r="L25" s="4"/>
      <c r="M25" s="125" t="s">
        <v>2</v>
      </c>
      <c r="N25" s="224">
        <f>SUM(N5:N24)</f>
        <v>987667.29975026229</v>
      </c>
      <c r="O25" s="224">
        <f>SUM(O5:O24)</f>
        <v>7077119.8843437219</v>
      </c>
      <c r="P25" s="224">
        <f>SUM(P5:P24)</f>
        <v>3446757.9299339643</v>
      </c>
      <c r="R25" s="172">
        <v>2033</v>
      </c>
      <c r="S25" s="212">
        <v>18100</v>
      </c>
      <c r="T25" s="212">
        <v>49100</v>
      </c>
      <c r="U25" s="212">
        <v>867600</v>
      </c>
      <c r="V25" s="212">
        <v>65</v>
      </c>
      <c r="AA25" s="102" t="s">
        <v>50</v>
      </c>
      <c r="AB25" s="208">
        <f>AVERAGE(AB7:AB10)</f>
        <v>0.22790983982547491</v>
      </c>
      <c r="AC25" s="208">
        <f t="shared" ref="AC25:AE25" si="9">AVERAGE(AC7:AC10)</f>
        <v>2.0699004398994176E-3</v>
      </c>
      <c r="AD25" s="208">
        <f t="shared" si="9"/>
        <v>5.8180715878192544E-3</v>
      </c>
      <c r="AE25" s="208">
        <f t="shared" si="9"/>
        <v>317.22468262036</v>
      </c>
    </row>
    <row r="26" spans="1:31" ht="15" customHeight="1" x14ac:dyDescent="0.25">
      <c r="C26" s="571"/>
      <c r="D26" s="571"/>
      <c r="E26" s="571"/>
      <c r="F26" s="571"/>
      <c r="G26" s="571"/>
      <c r="H26" s="571"/>
      <c r="I26" s="571"/>
      <c r="J26" s="571"/>
      <c r="K26" s="571"/>
      <c r="L26" s="571"/>
      <c r="M26" s="571"/>
      <c r="N26" s="571"/>
      <c r="O26" s="571"/>
      <c r="P26" s="571"/>
      <c r="R26" s="172">
        <v>2034</v>
      </c>
      <c r="S26" s="212">
        <v>18100</v>
      </c>
      <c r="T26" s="212">
        <v>49100</v>
      </c>
      <c r="U26" s="212">
        <v>867600</v>
      </c>
      <c r="V26" s="212">
        <v>66</v>
      </c>
      <c r="AA26" s="102" t="s">
        <v>46</v>
      </c>
      <c r="AB26" s="208">
        <f>AVERAGE(AB11:AB19)</f>
        <v>2.099484306313415</v>
      </c>
      <c r="AC26" s="208">
        <f t="shared" ref="AC26:AE26" si="10">AVERAGE(AC11:AC19)</f>
        <v>4.7858028693373951E-3</v>
      </c>
      <c r="AD26" s="208">
        <f t="shared" si="10"/>
        <v>3.2505287070740692E-2</v>
      </c>
      <c r="AE26" s="208">
        <f t="shared" si="10"/>
        <v>1238.7315972924489</v>
      </c>
    </row>
    <row r="27" spans="1:31" ht="15" customHeight="1" x14ac:dyDescent="0.25">
      <c r="B27" s="6" t="s">
        <v>3</v>
      </c>
      <c r="C27" s="6"/>
      <c r="D27" s="6"/>
      <c r="E27" s="6"/>
      <c r="R27" s="172">
        <v>2035</v>
      </c>
      <c r="S27" s="212">
        <v>18100</v>
      </c>
      <c r="T27" s="212">
        <v>49100</v>
      </c>
      <c r="U27" s="212">
        <v>867600</v>
      </c>
      <c r="V27" s="212">
        <v>67</v>
      </c>
    </row>
    <row r="28" spans="1:31" ht="15" customHeight="1" x14ac:dyDescent="0.25">
      <c r="A28" s="7" t="s">
        <v>9</v>
      </c>
      <c r="B28" s="663" t="s">
        <v>229</v>
      </c>
      <c r="C28" s="663"/>
      <c r="D28" s="663"/>
      <c r="E28" s="663"/>
      <c r="F28" s="663"/>
      <c r="G28" s="663"/>
      <c r="H28" s="663"/>
      <c r="I28" s="663"/>
      <c r="J28" s="663"/>
      <c r="K28" s="663"/>
      <c r="L28" s="663"/>
      <c r="M28" s="663"/>
      <c r="R28" s="172">
        <v>2036</v>
      </c>
      <c r="S28" s="212">
        <v>18100</v>
      </c>
      <c r="T28" s="212">
        <v>49100</v>
      </c>
      <c r="U28" s="212">
        <v>867600</v>
      </c>
      <c r="V28" s="212">
        <v>69</v>
      </c>
    </row>
    <row r="29" spans="1:31" ht="15" customHeight="1" x14ac:dyDescent="0.25">
      <c r="B29" s="663"/>
      <c r="C29" s="663"/>
      <c r="D29" s="663"/>
      <c r="E29" s="663"/>
      <c r="F29" s="663"/>
      <c r="G29" s="663"/>
      <c r="H29" s="663"/>
      <c r="I29" s="663"/>
      <c r="J29" s="663"/>
      <c r="K29" s="663"/>
      <c r="L29" s="663"/>
      <c r="M29" s="663"/>
      <c r="R29" s="172">
        <v>2037</v>
      </c>
      <c r="S29" s="212">
        <v>18100</v>
      </c>
      <c r="T29" s="212">
        <v>49100</v>
      </c>
      <c r="U29" s="212">
        <v>867600</v>
      </c>
      <c r="V29" s="212">
        <v>70</v>
      </c>
    </row>
    <row r="30" spans="1:31" ht="15" customHeight="1" x14ac:dyDescent="0.25">
      <c r="B30" s="663"/>
      <c r="C30" s="663"/>
      <c r="D30" s="663"/>
      <c r="E30" s="663"/>
      <c r="F30" s="663"/>
      <c r="G30" s="663"/>
      <c r="H30" s="663"/>
      <c r="I30" s="663"/>
      <c r="J30" s="663"/>
      <c r="K30" s="663"/>
      <c r="L30" s="663"/>
      <c r="M30" s="663"/>
      <c r="R30" s="172">
        <v>2038</v>
      </c>
      <c r="S30" s="212">
        <v>18100</v>
      </c>
      <c r="T30" s="212">
        <v>49100</v>
      </c>
      <c r="U30" s="212">
        <v>867600</v>
      </c>
      <c r="V30" s="212">
        <v>71</v>
      </c>
    </row>
    <row r="31" spans="1:31" ht="15" customHeight="1" x14ac:dyDescent="0.25">
      <c r="B31" s="6"/>
      <c r="C31" s="6"/>
      <c r="D31" s="6"/>
      <c r="E31" s="6"/>
      <c r="R31" s="172">
        <v>2039</v>
      </c>
      <c r="S31" s="212">
        <v>18100</v>
      </c>
      <c r="T31" s="212">
        <v>49100</v>
      </c>
      <c r="U31" s="212">
        <v>867600</v>
      </c>
      <c r="V31" s="212">
        <v>72</v>
      </c>
    </row>
    <row r="32" spans="1:31" ht="15" customHeight="1" x14ac:dyDescent="0.25">
      <c r="A32" s="7" t="s">
        <v>8</v>
      </c>
      <c r="B32" s="663" t="s">
        <v>612</v>
      </c>
      <c r="C32" s="663"/>
      <c r="D32" s="663"/>
      <c r="E32" s="663"/>
      <c r="F32" s="663"/>
      <c r="G32" s="663"/>
      <c r="H32" s="663"/>
      <c r="I32" s="663"/>
      <c r="J32" s="663"/>
      <c r="K32" s="663"/>
      <c r="L32" s="663"/>
      <c r="M32" s="663"/>
      <c r="R32" s="172">
        <v>2040</v>
      </c>
      <c r="S32" s="212">
        <v>18100</v>
      </c>
      <c r="T32" s="212">
        <v>49100</v>
      </c>
      <c r="U32" s="212">
        <v>867600</v>
      </c>
      <c r="V32" s="212">
        <v>73</v>
      </c>
    </row>
    <row r="33" spans="1:24" ht="15" customHeight="1" x14ac:dyDescent="0.25">
      <c r="B33" s="663"/>
      <c r="C33" s="663"/>
      <c r="D33" s="663"/>
      <c r="E33" s="663"/>
      <c r="F33" s="663"/>
      <c r="G33" s="663"/>
      <c r="H33" s="663"/>
      <c r="I33" s="663"/>
      <c r="J33" s="663"/>
      <c r="K33" s="663"/>
      <c r="L33" s="663"/>
      <c r="M33" s="663"/>
      <c r="R33" s="172">
        <v>2041</v>
      </c>
      <c r="S33" s="212">
        <v>18100</v>
      </c>
      <c r="T33" s="212">
        <v>49100</v>
      </c>
      <c r="U33" s="212">
        <v>867600</v>
      </c>
      <c r="V33" s="212">
        <v>74</v>
      </c>
    </row>
    <row r="34" spans="1:24" ht="15" customHeight="1" x14ac:dyDescent="0.25">
      <c r="A34" s="7" t="s">
        <v>10</v>
      </c>
      <c r="B34" s="663" t="s">
        <v>629</v>
      </c>
      <c r="C34" s="663"/>
      <c r="D34" s="663"/>
      <c r="E34" s="663"/>
      <c r="F34" s="663"/>
      <c r="G34" s="663"/>
      <c r="H34" s="663"/>
      <c r="I34" s="663"/>
      <c r="J34" s="663"/>
      <c r="K34" s="663"/>
      <c r="L34" s="663"/>
      <c r="M34" s="663"/>
      <c r="R34" s="172">
        <v>2042</v>
      </c>
      <c r="S34" s="212">
        <v>18100</v>
      </c>
      <c r="T34" s="212">
        <v>49100</v>
      </c>
      <c r="U34" s="212">
        <v>867600</v>
      </c>
      <c r="V34" s="212">
        <v>75</v>
      </c>
    </row>
    <row r="35" spans="1:24" ht="15" customHeight="1" x14ac:dyDescent="0.25">
      <c r="A35" s="7"/>
      <c r="B35" s="663"/>
      <c r="C35" s="663"/>
      <c r="D35" s="663"/>
      <c r="E35" s="663"/>
      <c r="F35" s="663"/>
      <c r="G35" s="663"/>
      <c r="H35" s="663"/>
      <c r="I35" s="663"/>
      <c r="J35" s="663"/>
      <c r="K35" s="663"/>
      <c r="L35" s="663"/>
      <c r="M35" s="663"/>
      <c r="Q35" s="226"/>
      <c r="R35" s="172">
        <v>2043</v>
      </c>
      <c r="S35" s="212">
        <v>18100</v>
      </c>
      <c r="T35" s="212">
        <v>49100</v>
      </c>
      <c r="U35" s="212">
        <v>867600</v>
      </c>
      <c r="V35" s="212">
        <v>77</v>
      </c>
    </row>
    <row r="36" spans="1:24" ht="15" customHeight="1" x14ac:dyDescent="0.25">
      <c r="B36" s="38"/>
      <c r="C36" s="38"/>
      <c r="D36" s="38"/>
      <c r="E36" s="38"/>
      <c r="F36" s="38"/>
      <c r="G36" s="38"/>
      <c r="H36" s="38"/>
      <c r="I36" s="38"/>
      <c r="J36" s="38"/>
      <c r="K36" s="38"/>
      <c r="L36" s="38"/>
      <c r="M36" s="38"/>
      <c r="Q36" s="226"/>
      <c r="R36" s="172">
        <v>2044</v>
      </c>
      <c r="S36" s="212">
        <v>18100</v>
      </c>
      <c r="T36" s="212">
        <v>49100</v>
      </c>
      <c r="U36" s="212">
        <v>867600</v>
      </c>
      <c r="V36" s="212">
        <v>78</v>
      </c>
    </row>
    <row r="37" spans="1:24" ht="15" customHeight="1" x14ac:dyDescent="0.25">
      <c r="A37" s="7"/>
      <c r="B37" s="38"/>
      <c r="C37" s="38"/>
      <c r="D37" s="38"/>
      <c r="E37" s="38"/>
      <c r="F37" s="38"/>
      <c r="G37" s="38"/>
      <c r="H37" s="38"/>
      <c r="I37" s="38"/>
      <c r="J37" s="38"/>
      <c r="K37" s="38"/>
      <c r="L37" s="38"/>
      <c r="M37" s="38"/>
      <c r="R37" s="172">
        <v>2045</v>
      </c>
      <c r="S37" s="212">
        <v>18100</v>
      </c>
      <c r="T37" s="212">
        <v>49100</v>
      </c>
      <c r="U37" s="212">
        <v>867600</v>
      </c>
      <c r="V37" s="212">
        <v>79</v>
      </c>
    </row>
    <row r="38" spans="1:24" ht="15" customHeight="1" x14ac:dyDescent="0.25">
      <c r="A38" s="7"/>
      <c r="B38" s="171"/>
      <c r="C38" s="171"/>
      <c r="D38" s="171"/>
      <c r="E38" s="171"/>
      <c r="F38" s="171"/>
      <c r="G38" s="171"/>
      <c r="H38" s="171"/>
      <c r="I38" s="171"/>
      <c r="R38" s="172">
        <v>2046</v>
      </c>
      <c r="S38" s="212">
        <v>18100</v>
      </c>
      <c r="T38" s="212">
        <v>49100</v>
      </c>
      <c r="U38" s="212">
        <v>867600</v>
      </c>
      <c r="V38" s="212">
        <v>80</v>
      </c>
    </row>
    <row r="39" spans="1:24" ht="15" customHeight="1" x14ac:dyDescent="0.25">
      <c r="A39" s="7"/>
      <c r="B39" s="171"/>
      <c r="C39" s="171"/>
      <c r="D39" s="171"/>
      <c r="E39" s="171"/>
      <c r="F39" s="171"/>
      <c r="G39" s="171"/>
      <c r="H39" s="171"/>
      <c r="I39" s="171"/>
      <c r="R39" s="172">
        <v>2047</v>
      </c>
      <c r="S39" s="212">
        <v>18100</v>
      </c>
      <c r="T39" s="212">
        <v>49100</v>
      </c>
      <c r="U39" s="212">
        <v>867600</v>
      </c>
      <c r="V39" s="212">
        <v>81</v>
      </c>
    </row>
    <row r="40" spans="1:24" ht="15" customHeight="1" x14ac:dyDescent="0.25">
      <c r="A40" s="7"/>
      <c r="B40" s="171"/>
      <c r="C40" s="171"/>
      <c r="D40" s="171"/>
      <c r="E40" s="171"/>
      <c r="F40" s="171"/>
      <c r="G40" s="171"/>
      <c r="H40" s="171"/>
      <c r="I40" s="171"/>
      <c r="R40" s="172">
        <v>2048</v>
      </c>
      <c r="S40" s="212">
        <v>18100</v>
      </c>
      <c r="T40" s="212">
        <v>49100</v>
      </c>
      <c r="U40" s="212">
        <v>867600</v>
      </c>
      <c r="V40" s="212">
        <v>82</v>
      </c>
    </row>
    <row r="41" spans="1:24" ht="15" customHeight="1" x14ac:dyDescent="0.25">
      <c r="A41" s="7"/>
      <c r="B41" s="171"/>
      <c r="C41" s="171"/>
      <c r="D41" s="171"/>
      <c r="E41" s="171"/>
      <c r="F41" s="171"/>
      <c r="G41" s="171"/>
      <c r="H41" s="171"/>
      <c r="I41" s="171"/>
      <c r="R41" s="172">
        <v>2049</v>
      </c>
      <c r="S41" s="212">
        <v>18100</v>
      </c>
      <c r="T41" s="212">
        <v>49100</v>
      </c>
      <c r="U41" s="212">
        <v>867600</v>
      </c>
      <c r="V41" s="212">
        <v>83</v>
      </c>
    </row>
    <row r="42" spans="1:24" ht="15" customHeight="1" x14ac:dyDescent="0.25">
      <c r="A42" s="7"/>
      <c r="B42" s="171"/>
      <c r="C42" s="171"/>
      <c r="D42" s="171"/>
      <c r="E42" s="171"/>
      <c r="F42" s="171"/>
      <c r="G42" s="171"/>
      <c r="H42" s="171"/>
      <c r="I42" s="171"/>
      <c r="R42" s="172">
        <v>2050</v>
      </c>
      <c r="S42" s="212">
        <v>18100</v>
      </c>
      <c r="T42" s="212">
        <v>49100</v>
      </c>
      <c r="U42" s="212">
        <v>867600</v>
      </c>
      <c r="V42" s="212">
        <v>85</v>
      </c>
    </row>
    <row r="43" spans="1:24" ht="15" customHeight="1" x14ac:dyDescent="0.25">
      <c r="A43" s="7"/>
      <c r="B43" s="38"/>
      <c r="C43" s="38"/>
      <c r="D43" s="38"/>
      <c r="E43" s="38"/>
      <c r="F43" s="21"/>
      <c r="G43" s="21"/>
      <c r="H43" s="21"/>
      <c r="I43" s="21"/>
      <c r="N43" s="227"/>
      <c r="O43" s="227"/>
      <c r="P43" s="227"/>
      <c r="R43" s="287" t="s">
        <v>261</v>
      </c>
      <c r="S43" s="287"/>
      <c r="T43" s="287"/>
      <c r="U43" s="287"/>
      <c r="V43" s="287"/>
      <c r="W43" s="287"/>
      <c r="X43" s="287"/>
    </row>
    <row r="44" spans="1:24" x14ac:dyDescent="0.25">
      <c r="B44" s="38"/>
      <c r="C44" s="38"/>
      <c r="D44" s="38"/>
      <c r="E44" s="38"/>
      <c r="F44" s="21"/>
      <c r="G44" s="21"/>
      <c r="H44" s="21"/>
      <c r="I44" s="21"/>
      <c r="N44" s="227"/>
      <c r="O44" s="227"/>
      <c r="P44" s="227"/>
      <c r="R44" s="287"/>
      <c r="S44" s="287"/>
      <c r="T44" s="287"/>
      <c r="U44" s="287"/>
      <c r="V44" s="287"/>
      <c r="W44" s="287"/>
      <c r="X44" s="287"/>
    </row>
    <row r="45" spans="1:24" ht="15" customHeight="1" x14ac:dyDescent="0.25">
      <c r="B45" s="38"/>
      <c r="C45" s="38"/>
      <c r="D45" s="38"/>
      <c r="E45" s="38"/>
      <c r="F45" s="21"/>
      <c r="G45" s="21"/>
      <c r="H45" s="21"/>
      <c r="I45" s="21"/>
      <c r="J45" s="228"/>
      <c r="L45" s="226"/>
      <c r="M45" s="226"/>
      <c r="N45" s="227"/>
      <c r="O45" s="227"/>
      <c r="P45" s="227"/>
      <c r="R45" s="287"/>
      <c r="S45" s="287"/>
      <c r="T45" s="287"/>
      <c r="U45" s="287"/>
      <c r="V45" s="287"/>
      <c r="W45" s="287"/>
      <c r="X45" s="287"/>
    </row>
    <row r="46" spans="1:24" x14ac:dyDescent="0.25">
      <c r="B46" s="38"/>
      <c r="C46" s="38"/>
      <c r="D46" s="38"/>
      <c r="E46" s="38"/>
      <c r="F46" s="21"/>
      <c r="G46" s="21"/>
      <c r="H46" s="21"/>
      <c r="I46" s="21"/>
      <c r="J46" s="228"/>
      <c r="L46" s="226"/>
      <c r="M46" s="226"/>
      <c r="R46" s="287"/>
      <c r="S46" s="287"/>
      <c r="T46" s="287"/>
      <c r="U46" s="287"/>
      <c r="V46" s="287"/>
      <c r="W46" s="287"/>
      <c r="X46" s="287"/>
    </row>
    <row r="47" spans="1:24" x14ac:dyDescent="0.25">
      <c r="A47" s="7"/>
      <c r="B47" s="38"/>
      <c r="C47" s="38"/>
      <c r="D47" s="38"/>
      <c r="E47" s="38"/>
      <c r="F47" s="21"/>
      <c r="G47" s="21"/>
      <c r="H47" s="21"/>
      <c r="I47" s="21"/>
      <c r="L47" s="226"/>
      <c r="M47" s="226"/>
      <c r="R47" s="287"/>
      <c r="S47" s="287"/>
      <c r="T47" s="287"/>
      <c r="U47" s="287"/>
      <c r="V47" s="287"/>
      <c r="W47" s="287"/>
      <c r="X47" s="287"/>
    </row>
    <row r="48" spans="1:24" x14ac:dyDescent="0.25">
      <c r="B48" s="38"/>
      <c r="C48" s="38"/>
      <c r="D48" s="38"/>
      <c r="E48" s="38"/>
      <c r="F48" s="21"/>
      <c r="G48" s="21"/>
      <c r="H48" s="21"/>
      <c r="I48" s="21"/>
      <c r="L48" s="226"/>
      <c r="M48" s="226"/>
      <c r="R48" s="287"/>
      <c r="S48" s="287"/>
      <c r="T48" s="287"/>
      <c r="U48" s="287"/>
      <c r="V48" s="287"/>
      <c r="W48" s="287"/>
      <c r="X48" s="287"/>
    </row>
    <row r="49" spans="1:13" x14ac:dyDescent="0.25">
      <c r="B49" s="38"/>
      <c r="C49" s="38"/>
      <c r="D49" s="38"/>
      <c r="E49" s="38"/>
      <c r="F49" s="21"/>
      <c r="G49" s="21"/>
      <c r="H49" s="21"/>
      <c r="I49" s="21"/>
      <c r="J49" s="226"/>
      <c r="K49" s="226"/>
      <c r="L49" s="226"/>
      <c r="M49" s="226"/>
    </row>
    <row r="50" spans="1:13" x14ac:dyDescent="0.25">
      <c r="B50" s="38"/>
      <c r="C50" s="38"/>
      <c r="D50" s="38"/>
      <c r="E50" s="38"/>
      <c r="F50" s="21"/>
      <c r="G50" s="21"/>
      <c r="H50" s="21"/>
      <c r="I50" s="21"/>
      <c r="K50" s="226"/>
      <c r="L50" s="226"/>
      <c r="M50" s="226"/>
    </row>
    <row r="51" spans="1:13" x14ac:dyDescent="0.25">
      <c r="B51" s="38"/>
      <c r="C51" s="38"/>
      <c r="D51" s="38"/>
      <c r="E51" s="38"/>
      <c r="F51" s="21"/>
      <c r="G51" s="21"/>
      <c r="H51" s="21"/>
      <c r="I51" s="21"/>
      <c r="J51" s="21"/>
      <c r="L51" s="226"/>
      <c r="M51" s="226"/>
    </row>
    <row r="52" spans="1:13" x14ac:dyDescent="0.25">
      <c r="B52" s="38"/>
      <c r="C52" s="38"/>
      <c r="D52" s="38"/>
      <c r="E52" s="38"/>
      <c r="F52" s="21"/>
      <c r="G52" s="21"/>
      <c r="H52" s="21"/>
      <c r="I52" s="21"/>
      <c r="J52" s="21"/>
    </row>
    <row r="53" spans="1:13" x14ac:dyDescent="0.25">
      <c r="B53" s="38"/>
      <c r="C53" s="38"/>
      <c r="D53" s="38"/>
      <c r="E53" s="38"/>
      <c r="F53" s="21"/>
      <c r="G53" s="21"/>
      <c r="H53" s="21"/>
      <c r="I53" s="21"/>
      <c r="J53" s="21"/>
      <c r="K53" s="21"/>
    </row>
    <row r="54" spans="1:13" x14ac:dyDescent="0.25">
      <c r="B54" s="38"/>
      <c r="C54" s="38"/>
      <c r="D54" s="38"/>
      <c r="E54" s="38"/>
      <c r="F54" s="21"/>
      <c r="G54" s="21"/>
      <c r="H54" s="21"/>
      <c r="I54" s="21"/>
      <c r="J54" s="21"/>
      <c r="K54" s="21"/>
    </row>
    <row r="55" spans="1:13" x14ac:dyDescent="0.25">
      <c r="A55" s="7"/>
      <c r="B55" s="38"/>
      <c r="C55" s="38"/>
      <c r="D55" s="38"/>
      <c r="E55" s="38"/>
      <c r="F55" s="21"/>
      <c r="G55" s="21"/>
      <c r="H55" s="21"/>
      <c r="I55" s="21"/>
      <c r="J55" s="21"/>
      <c r="K55" s="21"/>
    </row>
    <row r="56" spans="1:13" x14ac:dyDescent="0.25">
      <c r="J56" s="21"/>
      <c r="K56" s="21"/>
    </row>
    <row r="57" spans="1:13" x14ac:dyDescent="0.25">
      <c r="F57" s="226"/>
      <c r="I57" s="226"/>
      <c r="J57" s="21"/>
      <c r="K57" s="21"/>
    </row>
    <row r="58" spans="1:13" x14ac:dyDescent="0.25">
      <c r="B58" s="226"/>
      <c r="C58" s="226"/>
      <c r="D58" s="226"/>
      <c r="E58" s="226"/>
      <c r="F58" s="226"/>
      <c r="I58" s="226"/>
      <c r="J58" s="21"/>
      <c r="K58" s="21"/>
    </row>
    <row r="59" spans="1:13" x14ac:dyDescent="0.25">
      <c r="J59" s="21"/>
      <c r="K59" s="21"/>
    </row>
    <row r="60" spans="1:13" x14ac:dyDescent="0.25">
      <c r="A60" s="7"/>
      <c r="B60" s="21"/>
      <c r="C60" s="21"/>
      <c r="D60" s="21"/>
      <c r="E60" s="21"/>
      <c r="F60" s="21"/>
      <c r="G60" s="21"/>
      <c r="H60" s="21"/>
      <c r="I60" s="21"/>
      <c r="J60" s="21"/>
      <c r="K60" s="21"/>
    </row>
    <row r="61" spans="1:13" x14ac:dyDescent="0.25">
      <c r="B61" s="21"/>
      <c r="C61" s="21"/>
      <c r="D61" s="21"/>
      <c r="E61" s="21"/>
      <c r="F61" s="21"/>
      <c r="G61" s="21"/>
      <c r="H61" s="21"/>
      <c r="J61" s="21"/>
      <c r="K61" s="21"/>
    </row>
    <row r="62" spans="1:13" x14ac:dyDescent="0.25">
      <c r="J62" s="21"/>
      <c r="K62" s="21"/>
    </row>
    <row r="63" spans="1:13" x14ac:dyDescent="0.25">
      <c r="A63" s="7"/>
      <c r="J63" s="21"/>
      <c r="K63" s="21"/>
    </row>
    <row r="64" spans="1:13" x14ac:dyDescent="0.25">
      <c r="J64" s="21"/>
      <c r="K64" s="21"/>
    </row>
    <row r="66" spans="10:12" x14ac:dyDescent="0.25">
      <c r="J66" s="226"/>
    </row>
    <row r="67" spans="10:12" x14ac:dyDescent="0.25">
      <c r="J67" s="226"/>
      <c r="L67" s="21"/>
    </row>
    <row r="69" spans="10:12" x14ac:dyDescent="0.25">
      <c r="J69" s="21"/>
      <c r="K69" s="21"/>
    </row>
  </sheetData>
  <mergeCells count="21">
    <mergeCell ref="B34:M35"/>
    <mergeCell ref="C2:E2"/>
    <mergeCell ref="F2:N2"/>
    <mergeCell ref="O2:P2"/>
    <mergeCell ref="B3:B4"/>
    <mergeCell ref="C3:C4"/>
    <mergeCell ref="D3:D4"/>
    <mergeCell ref="E3:E4"/>
    <mergeCell ref="F3:F4"/>
    <mergeCell ref="G3:G4"/>
    <mergeCell ref="H3:H4"/>
    <mergeCell ref="O3:O4"/>
    <mergeCell ref="P3:P4"/>
    <mergeCell ref="N3:N4"/>
    <mergeCell ref="B28:M30"/>
    <mergeCell ref="B32:M33"/>
    <mergeCell ref="I3:I4"/>
    <mergeCell ref="J3:J4"/>
    <mergeCell ref="K3:K4"/>
    <mergeCell ref="L3:L4"/>
    <mergeCell ref="M3:M4"/>
  </mergeCells>
  <pageMargins left="0.25" right="0.25" top="0.75" bottom="0.75" header="0.3" footer="0.3"/>
  <pageSetup paperSize="3" scale="5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2:L62"/>
  <sheetViews>
    <sheetView view="pageBreakPreview" zoomScaleNormal="55" zoomScaleSheetLayoutView="100" workbookViewId="0">
      <selection activeCell="C5" sqref="C5:C6"/>
    </sheetView>
  </sheetViews>
  <sheetFormatPr defaultRowHeight="15" x14ac:dyDescent="0.25"/>
  <cols>
    <col min="1" max="1" width="3.7109375" style="47" customWidth="1"/>
    <col min="2" max="2" width="15.7109375" style="47" customWidth="1"/>
    <col min="3" max="6" width="15.5703125" style="47" customWidth="1"/>
    <col min="7" max="9" width="9.140625" style="47"/>
    <col min="10" max="10" width="13.140625" style="47" bestFit="1" customWidth="1"/>
    <col min="11" max="11" width="19.5703125" style="47" bestFit="1" customWidth="1"/>
    <col min="12" max="12" width="20.85546875" style="47" bestFit="1" customWidth="1"/>
    <col min="13" max="16384" width="9.140625" style="47"/>
  </cols>
  <sheetData>
    <row r="2" spans="1:12" x14ac:dyDescent="0.25">
      <c r="B2" s="6" t="s">
        <v>29</v>
      </c>
    </row>
    <row r="3" spans="1:12" ht="15.75" thickBot="1" x14ac:dyDescent="0.3"/>
    <row r="4" spans="1:12" ht="35.1" customHeight="1" thickBot="1" x14ac:dyDescent="0.3">
      <c r="C4" s="691" t="s">
        <v>634</v>
      </c>
      <c r="D4" s="692"/>
      <c r="J4" s="512"/>
    </row>
    <row r="5" spans="1:12" ht="44.25" customHeight="1" x14ac:dyDescent="0.25">
      <c r="B5" s="651" t="s">
        <v>0</v>
      </c>
      <c r="C5" s="651" t="s">
        <v>12</v>
      </c>
      <c r="D5" s="651" t="s">
        <v>13</v>
      </c>
      <c r="E5" s="651" t="s">
        <v>52</v>
      </c>
      <c r="F5" s="689" t="s">
        <v>1</v>
      </c>
    </row>
    <row r="6" spans="1:12" ht="15.75" thickBot="1" x14ac:dyDescent="0.3">
      <c r="B6" s="652"/>
      <c r="C6" s="652"/>
      <c r="D6" s="652"/>
      <c r="E6" s="652"/>
      <c r="F6" s="690"/>
      <c r="J6" s="16" t="s">
        <v>564</v>
      </c>
      <c r="K6" s="513"/>
    </row>
    <row r="7" spans="1:12" x14ac:dyDescent="0.25">
      <c r="A7" s="272"/>
      <c r="B7" s="273">
        <v>2021</v>
      </c>
      <c r="C7" s="276"/>
      <c r="D7" s="276"/>
      <c r="E7" s="276"/>
      <c r="F7" s="277"/>
      <c r="J7" s="511" t="s">
        <v>125</v>
      </c>
      <c r="K7" s="511" t="s">
        <v>563</v>
      </c>
      <c r="L7" s="511" t="s">
        <v>568</v>
      </c>
    </row>
    <row r="8" spans="1:12" x14ac:dyDescent="0.25">
      <c r="A8" s="272"/>
      <c r="B8" s="105">
        <f t="shared" ref="B8:B9" si="0">B7+1</f>
        <v>2022</v>
      </c>
      <c r="C8" s="72">
        <f>VLOOKUP(B8,$J$8:$L$36,2,FALSE)</f>
        <v>12190.7</v>
      </c>
      <c r="D8" s="72">
        <f>VLOOKUP(B8,$J$8:$L$36,3,FALSE)</f>
        <v>12190.7</v>
      </c>
      <c r="E8" s="72">
        <f>C8-D8</f>
        <v>0</v>
      </c>
      <c r="F8" s="274">
        <f>$E8*(1+0.07)^-(B8-Assumptions!$D$4)</f>
        <v>0</v>
      </c>
      <c r="J8" s="511">
        <v>2022</v>
      </c>
      <c r="K8" s="516">
        <v>12190.7</v>
      </c>
      <c r="L8" s="516">
        <v>12190.7</v>
      </c>
    </row>
    <row r="9" spans="1:12" ht="15.75" thickBot="1" x14ac:dyDescent="0.3">
      <c r="B9" s="105">
        <f t="shared" si="0"/>
        <v>2023</v>
      </c>
      <c r="C9" s="72">
        <f t="shared" ref="C9:C12" si="1">VLOOKUP(B9,$J$8:$L$36,2,B9)</f>
        <v>14543.4</v>
      </c>
      <c r="D9" s="72">
        <f t="shared" ref="D9:D29" si="2">VLOOKUP(B9,$J$8:$L$36,3,B9)</f>
        <v>14543.4</v>
      </c>
      <c r="E9" s="72">
        <f t="shared" ref="E9:E46" si="3">C9-D9</f>
        <v>0</v>
      </c>
      <c r="F9" s="274">
        <f>$E9*(1+0.07)^-(B9-Assumptions!$D$4)</f>
        <v>0</v>
      </c>
      <c r="J9" s="511">
        <v>2023</v>
      </c>
      <c r="K9" s="516">
        <v>14543.4</v>
      </c>
      <c r="L9" s="516">
        <v>14543.4</v>
      </c>
    </row>
    <row r="10" spans="1:12" x14ac:dyDescent="0.25">
      <c r="B10" s="548">
        <f>Assumptions!$D$7</f>
        <v>2024</v>
      </c>
      <c r="C10" s="549">
        <f t="shared" si="1"/>
        <v>16896.099999999999</v>
      </c>
      <c r="D10" s="549">
        <f t="shared" si="2"/>
        <v>0</v>
      </c>
      <c r="E10" s="549">
        <f t="shared" si="3"/>
        <v>16896.099999999999</v>
      </c>
      <c r="F10" s="550">
        <f>$E10*(1+0.07)^-(B10-Assumptions!$D$4)</f>
        <v>12889.95379227619</v>
      </c>
      <c r="J10" s="511">
        <v>2024</v>
      </c>
      <c r="K10" s="516">
        <v>16896.099999999999</v>
      </c>
      <c r="L10" s="516">
        <v>0</v>
      </c>
    </row>
    <row r="11" spans="1:12" x14ac:dyDescent="0.25">
      <c r="B11" s="2">
        <f>+B10+1</f>
        <v>2025</v>
      </c>
      <c r="C11" s="106">
        <f t="shared" si="1"/>
        <v>19248.7</v>
      </c>
      <c r="D11" s="106">
        <f t="shared" si="2"/>
        <v>1819.43</v>
      </c>
      <c r="E11" s="72">
        <f t="shared" si="3"/>
        <v>17429.27</v>
      </c>
      <c r="F11" s="112">
        <f>$E11*(1+0.07)^-(B11-Assumptions!$D$4)</f>
        <v>12426.828628489317</v>
      </c>
      <c r="J11" s="511">
        <v>2025</v>
      </c>
      <c r="K11" s="516">
        <v>19248.7</v>
      </c>
      <c r="L11" s="516">
        <v>1819.43</v>
      </c>
    </row>
    <row r="12" spans="1:12" x14ac:dyDescent="0.25">
      <c r="B12" s="2">
        <f t="shared" ref="B12:B46" si="4">+B11+1</f>
        <v>2026</v>
      </c>
      <c r="C12" s="106">
        <f t="shared" si="1"/>
        <v>21601.4</v>
      </c>
      <c r="D12" s="106">
        <f t="shared" si="2"/>
        <v>1819.43</v>
      </c>
      <c r="E12" s="72">
        <f t="shared" si="3"/>
        <v>19781.97</v>
      </c>
      <c r="F12" s="112">
        <f>$E12*(1+0.07)^-(B12-Assumptions!$D$4)</f>
        <v>13181.561881271537</v>
      </c>
      <c r="J12" s="511">
        <v>2026</v>
      </c>
      <c r="K12" s="516">
        <v>21601.4</v>
      </c>
      <c r="L12" s="516">
        <v>1819.43</v>
      </c>
    </row>
    <row r="13" spans="1:12" ht="15.75" thickBot="1" x14ac:dyDescent="0.3">
      <c r="B13" s="3">
        <f t="shared" si="4"/>
        <v>2027</v>
      </c>
      <c r="C13" s="107">
        <f>VLOOKUP(B13,$J$8:$L$36,2,FALSE)</f>
        <v>23954.1</v>
      </c>
      <c r="D13" s="107">
        <f t="shared" si="2"/>
        <v>1783.04</v>
      </c>
      <c r="E13" s="551">
        <f t="shared" si="3"/>
        <v>22171.059999999998</v>
      </c>
      <c r="F13" s="113">
        <f>$E13*(1+0.07)^-(B13-Assumptions!$D$4)</f>
        <v>13807.021892307781</v>
      </c>
      <c r="J13" s="511">
        <v>2027</v>
      </c>
      <c r="K13" s="516">
        <v>23954.1</v>
      </c>
      <c r="L13" s="516">
        <v>1783.04</v>
      </c>
    </row>
    <row r="14" spans="1:12" x14ac:dyDescent="0.25">
      <c r="B14" s="1">
        <f t="shared" si="4"/>
        <v>2028</v>
      </c>
      <c r="C14" s="549">
        <v>0</v>
      </c>
      <c r="D14" s="549">
        <f t="shared" si="2"/>
        <v>3602.48</v>
      </c>
      <c r="E14" s="549">
        <f t="shared" si="3"/>
        <v>-3602.48</v>
      </c>
      <c r="F14" s="550">
        <f>$E14*(1+0.07)^-(B14-Assumptions!$D$4)</f>
        <v>-2096.6761590134597</v>
      </c>
      <c r="J14" s="511">
        <v>2028</v>
      </c>
      <c r="K14" s="516">
        <v>26306.799999999999</v>
      </c>
      <c r="L14" s="516">
        <v>3602.48</v>
      </c>
    </row>
    <row r="15" spans="1:12" x14ac:dyDescent="0.25">
      <c r="B15" s="2">
        <f t="shared" si="4"/>
        <v>2029</v>
      </c>
      <c r="C15" s="106">
        <v>0</v>
      </c>
      <c r="D15" s="106">
        <f t="shared" si="2"/>
        <v>5421.91</v>
      </c>
      <c r="E15" s="106">
        <f t="shared" si="3"/>
        <v>-5421.91</v>
      </c>
      <c r="F15" s="112">
        <f>$E15*(1+0.07)^-(B15-Assumptions!$D$4)</f>
        <v>-2949.1597982544181</v>
      </c>
      <c r="J15" s="511">
        <v>2029</v>
      </c>
      <c r="K15" s="516">
        <v>28659.5</v>
      </c>
      <c r="L15" s="516">
        <v>5421.91</v>
      </c>
    </row>
    <row r="16" spans="1:12" x14ac:dyDescent="0.25">
      <c r="B16" s="2">
        <f t="shared" si="4"/>
        <v>2030</v>
      </c>
      <c r="C16" s="106">
        <v>0</v>
      </c>
      <c r="D16" s="106">
        <f t="shared" si="2"/>
        <v>7241.34</v>
      </c>
      <c r="E16" s="106">
        <f t="shared" si="3"/>
        <v>-7241.34</v>
      </c>
      <c r="F16" s="112">
        <f>$E16*(1+0.07)^-(B16-Assumptions!$D$4)</f>
        <v>-3681.1300631068175</v>
      </c>
      <c r="J16" s="511">
        <v>2030</v>
      </c>
      <c r="K16" s="516">
        <v>31012.2</v>
      </c>
      <c r="L16" s="516">
        <v>7241.34</v>
      </c>
    </row>
    <row r="17" spans="2:12" x14ac:dyDescent="0.25">
      <c r="B17" s="2">
        <f t="shared" si="4"/>
        <v>2031</v>
      </c>
      <c r="C17" s="106">
        <v>0</v>
      </c>
      <c r="D17" s="106">
        <f t="shared" si="2"/>
        <v>9060.7800000000007</v>
      </c>
      <c r="E17" s="106">
        <f t="shared" si="3"/>
        <v>-9060.7800000000007</v>
      </c>
      <c r="F17" s="112">
        <f>$E17*(1+0.07)^-(B17-Assumptions!$D$4)</f>
        <v>-4304.7113076527176</v>
      </c>
      <c r="J17" s="511">
        <v>2031</v>
      </c>
      <c r="K17" s="516">
        <v>33364.800000000003</v>
      </c>
      <c r="L17" s="516">
        <v>9060.7800000000007</v>
      </c>
    </row>
    <row r="18" spans="2:12" x14ac:dyDescent="0.25">
      <c r="B18" s="2">
        <f t="shared" si="4"/>
        <v>2032</v>
      </c>
      <c r="C18" s="106">
        <v>0</v>
      </c>
      <c r="D18" s="106">
        <f t="shared" si="2"/>
        <v>10880.2</v>
      </c>
      <c r="E18" s="106">
        <f t="shared" si="3"/>
        <v>-10880.2</v>
      </c>
      <c r="F18" s="112">
        <f>$E18*(1+0.07)^-(B18-Assumptions!$D$4)</f>
        <v>-4830.9389189310486</v>
      </c>
      <c r="J18" s="511">
        <v>2032</v>
      </c>
      <c r="K18" s="516">
        <v>35717.5</v>
      </c>
      <c r="L18" s="516">
        <v>10880.2</v>
      </c>
    </row>
    <row r="19" spans="2:12" x14ac:dyDescent="0.25">
      <c r="B19" s="2">
        <f t="shared" si="4"/>
        <v>2033</v>
      </c>
      <c r="C19" s="106">
        <v>0</v>
      </c>
      <c r="D19" s="106">
        <f t="shared" si="2"/>
        <v>10662.6</v>
      </c>
      <c r="E19" s="106">
        <f t="shared" si="3"/>
        <v>-10662.6</v>
      </c>
      <c r="F19" s="112">
        <f>$E19*(1+0.07)^-(B19-Assumptions!$D$4)</f>
        <v>-4424.5999220563208</v>
      </c>
      <c r="J19" s="511">
        <v>2033</v>
      </c>
      <c r="K19" s="516">
        <v>38070.199999999997</v>
      </c>
      <c r="L19" s="516">
        <v>10662.6</v>
      </c>
    </row>
    <row r="20" spans="2:12" x14ac:dyDescent="0.25">
      <c r="B20" s="2">
        <f t="shared" si="4"/>
        <v>2034</v>
      </c>
      <c r="C20" s="106">
        <v>0</v>
      </c>
      <c r="D20" s="106">
        <f t="shared" si="2"/>
        <v>12482</v>
      </c>
      <c r="E20" s="106">
        <f t="shared" si="3"/>
        <v>-12482</v>
      </c>
      <c r="F20" s="112">
        <f>$E20*(1+0.07)^-(B20-Assumptions!$D$4)</f>
        <v>-4840.7348023782497</v>
      </c>
      <c r="J20" s="511">
        <v>2034</v>
      </c>
      <c r="K20" s="516">
        <v>40422.9</v>
      </c>
      <c r="L20" s="516">
        <v>12482</v>
      </c>
    </row>
    <row r="21" spans="2:12" x14ac:dyDescent="0.25">
      <c r="B21" s="2">
        <f t="shared" si="4"/>
        <v>2035</v>
      </c>
      <c r="C21" s="106">
        <v>0</v>
      </c>
      <c r="D21" s="106">
        <f t="shared" si="2"/>
        <v>14301.5</v>
      </c>
      <c r="E21" s="106">
        <f t="shared" si="3"/>
        <v>-14301.5</v>
      </c>
      <c r="F21" s="112">
        <f>$E21*(1+0.07)^-(B21-Assumptions!$D$4)</f>
        <v>-5183.5217499152068</v>
      </c>
      <c r="J21" s="511">
        <v>2035</v>
      </c>
      <c r="K21" s="516">
        <v>42775.6</v>
      </c>
      <c r="L21" s="516">
        <v>14301.5</v>
      </c>
    </row>
    <row r="22" spans="2:12" x14ac:dyDescent="0.25">
      <c r="B22" s="2">
        <f t="shared" si="4"/>
        <v>2036</v>
      </c>
      <c r="C22" s="106">
        <v>0</v>
      </c>
      <c r="D22" s="106">
        <f t="shared" si="2"/>
        <v>16120.9</v>
      </c>
      <c r="E22" s="106">
        <f t="shared" si="3"/>
        <v>-16120.9</v>
      </c>
      <c r="F22" s="112">
        <f>$E22*(1+0.07)^-(B22-Assumptions!$D$4)</f>
        <v>-5460.7065776191748</v>
      </c>
      <c r="J22" s="511">
        <v>2036</v>
      </c>
      <c r="K22" s="516">
        <v>45128.3</v>
      </c>
      <c r="L22" s="516">
        <v>16120.9</v>
      </c>
    </row>
    <row r="23" spans="2:12" x14ac:dyDescent="0.25">
      <c r="B23" s="2">
        <f t="shared" si="4"/>
        <v>2037</v>
      </c>
      <c r="C23" s="106">
        <v>0</v>
      </c>
      <c r="D23" s="106">
        <f t="shared" si="2"/>
        <v>17940.3</v>
      </c>
      <c r="E23" s="106">
        <f t="shared" si="3"/>
        <v>-17940.3</v>
      </c>
      <c r="F23" s="112">
        <f>$E23*(1+0.07)^-(B23-Assumptions!$D$4)</f>
        <v>-5679.4395372432755</v>
      </c>
      <c r="J23" s="511">
        <v>2037</v>
      </c>
      <c r="K23" s="516">
        <v>47481</v>
      </c>
      <c r="L23" s="516">
        <v>17940.3</v>
      </c>
    </row>
    <row r="24" spans="2:12" x14ac:dyDescent="0.25">
      <c r="B24" s="2">
        <f t="shared" si="4"/>
        <v>2038</v>
      </c>
      <c r="C24" s="106">
        <v>0</v>
      </c>
      <c r="D24" s="106">
        <f t="shared" si="2"/>
        <v>19759.8</v>
      </c>
      <c r="E24" s="106">
        <f t="shared" si="3"/>
        <v>-19759.8</v>
      </c>
      <c r="F24" s="112">
        <f>$E24*(1+0.07)^-(B24-Assumptions!$D$4)</f>
        <v>-5846.2118137315165</v>
      </c>
      <c r="J24" s="511">
        <v>2038</v>
      </c>
      <c r="K24" s="516">
        <v>49833.599999999999</v>
      </c>
      <c r="L24" s="516">
        <v>19759.8</v>
      </c>
    </row>
    <row r="25" spans="2:12" x14ac:dyDescent="0.25">
      <c r="B25" s="2">
        <f t="shared" si="4"/>
        <v>2039</v>
      </c>
      <c r="C25" s="106">
        <v>0</v>
      </c>
      <c r="D25" s="106">
        <f t="shared" si="2"/>
        <v>21579.200000000001</v>
      </c>
      <c r="E25" s="106">
        <f t="shared" si="3"/>
        <v>-21579.200000000001</v>
      </c>
      <c r="F25" s="112">
        <f>$E25*(1+0.07)^-(B25-Assumptions!$D$4)</f>
        <v>-5966.8286197075076</v>
      </c>
      <c r="J25" s="511">
        <v>2039</v>
      </c>
      <c r="K25" s="516">
        <v>52186.3</v>
      </c>
      <c r="L25" s="516">
        <v>21579.200000000001</v>
      </c>
    </row>
    <row r="26" spans="2:12" x14ac:dyDescent="0.25">
      <c r="B26" s="2">
        <f t="shared" si="4"/>
        <v>2040</v>
      </c>
      <c r="C26" s="106">
        <v>0</v>
      </c>
      <c r="D26" s="106">
        <f t="shared" si="2"/>
        <v>23398.6</v>
      </c>
      <c r="E26" s="106">
        <f t="shared" si="3"/>
        <v>-23398.6</v>
      </c>
      <c r="F26" s="112">
        <f>$E26*(1+0.07)^-(B26-Assumptions!$D$4)</f>
        <v>-6046.6428792405877</v>
      </c>
      <c r="J26" s="511">
        <v>2040</v>
      </c>
      <c r="K26" s="516">
        <v>54539</v>
      </c>
      <c r="L26" s="516">
        <v>23398.6</v>
      </c>
    </row>
    <row r="27" spans="2:12" x14ac:dyDescent="0.25">
      <c r="B27" s="2">
        <f t="shared" si="4"/>
        <v>2041</v>
      </c>
      <c r="C27" s="106">
        <v>0</v>
      </c>
      <c r="D27" s="106">
        <f t="shared" si="2"/>
        <v>25218.1</v>
      </c>
      <c r="E27" s="106">
        <f t="shared" si="3"/>
        <v>-25218.1</v>
      </c>
      <c r="F27" s="112">
        <f>$E27*(1+0.07)^-(B27-Assumptions!$D$4)</f>
        <v>-6090.5011727667497</v>
      </c>
      <c r="J27" s="511">
        <v>2041</v>
      </c>
      <c r="K27" s="516">
        <v>56891.7</v>
      </c>
      <c r="L27" s="516">
        <v>25218.1</v>
      </c>
    </row>
    <row r="28" spans="2:12" x14ac:dyDescent="0.25">
      <c r="B28" s="2">
        <f t="shared" si="4"/>
        <v>2042</v>
      </c>
      <c r="C28" s="106">
        <v>0</v>
      </c>
      <c r="D28" s="106">
        <f t="shared" si="2"/>
        <v>25768.681249999907</v>
      </c>
      <c r="E28" s="106">
        <f t="shared" si="3"/>
        <v>-25768.681249999907</v>
      </c>
      <c r="F28" s="112">
        <f>$E28*(1+0.07)^-(B28-Assumptions!$D$4)</f>
        <v>-5816.3306074359434</v>
      </c>
      <c r="J28" s="518">
        <v>2042</v>
      </c>
      <c r="K28" s="517">
        <f>TREND($K$8:$K$27,$J$8:$J$27,J28,)</f>
        <v>59244.371052632108</v>
      </c>
      <c r="L28" s="517">
        <f>TREND($L$11:$L$27,$J$11:$J$27,J28,)</f>
        <v>25768.681249999907</v>
      </c>
    </row>
    <row r="29" spans="2:12" ht="15.75" thickBot="1" x14ac:dyDescent="0.3">
      <c r="B29" s="563">
        <f t="shared" si="4"/>
        <v>2043</v>
      </c>
      <c r="C29" s="564">
        <v>0</v>
      </c>
      <c r="D29" s="564">
        <f t="shared" si="2"/>
        <v>27304.471911764704</v>
      </c>
      <c r="E29" s="564">
        <f t="shared" si="3"/>
        <v>-27304.471911764704</v>
      </c>
      <c r="F29" s="565">
        <f>$E29*(1+0.07)^-(B29-Assumptions!$D$4)</f>
        <v>-5759.7932511736499</v>
      </c>
      <c r="J29" s="518">
        <v>2043</v>
      </c>
      <c r="K29" s="517">
        <f t="shared" ref="K29:K36" si="5">TREND($K$11:$K$27,$J$11:$J$27,J29,)</f>
        <v>61597.067156863399</v>
      </c>
      <c r="L29" s="517">
        <f t="shared" ref="L29:L36" si="6">TREND($L$11:$L$27,$J$11:$J$27,J29,)</f>
        <v>27304.471911764704</v>
      </c>
    </row>
    <row r="30" spans="2:12" ht="15.75" thickTop="1" x14ac:dyDescent="0.25">
      <c r="B30" s="547">
        <f t="shared" si="4"/>
        <v>2044</v>
      </c>
      <c r="C30" s="72">
        <f>IFERROR(HLOOKUP(B30,#REF!,13,FALSE),0)</f>
        <v>0</v>
      </c>
      <c r="D30" s="72">
        <f>IFERROR(HLOOKUP(C30,#REF!,13,FALSE),0)</f>
        <v>0</v>
      </c>
      <c r="E30" s="72">
        <f>IFERROR(HLOOKUP(D30,#REF!,13,FALSE),0)</f>
        <v>0</v>
      </c>
      <c r="F30" s="274">
        <f>$E30*(1+0.07)^-(B30-Assumptions!$D$4)</f>
        <v>0</v>
      </c>
      <c r="J30" s="518">
        <v>2044</v>
      </c>
      <c r="K30" s="517">
        <f t="shared" si="5"/>
        <v>63949.752696079202</v>
      </c>
      <c r="L30" s="517">
        <f t="shared" si="6"/>
        <v>28840.262573529501</v>
      </c>
    </row>
    <row r="31" spans="2:12" x14ac:dyDescent="0.25">
      <c r="B31" s="2">
        <f t="shared" si="4"/>
        <v>2045</v>
      </c>
      <c r="C31" s="106">
        <f>IFERROR(HLOOKUP(B31,#REF!,13,FALSE),0)</f>
        <v>0</v>
      </c>
      <c r="D31" s="106">
        <f>IFERROR(HLOOKUP(C31,#REF!,13,FALSE),0)</f>
        <v>0</v>
      </c>
      <c r="E31" s="106">
        <f>IFERROR(HLOOKUP(D31,#REF!,13,FALSE),0)</f>
        <v>0</v>
      </c>
      <c r="F31" s="112">
        <f>$E31*(1+0.07)^-(B31-Assumptions!$D$4)</f>
        <v>0</v>
      </c>
      <c r="J31" s="518">
        <v>2045</v>
      </c>
      <c r="K31" s="517">
        <f t="shared" si="5"/>
        <v>66302.438235294074</v>
      </c>
      <c r="L31" s="517">
        <f t="shared" si="6"/>
        <v>30376.053235294297</v>
      </c>
    </row>
    <row r="32" spans="2:12" x14ac:dyDescent="0.25">
      <c r="B32" s="2">
        <f t="shared" si="4"/>
        <v>2046</v>
      </c>
      <c r="C32" s="106">
        <f>IFERROR(HLOOKUP(B32,#REF!,13,FALSE),0)</f>
        <v>0</v>
      </c>
      <c r="D32" s="106">
        <f>IFERROR(HLOOKUP(C32,#REF!,13,FALSE),0)</f>
        <v>0</v>
      </c>
      <c r="E32" s="106">
        <f>IFERROR(HLOOKUP(D32,#REF!,13,FALSE),0)</f>
        <v>0</v>
      </c>
      <c r="F32" s="112">
        <f>$E32*(1+0.07)^-(B32-Assumptions!$D$4)</f>
        <v>0</v>
      </c>
      <c r="J32" s="518">
        <v>2046</v>
      </c>
      <c r="K32" s="517">
        <f t="shared" si="5"/>
        <v>68655.123774509877</v>
      </c>
      <c r="L32" s="517">
        <f t="shared" si="6"/>
        <v>31911.843897058628</v>
      </c>
    </row>
    <row r="33" spans="2:12" x14ac:dyDescent="0.25">
      <c r="B33" s="2">
        <f t="shared" si="4"/>
        <v>2047</v>
      </c>
      <c r="C33" s="106">
        <f>IFERROR(HLOOKUP(B33,#REF!,13,FALSE),0)</f>
        <v>0</v>
      </c>
      <c r="D33" s="106">
        <f>IFERROR(HLOOKUP(C33,#REF!,13,FALSE),0)</f>
        <v>0</v>
      </c>
      <c r="E33" s="106">
        <f>IFERROR(HLOOKUP(D33,#REF!,13,FALSE),0)</f>
        <v>0</v>
      </c>
      <c r="F33" s="112">
        <f>$E33*(1+0.07)^-(B33-Assumptions!$D$4)</f>
        <v>0</v>
      </c>
      <c r="J33" s="518">
        <v>2047</v>
      </c>
      <c r="K33" s="517">
        <f t="shared" si="5"/>
        <v>71007.80931372568</v>
      </c>
      <c r="L33" s="517">
        <f t="shared" si="6"/>
        <v>33447.634558823425</v>
      </c>
    </row>
    <row r="34" spans="2:12" x14ac:dyDescent="0.25">
      <c r="B34" s="2">
        <f t="shared" si="4"/>
        <v>2048</v>
      </c>
      <c r="C34" s="106">
        <f>IFERROR(HLOOKUP(B34,#REF!,13,FALSE),0)</f>
        <v>0</v>
      </c>
      <c r="D34" s="106">
        <f>IFERROR(HLOOKUP(C34,#REF!,13,FALSE),0)</f>
        <v>0</v>
      </c>
      <c r="E34" s="106">
        <f>IFERROR(HLOOKUP(D34,#REF!,13,FALSE),0)</f>
        <v>0</v>
      </c>
      <c r="F34" s="112">
        <f>$E34*(1+0.07)^-(B34-Assumptions!$D$4)</f>
        <v>0</v>
      </c>
      <c r="J34" s="518">
        <v>2048</v>
      </c>
      <c r="K34" s="517">
        <f t="shared" si="5"/>
        <v>73360.494852941483</v>
      </c>
      <c r="L34" s="517">
        <f t="shared" si="6"/>
        <v>34983.425220588222</v>
      </c>
    </row>
    <row r="35" spans="2:12" x14ac:dyDescent="0.25">
      <c r="B35" s="2">
        <f t="shared" si="4"/>
        <v>2049</v>
      </c>
      <c r="C35" s="106">
        <f>IFERROR(HLOOKUP(B35,#REF!,13,FALSE),0)</f>
        <v>0</v>
      </c>
      <c r="D35" s="106">
        <f>IFERROR(HLOOKUP(B35,#REF!,13,FALSE),0)</f>
        <v>0</v>
      </c>
      <c r="E35" s="106">
        <f t="shared" si="3"/>
        <v>0</v>
      </c>
      <c r="F35" s="112">
        <f>$E35*(1+0.07)^-(B35-Assumptions!$D$4)</f>
        <v>0</v>
      </c>
      <c r="J35" s="518">
        <v>2049</v>
      </c>
      <c r="K35" s="517">
        <f t="shared" si="5"/>
        <v>75713.180392157286</v>
      </c>
      <c r="L35" s="517">
        <f t="shared" si="6"/>
        <v>36519.215882353019</v>
      </c>
    </row>
    <row r="36" spans="2:12" x14ac:dyDescent="0.25">
      <c r="B36" s="2">
        <f t="shared" si="4"/>
        <v>2050</v>
      </c>
      <c r="C36" s="106">
        <f>IFERROR(HLOOKUP(B36,#REF!,13,FALSE),0)</f>
        <v>0</v>
      </c>
      <c r="D36" s="106">
        <f>IFERROR(HLOOKUP(B36,#REF!,13,FALSE),0)</f>
        <v>0</v>
      </c>
      <c r="E36" s="106">
        <f t="shared" si="3"/>
        <v>0</v>
      </c>
      <c r="F36" s="112">
        <f>$E36*(1+0.07)^-(B36-Assumptions!$D$4)</f>
        <v>0</v>
      </c>
      <c r="J36" s="518">
        <v>2050</v>
      </c>
      <c r="K36" s="517">
        <f t="shared" si="5"/>
        <v>78065.86593137309</v>
      </c>
      <c r="L36" s="517">
        <f t="shared" si="6"/>
        <v>38055.006544117816</v>
      </c>
    </row>
    <row r="37" spans="2:12" x14ac:dyDescent="0.25">
      <c r="B37" s="2">
        <f t="shared" si="4"/>
        <v>2051</v>
      </c>
      <c r="C37" s="106">
        <f>IFERROR(HLOOKUP(B37,#REF!,13,FALSE),0)</f>
        <v>0</v>
      </c>
      <c r="D37" s="106">
        <f>IFERROR(HLOOKUP(B37,#REF!,13,FALSE),0)</f>
        <v>0</v>
      </c>
      <c r="E37" s="106">
        <f t="shared" si="3"/>
        <v>0</v>
      </c>
      <c r="F37" s="112">
        <f>$E37*(1+0.07)^-(B37-Assumptions!$D$4)</f>
        <v>0</v>
      </c>
      <c r="J37" s="47" t="s">
        <v>593</v>
      </c>
    </row>
    <row r="38" spans="2:12" x14ac:dyDescent="0.25">
      <c r="B38" s="2">
        <f t="shared" si="4"/>
        <v>2052</v>
      </c>
      <c r="C38" s="106">
        <f>IFERROR(HLOOKUP(B38,#REF!,13,FALSE),0)</f>
        <v>0</v>
      </c>
      <c r="D38" s="106">
        <f>IFERROR(HLOOKUP(B38,#REF!,13,FALSE),0)</f>
        <v>0</v>
      </c>
      <c r="E38" s="106">
        <f t="shared" si="3"/>
        <v>0</v>
      </c>
      <c r="F38" s="112">
        <f>$E38*(1+0.07)^-(B38-Assumptions!$D$4)</f>
        <v>0</v>
      </c>
    </row>
    <row r="39" spans="2:12" x14ac:dyDescent="0.25">
      <c r="B39" s="2">
        <f t="shared" si="4"/>
        <v>2053</v>
      </c>
      <c r="C39" s="106">
        <f>IFERROR(HLOOKUP(B39,#REF!,13,FALSE),0)</f>
        <v>0</v>
      </c>
      <c r="D39" s="106">
        <f>IFERROR(HLOOKUP(B39,#REF!,13,FALSE),0)</f>
        <v>0</v>
      </c>
      <c r="E39" s="106">
        <f t="shared" si="3"/>
        <v>0</v>
      </c>
      <c r="F39" s="112">
        <f>$E39*(1+0.07)^-(B39-Assumptions!$D$4)</f>
        <v>0</v>
      </c>
    </row>
    <row r="40" spans="2:12" x14ac:dyDescent="0.25">
      <c r="B40" s="2">
        <f t="shared" si="4"/>
        <v>2054</v>
      </c>
      <c r="C40" s="106">
        <f>IFERROR(HLOOKUP(B40,#REF!,13,FALSE),0)</f>
        <v>0</v>
      </c>
      <c r="D40" s="106">
        <f>IFERROR(HLOOKUP(B40,#REF!,13,FALSE),0)</f>
        <v>0</v>
      </c>
      <c r="E40" s="106">
        <f t="shared" si="3"/>
        <v>0</v>
      </c>
      <c r="F40" s="112">
        <f>$E40*(1+0.07)^-(B40-Assumptions!$D$4)</f>
        <v>0</v>
      </c>
    </row>
    <row r="41" spans="2:12" x14ac:dyDescent="0.25">
      <c r="B41" s="2">
        <f t="shared" si="4"/>
        <v>2055</v>
      </c>
      <c r="C41" s="106">
        <f>IFERROR(HLOOKUP(B41,#REF!,13,FALSE),0)</f>
        <v>0</v>
      </c>
      <c r="D41" s="106">
        <f>IFERROR(HLOOKUP(B41,#REF!,13,FALSE),0)</f>
        <v>0</v>
      </c>
      <c r="E41" s="106">
        <f t="shared" si="3"/>
        <v>0</v>
      </c>
      <c r="F41" s="112">
        <f>$E41*(1+0.07)^-(B41-Assumptions!$D$4)</f>
        <v>0</v>
      </c>
    </row>
    <row r="42" spans="2:12" x14ac:dyDescent="0.25">
      <c r="B42" s="2">
        <f t="shared" si="4"/>
        <v>2056</v>
      </c>
      <c r="C42" s="106">
        <f>IFERROR(HLOOKUP(B42,#REF!,13,FALSE),0)</f>
        <v>0</v>
      </c>
      <c r="D42" s="106">
        <f>IFERROR(HLOOKUP(B42,#REF!,13,FALSE),0)</f>
        <v>0</v>
      </c>
      <c r="E42" s="106">
        <f t="shared" si="3"/>
        <v>0</v>
      </c>
      <c r="F42" s="112">
        <f>$E42*(1+0.07)^-(B42-Assumptions!$D$4)</f>
        <v>0</v>
      </c>
      <c r="I42" s="523"/>
    </row>
    <row r="43" spans="2:12" x14ac:dyDescent="0.25">
      <c r="B43" s="2">
        <f t="shared" si="4"/>
        <v>2057</v>
      </c>
      <c r="C43" s="106">
        <f>IFERROR(HLOOKUP(B43,#REF!,13,FALSE),0)</f>
        <v>0</v>
      </c>
      <c r="D43" s="106">
        <f>IFERROR(HLOOKUP(B43,#REF!,13,FALSE),0)</f>
        <v>0</v>
      </c>
      <c r="E43" s="106">
        <f t="shared" si="3"/>
        <v>0</v>
      </c>
      <c r="F43" s="112">
        <f>$E43*(1+0.07)^-(B43-Assumptions!$D$4)</f>
        <v>0</v>
      </c>
    </row>
    <row r="44" spans="2:12" x14ac:dyDescent="0.25">
      <c r="B44" s="2">
        <f t="shared" si="4"/>
        <v>2058</v>
      </c>
      <c r="C44" s="106">
        <f>IFERROR(HLOOKUP(B44,#REF!,13,FALSE),0)</f>
        <v>0</v>
      </c>
      <c r="D44" s="106">
        <f>IFERROR(HLOOKUP(B44,#REF!,13,FALSE),0)</f>
        <v>0</v>
      </c>
      <c r="E44" s="106">
        <f t="shared" si="3"/>
        <v>0</v>
      </c>
      <c r="F44" s="112">
        <f>$E44*(1+0.07)^-(B44-Assumptions!$D$4)</f>
        <v>0</v>
      </c>
    </row>
    <row r="45" spans="2:12" x14ac:dyDescent="0.25">
      <c r="B45" s="2">
        <f t="shared" si="4"/>
        <v>2059</v>
      </c>
      <c r="C45" s="106">
        <f>IFERROR(HLOOKUP(B45,#REF!,13,FALSE),0)</f>
        <v>0</v>
      </c>
      <c r="D45" s="106">
        <f>IFERROR(HLOOKUP(B45,#REF!,13,FALSE),0)</f>
        <v>0</v>
      </c>
      <c r="E45" s="106">
        <f t="shared" si="3"/>
        <v>0</v>
      </c>
      <c r="F45" s="112">
        <f>$E45*(1+0.07)^-(B45-Assumptions!$D$4)</f>
        <v>0</v>
      </c>
    </row>
    <row r="46" spans="2:12" ht="15.75" thickBot="1" x14ac:dyDescent="0.3">
      <c r="B46" s="3">
        <f t="shared" si="4"/>
        <v>2060</v>
      </c>
      <c r="C46" s="107">
        <f>IFERROR(HLOOKUP(B46,#REF!,13,FALSE),0)</f>
        <v>0</v>
      </c>
      <c r="D46" s="107">
        <f>IFERROR(HLOOKUP(B46,#REF!,13,FALSE),0)</f>
        <v>0</v>
      </c>
      <c r="E46" s="107">
        <f t="shared" si="3"/>
        <v>0</v>
      </c>
      <c r="F46" s="113">
        <f>$E46*(1+0.07)^-(B46-Assumptions!$D$4)</f>
        <v>0</v>
      </c>
    </row>
    <row r="47" spans="2:12" ht="15.75" thickBot="1" x14ac:dyDescent="0.3">
      <c r="B47" s="4"/>
      <c r="C47" s="570"/>
      <c r="D47" s="570"/>
      <c r="E47" s="570">
        <f>SUM(E10:E29)</f>
        <v>-174464.46316176461</v>
      </c>
      <c r="F47" s="140">
        <f>SUM(F8:F46)</f>
        <v>-26672.560985881817</v>
      </c>
    </row>
    <row r="48" spans="2:12" ht="15" customHeight="1" x14ac:dyDescent="0.25">
      <c r="B48" s="4"/>
      <c r="C48" s="97"/>
    </row>
    <row r="50" spans="1:6" x14ac:dyDescent="0.25">
      <c r="B50" s="6" t="s">
        <v>3</v>
      </c>
    </row>
    <row r="51" spans="1:6" x14ac:dyDescent="0.25">
      <c r="B51" s="645" t="s">
        <v>613</v>
      </c>
      <c r="C51" s="645"/>
      <c r="D51" s="645"/>
      <c r="E51" s="645"/>
      <c r="F51" s="645"/>
    </row>
    <row r="52" spans="1:6" ht="15" customHeight="1" x14ac:dyDescent="0.25">
      <c r="A52" s="7" t="s">
        <v>9</v>
      </c>
      <c r="B52" s="645"/>
      <c r="C52" s="645"/>
      <c r="D52" s="645"/>
      <c r="E52" s="645"/>
      <c r="F52" s="645"/>
    </row>
    <row r="53" spans="1:6" x14ac:dyDescent="0.25">
      <c r="B53" s="645"/>
      <c r="C53" s="645"/>
      <c r="D53" s="645"/>
      <c r="E53" s="645"/>
      <c r="F53" s="645"/>
    </row>
    <row r="54" spans="1:6" x14ac:dyDescent="0.25">
      <c r="B54" s="645"/>
      <c r="C54" s="645"/>
      <c r="D54" s="645"/>
      <c r="E54" s="645"/>
      <c r="F54" s="645"/>
    </row>
    <row r="55" spans="1:6" x14ac:dyDescent="0.25">
      <c r="B55" s="645"/>
      <c r="C55" s="645"/>
      <c r="D55" s="645"/>
      <c r="E55" s="645"/>
      <c r="F55" s="645"/>
    </row>
    <row r="56" spans="1:6" x14ac:dyDescent="0.25">
      <c r="B56" s="76"/>
      <c r="C56" s="76"/>
      <c r="D56" s="76"/>
      <c r="E56" s="76"/>
      <c r="F56" s="76"/>
    </row>
    <row r="57" spans="1:6" x14ac:dyDescent="0.25">
      <c r="B57" s="645" t="s">
        <v>630</v>
      </c>
      <c r="C57" s="645"/>
      <c r="D57" s="645"/>
      <c r="E57" s="645"/>
      <c r="F57" s="645"/>
    </row>
    <row r="58" spans="1:6" ht="15" customHeight="1" x14ac:dyDescent="0.25">
      <c r="A58" s="47" t="s">
        <v>8</v>
      </c>
      <c r="B58" s="645"/>
      <c r="C58" s="645"/>
      <c r="D58" s="645"/>
      <c r="E58" s="645"/>
      <c r="F58" s="645"/>
    </row>
    <row r="59" spans="1:6" x14ac:dyDescent="0.25">
      <c r="B59" s="645"/>
      <c r="C59" s="645"/>
      <c r="D59" s="645"/>
      <c r="E59" s="645"/>
      <c r="F59" s="645"/>
    </row>
    <row r="60" spans="1:6" x14ac:dyDescent="0.25">
      <c r="B60" s="645"/>
      <c r="C60" s="645"/>
      <c r="D60" s="645"/>
      <c r="E60" s="645"/>
      <c r="F60" s="645"/>
    </row>
    <row r="61" spans="1:6" x14ac:dyDescent="0.25">
      <c r="B61" s="645"/>
      <c r="C61" s="645"/>
      <c r="D61" s="645"/>
      <c r="E61" s="645"/>
      <c r="F61" s="645"/>
    </row>
    <row r="62" spans="1:6" x14ac:dyDescent="0.25">
      <c r="B62" s="21"/>
      <c r="C62" s="21"/>
      <c r="D62" s="21"/>
      <c r="E62" s="21"/>
      <c r="F62" s="21"/>
    </row>
  </sheetData>
  <mergeCells count="8">
    <mergeCell ref="B57:F61"/>
    <mergeCell ref="F5:F6"/>
    <mergeCell ref="C4:D4"/>
    <mergeCell ref="B5:B6"/>
    <mergeCell ref="C5:C6"/>
    <mergeCell ref="D5:D6"/>
    <mergeCell ref="E5:E6"/>
    <mergeCell ref="B51:F55"/>
  </mergeCells>
  <phoneticPr fontId="34" type="noConversion"/>
  <pageMargins left="0.25" right="0.25" top="0.75" bottom="0.75" header="0.3" footer="0.3"/>
  <pageSetup scale="5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96D73-5743-4C0D-AB63-3F8AC904E8C0}">
  <sheetPr>
    <tabColor rgb="FFFF0000"/>
    <pageSetUpPr fitToPage="1"/>
  </sheetPr>
  <dimension ref="A1:V52"/>
  <sheetViews>
    <sheetView view="pageBreakPreview" zoomScale="85" zoomScaleNormal="55" zoomScaleSheetLayoutView="85" workbookViewId="0">
      <selection activeCell="C3" sqref="C3"/>
    </sheetView>
  </sheetViews>
  <sheetFormatPr defaultRowHeight="15" x14ac:dyDescent="0.25"/>
  <cols>
    <col min="1" max="1" width="3.5703125" style="367" customWidth="1"/>
    <col min="2" max="6" width="15.7109375" style="367" customWidth="1"/>
    <col min="7" max="7" width="18" style="523" customWidth="1"/>
    <col min="8" max="12" width="15.7109375" style="367" customWidth="1"/>
    <col min="13" max="13" width="23.5703125" style="367" customWidth="1"/>
    <col min="14" max="14" width="19.28515625" style="367" bestFit="1" customWidth="1"/>
    <col min="15" max="15" width="19.28515625" style="367" customWidth="1"/>
    <col min="16" max="17" width="16.85546875" style="367" customWidth="1"/>
    <col min="18" max="18" width="25.140625" style="367" bestFit="1" customWidth="1"/>
    <col min="19" max="20" width="16.85546875" style="367" customWidth="1"/>
    <col min="21" max="21" width="13.85546875" style="367" bestFit="1" customWidth="1"/>
    <col min="22" max="22" width="16.42578125" style="367" customWidth="1"/>
    <col min="23" max="30" width="14.85546875" style="367" customWidth="1"/>
    <col min="31" max="16384" width="9.140625" style="367"/>
  </cols>
  <sheetData>
    <row r="1" spans="2:22" x14ac:dyDescent="0.25">
      <c r="B1" s="367">
        <v>1</v>
      </c>
      <c r="C1" s="543">
        <v>2</v>
      </c>
      <c r="D1" s="543">
        <v>3</v>
      </c>
      <c r="E1" s="543">
        <v>4</v>
      </c>
      <c r="F1" s="543">
        <v>5</v>
      </c>
      <c r="G1" s="543">
        <v>6</v>
      </c>
      <c r="H1" s="543">
        <v>7</v>
      </c>
      <c r="I1" s="543">
        <v>8</v>
      </c>
      <c r="J1" s="543">
        <v>9</v>
      </c>
    </row>
    <row r="2" spans="2:22" x14ac:dyDescent="0.25">
      <c r="B2" s="6" t="s">
        <v>476</v>
      </c>
    </row>
    <row r="3" spans="2:22" ht="15.75" thickBot="1" x14ac:dyDescent="0.3">
      <c r="B3" s="6"/>
    </row>
    <row r="4" spans="2:22" ht="15.75" thickBot="1" x14ac:dyDescent="0.3">
      <c r="C4" s="693" t="str">
        <f>M7</f>
        <v>05HW</v>
      </c>
      <c r="D4" s="694"/>
      <c r="E4" s="693" t="s">
        <v>266</v>
      </c>
      <c r="F4" s="694"/>
      <c r="G4" s="404" t="s">
        <v>223</v>
      </c>
      <c r="H4" s="404" t="s">
        <v>475</v>
      </c>
      <c r="I4" s="404" t="s">
        <v>475</v>
      </c>
      <c r="J4" s="404" t="s">
        <v>468</v>
      </c>
    </row>
    <row r="5" spans="2:22" x14ac:dyDescent="0.25">
      <c r="B5" s="651" t="s">
        <v>0</v>
      </c>
      <c r="C5" s="699" t="s">
        <v>474</v>
      </c>
      <c r="D5" s="696" t="s">
        <v>468</v>
      </c>
      <c r="E5" s="667" t="s">
        <v>474</v>
      </c>
      <c r="F5" s="696" t="s">
        <v>468</v>
      </c>
      <c r="G5" s="696" t="s">
        <v>599</v>
      </c>
      <c r="H5" s="653" t="s">
        <v>473</v>
      </c>
      <c r="I5" s="653" t="s">
        <v>1</v>
      </c>
      <c r="J5" s="653" t="s">
        <v>1</v>
      </c>
      <c r="M5" s="6" t="s">
        <v>472</v>
      </c>
      <c r="R5" s="385"/>
      <c r="S5" s="368"/>
    </row>
    <row r="6" spans="2:22" ht="15.75" customHeight="1" thickBot="1" x14ac:dyDescent="0.3">
      <c r="B6" s="671"/>
      <c r="C6" s="700"/>
      <c r="D6" s="697"/>
      <c r="E6" s="695"/>
      <c r="F6" s="697"/>
      <c r="G6" s="697"/>
      <c r="H6" s="698"/>
      <c r="I6" s="698"/>
      <c r="J6" s="698"/>
      <c r="M6" s="402" t="s">
        <v>471</v>
      </c>
      <c r="N6" s="402" t="s">
        <v>487</v>
      </c>
      <c r="O6" s="402" t="s">
        <v>489</v>
      </c>
      <c r="P6" s="402" t="s">
        <v>61</v>
      </c>
      <c r="Q6" s="402" t="s">
        <v>470</v>
      </c>
      <c r="R6" s="402" t="s">
        <v>488</v>
      </c>
      <c r="S6" s="403" t="s">
        <v>469</v>
      </c>
      <c r="T6" s="402" t="s">
        <v>468</v>
      </c>
    </row>
    <row r="7" spans="2:22" ht="15.75" customHeight="1" x14ac:dyDescent="0.25">
      <c r="B7" s="1">
        <v>2020</v>
      </c>
      <c r="C7" s="576">
        <f>IF($B7=$R$7,$T$7,0)</f>
        <v>0</v>
      </c>
      <c r="D7" s="540">
        <f>IF($B7=$R$7,$T$7,0)</f>
        <v>0</v>
      </c>
      <c r="E7" s="401">
        <v>0</v>
      </c>
      <c r="F7" s="244">
        <f t="shared" ref="F7:F29" si="0">IF($B7=$R$8,$R$8,0)</f>
        <v>0</v>
      </c>
      <c r="G7" s="231">
        <f>SUM(D7,F7)</f>
        <v>0</v>
      </c>
      <c r="H7" s="231">
        <f t="shared" ref="H7:H34" si="1">SUM(C7,E7)</f>
        <v>0</v>
      </c>
      <c r="I7" s="400">
        <f>SUM(H7)*(1+0.07)^-($B7-Assumptions!$D$4)</f>
        <v>0</v>
      </c>
      <c r="J7" s="400">
        <f>SUM(D7,F7)*(1+0.07)^-($B7-Assumptions!$D$4)</f>
        <v>0</v>
      </c>
      <c r="M7" s="399" t="s">
        <v>265</v>
      </c>
      <c r="N7" s="399">
        <v>2023</v>
      </c>
      <c r="O7" s="399">
        <v>2024</v>
      </c>
      <c r="P7" s="496">
        <f>'05HW - Costs'!F48*N11</f>
        <v>15427204.863639537</v>
      </c>
      <c r="Q7" s="399">
        <v>30</v>
      </c>
      <c r="R7" s="399">
        <v>2043</v>
      </c>
      <c r="S7" s="398">
        <f>(O7+Q7-R7)/Q7</f>
        <v>0.36666666666666664</v>
      </c>
      <c r="T7" s="397">
        <f>P7*S7</f>
        <v>5656641.7833344964</v>
      </c>
    </row>
    <row r="8" spans="2:22" ht="15.75" customHeight="1" x14ac:dyDescent="0.25">
      <c r="B8" s="2">
        <f t="shared" ref="B8:B34" si="2">B7+1</f>
        <v>2021</v>
      </c>
      <c r="C8" s="387">
        <v>0</v>
      </c>
      <c r="D8" s="245">
        <f t="shared" ref="D8:D34" si="3">IF($B8=$R$7,$T$7,0)</f>
        <v>0</v>
      </c>
      <c r="E8" s="387">
        <v>0</v>
      </c>
      <c r="F8" s="245">
        <f t="shared" si="0"/>
        <v>0</v>
      </c>
      <c r="G8" s="235">
        <f t="shared" ref="G8:G34" si="4">SUM(D8,F8)</f>
        <v>0</v>
      </c>
      <c r="H8" s="235">
        <f t="shared" si="1"/>
        <v>0</v>
      </c>
      <c r="I8" s="386">
        <f>SUM(H8)*(1+0.07)^-($B8-Assumptions!$D$4)</f>
        <v>0</v>
      </c>
      <c r="J8" s="386">
        <f>SUM(D8,F8)*(1+0.07)^-($B8-Assumptions!$D$4)</f>
        <v>0</v>
      </c>
      <c r="M8" s="399" t="s">
        <v>266</v>
      </c>
      <c r="N8" s="399">
        <v>2024</v>
      </c>
      <c r="O8" s="399">
        <v>2025</v>
      </c>
      <c r="P8" s="397">
        <f>'05U5 - Costs'!F33*N11</f>
        <v>5341413.7960615335</v>
      </c>
      <c r="Q8" s="399">
        <v>30</v>
      </c>
      <c r="R8" s="399">
        <v>2043</v>
      </c>
      <c r="S8" s="398">
        <f>(O8+Q8-R8)/Q8</f>
        <v>0.4</v>
      </c>
      <c r="T8" s="397">
        <f>P8*S8</f>
        <v>2136565.5184246134</v>
      </c>
      <c r="U8" s="394"/>
    </row>
    <row r="9" spans="2:22" ht="15.75" customHeight="1" x14ac:dyDescent="0.25">
      <c r="B9" s="2">
        <f t="shared" si="2"/>
        <v>2022</v>
      </c>
      <c r="C9" s="387">
        <v>0</v>
      </c>
      <c r="D9" s="245">
        <f t="shared" si="3"/>
        <v>0</v>
      </c>
      <c r="E9" s="387">
        <v>0</v>
      </c>
      <c r="F9" s="245">
        <f t="shared" si="0"/>
        <v>0</v>
      </c>
      <c r="G9" s="235">
        <f t="shared" si="4"/>
        <v>0</v>
      </c>
      <c r="H9" s="235">
        <f t="shared" si="1"/>
        <v>0</v>
      </c>
      <c r="I9" s="386">
        <f>SUM(H9)*(1+0.07)^-($B9-Assumptions!$D$4)</f>
        <v>0</v>
      </c>
      <c r="J9" s="386">
        <f>SUM(D9,F9)*(1+0.07)^-($B9-Assumptions!$D$4)</f>
        <v>0</v>
      </c>
      <c r="M9" s="7"/>
      <c r="U9" s="394"/>
      <c r="V9" s="334"/>
    </row>
    <row r="10" spans="2:22" ht="15.75" customHeight="1" x14ac:dyDescent="0.25">
      <c r="B10" s="2">
        <f t="shared" si="2"/>
        <v>2023</v>
      </c>
      <c r="C10" s="497">
        <f>P7</f>
        <v>15427204.863639537</v>
      </c>
      <c r="D10" s="245">
        <f t="shared" si="3"/>
        <v>0</v>
      </c>
      <c r="E10" s="387">
        <v>0</v>
      </c>
      <c r="F10" s="245">
        <f t="shared" si="0"/>
        <v>0</v>
      </c>
      <c r="G10" s="235">
        <f t="shared" si="4"/>
        <v>0</v>
      </c>
      <c r="H10" s="235">
        <f t="shared" si="1"/>
        <v>15427204.863639537</v>
      </c>
      <c r="I10" s="386">
        <f>SUM(H10)*(1+0.07)^-($B10-Assumptions!$D$4)</f>
        <v>12593194.576549178</v>
      </c>
      <c r="J10" s="386">
        <f>SUM(D10,F10)*(1+0.07)^-($B10-Assumptions!$D$4)</f>
        <v>0</v>
      </c>
      <c r="M10" s="6" t="s">
        <v>573</v>
      </c>
      <c r="U10" s="396"/>
    </row>
    <row r="11" spans="2:22" ht="15.75" customHeight="1" x14ac:dyDescent="0.25">
      <c r="B11" s="2">
        <f t="shared" si="2"/>
        <v>2024</v>
      </c>
      <c r="C11" s="387">
        <v>0</v>
      </c>
      <c r="D11" s="245">
        <f t="shared" si="3"/>
        <v>0</v>
      </c>
      <c r="E11" s="387">
        <f>P8</f>
        <v>5341413.7960615335</v>
      </c>
      <c r="F11" s="245">
        <f t="shared" si="0"/>
        <v>0</v>
      </c>
      <c r="G11" s="235">
        <f t="shared" si="4"/>
        <v>0</v>
      </c>
      <c r="H11" s="235">
        <f t="shared" si="1"/>
        <v>5341413.7960615335</v>
      </c>
      <c r="I11" s="386">
        <f>SUM(H11)*(1+0.07)^-($B11-Assumptions!$D$4)</f>
        <v>4074939.0105799399</v>
      </c>
      <c r="J11" s="386">
        <f>SUM(D11,F11)*(1+0.07)^-($B11-Assumptions!$D$4)</f>
        <v>0</v>
      </c>
      <c r="M11" s="520" t="s">
        <v>572</v>
      </c>
      <c r="N11" s="546">
        <f>113.648/118.357</f>
        <v>0.96021359108459992</v>
      </c>
      <c r="U11" s="396"/>
    </row>
    <row r="12" spans="2:22" ht="15.75" customHeight="1" x14ac:dyDescent="0.25">
      <c r="B12" s="2">
        <f t="shared" si="2"/>
        <v>2025</v>
      </c>
      <c r="C12" s="387">
        <v>0</v>
      </c>
      <c r="D12" s="245">
        <f t="shared" si="3"/>
        <v>0</v>
      </c>
      <c r="E12" s="387">
        <v>0</v>
      </c>
      <c r="F12" s="245">
        <f t="shared" si="0"/>
        <v>0</v>
      </c>
      <c r="G12" s="235">
        <f t="shared" si="4"/>
        <v>0</v>
      </c>
      <c r="H12" s="235">
        <f t="shared" si="1"/>
        <v>0</v>
      </c>
      <c r="I12" s="386">
        <f>SUM(H12)*(1+0.07)^-($B12-Assumptions!$D$4)</f>
        <v>0</v>
      </c>
      <c r="J12" s="386">
        <f>SUM(D12,F12)*(1+0.07)^-($B12-Assumptions!$D$4)</f>
        <v>0</v>
      </c>
      <c r="U12" s="396"/>
    </row>
    <row r="13" spans="2:22" ht="15.75" customHeight="1" x14ac:dyDescent="0.25">
      <c r="B13" s="2">
        <f t="shared" si="2"/>
        <v>2026</v>
      </c>
      <c r="C13" s="387">
        <v>0</v>
      </c>
      <c r="D13" s="245">
        <f t="shared" si="3"/>
        <v>0</v>
      </c>
      <c r="E13" s="387">
        <v>0</v>
      </c>
      <c r="F13" s="245">
        <f t="shared" si="0"/>
        <v>0</v>
      </c>
      <c r="G13" s="235">
        <f t="shared" si="4"/>
        <v>0</v>
      </c>
      <c r="H13" s="235">
        <f t="shared" si="1"/>
        <v>0</v>
      </c>
      <c r="I13" s="386">
        <f>SUM(H13)*(1+0.07)^-($B13-Assumptions!$D$4)</f>
        <v>0</v>
      </c>
      <c r="J13" s="386">
        <f>SUM(D13,F13)*(1+0.07)^-($B13-Assumptions!$D$4)</f>
        <v>0</v>
      </c>
      <c r="U13" s="394"/>
    </row>
    <row r="14" spans="2:22" ht="15.75" customHeight="1" x14ac:dyDescent="0.25">
      <c r="B14" s="2">
        <f t="shared" si="2"/>
        <v>2027</v>
      </c>
      <c r="C14" s="387">
        <v>0</v>
      </c>
      <c r="D14" s="245">
        <f t="shared" si="3"/>
        <v>0</v>
      </c>
      <c r="E14" s="387">
        <v>0</v>
      </c>
      <c r="F14" s="245">
        <f t="shared" si="0"/>
        <v>0</v>
      </c>
      <c r="G14" s="235">
        <f t="shared" si="4"/>
        <v>0</v>
      </c>
      <c r="H14" s="235">
        <f t="shared" si="1"/>
        <v>0</v>
      </c>
      <c r="I14" s="386">
        <f>SUM(H14)*(1+0.07)^-($B14-Assumptions!$D$4)</f>
        <v>0</v>
      </c>
      <c r="J14" s="386">
        <f>SUM(D14,F14)*(1+0.07)^-($B14-Assumptions!$D$4)</f>
        <v>0</v>
      </c>
      <c r="U14" s="394"/>
    </row>
    <row r="15" spans="2:22" ht="15.75" customHeight="1" x14ac:dyDescent="0.25">
      <c r="B15" s="2">
        <f t="shared" si="2"/>
        <v>2028</v>
      </c>
      <c r="C15" s="387">
        <v>0</v>
      </c>
      <c r="D15" s="245">
        <f t="shared" si="3"/>
        <v>0</v>
      </c>
      <c r="E15" s="387">
        <v>0</v>
      </c>
      <c r="F15" s="245">
        <f t="shared" si="0"/>
        <v>0</v>
      </c>
      <c r="G15" s="235">
        <f t="shared" si="4"/>
        <v>0</v>
      </c>
      <c r="H15" s="235">
        <f t="shared" si="1"/>
        <v>0</v>
      </c>
      <c r="I15" s="386">
        <f>SUM(H15)*(1+0.07)^-($B15-Assumptions!$D$4)</f>
        <v>0</v>
      </c>
      <c r="J15" s="386">
        <f>SUM(D15,F15)*(1+0.07)^-($B15-Assumptions!$D$4)</f>
        <v>0</v>
      </c>
      <c r="U15" s="394"/>
    </row>
    <row r="16" spans="2:22" ht="15.75" customHeight="1" x14ac:dyDescent="0.25">
      <c r="B16" s="2">
        <f t="shared" si="2"/>
        <v>2029</v>
      </c>
      <c r="C16" s="387">
        <v>0</v>
      </c>
      <c r="D16" s="245">
        <f t="shared" si="3"/>
        <v>0</v>
      </c>
      <c r="E16" s="387">
        <v>0</v>
      </c>
      <c r="F16" s="245">
        <f t="shared" si="0"/>
        <v>0</v>
      </c>
      <c r="G16" s="235">
        <f t="shared" si="4"/>
        <v>0</v>
      </c>
      <c r="H16" s="235">
        <f t="shared" si="1"/>
        <v>0</v>
      </c>
      <c r="I16" s="386">
        <f>SUM(H16)*(1+0.07)^-($B16-Assumptions!$D$4)</f>
        <v>0</v>
      </c>
      <c r="J16" s="386">
        <f>SUM(D16,F16)*(1+0.07)^-($B16-Assumptions!$D$4)</f>
        <v>0</v>
      </c>
      <c r="U16" s="394"/>
    </row>
    <row r="17" spans="2:21" ht="15.75" customHeight="1" x14ac:dyDescent="0.25">
      <c r="B17" s="2">
        <f t="shared" si="2"/>
        <v>2030</v>
      </c>
      <c r="C17" s="387">
        <v>0</v>
      </c>
      <c r="D17" s="245">
        <f t="shared" si="3"/>
        <v>0</v>
      </c>
      <c r="E17" s="387">
        <v>0</v>
      </c>
      <c r="F17" s="245">
        <f t="shared" si="0"/>
        <v>0</v>
      </c>
      <c r="G17" s="235">
        <f t="shared" si="4"/>
        <v>0</v>
      </c>
      <c r="H17" s="235">
        <f t="shared" si="1"/>
        <v>0</v>
      </c>
      <c r="I17" s="386">
        <f>SUM(H17)*(1+0.07)^-($B17-Assumptions!$D$4)</f>
        <v>0</v>
      </c>
      <c r="J17" s="386">
        <f>SUM(D17,F17)*(1+0.07)^-($B17-Assumptions!$D$4)</f>
        <v>0</v>
      </c>
      <c r="R17" s="385"/>
      <c r="S17" s="395"/>
      <c r="T17" s="394"/>
      <c r="U17" s="394"/>
    </row>
    <row r="18" spans="2:21" ht="15.75" customHeight="1" x14ac:dyDescent="0.25">
      <c r="B18" s="2">
        <f t="shared" si="2"/>
        <v>2031</v>
      </c>
      <c r="C18" s="387">
        <v>0</v>
      </c>
      <c r="D18" s="245">
        <f t="shared" si="3"/>
        <v>0</v>
      </c>
      <c r="E18" s="387">
        <v>0</v>
      </c>
      <c r="F18" s="245">
        <f t="shared" si="0"/>
        <v>0</v>
      </c>
      <c r="G18" s="235">
        <f t="shared" si="4"/>
        <v>0</v>
      </c>
      <c r="H18" s="235">
        <f t="shared" si="1"/>
        <v>0</v>
      </c>
      <c r="I18" s="386">
        <f>SUM(H18)*(1+0.07)^-($B18-Assumptions!$D$4)</f>
        <v>0</v>
      </c>
      <c r="J18" s="386">
        <f>SUM(D18,F18)*(1+0.07)^-($B18-Assumptions!$D$4)</f>
        <v>0</v>
      </c>
      <c r="R18" s="385"/>
      <c r="S18" s="395"/>
      <c r="T18" s="394"/>
      <c r="U18" s="394"/>
    </row>
    <row r="19" spans="2:21" ht="15.75" customHeight="1" x14ac:dyDescent="0.25">
      <c r="B19" s="2">
        <f t="shared" si="2"/>
        <v>2032</v>
      </c>
      <c r="C19" s="387">
        <v>0</v>
      </c>
      <c r="D19" s="245">
        <f t="shared" si="3"/>
        <v>0</v>
      </c>
      <c r="E19" s="387">
        <v>0</v>
      </c>
      <c r="F19" s="245">
        <f t="shared" si="0"/>
        <v>0</v>
      </c>
      <c r="G19" s="235">
        <f t="shared" si="4"/>
        <v>0</v>
      </c>
      <c r="H19" s="235">
        <f t="shared" si="1"/>
        <v>0</v>
      </c>
      <c r="I19" s="386">
        <f>SUM(H19)*(1+0.07)^-($B19-Assumptions!$D$4)</f>
        <v>0</v>
      </c>
      <c r="J19" s="386">
        <f>SUM(D19,F19)*(1+0.07)^-($B19-Assumptions!$D$4)</f>
        <v>0</v>
      </c>
      <c r="R19" s="393"/>
      <c r="S19" s="392"/>
    </row>
    <row r="20" spans="2:21" ht="15.75" customHeight="1" x14ac:dyDescent="0.25">
      <c r="B20" s="2">
        <f t="shared" si="2"/>
        <v>2033</v>
      </c>
      <c r="C20" s="387">
        <v>0</v>
      </c>
      <c r="D20" s="245">
        <f t="shared" si="3"/>
        <v>0</v>
      </c>
      <c r="E20" s="387">
        <v>0</v>
      </c>
      <c r="F20" s="245">
        <f t="shared" si="0"/>
        <v>0</v>
      </c>
      <c r="G20" s="235">
        <f t="shared" si="4"/>
        <v>0</v>
      </c>
      <c r="H20" s="235">
        <f t="shared" si="1"/>
        <v>0</v>
      </c>
      <c r="I20" s="386">
        <f>SUM(H20)*(1+0.07)^-($B20-Assumptions!$D$4)</f>
        <v>0</v>
      </c>
      <c r="J20" s="386">
        <f>SUM(D20,F20)*(1+0.07)^-($B20-Assumptions!$D$4)</f>
        <v>0</v>
      </c>
    </row>
    <row r="21" spans="2:21" ht="15.75" customHeight="1" x14ac:dyDescent="0.25">
      <c r="B21" s="2">
        <f t="shared" si="2"/>
        <v>2034</v>
      </c>
      <c r="C21" s="387">
        <v>0</v>
      </c>
      <c r="D21" s="245">
        <f t="shared" si="3"/>
        <v>0</v>
      </c>
      <c r="E21" s="387">
        <v>0</v>
      </c>
      <c r="F21" s="245">
        <f t="shared" si="0"/>
        <v>0</v>
      </c>
      <c r="G21" s="235">
        <f t="shared" si="4"/>
        <v>0</v>
      </c>
      <c r="H21" s="235">
        <f t="shared" si="1"/>
        <v>0</v>
      </c>
      <c r="I21" s="386">
        <f>SUM(H21)*(1+0.07)^-($B21-Assumptions!$D$4)</f>
        <v>0</v>
      </c>
      <c r="J21" s="386">
        <f>SUM(D21,F21)*(1+0.07)^-($B21-Assumptions!$D$4)</f>
        <v>0</v>
      </c>
    </row>
    <row r="22" spans="2:21" ht="15.75" customHeight="1" x14ac:dyDescent="0.25">
      <c r="B22" s="2">
        <f t="shared" si="2"/>
        <v>2035</v>
      </c>
      <c r="C22" s="387">
        <v>0</v>
      </c>
      <c r="D22" s="245">
        <f t="shared" si="3"/>
        <v>0</v>
      </c>
      <c r="E22" s="387">
        <v>0</v>
      </c>
      <c r="F22" s="245">
        <f t="shared" si="0"/>
        <v>0</v>
      </c>
      <c r="G22" s="235">
        <f t="shared" si="4"/>
        <v>0</v>
      </c>
      <c r="H22" s="235">
        <f t="shared" si="1"/>
        <v>0</v>
      </c>
      <c r="I22" s="386">
        <f>SUM(H22)*(1+0.07)^-($B22-Assumptions!$D$4)</f>
        <v>0</v>
      </c>
      <c r="J22" s="386">
        <f>SUM(D22,F22)*(1+0.07)^-($B22-Assumptions!$D$4)</f>
        <v>0</v>
      </c>
      <c r="R22" s="391"/>
      <c r="S22" s="390"/>
      <c r="T22" s="390"/>
      <c r="U22" s="390"/>
    </row>
    <row r="23" spans="2:21" ht="15.75" customHeight="1" x14ac:dyDescent="0.25">
      <c r="B23" s="2">
        <f t="shared" si="2"/>
        <v>2036</v>
      </c>
      <c r="C23" s="387">
        <v>0</v>
      </c>
      <c r="D23" s="245">
        <f t="shared" si="3"/>
        <v>0</v>
      </c>
      <c r="E23" s="387">
        <v>0</v>
      </c>
      <c r="F23" s="245">
        <f t="shared" si="0"/>
        <v>0</v>
      </c>
      <c r="G23" s="235">
        <f t="shared" si="4"/>
        <v>0</v>
      </c>
      <c r="H23" s="235">
        <f t="shared" si="1"/>
        <v>0</v>
      </c>
      <c r="I23" s="386">
        <f>SUM(H23)*(1+0.07)^-($B23-Assumptions!$D$4)</f>
        <v>0</v>
      </c>
      <c r="J23" s="386">
        <f>SUM(D23,F23)*(1+0.07)^-($B23-Assumptions!$D$4)</f>
        <v>0</v>
      </c>
      <c r="R23" s="389"/>
      <c r="S23" s="389"/>
      <c r="T23" s="388"/>
      <c r="U23" s="388"/>
    </row>
    <row r="24" spans="2:21" ht="15.75" customHeight="1" x14ac:dyDescent="0.25">
      <c r="B24" s="2">
        <f t="shared" si="2"/>
        <v>2037</v>
      </c>
      <c r="C24" s="387">
        <v>0</v>
      </c>
      <c r="D24" s="245">
        <f t="shared" si="3"/>
        <v>0</v>
      </c>
      <c r="E24" s="387">
        <v>0</v>
      </c>
      <c r="F24" s="245">
        <f t="shared" si="0"/>
        <v>0</v>
      </c>
      <c r="G24" s="235">
        <f t="shared" si="4"/>
        <v>0</v>
      </c>
      <c r="H24" s="235">
        <f t="shared" si="1"/>
        <v>0</v>
      </c>
      <c r="I24" s="386">
        <f>SUM(H24)*(1+0.07)^-($B24-Assumptions!$D$4)</f>
        <v>0</v>
      </c>
      <c r="J24" s="386">
        <f>SUM(D24,F24)*(1+0.07)^-($B24-Assumptions!$D$4)</f>
        <v>0</v>
      </c>
      <c r="R24" s="389"/>
      <c r="S24" s="389"/>
      <c r="T24" s="388"/>
      <c r="U24" s="388"/>
    </row>
    <row r="25" spans="2:21" ht="15.75" customHeight="1" x14ac:dyDescent="0.25">
      <c r="B25" s="2">
        <f t="shared" si="2"/>
        <v>2038</v>
      </c>
      <c r="C25" s="387">
        <v>0</v>
      </c>
      <c r="D25" s="245">
        <f t="shared" si="3"/>
        <v>0</v>
      </c>
      <c r="E25" s="387">
        <v>0</v>
      </c>
      <c r="F25" s="245">
        <f t="shared" si="0"/>
        <v>0</v>
      </c>
      <c r="G25" s="235">
        <f t="shared" si="4"/>
        <v>0</v>
      </c>
      <c r="H25" s="235">
        <f t="shared" si="1"/>
        <v>0</v>
      </c>
      <c r="I25" s="386">
        <f>SUM(H25)*(1+0.07)^-($B25-Assumptions!$D$4)</f>
        <v>0</v>
      </c>
      <c r="J25" s="386">
        <f>SUM(D25,F25)*(1+0.07)^-($B25-Assumptions!$D$4)</f>
        <v>0</v>
      </c>
      <c r="R25" s="389"/>
      <c r="S25" s="389"/>
      <c r="T25" s="388"/>
      <c r="U25" s="388"/>
    </row>
    <row r="26" spans="2:21" ht="15.75" customHeight="1" x14ac:dyDescent="0.25">
      <c r="B26" s="2">
        <f t="shared" si="2"/>
        <v>2039</v>
      </c>
      <c r="C26" s="387">
        <v>0</v>
      </c>
      <c r="D26" s="245">
        <f t="shared" si="3"/>
        <v>0</v>
      </c>
      <c r="E26" s="387">
        <v>0</v>
      </c>
      <c r="F26" s="245">
        <f t="shared" si="0"/>
        <v>0</v>
      </c>
      <c r="G26" s="235">
        <f t="shared" si="4"/>
        <v>0</v>
      </c>
      <c r="H26" s="235">
        <f t="shared" si="1"/>
        <v>0</v>
      </c>
      <c r="I26" s="386">
        <f>SUM(H26)*(1+0.07)^-($B26-Assumptions!$D$4)</f>
        <v>0</v>
      </c>
      <c r="J26" s="386">
        <f>SUM(D26,F26)*(1+0.07)^-($B26-Assumptions!$D$4)</f>
        <v>0</v>
      </c>
      <c r="R26" s="385"/>
      <c r="S26" s="384"/>
      <c r="T26" s="383"/>
      <c r="U26" s="383"/>
    </row>
    <row r="27" spans="2:21" ht="15.75" customHeight="1" x14ac:dyDescent="0.25">
      <c r="B27" s="2">
        <f t="shared" si="2"/>
        <v>2040</v>
      </c>
      <c r="C27" s="387">
        <v>0</v>
      </c>
      <c r="D27" s="245">
        <f t="shared" si="3"/>
        <v>0</v>
      </c>
      <c r="E27" s="387">
        <v>0</v>
      </c>
      <c r="F27" s="245">
        <f t="shared" si="0"/>
        <v>0</v>
      </c>
      <c r="G27" s="235">
        <f t="shared" si="4"/>
        <v>0</v>
      </c>
      <c r="H27" s="235">
        <f t="shared" si="1"/>
        <v>0</v>
      </c>
      <c r="I27" s="386">
        <f>SUM(H27)*(1+0.07)^-($B27-Assumptions!$D$4)</f>
        <v>0</v>
      </c>
      <c r="J27" s="386">
        <f>SUM(D27,F27)*(1+0.07)^-($B27-Assumptions!$D$4)</f>
        <v>0</v>
      </c>
      <c r="R27" s="385"/>
      <c r="S27" s="384"/>
      <c r="T27" s="383"/>
      <c r="U27" s="383"/>
    </row>
    <row r="28" spans="2:21" ht="15.75" customHeight="1" x14ac:dyDescent="0.25">
      <c r="B28" s="2">
        <f t="shared" si="2"/>
        <v>2041</v>
      </c>
      <c r="C28" s="387">
        <v>0</v>
      </c>
      <c r="D28" s="245">
        <f t="shared" si="3"/>
        <v>0</v>
      </c>
      <c r="E28" s="387">
        <v>0</v>
      </c>
      <c r="F28" s="245">
        <f t="shared" si="0"/>
        <v>0</v>
      </c>
      <c r="G28" s="235">
        <f t="shared" si="4"/>
        <v>0</v>
      </c>
      <c r="H28" s="235">
        <f t="shared" si="1"/>
        <v>0</v>
      </c>
      <c r="I28" s="386">
        <f>SUM(H28)*(1+0.07)^-($B28-Assumptions!$D$4)</f>
        <v>0</v>
      </c>
      <c r="J28" s="386">
        <f>SUM(D28,F28)*(1+0.07)^-($B28-Assumptions!$D$4)</f>
        <v>0</v>
      </c>
      <c r="R28" s="385"/>
      <c r="S28" s="384"/>
      <c r="T28" s="383"/>
      <c r="U28" s="383"/>
    </row>
    <row r="29" spans="2:21" ht="15.75" customHeight="1" x14ac:dyDescent="0.25">
      <c r="B29" s="105">
        <f t="shared" si="2"/>
        <v>2042</v>
      </c>
      <c r="C29" s="382">
        <v>0</v>
      </c>
      <c r="D29" s="245">
        <f t="shared" si="3"/>
        <v>0</v>
      </c>
      <c r="E29" s="380">
        <v>0</v>
      </c>
      <c r="F29" s="245">
        <f t="shared" si="0"/>
        <v>0</v>
      </c>
      <c r="G29" s="235">
        <f t="shared" si="4"/>
        <v>0</v>
      </c>
      <c r="H29" s="235">
        <f t="shared" si="1"/>
        <v>0</v>
      </c>
      <c r="I29" s="238">
        <f>SUM(H29)*(1+0.07)^-($B29-Assumptions!$D$4)</f>
        <v>0</v>
      </c>
      <c r="J29" s="238">
        <f>SUM(D29,F29)*(1+0.07)^-($B29-Assumptions!$D$4)</f>
        <v>0</v>
      </c>
      <c r="R29" s="385"/>
      <c r="S29" s="384"/>
      <c r="T29" s="383"/>
      <c r="U29" s="383"/>
    </row>
    <row r="30" spans="2:21" ht="15.75" customHeight="1" x14ac:dyDescent="0.25">
      <c r="B30" s="105">
        <f t="shared" si="2"/>
        <v>2043</v>
      </c>
      <c r="C30" s="382">
        <v>0</v>
      </c>
      <c r="D30" s="245">
        <f t="shared" si="3"/>
        <v>5656641.7833344964</v>
      </c>
      <c r="E30" s="380">
        <v>0</v>
      </c>
      <c r="F30" s="245">
        <f>IF($B30=$R$8,$T$8,0)</f>
        <v>2136565.5184246134</v>
      </c>
      <c r="G30" s="235">
        <f t="shared" si="4"/>
        <v>7793207.3017591098</v>
      </c>
      <c r="H30" s="235">
        <f t="shared" si="1"/>
        <v>0</v>
      </c>
      <c r="I30" s="238">
        <f>SUM(H30)*(1+0.07)^-($B30-Assumptions!$D$4)</f>
        <v>0</v>
      </c>
      <c r="J30" s="238">
        <f>SUM(D30,F30)*(1+0.07)^-($B30-Assumptions!$D$4)</f>
        <v>1643952.7915692341</v>
      </c>
      <c r="R30" s="385"/>
      <c r="S30" s="384"/>
      <c r="T30" s="383"/>
      <c r="U30" s="383"/>
    </row>
    <row r="31" spans="2:21" x14ac:dyDescent="0.25">
      <c r="B31" s="105">
        <f t="shared" si="2"/>
        <v>2044</v>
      </c>
      <c r="C31" s="382">
        <v>0</v>
      </c>
      <c r="D31" s="245">
        <f t="shared" si="3"/>
        <v>0</v>
      </c>
      <c r="E31" s="380">
        <v>0</v>
      </c>
      <c r="F31" s="245">
        <f>IF($B31=$R$8,$R$8,0)</f>
        <v>0</v>
      </c>
      <c r="G31" s="235">
        <f t="shared" si="4"/>
        <v>0</v>
      </c>
      <c r="H31" s="235">
        <f t="shared" si="1"/>
        <v>0</v>
      </c>
      <c r="I31" s="238">
        <f>SUM(H31)*(1+0.07)^-($B31-Assumptions!$D$4)</f>
        <v>0</v>
      </c>
      <c r="J31" s="238">
        <f>SUM(D31,F31)*(1+0.07)^-($B31-Assumptions!$D$4)</f>
        <v>0</v>
      </c>
      <c r="K31" s="21"/>
    </row>
    <row r="32" spans="2:21" x14ac:dyDescent="0.25">
      <c r="B32" s="105">
        <f t="shared" si="2"/>
        <v>2045</v>
      </c>
      <c r="C32" s="382">
        <v>0</v>
      </c>
      <c r="D32" s="245">
        <f t="shared" si="3"/>
        <v>0</v>
      </c>
      <c r="E32" s="380">
        <v>0</v>
      </c>
      <c r="F32" s="245">
        <f>IF($B32=$R$8,$R$8,0)</f>
        <v>0</v>
      </c>
      <c r="G32" s="235">
        <f t="shared" si="4"/>
        <v>0</v>
      </c>
      <c r="H32" s="235">
        <f t="shared" si="1"/>
        <v>0</v>
      </c>
      <c r="I32" s="238">
        <f>SUM(H32)*(1+0.07)^-($B32-Assumptions!$D$4)</f>
        <v>0</v>
      </c>
      <c r="J32" s="238">
        <f>SUM(D32,F32)*(1+0.07)^-($B32-Assumptions!$D$4)</f>
        <v>0</v>
      </c>
      <c r="K32" s="21"/>
    </row>
    <row r="33" spans="1:15" x14ac:dyDescent="0.25">
      <c r="A33" s="373"/>
      <c r="B33" s="105">
        <f t="shared" si="2"/>
        <v>2046</v>
      </c>
      <c r="C33" s="381">
        <v>0</v>
      </c>
      <c r="D33" s="245">
        <f t="shared" si="3"/>
        <v>0</v>
      </c>
      <c r="E33" s="380">
        <v>0</v>
      </c>
      <c r="F33" s="245">
        <f>IF($B33=$R$8,$R$8,0)</f>
        <v>0</v>
      </c>
      <c r="G33" s="235">
        <f t="shared" si="4"/>
        <v>0</v>
      </c>
      <c r="H33" s="235">
        <f t="shared" si="1"/>
        <v>0</v>
      </c>
      <c r="I33" s="238">
        <f>SUM(H33)*(1+0.07)^-($B33-Assumptions!$D$4)</f>
        <v>0</v>
      </c>
      <c r="J33" s="238">
        <f>SUM(D33,F33)*(1+0.07)^-($B33-Assumptions!$D$4)</f>
        <v>0</v>
      </c>
      <c r="K33" s="366"/>
    </row>
    <row r="34" spans="1:15" ht="15.75" thickBot="1" x14ac:dyDescent="0.3">
      <c r="A34" s="373"/>
      <c r="B34" s="275">
        <f t="shared" si="2"/>
        <v>2047</v>
      </c>
      <c r="C34" s="379">
        <v>0</v>
      </c>
      <c r="D34" s="377">
        <f t="shared" si="3"/>
        <v>0</v>
      </c>
      <c r="E34" s="378">
        <v>0</v>
      </c>
      <c r="F34" s="377">
        <f>IF($B34=$R$8,$R$8,0)</f>
        <v>0</v>
      </c>
      <c r="G34" s="376">
        <f t="shared" si="4"/>
        <v>0</v>
      </c>
      <c r="H34" s="376">
        <f t="shared" si="1"/>
        <v>0</v>
      </c>
      <c r="I34" s="242">
        <f>SUM(H34)*(1+0.07)^-($B34-Assumptions!$D$4)</f>
        <v>0</v>
      </c>
      <c r="J34" s="242">
        <f>SUM(D34,F34)*(1+0.07)^-($B34-Assumptions!$D$4)</f>
        <v>0</v>
      </c>
      <c r="K34" s="21"/>
    </row>
    <row r="35" spans="1:15" x14ac:dyDescent="0.25">
      <c r="A35" s="38"/>
      <c r="D35" s="5"/>
      <c r="E35" s="5"/>
      <c r="F35" s="5"/>
      <c r="G35" s="5"/>
      <c r="H35" s="375">
        <f>SUM(H7:H34)</f>
        <v>20768618.659701072</v>
      </c>
      <c r="I35" s="375">
        <f>SUM(I7:I34)</f>
        <v>16668133.587129118</v>
      </c>
      <c r="J35" s="375">
        <f>SUM(J7:J34)</f>
        <v>1643952.7915692341</v>
      </c>
      <c r="K35" s="21"/>
    </row>
    <row r="36" spans="1:15" ht="15" customHeight="1" x14ac:dyDescent="0.25">
      <c r="A36" s="38"/>
      <c r="B36" s="4"/>
      <c r="C36" s="5"/>
      <c r="K36" s="21"/>
      <c r="L36" s="21"/>
    </row>
    <row r="37" spans="1:15" x14ac:dyDescent="0.25">
      <c r="A37" s="373"/>
      <c r="B37" s="4"/>
      <c r="C37" s="4"/>
      <c r="D37" s="5"/>
      <c r="E37" s="5"/>
      <c r="F37" s="5"/>
      <c r="G37" s="5"/>
      <c r="H37" s="5"/>
      <c r="I37" s="374"/>
      <c r="J37" s="374"/>
      <c r="K37" s="21"/>
      <c r="L37" s="21"/>
    </row>
    <row r="38" spans="1:15" x14ac:dyDescent="0.25">
      <c r="B38" s="6" t="s">
        <v>3</v>
      </c>
      <c r="L38" s="21"/>
      <c r="M38" s="21"/>
    </row>
    <row r="39" spans="1:15" ht="15" customHeight="1" x14ac:dyDescent="0.25">
      <c r="A39" s="7" t="s">
        <v>9</v>
      </c>
      <c r="B39" s="663" t="s">
        <v>614</v>
      </c>
      <c r="C39" s="663"/>
      <c r="D39" s="663"/>
      <c r="E39" s="663"/>
      <c r="F39" s="663"/>
      <c r="G39" s="663"/>
      <c r="H39" s="663"/>
      <c r="I39" s="663"/>
      <c r="J39" s="663"/>
      <c r="K39" s="663"/>
      <c r="L39" s="663"/>
      <c r="M39" s="663"/>
      <c r="N39" s="663"/>
      <c r="O39" s="366"/>
    </row>
    <row r="40" spans="1:15" x14ac:dyDescent="0.25">
      <c r="A40" s="7"/>
      <c r="B40" s="663"/>
      <c r="C40" s="663"/>
      <c r="D40" s="663"/>
      <c r="E40" s="663"/>
      <c r="F40" s="663"/>
      <c r="G40" s="663"/>
      <c r="H40" s="663"/>
      <c r="I40" s="663"/>
      <c r="J40" s="663"/>
      <c r="K40" s="663"/>
      <c r="L40" s="663"/>
      <c r="M40" s="663"/>
      <c r="N40" s="663"/>
      <c r="O40" s="366"/>
    </row>
    <row r="41" spans="1:15" x14ac:dyDescent="0.25">
      <c r="A41" s="373"/>
      <c r="B41" s="663"/>
      <c r="C41" s="663"/>
      <c r="D41" s="663"/>
      <c r="E41" s="663"/>
      <c r="F41" s="663"/>
      <c r="G41" s="663"/>
      <c r="H41" s="663"/>
      <c r="I41" s="663"/>
      <c r="J41" s="663"/>
      <c r="K41" s="663"/>
      <c r="L41" s="663"/>
      <c r="M41" s="663"/>
      <c r="N41" s="663"/>
      <c r="O41" s="366"/>
    </row>
    <row r="42" spans="1:15" ht="15" customHeight="1" x14ac:dyDescent="0.25">
      <c r="C42" s="21"/>
      <c r="D42" s="21"/>
      <c r="E42" s="21"/>
      <c r="F42" s="21"/>
      <c r="G42" s="21"/>
      <c r="H42" s="21"/>
      <c r="I42" s="21"/>
      <c r="J42" s="21"/>
      <c r="K42" s="21"/>
      <c r="L42" s="21"/>
      <c r="M42" s="21"/>
      <c r="N42" s="21"/>
      <c r="O42" s="21"/>
    </row>
    <row r="43" spans="1:15" ht="15" customHeight="1" x14ac:dyDescent="0.25">
      <c r="A43" s="373" t="s">
        <v>8</v>
      </c>
      <c r="B43" s="663" t="s">
        <v>631</v>
      </c>
      <c r="C43" s="663"/>
      <c r="D43" s="663"/>
      <c r="E43" s="663"/>
      <c r="F43" s="663"/>
      <c r="G43" s="663"/>
      <c r="H43" s="663"/>
      <c r="I43" s="663"/>
      <c r="J43" s="663"/>
      <c r="K43" s="663"/>
      <c r="L43" s="663"/>
      <c r="M43" s="663"/>
      <c r="N43" s="663"/>
      <c r="O43" s="366"/>
    </row>
    <row r="44" spans="1:15" x14ac:dyDescent="0.25">
      <c r="B44" s="663"/>
      <c r="C44" s="663"/>
      <c r="D44" s="663"/>
      <c r="E44" s="663"/>
      <c r="F44" s="663"/>
      <c r="G44" s="663"/>
      <c r="H44" s="663"/>
      <c r="I44" s="663"/>
      <c r="J44" s="663"/>
      <c r="K44" s="663"/>
      <c r="L44" s="663"/>
      <c r="M44" s="663"/>
      <c r="N44" s="663"/>
      <c r="O44" s="366"/>
    </row>
    <row r="45" spans="1:15" x14ac:dyDescent="0.25">
      <c r="B45" s="663"/>
      <c r="C45" s="663"/>
      <c r="D45" s="663"/>
      <c r="E45" s="663"/>
      <c r="F45" s="663"/>
      <c r="G45" s="663"/>
      <c r="H45" s="663"/>
      <c r="I45" s="663"/>
      <c r="J45" s="663"/>
      <c r="K45" s="663"/>
      <c r="L45" s="663"/>
      <c r="M45" s="663"/>
      <c r="N45" s="663"/>
      <c r="O45" s="366"/>
    </row>
    <row r="46" spans="1:15" x14ac:dyDescent="0.25">
      <c r="A46" s="7"/>
      <c r="B46" s="663"/>
      <c r="C46" s="663"/>
      <c r="D46" s="663"/>
      <c r="E46" s="663"/>
      <c r="F46" s="663"/>
      <c r="G46" s="663"/>
      <c r="H46" s="663"/>
      <c r="I46" s="663"/>
      <c r="J46" s="663"/>
      <c r="K46" s="663"/>
      <c r="L46" s="663"/>
      <c r="M46" s="663"/>
      <c r="N46" s="663"/>
      <c r="O46" s="366"/>
    </row>
    <row r="47" spans="1:15" x14ac:dyDescent="0.25">
      <c r="B47" s="21"/>
      <c r="C47" s="21"/>
      <c r="D47" s="21"/>
      <c r="E47" s="21"/>
      <c r="F47" s="21"/>
      <c r="G47" s="21"/>
      <c r="H47" s="21"/>
      <c r="I47" s="21"/>
      <c r="J47" s="21"/>
      <c r="K47" s="21"/>
    </row>
    <row r="52" spans="1:1" x14ac:dyDescent="0.25">
      <c r="A52" s="7"/>
    </row>
  </sheetData>
  <mergeCells count="13">
    <mergeCell ref="B43:N46"/>
    <mergeCell ref="E4:F4"/>
    <mergeCell ref="E5:E6"/>
    <mergeCell ref="F5:F6"/>
    <mergeCell ref="J5:J6"/>
    <mergeCell ref="H5:H6"/>
    <mergeCell ref="B5:B6"/>
    <mergeCell ref="C5:C6"/>
    <mergeCell ref="D5:D6"/>
    <mergeCell ref="I5:I6"/>
    <mergeCell ref="B39:N41"/>
    <mergeCell ref="C4:D4"/>
    <mergeCell ref="G5:G6"/>
  </mergeCells>
  <pageMargins left="0.25" right="0.25" top="0.75" bottom="0.75" header="0.3" footer="0.3"/>
  <pageSetup scale="4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49826-1E30-4120-81B4-A53082CDB784}">
  <sheetPr>
    <tabColor rgb="FFFF0000"/>
    <pageSetUpPr fitToPage="1"/>
  </sheetPr>
  <dimension ref="A1:V54"/>
  <sheetViews>
    <sheetView view="pageBreakPreview" zoomScale="70" zoomScaleNormal="70" zoomScaleSheetLayoutView="70" workbookViewId="0">
      <selection activeCell="B47" sqref="B47"/>
    </sheetView>
  </sheetViews>
  <sheetFormatPr defaultRowHeight="15" x14ac:dyDescent="0.25"/>
  <cols>
    <col min="1" max="1" width="3.7109375" style="141" customWidth="1"/>
    <col min="2" max="2" width="20.7109375" style="141" customWidth="1"/>
    <col min="3" max="3" width="20.7109375" style="501" customWidth="1"/>
    <col min="4" max="4" width="20.7109375" style="141" customWidth="1"/>
    <col min="5" max="5" width="20.7109375" style="501" customWidth="1"/>
    <col min="6" max="6" width="20.7109375" style="141" customWidth="1"/>
    <col min="7" max="8" width="5.7109375" style="141" customWidth="1"/>
    <col min="9" max="9" width="35.42578125" style="141" customWidth="1"/>
    <col min="10" max="10" width="31.7109375" style="141" bestFit="1" customWidth="1"/>
    <col min="11" max="11" width="31.7109375" style="20" customWidth="1"/>
    <col min="12" max="12" width="41" style="141" bestFit="1" customWidth="1"/>
    <col min="13" max="13" width="21.140625" style="141" bestFit="1" customWidth="1"/>
    <col min="14" max="14" width="16.7109375" style="141" bestFit="1" customWidth="1"/>
    <col min="15" max="15" width="18.42578125" style="141" customWidth="1"/>
    <col min="16" max="16" width="34.140625" style="141" bestFit="1" customWidth="1"/>
    <col min="17" max="17" width="29.28515625" style="141" customWidth="1"/>
    <col min="18" max="18" width="29" style="141" customWidth="1"/>
    <col min="19" max="20" width="37" style="141" bestFit="1" customWidth="1"/>
    <col min="21" max="21" width="36.28515625" style="141" bestFit="1" customWidth="1"/>
    <col min="22" max="22" width="24.85546875" style="141" bestFit="1" customWidth="1"/>
    <col min="23" max="23" width="10.42578125" style="141" bestFit="1" customWidth="1"/>
    <col min="24" max="16384" width="9.140625" style="141"/>
  </cols>
  <sheetData>
    <row r="1" spans="1:22" x14ac:dyDescent="0.25">
      <c r="A1" s="15"/>
      <c r="B1" s="142">
        <v>1</v>
      </c>
      <c r="C1" s="503"/>
      <c r="D1" s="142">
        <v>6</v>
      </c>
      <c r="E1" s="503"/>
      <c r="F1" s="142">
        <v>7</v>
      </c>
      <c r="I1" s="15"/>
      <c r="J1" s="15"/>
      <c r="K1" s="18"/>
    </row>
    <row r="2" spans="1:22" x14ac:dyDescent="0.25">
      <c r="B2" s="6" t="s">
        <v>184</v>
      </c>
      <c r="C2" s="6"/>
      <c r="I2" s="15"/>
      <c r="J2" s="15"/>
      <c r="K2" s="18"/>
    </row>
    <row r="3" spans="1:22" ht="15.75" thickBot="1" x14ac:dyDescent="0.3">
      <c r="B3" s="367"/>
      <c r="I3" s="62"/>
      <c r="J3" s="15"/>
      <c r="K3" s="18"/>
    </row>
    <row r="4" spans="1:22" ht="35.1" customHeight="1" x14ac:dyDescent="0.25">
      <c r="B4" s="651" t="s">
        <v>0</v>
      </c>
      <c r="C4" s="651" t="s">
        <v>500</v>
      </c>
      <c r="D4" s="651" t="s">
        <v>499</v>
      </c>
      <c r="E4" s="653" t="s">
        <v>501</v>
      </c>
      <c r="F4" s="647" t="s">
        <v>1</v>
      </c>
      <c r="I4" s="62"/>
      <c r="J4" s="15"/>
      <c r="K4" s="18"/>
      <c r="L4" s="20"/>
    </row>
    <row r="5" spans="1:22" ht="43.5" customHeight="1" thickBot="1" x14ac:dyDescent="0.3">
      <c r="B5" s="652"/>
      <c r="C5" s="652"/>
      <c r="D5" s="652"/>
      <c r="E5" s="654"/>
      <c r="F5" s="648"/>
      <c r="I5" s="655" t="s">
        <v>592</v>
      </c>
      <c r="J5" s="655"/>
      <c r="K5" s="22"/>
      <c r="L5" s="28"/>
      <c r="N5" s="9"/>
      <c r="O5" s="9"/>
      <c r="P5" s="9"/>
      <c r="Q5" s="9"/>
      <c r="R5" s="9"/>
    </row>
    <row r="6" spans="1:22" x14ac:dyDescent="0.25">
      <c r="B6" s="149">
        <v>2023</v>
      </c>
      <c r="C6" s="1">
        <v>0</v>
      </c>
      <c r="D6" s="509">
        <f>L25</f>
        <v>7386.489791666666</v>
      </c>
      <c r="E6" s="505">
        <f>-D6*$J$12</f>
        <v>-160914.5341333992</v>
      </c>
      <c r="F6" s="158">
        <f>E6*(1+0.07)^-(B6-Assumptions!$D$4)</f>
        <v>-131354.19257397429</v>
      </c>
      <c r="G6" s="15"/>
      <c r="I6" s="65" t="s">
        <v>63</v>
      </c>
      <c r="J6" s="143">
        <f>Assumptions!D21</f>
        <v>17.8</v>
      </c>
      <c r="K6" s="152"/>
      <c r="N6" s="9"/>
      <c r="O6" s="9"/>
      <c r="P6" s="9"/>
      <c r="Q6" s="9"/>
      <c r="R6" s="9"/>
      <c r="U6" s="169"/>
      <c r="V6" s="169"/>
    </row>
    <row r="7" spans="1:22" x14ac:dyDescent="0.25">
      <c r="B7" s="57">
        <f>B6+1</f>
        <v>2024</v>
      </c>
      <c r="C7" s="2">
        <v>0</v>
      </c>
      <c r="D7" s="509">
        <f>L26</f>
        <v>7516.7567708333336</v>
      </c>
      <c r="E7" s="506">
        <f t="shared" ref="E7:E25" si="0">-D7*$J$12</f>
        <v>-163752.39770009884</v>
      </c>
      <c r="F7" s="159">
        <f>E7*(1+0.07)^-(B7-Assumptions!$D$4)</f>
        <v>-124925.92016670758</v>
      </c>
      <c r="G7" s="15"/>
      <c r="I7" s="65" t="s">
        <v>25</v>
      </c>
      <c r="J7" s="67">
        <f>Assumptions!D22</f>
        <v>32</v>
      </c>
      <c r="K7" s="63"/>
      <c r="N7" s="9"/>
      <c r="O7" s="9"/>
      <c r="P7" s="9"/>
      <c r="Q7" s="9"/>
      <c r="R7" s="9"/>
      <c r="U7" s="169"/>
      <c r="V7" s="169"/>
    </row>
    <row r="8" spans="1:22" x14ac:dyDescent="0.25">
      <c r="B8" s="57">
        <f t="shared" ref="B8:B25" si="1">B7+1</f>
        <v>2025</v>
      </c>
      <c r="C8" s="2">
        <v>0</v>
      </c>
      <c r="D8" s="2">
        <v>0</v>
      </c>
      <c r="E8" s="506">
        <f t="shared" si="0"/>
        <v>0</v>
      </c>
      <c r="F8" s="159">
        <f>E8*(1+0.07)^-(B8-Assumptions!$D$4)</f>
        <v>0</v>
      </c>
      <c r="H8" s="61"/>
      <c r="I8" s="48"/>
      <c r="J8" s="63"/>
      <c r="K8" s="63"/>
      <c r="N8" s="9"/>
      <c r="O8" s="9"/>
      <c r="P8" s="9"/>
      <c r="Q8" s="9"/>
      <c r="R8" s="9"/>
      <c r="U8" s="169"/>
      <c r="V8" s="169"/>
    </row>
    <row r="9" spans="1:22" ht="14.25" customHeight="1" x14ac:dyDescent="0.25">
      <c r="B9" s="57">
        <f t="shared" si="1"/>
        <v>2026</v>
      </c>
      <c r="C9" s="2">
        <v>0</v>
      </c>
      <c r="D9" s="2">
        <v>0</v>
      </c>
      <c r="E9" s="506">
        <f t="shared" si="0"/>
        <v>0</v>
      </c>
      <c r="F9" s="159">
        <f>E9*(1+0.07)^-(B9-Assumptions!$D$4)</f>
        <v>0</v>
      </c>
      <c r="I9" s="655" t="s">
        <v>194</v>
      </c>
      <c r="J9" s="655"/>
      <c r="K9" s="22"/>
      <c r="N9" s="9"/>
      <c r="O9" s="9"/>
      <c r="P9" s="9"/>
      <c r="Q9" s="9"/>
      <c r="R9" s="9"/>
      <c r="U9" s="169"/>
      <c r="V9" s="169"/>
    </row>
    <row r="10" spans="1:22" x14ac:dyDescent="0.25">
      <c r="B10" s="57">
        <f t="shared" si="1"/>
        <v>2027</v>
      </c>
      <c r="C10" s="2">
        <v>0</v>
      </c>
      <c r="D10" s="2">
        <v>0</v>
      </c>
      <c r="E10" s="506">
        <f t="shared" si="0"/>
        <v>0</v>
      </c>
      <c r="F10" s="159">
        <f>E10*(1+0.07)^-(B10-Assumptions!$D$4)</f>
        <v>0</v>
      </c>
      <c r="I10" s="65" t="s">
        <v>21</v>
      </c>
      <c r="J10" s="64">
        <f>1-J11</f>
        <v>0.71936758893280639</v>
      </c>
      <c r="K10" s="150"/>
      <c r="L10" s="18"/>
      <c r="N10" s="9"/>
      <c r="O10" s="9"/>
      <c r="P10" s="9"/>
      <c r="Q10" s="9"/>
      <c r="R10" s="9"/>
      <c r="U10" s="169"/>
      <c r="V10" s="169"/>
    </row>
    <row r="11" spans="1:22" x14ac:dyDescent="0.25">
      <c r="B11" s="57">
        <f t="shared" si="1"/>
        <v>2028</v>
      </c>
      <c r="C11" s="2">
        <v>0</v>
      </c>
      <c r="D11" s="2">
        <v>0</v>
      </c>
      <c r="E11" s="506">
        <f t="shared" si="0"/>
        <v>0</v>
      </c>
      <c r="F11" s="159">
        <f>E11*(1+0.07)^-(B11-Assumptions!$D$4)</f>
        <v>0</v>
      </c>
      <c r="I11" s="65" t="s">
        <v>22</v>
      </c>
      <c r="J11" s="64">
        <f>Assumptions!D15</f>
        <v>0.28063241106719367</v>
      </c>
      <c r="K11" s="150"/>
      <c r="L11" s="48"/>
      <c r="N11" s="9"/>
      <c r="O11" s="9"/>
      <c r="P11" s="9"/>
      <c r="Q11" s="9"/>
      <c r="R11" s="9"/>
      <c r="S11" s="169"/>
      <c r="T11" s="169"/>
      <c r="U11" s="169"/>
      <c r="V11" s="169"/>
    </row>
    <row r="12" spans="1:22" x14ac:dyDescent="0.25">
      <c r="B12" s="57">
        <f t="shared" si="1"/>
        <v>2029</v>
      </c>
      <c r="C12" s="2">
        <v>0</v>
      </c>
      <c r="D12" s="2">
        <v>0</v>
      </c>
      <c r="E12" s="507">
        <f t="shared" si="0"/>
        <v>0</v>
      </c>
      <c r="F12" s="153">
        <f>E12*(1+0.07)^-(B12-Assumptions!$D$4)</f>
        <v>0</v>
      </c>
      <c r="I12" s="65" t="s">
        <v>498</v>
      </c>
      <c r="J12" s="67">
        <f>SUMPRODUCT(J6:J7,J10:J11)</f>
        <v>21.784980237154151</v>
      </c>
      <c r="K12" s="51"/>
      <c r="L12" s="18"/>
      <c r="N12" s="9"/>
      <c r="O12" s="9"/>
      <c r="P12" s="9"/>
      <c r="Q12" s="9"/>
      <c r="R12" s="9"/>
      <c r="S12" s="169"/>
      <c r="T12" s="169"/>
      <c r="U12" s="169"/>
      <c r="V12" s="169"/>
    </row>
    <row r="13" spans="1:22" ht="15" customHeight="1" x14ac:dyDescent="0.25">
      <c r="B13" s="57">
        <f t="shared" si="1"/>
        <v>2030</v>
      </c>
      <c r="C13" s="2">
        <v>0</v>
      </c>
      <c r="D13" s="2">
        <v>0</v>
      </c>
      <c r="E13" s="507">
        <f t="shared" si="0"/>
        <v>0</v>
      </c>
      <c r="F13" s="153">
        <f>E13*(1+0.07)^-(B13-Assumptions!$D$4)</f>
        <v>0</v>
      </c>
      <c r="N13" s="9"/>
      <c r="O13" s="9"/>
      <c r="P13" s="9"/>
      <c r="Q13" s="9"/>
      <c r="R13" s="9"/>
      <c r="S13" s="169"/>
      <c r="T13" s="169"/>
      <c r="U13" s="169"/>
      <c r="V13" s="169"/>
    </row>
    <row r="14" spans="1:22" x14ac:dyDescent="0.25">
      <c r="B14" s="57">
        <f t="shared" si="1"/>
        <v>2031</v>
      </c>
      <c r="C14" s="2">
        <v>0</v>
      </c>
      <c r="D14" s="2">
        <v>0</v>
      </c>
      <c r="E14" s="507">
        <f t="shared" si="0"/>
        <v>0</v>
      </c>
      <c r="F14" s="153">
        <f>E14*(1+0.07)^-(B14-Assumptions!$D$4)</f>
        <v>0</v>
      </c>
      <c r="I14" s="655" t="s">
        <v>632</v>
      </c>
      <c r="J14" s="655"/>
      <c r="K14" s="22"/>
      <c r="L14" s="18"/>
      <c r="S14" s="169"/>
      <c r="T14" s="169"/>
      <c r="U14" s="169"/>
      <c r="V14" s="169"/>
    </row>
    <row r="15" spans="1:22" x14ac:dyDescent="0.25">
      <c r="B15" s="57">
        <f t="shared" si="1"/>
        <v>2032</v>
      </c>
      <c r="C15" s="2">
        <v>0</v>
      </c>
      <c r="D15" s="2">
        <v>0</v>
      </c>
      <c r="E15" s="507">
        <f t="shared" si="0"/>
        <v>0</v>
      </c>
      <c r="F15" s="153">
        <f>E15*(1+0.07)^-(B15-Assumptions!$D$4)</f>
        <v>0</v>
      </c>
      <c r="I15" s="65" t="s">
        <v>26</v>
      </c>
      <c r="J15" s="144">
        <v>1.67</v>
      </c>
      <c r="K15" s="151"/>
      <c r="L15" s="52"/>
      <c r="T15" s="169"/>
      <c r="U15" s="169"/>
      <c r="V15" s="169"/>
    </row>
    <row r="16" spans="1:22" x14ac:dyDescent="0.25">
      <c r="B16" s="57">
        <f t="shared" si="1"/>
        <v>2033</v>
      </c>
      <c r="C16" s="2">
        <v>0</v>
      </c>
      <c r="D16" s="2">
        <v>0</v>
      </c>
      <c r="E16" s="507">
        <f t="shared" si="0"/>
        <v>0</v>
      </c>
      <c r="F16" s="153">
        <f>E16*(1+0.07)^-(B16-Assumptions!$D$4)</f>
        <v>0</v>
      </c>
      <c r="I16" s="65" t="s">
        <v>27</v>
      </c>
      <c r="J16" s="144">
        <v>1</v>
      </c>
      <c r="K16" s="151"/>
      <c r="L16" s="18"/>
    </row>
    <row r="17" spans="1:19" x14ac:dyDescent="0.25">
      <c r="B17" s="57">
        <f t="shared" si="1"/>
        <v>2034</v>
      </c>
      <c r="C17" s="2">
        <v>0</v>
      </c>
      <c r="D17" s="2">
        <v>0</v>
      </c>
      <c r="E17" s="507">
        <f t="shared" si="0"/>
        <v>0</v>
      </c>
      <c r="F17" s="153">
        <f>E17*(1+0.07)^-(B17-Assumptions!$D$4)</f>
        <v>0</v>
      </c>
      <c r="I17" s="48"/>
      <c r="J17" s="51"/>
      <c r="K17" s="51"/>
      <c r="L17" s="19"/>
    </row>
    <row r="18" spans="1:19" x14ac:dyDescent="0.25">
      <c r="B18" s="57">
        <f t="shared" si="1"/>
        <v>2035</v>
      </c>
      <c r="C18" s="2">
        <v>0</v>
      </c>
      <c r="D18" s="2">
        <v>0</v>
      </c>
      <c r="E18" s="507">
        <f t="shared" si="0"/>
        <v>0</v>
      </c>
      <c r="F18" s="153">
        <f>E18*(1+0.07)^-(B18-Assumptions!$D$4)</f>
        <v>0</v>
      </c>
      <c r="I18" s="499" t="s">
        <v>633</v>
      </c>
      <c r="J18" s="499"/>
      <c r="K18" s="18"/>
      <c r="L18" s="19"/>
    </row>
    <row r="19" spans="1:19" x14ac:dyDescent="0.25">
      <c r="B19" s="57">
        <f t="shared" si="1"/>
        <v>2036</v>
      </c>
      <c r="C19" s="2">
        <v>0</v>
      </c>
      <c r="D19" s="2">
        <v>0</v>
      </c>
      <c r="E19" s="507">
        <f t="shared" si="0"/>
        <v>0</v>
      </c>
      <c r="F19" s="153">
        <f>E19*(1+0.07)^-(B19-Assumptions!$D$4)</f>
        <v>0</v>
      </c>
      <c r="I19" s="500" t="s">
        <v>125</v>
      </c>
      <c r="J19" s="500" t="s">
        <v>200</v>
      </c>
      <c r="K19" s="19"/>
      <c r="L19" s="49"/>
    </row>
    <row r="20" spans="1:19" ht="14.25" customHeight="1" x14ac:dyDescent="0.25">
      <c r="B20" s="57">
        <f t="shared" si="1"/>
        <v>2037</v>
      </c>
      <c r="C20" s="2">
        <v>0</v>
      </c>
      <c r="D20" s="2">
        <v>0</v>
      </c>
      <c r="E20" s="507">
        <f t="shared" si="0"/>
        <v>0</v>
      </c>
      <c r="F20" s="153">
        <f>E20*(1+0.07)^-(B20-Assumptions!$D$4)</f>
        <v>0</v>
      </c>
      <c r="I20" s="498">
        <v>2021</v>
      </c>
      <c r="J20" s="498">
        <v>506</v>
      </c>
      <c r="K20" s="18" t="s">
        <v>245</v>
      </c>
      <c r="L20" s="50"/>
      <c r="M20" s="15"/>
      <c r="N20" s="15"/>
    </row>
    <row r="21" spans="1:19" x14ac:dyDescent="0.25">
      <c r="B21" s="57">
        <f t="shared" si="1"/>
        <v>2038</v>
      </c>
      <c r="C21" s="2">
        <v>0</v>
      </c>
      <c r="D21" s="2">
        <v>0</v>
      </c>
      <c r="E21" s="507">
        <f t="shared" si="0"/>
        <v>0</v>
      </c>
      <c r="F21" s="153">
        <f>E21*(1+0.07)^-(B21-Assumptions!$D$4)</f>
        <v>0</v>
      </c>
      <c r="I21" s="498">
        <v>2041</v>
      </c>
      <c r="J21" s="498">
        <v>691</v>
      </c>
      <c r="K21" s="18" t="s">
        <v>245</v>
      </c>
      <c r="N21" s="501"/>
    </row>
    <row r="22" spans="1:19" x14ac:dyDescent="0.25">
      <c r="B22" s="57">
        <f t="shared" si="1"/>
        <v>2039</v>
      </c>
      <c r="C22" s="2">
        <v>0</v>
      </c>
      <c r="D22" s="2">
        <v>0</v>
      </c>
      <c r="E22" s="507">
        <f t="shared" si="0"/>
        <v>0</v>
      </c>
      <c r="F22" s="153">
        <f>E22*(1+0.07)^-(B22-Assumptions!$D$4)</f>
        <v>0</v>
      </c>
      <c r="N22" s="15"/>
    </row>
    <row r="23" spans="1:19" x14ac:dyDescent="0.25">
      <c r="B23" s="57">
        <f t="shared" si="1"/>
        <v>2040</v>
      </c>
      <c r="C23" s="2">
        <v>0</v>
      </c>
      <c r="D23" s="2">
        <v>0</v>
      </c>
      <c r="E23" s="507">
        <f t="shared" si="0"/>
        <v>0</v>
      </c>
      <c r="F23" s="153">
        <f>E23*(1+0.07)^-(B23-Assumptions!$D$4)</f>
        <v>0</v>
      </c>
      <c r="I23" s="16" t="s">
        <v>198</v>
      </c>
      <c r="J23" s="15"/>
      <c r="K23" s="15"/>
      <c r="L23" s="15"/>
      <c r="N23" s="501"/>
    </row>
    <row r="24" spans="1:19" x14ac:dyDescent="0.25">
      <c r="B24" s="57">
        <f t="shared" si="1"/>
        <v>2041</v>
      </c>
      <c r="C24" s="2">
        <v>0</v>
      </c>
      <c r="D24" s="2">
        <v>0</v>
      </c>
      <c r="E24" s="507">
        <f t="shared" si="0"/>
        <v>0</v>
      </c>
      <c r="F24" s="153">
        <f>E24*(1+0.07)^-(B24-Assumptions!$D$4)</f>
        <v>0</v>
      </c>
      <c r="I24" s="74" t="s">
        <v>124</v>
      </c>
      <c r="J24" s="74" t="s">
        <v>182</v>
      </c>
      <c r="K24" s="74" t="s">
        <v>183</v>
      </c>
      <c r="L24" s="249" t="s">
        <v>497</v>
      </c>
      <c r="M24" s="15"/>
      <c r="N24" s="15"/>
      <c r="P24" s="169"/>
      <c r="Q24" s="169"/>
      <c r="R24" s="169"/>
      <c r="S24" s="169"/>
    </row>
    <row r="25" spans="1:19" ht="15" customHeight="1" thickBot="1" x14ac:dyDescent="0.3">
      <c r="B25" s="59">
        <f t="shared" si="1"/>
        <v>2042</v>
      </c>
      <c r="C25" s="3">
        <v>0</v>
      </c>
      <c r="D25" s="3">
        <v>0</v>
      </c>
      <c r="E25" s="508">
        <f t="shared" si="0"/>
        <v>0</v>
      </c>
      <c r="F25" s="154">
        <f>E25*(1+0.07)^-(B25-Assumptions!$D$4)</f>
        <v>0</v>
      </c>
      <c r="I25" s="502" t="s">
        <v>265</v>
      </c>
      <c r="J25" s="502">
        <v>2023</v>
      </c>
      <c r="K25" s="502">
        <v>2024</v>
      </c>
      <c r="L25" s="178">
        <f>9.26/60*0.5*(0.5*TREND(J20:J21,I20:I21,J25))*365</f>
        <v>7386.489791666666</v>
      </c>
      <c r="M25" s="501"/>
      <c r="N25" s="501"/>
      <c r="P25" s="169"/>
      <c r="Q25" s="169"/>
      <c r="R25" s="169"/>
      <c r="S25" s="169"/>
    </row>
    <row r="26" spans="1:19" ht="15" customHeight="1" thickBot="1" x14ac:dyDescent="0.3">
      <c r="B26" s="4"/>
      <c r="C26" s="4"/>
      <c r="D26" s="66" t="s">
        <v>2</v>
      </c>
      <c r="E26" s="66"/>
      <c r="F26" s="140">
        <f>SUM(F6:F25)</f>
        <v>-256280.11274068186</v>
      </c>
      <c r="I26" s="502" t="s">
        <v>266</v>
      </c>
      <c r="J26" s="502">
        <v>2024</v>
      </c>
      <c r="K26" s="502">
        <v>2025</v>
      </c>
      <c r="L26" s="178">
        <f>9.26/60*0.5*(0.5*TREND(J20:J21,I20:I21,J26))*365</f>
        <v>7516.7567708333336</v>
      </c>
      <c r="M26" s="287" t="s">
        <v>570</v>
      </c>
      <c r="N26" s="287"/>
      <c r="P26" s="169"/>
      <c r="Q26" s="169"/>
      <c r="R26" s="169"/>
      <c r="S26" s="169"/>
    </row>
    <row r="27" spans="1:19" x14ac:dyDescent="0.25">
      <c r="D27" s="142"/>
      <c r="E27" s="503"/>
      <c r="F27" s="142"/>
      <c r="G27" s="24"/>
      <c r="H27" s="20"/>
      <c r="I27" s="15"/>
      <c r="J27" s="15"/>
      <c r="K27" s="18"/>
      <c r="L27" s="287"/>
      <c r="M27" s="287"/>
      <c r="N27" s="287"/>
      <c r="P27" s="169"/>
      <c r="Q27" s="169"/>
      <c r="R27" s="169"/>
      <c r="S27" s="169"/>
    </row>
    <row r="28" spans="1:19" x14ac:dyDescent="0.25">
      <c r="A28" s="15"/>
      <c r="B28" s="16" t="s">
        <v>3</v>
      </c>
      <c r="C28" s="16"/>
      <c r="D28" s="15"/>
      <c r="E28" s="15"/>
      <c r="G28" s="20"/>
      <c r="H28" s="20"/>
      <c r="I28" s="15"/>
      <c r="J28" s="15"/>
      <c r="K28" s="18"/>
      <c r="L28" s="169"/>
      <c r="M28" s="169"/>
      <c r="N28" s="169"/>
      <c r="P28" s="169"/>
      <c r="Q28" s="169"/>
      <c r="R28" s="169"/>
      <c r="S28" s="169"/>
    </row>
    <row r="29" spans="1:19" ht="15" customHeight="1" x14ac:dyDescent="0.25">
      <c r="A29" s="60" t="s">
        <v>9</v>
      </c>
      <c r="B29" s="645" t="s">
        <v>615</v>
      </c>
      <c r="C29" s="645"/>
      <c r="D29" s="645"/>
      <c r="E29" s="645"/>
      <c r="F29" s="645"/>
      <c r="G29" s="20"/>
      <c r="H29" s="28"/>
      <c r="I29" s="15"/>
      <c r="J29" s="15"/>
      <c r="K29" s="18"/>
      <c r="L29" s="169"/>
      <c r="M29" s="169"/>
      <c r="N29" s="169"/>
      <c r="P29" s="169"/>
      <c r="Q29" s="169"/>
    </row>
    <row r="30" spans="1:19" x14ac:dyDescent="0.25">
      <c r="A30" s="15"/>
      <c r="B30" s="645"/>
      <c r="C30" s="645"/>
      <c r="D30" s="645"/>
      <c r="E30" s="645"/>
      <c r="F30" s="645"/>
      <c r="G30" s="32"/>
      <c r="H30" s="33"/>
      <c r="I30" s="15"/>
      <c r="J30" s="15"/>
      <c r="K30" s="18"/>
      <c r="L30" s="501"/>
      <c r="M30" s="169"/>
      <c r="N30" s="169"/>
    </row>
    <row r="31" spans="1:19" x14ac:dyDescent="0.25">
      <c r="A31" s="15"/>
      <c r="B31" s="645"/>
      <c r="C31" s="645"/>
      <c r="D31" s="645"/>
      <c r="E31" s="645"/>
      <c r="F31" s="645"/>
      <c r="G31" s="32"/>
      <c r="H31" s="32"/>
      <c r="I31" s="15"/>
      <c r="J31" s="15"/>
      <c r="K31" s="18"/>
      <c r="L31" s="501"/>
    </row>
    <row r="32" spans="1:19" x14ac:dyDescent="0.25">
      <c r="A32" s="15"/>
      <c r="B32" s="645"/>
      <c r="C32" s="645"/>
      <c r="D32" s="645"/>
      <c r="E32" s="645"/>
      <c r="F32" s="645"/>
      <c r="H32" s="32"/>
      <c r="I32" s="15"/>
      <c r="J32" s="15"/>
      <c r="K32" s="18"/>
      <c r="L32" s="501"/>
    </row>
    <row r="33" spans="1:12" ht="15" customHeight="1" x14ac:dyDescent="0.25">
      <c r="A33" s="60" t="s">
        <v>8</v>
      </c>
      <c r="B33" s="645" t="s">
        <v>608</v>
      </c>
      <c r="C33" s="645"/>
      <c r="D33" s="645"/>
      <c r="E33" s="645"/>
      <c r="F33" s="645"/>
      <c r="G33" s="645"/>
      <c r="H33" s="32"/>
      <c r="I33" s="15"/>
      <c r="J33" s="15"/>
      <c r="K33" s="18"/>
      <c r="L33" s="501"/>
    </row>
    <row r="34" spans="1:12" ht="15" customHeight="1" x14ac:dyDescent="0.25">
      <c r="A34" s="60"/>
      <c r="B34" s="645"/>
      <c r="C34" s="645"/>
      <c r="D34" s="645"/>
      <c r="E34" s="645"/>
      <c r="F34" s="645"/>
      <c r="G34" s="645"/>
      <c r="H34" s="32"/>
      <c r="I34" s="15"/>
      <c r="J34" s="15"/>
      <c r="K34" s="18"/>
      <c r="L34" s="501"/>
    </row>
    <row r="35" spans="1:12" ht="15" customHeight="1" x14ac:dyDescent="0.25">
      <c r="A35" s="60"/>
      <c r="B35" s="645"/>
      <c r="C35" s="645"/>
      <c r="D35" s="645"/>
      <c r="E35" s="645"/>
      <c r="F35" s="645"/>
      <c r="G35" s="645"/>
      <c r="H35" s="32"/>
      <c r="I35" s="15"/>
      <c r="J35" s="15"/>
      <c r="K35" s="18"/>
      <c r="L35" s="501"/>
    </row>
    <row r="36" spans="1:12" ht="15" customHeight="1" x14ac:dyDescent="0.25">
      <c r="A36" s="60"/>
      <c r="B36" s="645"/>
      <c r="C36" s="645"/>
      <c r="D36" s="645"/>
      <c r="E36" s="645"/>
      <c r="F36" s="645"/>
      <c r="G36" s="645"/>
      <c r="H36" s="21"/>
      <c r="I36" s="15"/>
      <c r="J36" s="15"/>
      <c r="K36" s="18"/>
      <c r="L36" s="501"/>
    </row>
    <row r="37" spans="1:12" x14ac:dyDescent="0.25">
      <c r="A37" s="15"/>
      <c r="B37" s="645"/>
      <c r="C37" s="645"/>
      <c r="D37" s="645"/>
      <c r="E37" s="645"/>
      <c r="F37" s="645"/>
      <c r="G37" s="645"/>
      <c r="H37" s="21"/>
    </row>
    <row r="38" spans="1:12" x14ac:dyDescent="0.25">
      <c r="A38" s="15"/>
      <c r="B38" s="645"/>
      <c r="C38" s="645"/>
      <c r="D38" s="645"/>
      <c r="E38" s="645"/>
      <c r="F38" s="645"/>
      <c r="G38" s="645"/>
      <c r="H38" s="21"/>
    </row>
    <row r="39" spans="1:12" ht="15" customHeight="1" x14ac:dyDescent="0.25">
      <c r="A39" s="15"/>
      <c r="B39" s="542"/>
      <c r="C39" s="542"/>
      <c r="D39" s="542"/>
      <c r="E39" s="542"/>
      <c r="F39" s="542"/>
      <c r="G39" s="55"/>
      <c r="H39" s="21"/>
    </row>
    <row r="40" spans="1:12" ht="15" customHeight="1" x14ac:dyDescent="0.25">
      <c r="A40" s="15" t="s">
        <v>10</v>
      </c>
      <c r="B40" s="645" t="s">
        <v>384</v>
      </c>
      <c r="C40" s="645"/>
      <c r="D40" s="645"/>
      <c r="E40" s="645"/>
      <c r="F40" s="645"/>
      <c r="G40" s="645"/>
    </row>
    <row r="41" spans="1:12" ht="15" customHeight="1" x14ac:dyDescent="0.25">
      <c r="A41" s="60"/>
      <c r="B41" s="645"/>
      <c r="C41" s="645"/>
      <c r="D41" s="645"/>
      <c r="E41" s="645"/>
      <c r="F41" s="645"/>
      <c r="G41" s="645"/>
    </row>
    <row r="42" spans="1:12" ht="15" customHeight="1" x14ac:dyDescent="0.25">
      <c r="A42" s="15"/>
      <c r="B42" s="542"/>
      <c r="C42" s="542"/>
      <c r="D42" s="542"/>
      <c r="E42" s="542"/>
      <c r="F42" s="542"/>
      <c r="G42" s="542"/>
    </row>
    <row r="43" spans="1:12" x14ac:dyDescent="0.25">
      <c r="A43" s="15" t="s">
        <v>11</v>
      </c>
      <c r="B43" s="645" t="s">
        <v>652</v>
      </c>
      <c r="C43" s="645"/>
      <c r="D43" s="645"/>
      <c r="E43" s="645"/>
      <c r="F43" s="645"/>
      <c r="G43" s="645"/>
    </row>
    <row r="44" spans="1:12" x14ac:dyDescent="0.25">
      <c r="A44" s="15"/>
      <c r="B44" s="645"/>
      <c r="C44" s="645"/>
      <c r="D44" s="645"/>
      <c r="E44" s="645"/>
      <c r="F44" s="645"/>
      <c r="G44" s="645"/>
    </row>
    <row r="45" spans="1:12" x14ac:dyDescent="0.25">
      <c r="A45" s="15"/>
      <c r="B45" s="645"/>
      <c r="C45" s="645"/>
      <c r="D45" s="645"/>
      <c r="E45" s="645"/>
      <c r="F45" s="645"/>
      <c r="G45" s="645"/>
    </row>
    <row r="46" spans="1:12" x14ac:dyDescent="0.25">
      <c r="A46" s="7"/>
      <c r="B46" s="645"/>
      <c r="C46" s="645"/>
      <c r="D46" s="645"/>
      <c r="E46" s="645"/>
      <c r="F46" s="645"/>
      <c r="G46" s="645"/>
    </row>
    <row r="47" spans="1:12" x14ac:dyDescent="0.25">
      <c r="A47" s="15"/>
      <c r="B47" s="542"/>
      <c r="C47" s="542"/>
      <c r="D47" s="542"/>
      <c r="E47" s="542"/>
      <c r="F47" s="542"/>
      <c r="G47" s="55"/>
    </row>
    <row r="48" spans="1:12" ht="15" customHeight="1" x14ac:dyDescent="0.25">
      <c r="A48" s="7" t="s">
        <v>58</v>
      </c>
      <c r="B48" s="645" t="s">
        <v>381</v>
      </c>
      <c r="C48" s="645"/>
      <c r="D48" s="645"/>
      <c r="E48" s="645"/>
      <c r="F48" s="645"/>
      <c r="G48" s="645"/>
    </row>
    <row r="49" spans="2:11" x14ac:dyDescent="0.25">
      <c r="B49" s="645"/>
      <c r="C49" s="645"/>
      <c r="D49" s="645"/>
      <c r="E49" s="645"/>
      <c r="F49" s="645"/>
      <c r="G49" s="645"/>
      <c r="I49" s="21"/>
      <c r="J49" s="21"/>
      <c r="K49" s="32"/>
    </row>
    <row r="50" spans="2:11" x14ac:dyDescent="0.25">
      <c r="B50" s="645"/>
      <c r="C50" s="645"/>
      <c r="D50" s="645"/>
      <c r="E50" s="645"/>
      <c r="F50" s="645"/>
      <c r="G50" s="645"/>
    </row>
    <row r="51" spans="2:11" x14ac:dyDescent="0.25">
      <c r="B51" s="645"/>
      <c r="C51" s="645"/>
      <c r="D51" s="645"/>
      <c r="E51" s="645"/>
      <c r="F51" s="645"/>
      <c r="G51" s="645"/>
    </row>
    <row r="52" spans="2:11" x14ac:dyDescent="0.25">
      <c r="B52" s="645"/>
      <c r="C52" s="645"/>
      <c r="D52" s="645"/>
      <c r="E52" s="645"/>
      <c r="F52" s="645"/>
      <c r="G52" s="645"/>
    </row>
    <row r="53" spans="2:11" x14ac:dyDescent="0.25">
      <c r="B53" s="645"/>
      <c r="C53" s="645"/>
      <c r="D53" s="645"/>
      <c r="E53" s="645"/>
      <c r="F53" s="645"/>
      <c r="G53" s="645"/>
    </row>
    <row r="54" spans="2:11" x14ac:dyDescent="0.25">
      <c r="B54" s="76"/>
      <c r="C54" s="76"/>
    </row>
  </sheetData>
  <mergeCells count="13">
    <mergeCell ref="B40:G41"/>
    <mergeCell ref="B43:G46"/>
    <mergeCell ref="B48:G53"/>
    <mergeCell ref="F4:F5"/>
    <mergeCell ref="D4:D5"/>
    <mergeCell ref="B4:B5"/>
    <mergeCell ref="C4:C5"/>
    <mergeCell ref="E4:E5"/>
    <mergeCell ref="I5:J5"/>
    <mergeCell ref="I9:J9"/>
    <mergeCell ref="I14:J14"/>
    <mergeCell ref="B29:F32"/>
    <mergeCell ref="B33:G38"/>
  </mergeCells>
  <pageMargins left="0.25" right="0.25" top="0.75" bottom="0.75" header="0.3" footer="0.3"/>
  <pageSetup scale="4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1F4FA-3325-4636-A68B-FF98113FDC90}">
  <sheetPr>
    <tabColor theme="0" tint="-0.34998626667073579"/>
  </sheetPr>
  <dimension ref="A1:G41"/>
  <sheetViews>
    <sheetView zoomScaleNormal="100" workbookViewId="0">
      <selection activeCell="J17" sqref="J17"/>
    </sheetView>
  </sheetViews>
  <sheetFormatPr defaultColWidth="27.7109375" defaultRowHeight="15" outlineLevelRow="1" x14ac:dyDescent="0.25"/>
  <cols>
    <col min="1" max="1" width="27.7109375" style="287"/>
    <col min="2" max="2" width="27.42578125" style="55" bestFit="1" customWidth="1"/>
    <col min="3" max="4" width="13.7109375" style="290" bestFit="1" customWidth="1"/>
    <col min="5" max="5" width="2" bestFit="1" customWidth="1"/>
  </cols>
  <sheetData>
    <row r="1" spans="1:7" s="287" customFormat="1" x14ac:dyDescent="0.25">
      <c r="A1" s="519" t="s">
        <v>567</v>
      </c>
      <c r="B1" s="55"/>
      <c r="C1" s="290"/>
      <c r="D1" s="290"/>
    </row>
    <row r="2" spans="1:7" s="287" customFormat="1" x14ac:dyDescent="0.25">
      <c r="A2" s="300" t="s">
        <v>147</v>
      </c>
      <c r="B2" s="299" t="s">
        <v>148</v>
      </c>
      <c r="G2" s="290"/>
    </row>
    <row r="3" spans="1:7" s="287" customFormat="1" x14ac:dyDescent="0.25">
      <c r="B3" s="55"/>
      <c r="C3" s="290"/>
      <c r="D3" s="290"/>
    </row>
    <row r="4" spans="1:7" s="287" customFormat="1" x14ac:dyDescent="0.25">
      <c r="B4" s="55"/>
      <c r="C4" s="290"/>
      <c r="D4" s="290"/>
    </row>
    <row r="5" spans="1:7" s="287" customFormat="1" x14ac:dyDescent="0.25">
      <c r="B5" s="55"/>
      <c r="C5" s="290"/>
      <c r="D5" s="290"/>
    </row>
    <row r="6" spans="1:7" s="287" customFormat="1" x14ac:dyDescent="0.25">
      <c r="B6" s="55"/>
      <c r="C6" s="290"/>
      <c r="D6" s="290"/>
    </row>
    <row r="7" spans="1:7" s="287" customFormat="1" x14ac:dyDescent="0.25">
      <c r="B7" s="55"/>
      <c r="C7" s="290"/>
      <c r="D7" s="290"/>
    </row>
    <row r="8" spans="1:7" s="287" customFormat="1" x14ac:dyDescent="0.25">
      <c r="B8" s="55"/>
      <c r="C8" s="290"/>
      <c r="D8" s="290"/>
    </row>
    <row r="9" spans="1:7" s="287" customFormat="1" x14ac:dyDescent="0.25">
      <c r="B9" s="55"/>
      <c r="C9" s="290"/>
      <c r="D9" s="290"/>
    </row>
    <row r="10" spans="1:7" s="287" customFormat="1" x14ac:dyDescent="0.25">
      <c r="B10" s="55"/>
      <c r="C10" s="290"/>
      <c r="D10" s="290"/>
    </row>
    <row r="11" spans="1:7" s="287" customFormat="1" x14ac:dyDescent="0.25">
      <c r="B11" s="55"/>
      <c r="C11" s="290"/>
      <c r="D11" s="290"/>
    </row>
    <row r="12" spans="1:7" s="287" customFormat="1" x14ac:dyDescent="0.25">
      <c r="B12" s="55"/>
      <c r="C12" s="290"/>
      <c r="D12" s="290"/>
    </row>
    <row r="13" spans="1:7" s="287" customFormat="1" x14ac:dyDescent="0.25">
      <c r="B13" s="55"/>
      <c r="C13" s="290"/>
      <c r="D13" s="290"/>
    </row>
    <row r="14" spans="1:7" s="287" customFormat="1" x14ac:dyDescent="0.25">
      <c r="B14" s="55"/>
      <c r="C14" s="290"/>
      <c r="D14" s="290"/>
    </row>
    <row r="15" spans="1:7" s="287" customFormat="1" x14ac:dyDescent="0.25">
      <c r="B15" s="55"/>
      <c r="C15" s="290"/>
      <c r="D15" s="290"/>
    </row>
    <row r="16" spans="1:7" s="287" customFormat="1" x14ac:dyDescent="0.25">
      <c r="B16" s="55"/>
      <c r="C16" s="290"/>
      <c r="D16" s="290"/>
    </row>
    <row r="17" spans="2:6" s="287" customFormat="1" x14ac:dyDescent="0.25">
      <c r="B17" s="55"/>
      <c r="C17" s="290"/>
      <c r="D17" s="290"/>
    </row>
    <row r="18" spans="2:6" s="287" customFormat="1" x14ac:dyDescent="0.25">
      <c r="B18" s="55"/>
      <c r="C18" s="290"/>
      <c r="D18" s="290"/>
    </row>
    <row r="19" spans="2:6" s="287" customFormat="1" x14ac:dyDescent="0.25">
      <c r="B19" s="55"/>
      <c r="C19" s="290"/>
      <c r="D19" s="290"/>
    </row>
    <row r="20" spans="2:6" s="301" customFormat="1" x14ac:dyDescent="0.25">
      <c r="B20" s="302"/>
      <c r="C20" s="303"/>
      <c r="D20" s="303"/>
    </row>
    <row r="21" spans="2:6" ht="15.75" thickBot="1" x14ac:dyDescent="0.3"/>
    <row r="22" spans="2:6" ht="15.75" thickBot="1" x14ac:dyDescent="0.3">
      <c r="B22" s="701" t="s">
        <v>127</v>
      </c>
      <c r="C22" s="702"/>
      <c r="D22" s="703"/>
    </row>
    <row r="23" spans="2:6" ht="15.75" hidden="1" outlineLevel="1" thickBot="1" x14ac:dyDescent="0.3">
      <c r="B23" s="295" t="s">
        <v>128</v>
      </c>
      <c r="C23" s="297" t="s">
        <v>262</v>
      </c>
      <c r="D23" s="297" t="s">
        <v>262</v>
      </c>
      <c r="F23" t="s">
        <v>566</v>
      </c>
    </row>
    <row r="24" spans="2:6" ht="15.75" hidden="1" outlineLevel="1" thickBot="1" x14ac:dyDescent="0.3">
      <c r="B24" s="296" t="s">
        <v>129</v>
      </c>
      <c r="C24" s="298" t="s">
        <v>263</v>
      </c>
      <c r="D24" s="298" t="s">
        <v>263</v>
      </c>
      <c r="F24" s="515" t="s">
        <v>566</v>
      </c>
    </row>
    <row r="25" spans="2:6" ht="15.75" hidden="1" outlineLevel="1" thickBot="1" x14ac:dyDescent="0.3">
      <c r="B25" s="295" t="s">
        <v>130</v>
      </c>
      <c r="C25" s="297" t="s">
        <v>264</v>
      </c>
      <c r="D25" s="297" t="s">
        <v>264</v>
      </c>
      <c r="F25" s="515" t="s">
        <v>566</v>
      </c>
    </row>
    <row r="26" spans="2:6" ht="15.75" hidden="1" outlineLevel="1" thickBot="1" x14ac:dyDescent="0.3">
      <c r="B26" s="296" t="s">
        <v>131</v>
      </c>
      <c r="C26" s="298"/>
      <c r="D26" s="298"/>
      <c r="F26" s="515" t="s">
        <v>566</v>
      </c>
    </row>
    <row r="27" spans="2:6" ht="15.75" hidden="1" outlineLevel="1" thickBot="1" x14ac:dyDescent="0.3">
      <c r="B27" s="295" t="s">
        <v>132</v>
      </c>
      <c r="C27" s="297">
        <v>112</v>
      </c>
      <c r="D27" s="297">
        <v>121.36</v>
      </c>
      <c r="F27" s="515" t="s">
        <v>566</v>
      </c>
    </row>
    <row r="28" spans="2:6" ht="15.75" hidden="1" outlineLevel="1" thickBot="1" x14ac:dyDescent="0.3">
      <c r="B28" s="296" t="s">
        <v>133</v>
      </c>
      <c r="C28" s="298">
        <v>0.71399999999999997</v>
      </c>
      <c r="D28" s="298">
        <v>0.23100000000000001</v>
      </c>
      <c r="F28" s="515" t="s">
        <v>566</v>
      </c>
    </row>
    <row r="29" spans="2:6" ht="15.75" hidden="1" outlineLevel="1" thickBot="1" x14ac:dyDescent="0.3">
      <c r="B29" s="295" t="s">
        <v>134</v>
      </c>
      <c r="C29" s="297">
        <v>8.8580000000000005</v>
      </c>
      <c r="D29" s="297">
        <v>0.17699999999999999</v>
      </c>
      <c r="F29" s="515" t="s">
        <v>566</v>
      </c>
    </row>
    <row r="30" spans="2:6" ht="15.75" hidden="1" outlineLevel="1" thickBot="1" x14ac:dyDescent="0.3">
      <c r="B30" s="296" t="s">
        <v>135</v>
      </c>
      <c r="C30" s="298">
        <v>1950</v>
      </c>
      <c r="D30" s="298">
        <v>1950</v>
      </c>
      <c r="F30" s="515" t="s">
        <v>566</v>
      </c>
    </row>
    <row r="31" spans="2:6" ht="15.75" collapsed="1" thickBot="1" x14ac:dyDescent="0.3">
      <c r="B31" s="701" t="s">
        <v>136</v>
      </c>
      <c r="C31" s="702"/>
      <c r="D31" s="703"/>
    </row>
    <row r="32" spans="2:6" ht="15.75" hidden="1" outlineLevel="1" thickBot="1" x14ac:dyDescent="0.3">
      <c r="B32" s="295" t="s">
        <v>137</v>
      </c>
      <c r="C32" s="297">
        <v>506</v>
      </c>
      <c r="D32" s="297">
        <v>506</v>
      </c>
      <c r="E32" t="s">
        <v>181</v>
      </c>
      <c r="F32" t="s">
        <v>565</v>
      </c>
    </row>
    <row r="33" spans="1:6" ht="15.75" hidden="1" outlineLevel="1" thickBot="1" x14ac:dyDescent="0.3">
      <c r="B33" s="296" t="s">
        <v>138</v>
      </c>
      <c r="C33" s="298">
        <v>691</v>
      </c>
      <c r="D33" s="298">
        <v>691</v>
      </c>
      <c r="E33" t="s">
        <v>181</v>
      </c>
      <c r="F33" s="515" t="s">
        <v>565</v>
      </c>
    </row>
    <row r="34" spans="1:6" ht="15.75" hidden="1" outlineLevel="1" thickBot="1" x14ac:dyDescent="0.3">
      <c r="B34" s="295" t="s">
        <v>139</v>
      </c>
      <c r="C34" s="297">
        <v>142</v>
      </c>
      <c r="D34" s="297">
        <v>142</v>
      </c>
      <c r="E34" t="s">
        <v>181</v>
      </c>
      <c r="F34" s="515" t="s">
        <v>565</v>
      </c>
    </row>
    <row r="35" spans="1:6" ht="15.75" collapsed="1" thickBot="1" x14ac:dyDescent="0.3">
      <c r="B35" s="701" t="s">
        <v>140</v>
      </c>
      <c r="C35" s="702"/>
      <c r="D35" s="703"/>
    </row>
    <row r="36" spans="1:6" ht="15.75" hidden="1" outlineLevel="1" thickBot="1" x14ac:dyDescent="0.3">
      <c r="B36" s="296" t="s">
        <v>141</v>
      </c>
      <c r="C36" s="298">
        <v>0</v>
      </c>
      <c r="D36" s="298">
        <v>0</v>
      </c>
      <c r="E36" t="s">
        <v>181</v>
      </c>
      <c r="F36" s="515" t="s">
        <v>565</v>
      </c>
    </row>
    <row r="37" spans="1:6" ht="15.75" hidden="1" outlineLevel="1" thickBot="1" x14ac:dyDescent="0.3">
      <c r="B37" s="295" t="s">
        <v>142</v>
      </c>
      <c r="C37" s="297">
        <v>2</v>
      </c>
      <c r="D37" s="297">
        <v>0</v>
      </c>
      <c r="E37" t="s">
        <v>181</v>
      </c>
      <c r="F37" s="515" t="s">
        <v>565</v>
      </c>
    </row>
    <row r="38" spans="1:6" ht="15.75" hidden="1" outlineLevel="1" thickBot="1" x14ac:dyDescent="0.3">
      <c r="B38" s="296" t="s">
        <v>143</v>
      </c>
      <c r="C38" s="298">
        <v>3</v>
      </c>
      <c r="D38" s="298">
        <v>0</v>
      </c>
      <c r="E38" t="s">
        <v>181</v>
      </c>
      <c r="F38" s="515" t="s">
        <v>565</v>
      </c>
    </row>
    <row r="39" spans="1:6" collapsed="1" x14ac:dyDescent="0.25"/>
    <row r="40" spans="1:6" x14ac:dyDescent="0.25">
      <c r="A40" s="287" t="s">
        <v>347</v>
      </c>
    </row>
    <row r="41" spans="1:6" x14ac:dyDescent="0.25">
      <c r="A41" s="287" t="s">
        <v>348</v>
      </c>
    </row>
  </sheetData>
  <mergeCells count="3">
    <mergeCell ref="B31:D31"/>
    <mergeCell ref="B35:D35"/>
    <mergeCell ref="B22:D22"/>
  </mergeCells>
  <hyperlinks>
    <hyperlink ref="B2" r:id="rId1" xr:uid="{19767629-E0E1-4FCE-8F31-6F77123555DE}"/>
  </hyperlinks>
  <pageMargins left="0.7" right="0.7" top="0.75" bottom="0.75" header="0.3" footer="0.3"/>
  <pageSetup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54ED8-D8D8-4AC0-819B-E1611E70B5A1}">
  <sheetPr>
    <tabColor theme="0" tint="-0.34998626667073579"/>
  </sheetPr>
  <dimension ref="A1:AQ5"/>
  <sheetViews>
    <sheetView topLeftCell="A13" zoomScaleNormal="100" workbookViewId="0">
      <selection activeCell="C5" sqref="C5"/>
    </sheetView>
  </sheetViews>
  <sheetFormatPr defaultRowHeight="15" x14ac:dyDescent="0.25"/>
  <cols>
    <col min="1" max="1" width="10.140625" style="287" bestFit="1" customWidth="1"/>
    <col min="2" max="2" width="17.5703125" style="287" bestFit="1" customWidth="1"/>
    <col min="3" max="3" width="11.7109375" style="287" customWidth="1"/>
    <col min="4" max="4" width="13" style="287" customWidth="1"/>
    <col min="5" max="5" width="16.42578125" style="287" customWidth="1"/>
    <col min="6" max="6" width="9.28515625" style="336" customWidth="1"/>
    <col min="7" max="7" width="9.85546875" style="335" bestFit="1" customWidth="1"/>
    <col min="8" max="8" width="12" style="336" bestFit="1" customWidth="1"/>
    <col min="9" max="9" width="8.85546875" style="335" bestFit="1" customWidth="1"/>
    <col min="10" max="10" width="12" style="336" bestFit="1" customWidth="1"/>
    <col min="11" max="11" width="8.7109375" style="335" bestFit="1" customWidth="1"/>
    <col min="12" max="12" width="12" style="336" bestFit="1" customWidth="1"/>
    <col min="13" max="13" width="9.28515625" style="335" bestFit="1" customWidth="1"/>
    <col min="14" max="14" width="12.28515625" style="336" bestFit="1" customWidth="1"/>
    <col min="15" max="15" width="8.7109375" style="335" bestFit="1" customWidth="1"/>
    <col min="16" max="16" width="12" style="336" bestFit="1" customWidth="1"/>
    <col min="17" max="17" width="8.28515625" style="335" bestFit="1" customWidth="1"/>
    <col min="18" max="18" width="12" style="336" bestFit="1" customWidth="1"/>
    <col min="19" max="19" width="8.7109375" style="335" bestFit="1" customWidth="1"/>
    <col min="20" max="20" width="12" style="336" bestFit="1" customWidth="1"/>
    <col min="21" max="21" width="10.28515625" style="335" bestFit="1" customWidth="1"/>
    <col min="22" max="22" width="12" style="336" bestFit="1" customWidth="1"/>
    <col min="23" max="23" width="9.7109375" style="335" bestFit="1" customWidth="1"/>
    <col min="24" max="24" width="12" style="336" bestFit="1" customWidth="1"/>
    <col min="25" max="25" width="10.5703125" style="335" bestFit="1" customWidth="1"/>
    <col min="26" max="26" width="12" style="336" bestFit="1" customWidth="1"/>
    <col min="27" max="27" width="10" style="335" bestFit="1" customWidth="1"/>
    <col min="28" max="28" width="12" style="336" bestFit="1" customWidth="1"/>
    <col min="29" max="29" width="9.7109375" style="335" bestFit="1" customWidth="1"/>
    <col min="30" max="30" width="12" style="336" bestFit="1" customWidth="1"/>
    <col min="31" max="31" width="9.28515625" style="335" bestFit="1" customWidth="1"/>
    <col min="32" max="32" width="12" style="336" bestFit="1" customWidth="1"/>
    <col min="33" max="33" width="10.42578125" style="335" bestFit="1" customWidth="1"/>
    <col min="34" max="34" width="16.7109375" style="287" customWidth="1"/>
    <col min="35" max="35" width="13.140625" style="287" bestFit="1" customWidth="1"/>
    <col min="36" max="36" width="12.42578125" style="287" bestFit="1" customWidth="1"/>
    <col min="37" max="37" width="11.28515625" style="287" bestFit="1" customWidth="1"/>
    <col min="38" max="38" width="6" style="287" bestFit="1" customWidth="1"/>
    <col min="39" max="39" width="7.42578125" style="287" bestFit="1" customWidth="1"/>
    <col min="40" max="40" width="9.28515625" style="287" bestFit="1" customWidth="1"/>
    <col min="41" max="41" width="10.28515625" style="287" bestFit="1" customWidth="1"/>
    <col min="42" max="42" width="21.7109375" style="287" bestFit="1" customWidth="1"/>
    <col min="43" max="43" width="24.5703125" style="287" bestFit="1" customWidth="1"/>
    <col min="44" max="16384" width="9.140625" style="287"/>
  </cols>
  <sheetData>
    <row r="1" spans="1:43" s="226" customFormat="1" ht="39.75" thickTop="1" thickBot="1" x14ac:dyDescent="0.3">
      <c r="A1" s="358" t="s">
        <v>440</v>
      </c>
      <c r="B1" s="357" t="s">
        <v>439</v>
      </c>
      <c r="C1" s="356" t="s">
        <v>47</v>
      </c>
      <c r="D1" s="355" t="s">
        <v>438</v>
      </c>
      <c r="E1" s="354" t="s">
        <v>437</v>
      </c>
      <c r="F1" s="351" t="s">
        <v>436</v>
      </c>
      <c r="G1" s="350" t="s">
        <v>435</v>
      </c>
      <c r="H1" s="349" t="s">
        <v>434</v>
      </c>
      <c r="I1" s="348" t="s">
        <v>433</v>
      </c>
      <c r="J1" s="346" t="s">
        <v>432</v>
      </c>
      <c r="K1" s="347" t="s">
        <v>431</v>
      </c>
      <c r="L1" s="346" t="s">
        <v>430</v>
      </c>
      <c r="M1" s="347" t="s">
        <v>429</v>
      </c>
      <c r="N1" s="346" t="s">
        <v>428</v>
      </c>
      <c r="O1" s="345" t="s">
        <v>427</v>
      </c>
      <c r="P1" s="353" t="s">
        <v>426</v>
      </c>
      <c r="Q1" s="352" t="s">
        <v>425</v>
      </c>
      <c r="R1" s="351" t="s">
        <v>424</v>
      </c>
      <c r="S1" s="350" t="s">
        <v>423</v>
      </c>
      <c r="T1" s="349" t="s">
        <v>422</v>
      </c>
      <c r="U1" s="348" t="s">
        <v>421</v>
      </c>
      <c r="V1" s="346" t="s">
        <v>420</v>
      </c>
      <c r="W1" s="347" t="s">
        <v>419</v>
      </c>
      <c r="X1" s="346" t="s">
        <v>418</v>
      </c>
      <c r="Y1" s="347" t="s">
        <v>417</v>
      </c>
      <c r="Z1" s="346" t="s">
        <v>416</v>
      </c>
      <c r="AA1" s="347" t="s">
        <v>415</v>
      </c>
      <c r="AB1" s="346" t="s">
        <v>414</v>
      </c>
      <c r="AC1" s="347" t="s">
        <v>413</v>
      </c>
      <c r="AD1" s="346" t="s">
        <v>412</v>
      </c>
      <c r="AE1" s="345" t="s">
        <v>411</v>
      </c>
      <c r="AF1" s="344" t="s">
        <v>410</v>
      </c>
      <c r="AG1" s="343" t="s">
        <v>409</v>
      </c>
      <c r="AH1" s="342" t="s">
        <v>408</v>
      </c>
      <c r="AI1" s="341" t="s">
        <v>407</v>
      </c>
      <c r="AJ1" s="341" t="s">
        <v>406</v>
      </c>
      <c r="AK1" s="341" t="s">
        <v>405</v>
      </c>
      <c r="AL1" s="341" t="s">
        <v>404</v>
      </c>
      <c r="AM1" s="340" t="s">
        <v>403</v>
      </c>
      <c r="AN1" s="226" t="s">
        <v>402</v>
      </c>
      <c r="AO1" s="226" t="s">
        <v>401</v>
      </c>
      <c r="AP1" s="339" t="s">
        <v>400</v>
      </c>
      <c r="AQ1" s="338" t="s">
        <v>399</v>
      </c>
    </row>
    <row r="2" spans="1:43" ht="15.75" thickTop="1" x14ac:dyDescent="0.25">
      <c r="A2" s="287" t="s">
        <v>397</v>
      </c>
      <c r="B2" s="287" t="s">
        <v>398</v>
      </c>
      <c r="C2" s="287">
        <v>8.8580000000000005</v>
      </c>
      <c r="D2" s="287" t="s">
        <v>395</v>
      </c>
      <c r="E2" s="287" t="s">
        <v>394</v>
      </c>
      <c r="F2" s="336">
        <v>3.3388753480887101</v>
      </c>
      <c r="G2" s="335">
        <f>$C2*F2</f>
        <v>29.575757833369796</v>
      </c>
      <c r="H2" s="336">
        <v>2.8634116053285199</v>
      </c>
      <c r="I2" s="335">
        <f>$C2*H2</f>
        <v>25.364100000000033</v>
      </c>
      <c r="J2" s="336">
        <v>4.3757846014901798</v>
      </c>
      <c r="K2" s="335">
        <f>$C2*J2</f>
        <v>38.760700000000014</v>
      </c>
      <c r="L2" s="336">
        <v>4.8363061639196196</v>
      </c>
      <c r="M2" s="335">
        <f>$C2*L2</f>
        <v>42.839999999999996</v>
      </c>
      <c r="N2" s="336">
        <v>4.1825807179950303</v>
      </c>
      <c r="O2" s="335">
        <f>$C2*N2</f>
        <v>37.049299999999981</v>
      </c>
      <c r="P2" s="336">
        <v>4.7261786181982401</v>
      </c>
      <c r="Q2" s="335">
        <f>$C2*P2</f>
        <v>41.864490200000013</v>
      </c>
      <c r="R2" s="336">
        <v>4.3817593621585003</v>
      </c>
      <c r="S2" s="335">
        <f>$C2*R2</f>
        <v>38.813624429999997</v>
      </c>
      <c r="U2" s="335">
        <f>$C2*T2</f>
        <v>0</v>
      </c>
      <c r="W2" s="335">
        <f>$C2*V2</f>
        <v>0</v>
      </c>
      <c r="Y2" s="335">
        <f>$C2*X2</f>
        <v>0</v>
      </c>
      <c r="AA2" s="335">
        <f>$C2*Z2</f>
        <v>0</v>
      </c>
      <c r="AC2" s="335">
        <f>$C2*AB2</f>
        <v>0</v>
      </c>
      <c r="AE2" s="335">
        <f>$C2*AD2</f>
        <v>0</v>
      </c>
      <c r="AG2" s="335">
        <f>$C2*AF2</f>
        <v>0</v>
      </c>
      <c r="AH2" s="287" t="s">
        <v>393</v>
      </c>
      <c r="AI2" s="287">
        <v>1950</v>
      </c>
      <c r="AJ2" s="287">
        <v>2006</v>
      </c>
      <c r="AK2" s="287">
        <v>2009</v>
      </c>
      <c r="AL2" s="287">
        <v>497</v>
      </c>
      <c r="AM2" s="287">
        <v>97</v>
      </c>
      <c r="AN2" s="287" t="s">
        <v>392</v>
      </c>
      <c r="AO2" s="287">
        <v>3</v>
      </c>
      <c r="AP2" s="287" t="s">
        <v>391</v>
      </c>
      <c r="AQ2" s="287" t="s">
        <v>390</v>
      </c>
    </row>
    <row r="3" spans="1:43" x14ac:dyDescent="0.25">
      <c r="A3" s="287" t="s">
        <v>397</v>
      </c>
      <c r="B3" s="287" t="s">
        <v>396</v>
      </c>
      <c r="C3" s="287">
        <v>0.17699999999999999</v>
      </c>
      <c r="D3" s="287" t="s">
        <v>395</v>
      </c>
      <c r="E3" s="287" t="s">
        <v>394</v>
      </c>
      <c r="F3" s="336">
        <v>4.1825700000000001</v>
      </c>
      <c r="G3" s="335">
        <f>$C3*F3</f>
        <v>0.74031488999999995</v>
      </c>
      <c r="H3" s="336">
        <v>4.4000000000000004</v>
      </c>
      <c r="I3" s="335">
        <f>$C3*H3</f>
        <v>0.77880000000000005</v>
      </c>
      <c r="J3" s="336">
        <v>5</v>
      </c>
      <c r="K3" s="335">
        <f>$C3*J3</f>
        <v>0.88500000000000001</v>
      </c>
      <c r="L3" s="336">
        <v>5</v>
      </c>
      <c r="M3" s="335">
        <f>$C3*L3</f>
        <v>0.88500000000000001</v>
      </c>
      <c r="N3" s="336">
        <v>4.3</v>
      </c>
      <c r="O3" s="335">
        <f>$C3*N3</f>
        <v>0.76109999999999989</v>
      </c>
      <c r="P3" s="336">
        <v>4.8477499999999996</v>
      </c>
      <c r="Q3" s="335">
        <f>$C3*P3</f>
        <v>0.85805174999999989</v>
      </c>
      <c r="R3" s="336">
        <v>4.1825700000000001</v>
      </c>
      <c r="S3" s="335">
        <f>$C3*R3</f>
        <v>0.74031488999999995</v>
      </c>
      <c r="U3" s="335">
        <f>$C3*T3</f>
        <v>0</v>
      </c>
      <c r="W3" s="335">
        <f>$C3*V3</f>
        <v>0</v>
      </c>
      <c r="Y3" s="335">
        <f>$C3*X3</f>
        <v>0</v>
      </c>
      <c r="AA3" s="335">
        <f>$C3*Z3</f>
        <v>0</v>
      </c>
      <c r="AC3" s="335">
        <f>$C3*AB3</f>
        <v>0</v>
      </c>
      <c r="AE3" s="335">
        <f>$C3*AD3</f>
        <v>0</v>
      </c>
      <c r="AG3" s="335">
        <f>$C3*AF3</f>
        <v>0</v>
      </c>
      <c r="AH3" s="287" t="s">
        <v>393</v>
      </c>
      <c r="AI3" s="287">
        <v>1950</v>
      </c>
      <c r="AJ3" s="287">
        <v>2006</v>
      </c>
      <c r="AK3" s="287">
        <v>2009</v>
      </c>
      <c r="AL3" s="287">
        <v>497</v>
      </c>
      <c r="AM3" s="287">
        <v>97</v>
      </c>
      <c r="AN3" s="287" t="s">
        <v>392</v>
      </c>
      <c r="AO3" s="287">
        <v>3</v>
      </c>
      <c r="AP3" s="287" t="s">
        <v>391</v>
      </c>
      <c r="AQ3" s="287" t="s">
        <v>390</v>
      </c>
    </row>
    <row r="5" spans="1:43" x14ac:dyDescent="0.25">
      <c r="C5" s="335">
        <f>SUBTOTAL(9,C2:C3)</f>
        <v>9.0350000000000001</v>
      </c>
      <c r="F5" s="337">
        <f>G5/$C5</f>
        <v>3.3554037325257107</v>
      </c>
      <c r="G5" s="335">
        <f>SUBTOTAL(9,G2:G3)</f>
        <v>30.316072723369796</v>
      </c>
      <c r="H5" s="337">
        <f>I5/$C5</f>
        <v>2.8935141117874967</v>
      </c>
      <c r="I5" s="335">
        <f>SUBTOTAL(9,I2:I3)</f>
        <v>26.142900000000033</v>
      </c>
      <c r="J5" s="337">
        <f>K5/$C5</f>
        <v>4.3880132816823476</v>
      </c>
      <c r="K5" s="335">
        <f>SUBTOTAL(9,K2:K3)</f>
        <v>39.645700000000012</v>
      </c>
      <c r="L5" s="337">
        <f>M5/$C5</f>
        <v>4.8395130049806303</v>
      </c>
      <c r="M5" s="335">
        <f>SUBTOTAL(9,M2:M3)</f>
        <v>43.724999999999994</v>
      </c>
      <c r="N5" s="337">
        <f>O5/$C5</f>
        <v>4.1848810182623106</v>
      </c>
      <c r="O5" s="335">
        <f>SUBTOTAL(9,O2:O3)</f>
        <v>37.81039999999998</v>
      </c>
      <c r="P5" s="337">
        <f>Q5/$C5</f>
        <v>4.7285602600996137</v>
      </c>
      <c r="Q5" s="335">
        <f>SUBTOTAL(9,Q2:Q3)</f>
        <v>42.722541950000014</v>
      </c>
      <c r="R5" s="337">
        <f>S5/$C5</f>
        <v>4.3778571466519089</v>
      </c>
      <c r="S5" s="335">
        <f>SUBTOTAL(9,S2:S3)</f>
        <v>39.553939319999998</v>
      </c>
      <c r="T5" s="337">
        <f>U5/$C5</f>
        <v>0</v>
      </c>
      <c r="U5" s="335">
        <f>SUBTOTAL(9,U2:U3)</f>
        <v>0</v>
      </c>
      <c r="V5" s="337">
        <f>W5/$C5</f>
        <v>0</v>
      </c>
      <c r="W5" s="335">
        <f>SUBTOTAL(9,W2:W3)</f>
        <v>0</v>
      </c>
      <c r="X5" s="337">
        <f>Y5/$C5</f>
        <v>0</v>
      </c>
      <c r="Y5" s="335">
        <f>SUBTOTAL(9,Y2:Y3)</f>
        <v>0</v>
      </c>
      <c r="Z5" s="337">
        <f>AA5/$C5</f>
        <v>0</v>
      </c>
      <c r="AA5" s="335">
        <f>SUBTOTAL(9,AA2:AA3)</f>
        <v>0</v>
      </c>
      <c r="AB5" s="337">
        <f>AC5/$C5</f>
        <v>0</v>
      </c>
      <c r="AC5" s="335">
        <f>SUBTOTAL(9,AC2:AC3)</f>
        <v>0</v>
      </c>
      <c r="AD5" s="337">
        <f>AE5/$C5</f>
        <v>0</v>
      </c>
      <c r="AE5" s="335">
        <f>SUBTOTAL(9,AE2:AE3)</f>
        <v>0</v>
      </c>
      <c r="AF5" s="337">
        <f>AG5/$C5</f>
        <v>0</v>
      </c>
      <c r="AG5" s="335">
        <f>SUBTOTAL(9,AG2:AG3)</f>
        <v>0</v>
      </c>
    </row>
  </sheetData>
  <autoFilter ref="A1:AQ3" xr:uid="{00000000-0001-0000-0000-000000000000}"/>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0F100-2066-4D91-B718-5828135FCEB8}">
  <sheetPr>
    <tabColor theme="0" tint="-0.34998626667073579"/>
  </sheetPr>
  <dimension ref="B1:F53"/>
  <sheetViews>
    <sheetView workbookViewId="0">
      <selection activeCell="E2" sqref="E2:X2"/>
    </sheetView>
  </sheetViews>
  <sheetFormatPr defaultRowHeight="15" x14ac:dyDescent="0.25"/>
  <cols>
    <col min="3" max="3" width="22.85546875" bestFit="1" customWidth="1"/>
  </cols>
  <sheetData>
    <row r="1" spans="2:6" x14ac:dyDescent="0.25">
      <c r="B1" s="6" t="s">
        <v>456</v>
      </c>
    </row>
    <row r="2" spans="2:6" s="287" customFormat="1" x14ac:dyDescent="0.25">
      <c r="B2" s="304" t="s">
        <v>443</v>
      </c>
    </row>
    <row r="3" spans="2:6" x14ac:dyDescent="0.25">
      <c r="E3" s="7" t="s">
        <v>444</v>
      </c>
      <c r="F3" s="290">
        <f>AVERAGE(4,8)</f>
        <v>6</v>
      </c>
    </row>
    <row r="37" spans="2:2" x14ac:dyDescent="0.25">
      <c r="B37" s="6" t="s">
        <v>457</v>
      </c>
    </row>
    <row r="39" spans="2:2" x14ac:dyDescent="0.25">
      <c r="B39" s="359" t="s">
        <v>445</v>
      </c>
    </row>
    <row r="40" spans="2:2" x14ac:dyDescent="0.25">
      <c r="B40" s="36"/>
    </row>
    <row r="41" spans="2:2" x14ac:dyDescent="0.25">
      <c r="B41" s="359" t="s">
        <v>446</v>
      </c>
    </row>
    <row r="42" spans="2:2" x14ac:dyDescent="0.25">
      <c r="B42" s="36" t="s">
        <v>447</v>
      </c>
    </row>
    <row r="43" spans="2:2" x14ac:dyDescent="0.25">
      <c r="B43" s="36"/>
    </row>
    <row r="44" spans="2:2" x14ac:dyDescent="0.25">
      <c r="B44" s="359" t="s">
        <v>448</v>
      </c>
    </row>
    <row r="45" spans="2:2" x14ac:dyDescent="0.25">
      <c r="B45" s="36" t="s">
        <v>449</v>
      </c>
    </row>
    <row r="49" spans="3:4" x14ac:dyDescent="0.25">
      <c r="C49" s="334" t="s">
        <v>450</v>
      </c>
      <c r="D49" s="334" t="s">
        <v>451</v>
      </c>
    </row>
    <row r="50" spans="3:4" x14ac:dyDescent="0.25">
      <c r="C50" s="290" t="s">
        <v>452</v>
      </c>
      <c r="D50" s="290" t="s">
        <v>146</v>
      </c>
    </row>
    <row r="51" spans="3:4" x14ac:dyDescent="0.25">
      <c r="C51" s="290" t="s">
        <v>453</v>
      </c>
      <c r="D51" s="290" t="s">
        <v>144</v>
      </c>
    </row>
    <row r="52" spans="3:4" x14ac:dyDescent="0.25">
      <c r="C52" s="290" t="s">
        <v>454</v>
      </c>
      <c r="D52" s="290" t="s">
        <v>145</v>
      </c>
    </row>
    <row r="53" spans="3:4" x14ac:dyDescent="0.25">
      <c r="C53" s="290" t="s">
        <v>455</v>
      </c>
      <c r="D53" s="290" t="s">
        <v>176</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70C0"/>
    <pageSetUpPr fitToPage="1"/>
  </sheetPr>
  <dimension ref="A1:W119"/>
  <sheetViews>
    <sheetView tabSelected="1" view="pageBreakPreview" zoomScaleNormal="85" zoomScaleSheetLayoutView="100" workbookViewId="0">
      <selection activeCell="B1" sqref="B1"/>
    </sheetView>
  </sheetViews>
  <sheetFormatPr defaultRowHeight="15" outlineLevelRow="1" x14ac:dyDescent="0.25"/>
  <cols>
    <col min="1" max="1" width="3.5703125" customWidth="1"/>
    <col min="2" max="2" width="13" customWidth="1"/>
    <col min="3" max="3" width="15.7109375" customWidth="1"/>
    <col min="4" max="6" width="15.7109375" style="521" customWidth="1"/>
    <col min="7" max="7" width="15.7109375" customWidth="1"/>
    <col min="8" max="8" width="15.7109375" style="521" customWidth="1"/>
    <col min="9" max="9" width="15.7109375" style="179" customWidth="1"/>
    <col min="10" max="10" width="15.7109375" customWidth="1"/>
    <col min="11" max="11" width="15.7109375" style="521" customWidth="1"/>
    <col min="12" max="12" width="15.7109375" style="34" customWidth="1"/>
    <col min="13" max="13" width="15.7109375" style="521" customWidth="1"/>
    <col min="14" max="14" width="15.7109375" customWidth="1"/>
    <col min="15" max="15" width="15.7109375" style="179" customWidth="1"/>
    <col min="16" max="16" width="15.7109375" customWidth="1"/>
    <col min="17" max="17" width="15.7109375" style="47" customWidth="1"/>
    <col min="18" max="18" width="15.7109375" style="521" customWidth="1"/>
    <col min="19" max="19" width="15.7109375" customWidth="1"/>
    <col min="20" max="26" width="20.7109375" customWidth="1"/>
    <col min="27" max="28" width="15.7109375" customWidth="1"/>
  </cols>
  <sheetData>
    <row r="1" spans="1:21" ht="23.25" x14ac:dyDescent="0.35">
      <c r="A1" s="15"/>
      <c r="B1" s="25" t="s">
        <v>653</v>
      </c>
      <c r="C1" s="25"/>
      <c r="D1" s="25"/>
      <c r="E1" s="25"/>
      <c r="F1" s="25"/>
      <c r="G1" s="25"/>
      <c r="H1" s="25"/>
      <c r="I1" s="25"/>
    </row>
    <row r="2" spans="1:21" x14ac:dyDescent="0.25">
      <c r="B2" s="228"/>
      <c r="U2" s="9"/>
    </row>
    <row r="3" spans="1:21" ht="16.5" thickBot="1" x14ac:dyDescent="0.3">
      <c r="B3" s="27" t="s">
        <v>576</v>
      </c>
      <c r="C3" s="27"/>
      <c r="D3" s="27"/>
      <c r="E3" s="27"/>
      <c r="F3" s="27"/>
      <c r="G3" s="27"/>
      <c r="H3" s="27"/>
      <c r="I3" s="27"/>
      <c r="J3" s="27" t="s">
        <v>587</v>
      </c>
      <c r="K3"/>
      <c r="L3"/>
      <c r="M3"/>
    </row>
    <row r="4" spans="1:21" s="36" customFormat="1" ht="16.5" thickBot="1" x14ac:dyDescent="0.3">
      <c r="B4" s="37"/>
      <c r="C4" s="625" t="s">
        <v>16</v>
      </c>
      <c r="D4" s="631"/>
      <c r="E4" s="631"/>
      <c r="F4" s="626"/>
      <c r="J4" s="37"/>
      <c r="K4" s="625" t="s">
        <v>16</v>
      </c>
      <c r="L4" s="626"/>
      <c r="M4" s="536"/>
      <c r="N4" s="536"/>
    </row>
    <row r="5" spans="1:21" ht="35.1" customHeight="1" x14ac:dyDescent="0.25">
      <c r="B5" s="613" t="s">
        <v>0</v>
      </c>
      <c r="C5" s="621" t="s">
        <v>574</v>
      </c>
      <c r="D5" s="632" t="s">
        <v>577</v>
      </c>
      <c r="E5" s="632" t="s">
        <v>575</v>
      </c>
      <c r="F5" s="632" t="s">
        <v>578</v>
      </c>
      <c r="G5" s="621" t="s">
        <v>585</v>
      </c>
      <c r="H5" s="619" t="s">
        <v>586</v>
      </c>
      <c r="I5"/>
      <c r="J5" s="613" t="s">
        <v>0</v>
      </c>
      <c r="K5" s="621" t="s">
        <v>577</v>
      </c>
      <c r="L5" s="619" t="s">
        <v>578</v>
      </c>
      <c r="M5" s="621" t="s">
        <v>585</v>
      </c>
      <c r="N5" s="619" t="s">
        <v>594</v>
      </c>
      <c r="O5"/>
    </row>
    <row r="6" spans="1:21" ht="35.1" customHeight="1" thickBot="1" x14ac:dyDescent="0.3">
      <c r="B6" s="614"/>
      <c r="C6" s="622"/>
      <c r="D6" s="633"/>
      <c r="E6" s="633"/>
      <c r="F6" s="633"/>
      <c r="G6" s="622"/>
      <c r="H6" s="620"/>
      <c r="I6"/>
      <c r="J6" s="614"/>
      <c r="K6" s="622"/>
      <c r="L6" s="620"/>
      <c r="M6" s="622"/>
      <c r="N6" s="620"/>
      <c r="O6" s="43"/>
    </row>
    <row r="7" spans="1:21" ht="15" customHeight="1" thickBot="1" x14ac:dyDescent="0.3">
      <c r="B7" s="553">
        <f>Assumptions!$D$5</f>
        <v>2023</v>
      </c>
      <c r="C7" s="554">
        <f>IFERROR(_xlfn.XLOOKUP($B7,'TT-Detour-Truck'!B$6:B$25,'TT-Detour-Truck'!G$6:G$25,,0,1),0)</f>
        <v>0</v>
      </c>
      <c r="D7" s="555">
        <f>IFERROR(_xlfn.XLOOKUP($B7,'TT-Detour-Car_A'!B$6:B$25,'TT-Detour-Car_A'!G$6:G$25,,0,1),0)</f>
        <v>0</v>
      </c>
      <c r="E7" s="555">
        <f>IFERROR(_xlfn.XLOOKUP($B7,'VOC-Detour-Truck'!B$6:B$25,'VOC-Detour-Truck'!G$6:G$25,,0,1),0)</f>
        <v>0</v>
      </c>
      <c r="F7" s="555">
        <f>IFERROR(_xlfn.XLOOKUP($B7,'VOC-Detour-Car_A'!B$6:B$25,'VOC-Detour-Car_A'!G$6:G$25,,0,1),0)</f>
        <v>0</v>
      </c>
      <c r="G7" s="558">
        <f>SUM(C7:F7)</f>
        <v>0</v>
      </c>
      <c r="H7" s="559">
        <f>SUM(C7:F7)*(1+0.07)^-(B7-Assumptions!$D$4)</f>
        <v>0</v>
      </c>
      <c r="I7"/>
      <c r="J7" s="553">
        <f>Assumptions!$D$5</f>
        <v>2023</v>
      </c>
      <c r="K7" s="554">
        <f>IFERROR(_xlfn.XLOOKUP($J7,'TT-Detour-Car_B'!B$6:B$25,'TT-Detour-Car_B'!G$6:G$25,,0,1),0)</f>
        <v>0</v>
      </c>
      <c r="L7" s="566">
        <f>IFERROR(_xlfn.XLOOKUP($J7,'VOC-Detour-Car_B'!B$6:B$25,'VOC-Detour-Car_B'!G$6:G$25,,0,1),0)</f>
        <v>0</v>
      </c>
      <c r="M7" s="558">
        <f t="shared" ref="M7:M27" si="0">SUM(K7:L7)</f>
        <v>0</v>
      </c>
      <c r="N7" s="559">
        <f>SUM(K7:L7)*(1+0.07)^-(J7-Assumptions!$D$4)</f>
        <v>0</v>
      </c>
      <c r="O7"/>
    </row>
    <row r="8" spans="1:21" ht="15" customHeight="1" thickTop="1" x14ac:dyDescent="0.25">
      <c r="B8" s="552">
        <f>B7+1</f>
        <v>2024</v>
      </c>
      <c r="C8" s="538">
        <f>IFERROR(_xlfn.XLOOKUP($B8,'TT-Detour-Truck'!B$6:B$25,'TT-Detour-Truck'!G$6:G$25,,0,1),0)</f>
        <v>0</v>
      </c>
      <c r="D8" s="531">
        <f>IFERROR(_xlfn.XLOOKUP($B8,'TT-Detour-Car_A'!B$6:B$25,'TT-Detour-Car_A'!G$6:G$25,,0,1),0)</f>
        <v>0</v>
      </c>
      <c r="E8" s="531">
        <f>IFERROR(_xlfn.XLOOKUP($B8,'VOC-Detour-Truck'!B$6:B$25,'VOC-Detour-Truck'!G$6:G$25,,0,1),0)</f>
        <v>0</v>
      </c>
      <c r="F8" s="531">
        <f>IFERROR(_xlfn.XLOOKUP($B8,'VOC-Detour-Car_A'!B$6:B$25,'VOC-Detour-Car_A'!G$6:G$25,,0,1),0)</f>
        <v>0</v>
      </c>
      <c r="G8" s="236">
        <f t="shared" ref="G8:G35" si="1">SUM(C8:F8)</f>
        <v>0</v>
      </c>
      <c r="H8" s="540">
        <f>SUM(C8:F8)*(1+0.07)^-(B8-Assumptions!$D$4)</f>
        <v>0</v>
      </c>
      <c r="I8"/>
      <c r="J8" s="552">
        <f t="shared" ref="J8:J35" si="2">J7+1</f>
        <v>2024</v>
      </c>
      <c r="K8" s="538">
        <f>IFERROR(_xlfn.XLOOKUP($J8,'TT-Detour-Car_B'!B$6:B$25,'TT-Detour-Car_B'!G$6:G$25,,0,1),0)</f>
        <v>0</v>
      </c>
      <c r="L8" s="541">
        <f>IFERROR(_xlfn.XLOOKUP($J8,'VOC-Detour-Car_B'!B$6:B$25,'VOC-Detour-Car_B'!G$6:G$25,,0,1),0)</f>
        <v>0</v>
      </c>
      <c r="M8" s="236">
        <f t="shared" si="0"/>
        <v>0</v>
      </c>
      <c r="N8" s="540">
        <f>SUM(K8:L8)*(1+0.07)^-(J8-Assumptions!$D$4)</f>
        <v>0</v>
      </c>
      <c r="O8"/>
    </row>
    <row r="9" spans="1:21" ht="15" customHeight="1" x14ac:dyDescent="0.25">
      <c r="B9" s="56">
        <f t="shared" ref="B9:B35" si="3">B8+1</f>
        <v>2025</v>
      </c>
      <c r="C9" s="232">
        <f>IFERROR(_xlfn.XLOOKUP($B9,'TT-Detour-Truck'!B$6:B$25,'TT-Detour-Truck'!G$6:G$25,,0,1),0)</f>
        <v>0</v>
      </c>
      <c r="D9" s="529">
        <f>IFERROR(_xlfn.XLOOKUP($B9,'TT-Detour-Car_A'!B$6:B$25,'TT-Detour-Car_A'!G$6:G$25,,0,1),0)</f>
        <v>0</v>
      </c>
      <c r="E9" s="529">
        <f>IFERROR(_xlfn.XLOOKUP($B9,'VOC-Detour-Truck'!B$6:B$25,'VOC-Detour-Truck'!G$6:G$25,,0,1),0)</f>
        <v>0</v>
      </c>
      <c r="F9" s="529">
        <f>IFERROR(_xlfn.XLOOKUP($B9,'VOC-Detour-Car_A'!B$6:B$25,'VOC-Detour-Car_A'!G$6:G$25,,0,1),0)</f>
        <v>0</v>
      </c>
      <c r="G9" s="239">
        <f t="shared" si="1"/>
        <v>0</v>
      </c>
      <c r="H9" s="246">
        <f>SUM(C9:F9)*(1+0.07)^-(B9-Assumptions!$D$4)</f>
        <v>0</v>
      </c>
      <c r="I9"/>
      <c r="J9" s="56">
        <f t="shared" si="2"/>
        <v>2025</v>
      </c>
      <c r="K9" s="232">
        <f>IFERROR(_xlfn.XLOOKUP($J9,'TT-Detour-Car_B'!B$6:B$25,'TT-Detour-Car_B'!G$6:G$25,,0,1),0)</f>
        <v>0</v>
      </c>
      <c r="L9" s="234">
        <f>IFERROR(_xlfn.XLOOKUP($J9,'VOC-Detour-Car_B'!B$6:B$25,'VOC-Detour-Car_B'!G$6:G$25,,0,1),0)</f>
        <v>0</v>
      </c>
      <c r="M9" s="239">
        <f t="shared" si="0"/>
        <v>0</v>
      </c>
      <c r="N9" s="246">
        <f>SUM(K9:L9)*(1+0.07)^-(J9-Assumptions!$D$4)</f>
        <v>0</v>
      </c>
      <c r="O9"/>
    </row>
    <row r="10" spans="1:21" ht="15" customHeight="1" x14ac:dyDescent="0.25">
      <c r="B10" s="57">
        <f t="shared" si="3"/>
        <v>2026</v>
      </c>
      <c r="C10" s="232">
        <f>IFERROR(_xlfn.XLOOKUP($B10,'TT-Detour-Truck'!B$6:B$25,'TT-Detour-Truck'!G$6:G$25,,0,1),0)</f>
        <v>0</v>
      </c>
      <c r="D10" s="529">
        <f>IFERROR(_xlfn.XLOOKUP($B10,'TT-Detour-Car_A'!B$6:B$25,'TT-Detour-Car_A'!G$6:G$25,,0,1),0)</f>
        <v>0</v>
      </c>
      <c r="E10" s="529">
        <f>IFERROR(_xlfn.XLOOKUP($B10,'VOC-Detour-Truck'!B$6:B$25,'VOC-Detour-Truck'!G$6:G$25,,0,1),0)</f>
        <v>0</v>
      </c>
      <c r="F10" s="529">
        <f>IFERROR(_xlfn.XLOOKUP($B10,'VOC-Detour-Car_A'!B$6:B$25,'VOC-Detour-Car_A'!G$6:G$25,,0,1),0)</f>
        <v>0</v>
      </c>
      <c r="G10" s="239">
        <f t="shared" si="1"/>
        <v>0</v>
      </c>
      <c r="H10" s="246">
        <f>SUM(C10:F10)*(1+0.07)^-(B10-Assumptions!$D$4)</f>
        <v>0</v>
      </c>
      <c r="I10"/>
      <c r="J10" s="57">
        <f t="shared" si="2"/>
        <v>2026</v>
      </c>
      <c r="K10" s="232">
        <f>IFERROR(_xlfn.XLOOKUP($J10,'TT-Detour-Car_B'!B$6:B$25,'TT-Detour-Car_B'!G$6:G$25,,0,1),0)</f>
        <v>0</v>
      </c>
      <c r="L10" s="234">
        <f>IFERROR(_xlfn.XLOOKUP($J10,'VOC-Detour-Car_B'!B$6:B$25,'VOC-Detour-Car_B'!G$6:G$25,,0,1),0)</f>
        <v>0</v>
      </c>
      <c r="M10" s="239">
        <f t="shared" si="0"/>
        <v>0</v>
      </c>
      <c r="N10" s="246">
        <f>SUM(K10:L10)*(1+0.07)^-(J10-Assumptions!$D$4)</f>
        <v>0</v>
      </c>
      <c r="O10"/>
    </row>
    <row r="11" spans="1:21" ht="15" customHeight="1" x14ac:dyDescent="0.25">
      <c r="A11" s="47"/>
      <c r="B11" s="57">
        <f t="shared" si="3"/>
        <v>2027</v>
      </c>
      <c r="C11" s="232">
        <f>IFERROR(_xlfn.XLOOKUP($B11,'TT-Detour-Truck'!B$6:B$25,'TT-Detour-Truck'!G$6:G$25,,0,1),0)</f>
        <v>0</v>
      </c>
      <c r="D11" s="529">
        <f>IFERROR(_xlfn.XLOOKUP($B11,'TT-Detour-Car_A'!B$6:B$25,'TT-Detour-Car_A'!G$6:G$25,,0,1),0)</f>
        <v>0</v>
      </c>
      <c r="E11" s="529">
        <f>IFERROR(_xlfn.XLOOKUP($B11,'VOC-Detour-Truck'!B$6:B$25,'VOC-Detour-Truck'!G$6:G$25,,0,1),0)</f>
        <v>0</v>
      </c>
      <c r="F11" s="529">
        <f>IFERROR(_xlfn.XLOOKUP($B11,'VOC-Detour-Car_A'!B$6:B$25,'VOC-Detour-Car_A'!G$6:G$25,,0,1),0)</f>
        <v>0</v>
      </c>
      <c r="G11" s="239">
        <f t="shared" si="1"/>
        <v>0</v>
      </c>
      <c r="H11" s="246">
        <f>SUM(C11:F11)*(1+0.07)^-(B11-Assumptions!$D$4)</f>
        <v>0</v>
      </c>
      <c r="I11"/>
      <c r="J11" s="57">
        <f t="shared" si="2"/>
        <v>2027</v>
      </c>
      <c r="K11" s="232">
        <f>IFERROR(_xlfn.XLOOKUP($J11,'TT-Detour-Car_B'!B$6:B$25,'TT-Detour-Car_B'!G$6:G$25,,0,1),0)</f>
        <v>0</v>
      </c>
      <c r="L11" s="234">
        <f>IFERROR(_xlfn.XLOOKUP($J11,'VOC-Detour-Car_B'!B$6:B$25,'VOC-Detour-Car_B'!G$6:G$25,,0,1),0)</f>
        <v>0</v>
      </c>
      <c r="M11" s="239">
        <f t="shared" si="0"/>
        <v>0</v>
      </c>
      <c r="N11" s="246">
        <f>SUM(K11:L11)*(1+0.07)^-(J11-Assumptions!$D$4)</f>
        <v>0</v>
      </c>
      <c r="O11" s="47"/>
    </row>
    <row r="12" spans="1:21" ht="15" customHeight="1" x14ac:dyDescent="0.25">
      <c r="A12" s="47"/>
      <c r="B12" s="57">
        <f t="shared" si="3"/>
        <v>2028</v>
      </c>
      <c r="C12" s="232">
        <f>IFERROR(_xlfn.XLOOKUP($B12,'TT-Detour-Truck'!B$6:B$25,'TT-Detour-Truck'!G$6:G$25,,0,1),0)</f>
        <v>904218.39525692165</v>
      </c>
      <c r="D12" s="529">
        <f>IFERROR(_xlfn.XLOOKUP($B12,'TT-Detour-Car_A'!B$6:B$25,'TT-Detour-Car_A'!G$6:G$25,,0,1),0)</f>
        <v>1210785.9789288498</v>
      </c>
      <c r="E12" s="529">
        <f>IFERROR(_xlfn.XLOOKUP($B12,'VOC-Detour-Truck'!B$6:B$25,'VOC-Detour-Truck'!G$6:G$25,,0,1),0)</f>
        <v>1802512.6010276619</v>
      </c>
      <c r="F12" s="529">
        <f>IFERROR(_xlfn.XLOOKUP($B12,'VOC-Detour-Car_A'!B$6:B$25,'VOC-Detour-Car_A'!G$6:G$25,,0,1),0)</f>
        <v>357419.32870553265</v>
      </c>
      <c r="G12" s="239">
        <f t="shared" si="1"/>
        <v>4274936.3039189661</v>
      </c>
      <c r="H12" s="246">
        <f>SUM(C12:F12)*(1+0.07)^-(B12-Assumptions!$D$4)</f>
        <v>2488051.8503164523</v>
      </c>
      <c r="I12"/>
      <c r="J12" s="57">
        <f t="shared" si="2"/>
        <v>2028</v>
      </c>
      <c r="K12" s="232">
        <f>IFERROR(_xlfn.XLOOKUP($J12,'TT-Detour-Car_B'!B$6:B$25,'TT-Detour-Car_B'!G$6:G$25,,0,1),0)</f>
        <v>0</v>
      </c>
      <c r="L12" s="234">
        <f>IFERROR(_xlfn.XLOOKUP($J12,'VOC-Detour-Car_B'!B$6:B$25,'VOC-Detour-Car_B'!G$6:G$25,,0,1),0)</f>
        <v>0</v>
      </c>
      <c r="M12" s="239">
        <f t="shared" si="0"/>
        <v>0</v>
      </c>
      <c r="N12" s="246">
        <f>SUM(K12:L12)*(1+0.07)^-(J12-Assumptions!$D$4)</f>
        <v>0</v>
      </c>
      <c r="O12" s="47"/>
    </row>
    <row r="13" spans="1:21" ht="15" customHeight="1" x14ac:dyDescent="0.25">
      <c r="A13" s="47"/>
      <c r="B13" s="57">
        <f t="shared" si="3"/>
        <v>2029</v>
      </c>
      <c r="C13" s="232">
        <f>IFERROR(_xlfn.XLOOKUP($B13,'TT-Detour-Truck'!B$6:B$25,'TT-Detour-Truck'!G$6:G$25,,0,1),0)</f>
        <v>918872.83267456293</v>
      </c>
      <c r="D13" s="529">
        <f>IFERROR(_xlfn.XLOOKUP($B13,'TT-Detour-Car_A'!B$6:B$25,'TT-Detour-Car_A'!G$6:G$25,,0,1),0)</f>
        <v>1230408.8791567842</v>
      </c>
      <c r="E13" s="529">
        <f>IFERROR(_xlfn.XLOOKUP($B13,'VOC-Detour-Truck'!B$6:B$25,'VOC-Detour-Truck'!G$6:G$25,,0,1),0)</f>
        <v>1831725.4640316209</v>
      </c>
      <c r="F13" s="529">
        <f>IFERROR(_xlfn.XLOOKUP($B13,'VOC-Detour-Car_A'!B$6:B$25,'VOC-Detour-Car_A'!G$6:G$25,,0,1),0)</f>
        <v>363211.93280632497</v>
      </c>
      <c r="G13" s="239">
        <f t="shared" si="1"/>
        <v>4344219.1086692931</v>
      </c>
      <c r="H13" s="246">
        <f>SUM(C13:F13)*(1+0.07)^-(B13-Assumptions!$D$4)</f>
        <v>2362967.3583840602</v>
      </c>
      <c r="I13"/>
      <c r="J13" s="57">
        <f t="shared" si="2"/>
        <v>2029</v>
      </c>
      <c r="K13" s="232">
        <f>IFERROR(_xlfn.XLOOKUP($J13,'TT-Detour-Car_B'!B$6:B$25,'TT-Detour-Car_B'!G$6:G$25,,0,1),0)</f>
        <v>0</v>
      </c>
      <c r="L13" s="234">
        <f>IFERROR(_xlfn.XLOOKUP($J13,'VOC-Detour-Car_B'!B$6:B$25,'VOC-Detour-Car_B'!G$6:G$25,,0,1),0)</f>
        <v>0</v>
      </c>
      <c r="M13" s="239">
        <f t="shared" si="0"/>
        <v>0</v>
      </c>
      <c r="N13" s="246">
        <f>SUM(K13:L13)*(1+0.07)^-(J13-Assumptions!$D$4)</f>
        <v>0</v>
      </c>
      <c r="O13" s="47"/>
    </row>
    <row r="14" spans="1:21" ht="15" customHeight="1" x14ac:dyDescent="0.25">
      <c r="A14" s="47"/>
      <c r="B14" s="57">
        <f t="shared" si="3"/>
        <v>2030</v>
      </c>
      <c r="C14" s="232">
        <f>IFERROR(_xlfn.XLOOKUP($B14,'TT-Detour-Truck'!B$6:B$25,'TT-Detour-Truck'!G$6:G$25,,0,1),0)</f>
        <v>933527.27009223402</v>
      </c>
      <c r="D14" s="529">
        <f>IFERROR(_xlfn.XLOOKUP($B14,'TT-Detour-Car_A'!B$6:B$25,'TT-Detour-Car_A'!G$6:G$25,,0,1),0)</f>
        <v>1250031.7793847099</v>
      </c>
      <c r="E14" s="529">
        <f>IFERROR(_xlfn.XLOOKUP($B14,'VOC-Detour-Truck'!B$6:B$25,'VOC-Detour-Truck'!G$6:G$25,,0,1),0)</f>
        <v>1860938.3270355528</v>
      </c>
      <c r="F14" s="529">
        <f>IFERROR(_xlfn.XLOOKUP($B14,'VOC-Detour-Car_A'!B$6:B$25,'VOC-Detour-Car_A'!G$6:G$25,,0,1),0)</f>
        <v>369004.5369071156</v>
      </c>
      <c r="G14" s="239">
        <f t="shared" si="1"/>
        <v>4413501.9134196127</v>
      </c>
      <c r="H14" s="246">
        <f>SUM(C14:F14)*(1+0.07)^-(B14-Assumptions!$D$4)</f>
        <v>2243600.5735220825</v>
      </c>
      <c r="I14"/>
      <c r="J14" s="57">
        <f t="shared" si="2"/>
        <v>2030</v>
      </c>
      <c r="K14" s="232">
        <f>IFERROR(_xlfn.XLOOKUP($J14,'TT-Detour-Car_B'!B$6:B$25,'TT-Detour-Car_B'!G$6:G$25,,0,1),0)</f>
        <v>0</v>
      </c>
      <c r="L14" s="234">
        <f>IFERROR(_xlfn.XLOOKUP($J14,'VOC-Detour-Car_B'!B$6:B$25,'VOC-Detour-Car_B'!G$6:G$25,,0,1),0)</f>
        <v>0</v>
      </c>
      <c r="M14" s="239">
        <f t="shared" si="0"/>
        <v>0</v>
      </c>
      <c r="N14" s="246">
        <f>SUM(K14:L14)*(1+0.07)^-(J14-Assumptions!$D$4)</f>
        <v>0</v>
      </c>
      <c r="O14" s="47"/>
    </row>
    <row r="15" spans="1:21" ht="15" customHeight="1" x14ac:dyDescent="0.25">
      <c r="A15" s="47"/>
      <c r="B15" s="57">
        <f t="shared" si="3"/>
        <v>2031</v>
      </c>
      <c r="C15" s="232">
        <f>IFERROR(_xlfn.XLOOKUP($B15,'TT-Detour-Truck'!B$6:B$25,'TT-Detour-Truck'!G$6:G$25,,0,1),0)</f>
        <v>948181.7075098902</v>
      </c>
      <c r="D15" s="529">
        <f>IFERROR(_xlfn.XLOOKUP($B15,'TT-Detour-Car_A'!B$6:B$25,'TT-Detour-Car_A'!G$6:G$25,,0,1),0)</f>
        <v>1269654.6796126449</v>
      </c>
      <c r="E15" s="529">
        <f>IFERROR(_xlfn.XLOOKUP($B15,'VOC-Detour-Truck'!B$6:B$25,'VOC-Detour-Truck'!G$6:G$25,,0,1),0)</f>
        <v>1890151.1900395127</v>
      </c>
      <c r="F15" s="529">
        <f>IFERROR(_xlfn.XLOOKUP($B15,'VOC-Detour-Car_A'!B$6:B$25,'VOC-Detour-Car_A'!G$6:G$25,,0,1),0)</f>
        <v>374797.14100790623</v>
      </c>
      <c r="G15" s="239">
        <f t="shared" si="1"/>
        <v>4482784.7181699537</v>
      </c>
      <c r="H15" s="246">
        <f>SUM(C15:F15)*(1+0.07)^-(B15-Assumptions!$D$4)</f>
        <v>2129738.7273589028</v>
      </c>
      <c r="I15"/>
      <c r="J15" s="57">
        <f t="shared" si="2"/>
        <v>2031</v>
      </c>
      <c r="K15" s="232">
        <f>IFERROR(_xlfn.XLOOKUP($J15,'TT-Detour-Car_B'!B$6:B$25,'TT-Detour-Car_B'!G$6:G$25,,0,1),0)</f>
        <v>0</v>
      </c>
      <c r="L15" s="234">
        <f>IFERROR(_xlfn.XLOOKUP($J15,'VOC-Detour-Car_B'!B$6:B$25,'VOC-Detour-Car_B'!G$6:G$25,,0,1),0)</f>
        <v>0</v>
      </c>
      <c r="M15" s="239">
        <f t="shared" si="0"/>
        <v>0</v>
      </c>
      <c r="N15" s="246">
        <f>SUM(K15:L15)*(1+0.07)^-(J15-Assumptions!$D$4)</f>
        <v>0</v>
      </c>
      <c r="O15" s="47"/>
    </row>
    <row r="16" spans="1:21" ht="15" customHeight="1" x14ac:dyDescent="0.25">
      <c r="A16" s="47"/>
      <c r="B16" s="57">
        <f t="shared" si="3"/>
        <v>2032</v>
      </c>
      <c r="C16" s="232">
        <f>IFERROR(_xlfn.XLOOKUP($B16,'TT-Detour-Truck'!B$6:B$25,'TT-Detour-Truck'!G$6:G$25,,0,1),0)</f>
        <v>962836.14492753148</v>
      </c>
      <c r="D16" s="529">
        <f>IFERROR(_xlfn.XLOOKUP($B16,'TT-Detour-Car_A'!B$6:B$25,'TT-Detour-Car_A'!G$6:G$25,,0,1),0)</f>
        <v>1289277.5798405793</v>
      </c>
      <c r="E16" s="529">
        <f>IFERROR(_xlfn.XLOOKUP($B16,'VOC-Detour-Truck'!B$6:B$25,'VOC-Detour-Truck'!G$6:G$25,,0,1),0)</f>
        <v>1919364.0530434726</v>
      </c>
      <c r="F16" s="529">
        <f>IFERROR(_xlfn.XLOOKUP($B16,'VOC-Detour-Car_A'!B$6:B$25,'VOC-Detour-Car_A'!G$6:G$25,,0,1),0)</f>
        <v>380589.74510869855</v>
      </c>
      <c r="G16" s="239">
        <f t="shared" si="1"/>
        <v>4552067.5229202816</v>
      </c>
      <c r="H16" s="246">
        <f>SUM(C16:F16)*(1+0.07)^-(B16-Assumptions!$D$4)</f>
        <v>2021172.419447955</v>
      </c>
      <c r="I16"/>
      <c r="J16" s="57">
        <f t="shared" si="2"/>
        <v>2032</v>
      </c>
      <c r="K16" s="232">
        <f>IFERROR(_xlfn.XLOOKUP($J16,'TT-Detour-Car_B'!B$6:B$25,'TT-Detour-Car_B'!G$6:G$25,,0,1),0)</f>
        <v>0</v>
      </c>
      <c r="L16" s="234">
        <f>IFERROR(_xlfn.XLOOKUP($J16,'VOC-Detour-Car_B'!B$6:B$25,'VOC-Detour-Car_B'!G$6:G$25,,0,1),0)</f>
        <v>0</v>
      </c>
      <c r="M16" s="239">
        <f t="shared" si="0"/>
        <v>0</v>
      </c>
      <c r="N16" s="246">
        <f>SUM(K16:L16)*(1+0.07)^-(J16-Assumptions!$D$4)</f>
        <v>0</v>
      </c>
      <c r="O16" s="47"/>
    </row>
    <row r="17" spans="1:15" ht="15" customHeight="1" x14ac:dyDescent="0.25">
      <c r="A17" s="47"/>
      <c r="B17" s="57">
        <f t="shared" si="3"/>
        <v>2033</v>
      </c>
      <c r="C17" s="232">
        <f>IFERROR(_xlfn.XLOOKUP($B17,'TT-Detour-Truck'!B$6:B$25,'TT-Detour-Truck'!G$6:G$25,,0,1),0)</f>
        <v>977490.58234518766</v>
      </c>
      <c r="D17" s="529">
        <f>IFERROR(_xlfn.XLOOKUP($B17,'TT-Detour-Car_A'!B$6:B$25,'TT-Detour-Car_A'!G$6:G$25,,0,1),0)</f>
        <v>0</v>
      </c>
      <c r="E17" s="529">
        <f>IFERROR(_xlfn.XLOOKUP($B17,'VOC-Detour-Truck'!B$6:B$25,'VOC-Detour-Truck'!G$6:G$25,,0,1),0)</f>
        <v>1948576.9160474315</v>
      </c>
      <c r="F17" s="529">
        <f>IFERROR(_xlfn.XLOOKUP($B17,'VOC-Detour-Car_A'!B$6:B$25,'VOC-Detour-Car_A'!G$6:G$25,,0,1),0)</f>
        <v>0</v>
      </c>
      <c r="G17" s="239">
        <f t="shared" si="1"/>
        <v>2926067.4983926192</v>
      </c>
      <c r="H17" s="246">
        <f>SUM(C17:F17)*(1+0.07)^-(B17-Assumptions!$D$4)</f>
        <v>1214213.9839550876</v>
      </c>
      <c r="I17"/>
      <c r="J17" s="57">
        <f t="shared" si="2"/>
        <v>2033</v>
      </c>
      <c r="K17" s="232">
        <f>IFERROR(_xlfn.XLOOKUP($J17,'TT-Detour-Car_B'!B$6:B$25,'TT-Detour-Car_B'!G$6:G$25,,0,1),0)</f>
        <v>2327620.1933293967</v>
      </c>
      <c r="L17" s="234">
        <f>IFERROR(_xlfn.XLOOKUP($J17,'VOC-Detour-Car_B'!B$6:B$25,'VOC-Detour-Car_B'!G$6:G$25,,0,1),0)</f>
        <v>2391196.4252964025</v>
      </c>
      <c r="M17" s="239">
        <f t="shared" si="0"/>
        <v>4718816.6186257992</v>
      </c>
      <c r="N17" s="246">
        <f>SUM(K17:L17)*(1+0.07)^-(J17-Assumptions!$D$4)</f>
        <v>1958141.1328353107</v>
      </c>
      <c r="O17" s="47"/>
    </row>
    <row r="18" spans="1:15" ht="15" customHeight="1" x14ac:dyDescent="0.25">
      <c r="B18" s="57">
        <f t="shared" si="3"/>
        <v>2034</v>
      </c>
      <c r="C18" s="232">
        <f>IFERROR(_xlfn.XLOOKUP($B18,'TT-Detour-Truck'!B$6:B$25,'TT-Detour-Truck'!G$6:G$25,,0,1),0)</f>
        <v>992145.01976285875</v>
      </c>
      <c r="D18" s="529">
        <f>IFERROR(_xlfn.XLOOKUP($B18,'TT-Detour-Car_A'!B$6:B$25,'TT-Detour-Car_A'!G$6:G$25,,0,1),0)</f>
        <v>0</v>
      </c>
      <c r="E18" s="529">
        <f>IFERROR(_xlfn.XLOOKUP($B18,'VOC-Detour-Truck'!B$6:B$25,'VOC-Detour-Truck'!G$6:G$25,,0,1),0)</f>
        <v>1977789.7790513635</v>
      </c>
      <c r="F18" s="529">
        <f>IFERROR(_xlfn.XLOOKUP($B18,'VOC-Detour-Car_A'!B$6:B$25,'VOC-Detour-Car_A'!G$6:G$25,,0,1),0)</f>
        <v>0</v>
      </c>
      <c r="G18" s="239">
        <f t="shared" si="1"/>
        <v>2969934.7988142222</v>
      </c>
      <c r="H18" s="246">
        <f>SUM(C18:F18)*(1+0.07)^-(B18-Assumptions!$D$4)</f>
        <v>1151791.9196774755</v>
      </c>
      <c r="I18"/>
      <c r="J18" s="57">
        <f t="shared" si="2"/>
        <v>2034</v>
      </c>
      <c r="K18" s="232">
        <f>IFERROR(_xlfn.XLOOKUP($J18,'TT-Detour-Car_B'!B$6:B$25,'TT-Detour-Car_B'!G$6:G$25,,0,1),0)</f>
        <v>2362515.6338290535</v>
      </c>
      <c r="L18" s="234">
        <f>IFERROR(_xlfn.XLOOKUP($J18,'VOC-Detour-Car_B'!B$6:B$25,'VOC-Detour-Car_B'!G$6:G$25,,0,1),0)</f>
        <v>2427044.9940711567</v>
      </c>
      <c r="M18" s="239">
        <f t="shared" si="0"/>
        <v>4789560.6279002102</v>
      </c>
      <c r="N18" s="246">
        <f>SUM(K18:L18)*(1+0.07)^-(J18-Assumptions!$D$4)</f>
        <v>1857474.1883974657</v>
      </c>
      <c r="O18"/>
    </row>
    <row r="19" spans="1:15" ht="15" customHeight="1" x14ac:dyDescent="0.25">
      <c r="B19" s="57">
        <f t="shared" si="3"/>
        <v>2035</v>
      </c>
      <c r="C19" s="232">
        <f>IFERROR(_xlfn.XLOOKUP($B19,'TT-Detour-Truck'!B$6:B$25,'TT-Detour-Truck'!G$6:G$25,,0,1),0)</f>
        <v>1006799.4571805</v>
      </c>
      <c r="D19" s="529">
        <f>IFERROR(_xlfn.XLOOKUP($B19,'TT-Detour-Car_A'!B$6:B$25,'TT-Detour-Car_A'!G$6:G$25,,0,1),0)</f>
        <v>0</v>
      </c>
      <c r="E19" s="529">
        <f>IFERROR(_xlfn.XLOOKUP($B19,'VOC-Detour-Truck'!B$6:B$25,'VOC-Detour-Truck'!G$6:G$25,,0,1),0)</f>
        <v>2007002.6420553224</v>
      </c>
      <c r="F19" s="529">
        <f>IFERROR(_xlfn.XLOOKUP($B19,'VOC-Detour-Car_A'!B$6:B$25,'VOC-Detour-Car_A'!G$6:G$25,,0,1),0)</f>
        <v>0</v>
      </c>
      <c r="G19" s="239">
        <f t="shared" si="1"/>
        <v>3013802.0992358224</v>
      </c>
      <c r="H19" s="246">
        <f>SUM(C19:F19)*(1+0.07)^-(B19-Assumptions!$D$4)</f>
        <v>1092340.5748578117</v>
      </c>
      <c r="I19"/>
      <c r="J19" s="57">
        <f t="shared" si="2"/>
        <v>2035</v>
      </c>
      <c r="K19" s="232">
        <f>IFERROR(_xlfn.XLOOKUP($J19,'TT-Detour-Car_B'!B$6:B$25,'TT-Detour-Car_B'!G$6:G$25,,0,1),0)</f>
        <v>2397411.0743287429</v>
      </c>
      <c r="L19" s="234">
        <f>IFERROR(_xlfn.XLOOKUP($J19,'VOC-Detour-Car_B'!B$6:B$25,'VOC-Detour-Car_B'!G$6:G$25,,0,1),0)</f>
        <v>2462893.5628458569</v>
      </c>
      <c r="M19" s="239">
        <f t="shared" si="0"/>
        <v>4860304.6371745998</v>
      </c>
      <c r="N19" s="246">
        <f>SUM(K19:L19)*(1+0.07)^-(J19-Assumptions!$D$4)</f>
        <v>1761598.0699932368</v>
      </c>
      <c r="O19"/>
    </row>
    <row r="20" spans="1:15" ht="15" customHeight="1" x14ac:dyDescent="0.25">
      <c r="B20" s="57">
        <f t="shared" si="3"/>
        <v>2036</v>
      </c>
      <c r="C20" s="232">
        <f>IFERROR(_xlfn.XLOOKUP($B20,'TT-Detour-Truck'!B$6:B$25,'TT-Detour-Truck'!G$6:G$25,,0,1),0)</f>
        <v>1021453.8945981562</v>
      </c>
      <c r="D20" s="529">
        <f>IFERROR(_xlfn.XLOOKUP($B20,'TT-Detour-Car_A'!B$6:B$25,'TT-Detour-Car_A'!G$6:G$25,,0,1),0)</f>
        <v>0</v>
      </c>
      <c r="E20" s="529">
        <f>IFERROR(_xlfn.XLOOKUP($B20,'VOC-Detour-Truck'!B$6:B$25,'VOC-Detour-Truck'!G$6:G$25,,0,1),0)</f>
        <v>2036215.5050592832</v>
      </c>
      <c r="F20" s="529">
        <f>IFERROR(_xlfn.XLOOKUP($B20,'VOC-Detour-Car_A'!B$6:B$25,'VOC-Detour-Car_A'!G$6:G$25,,0,1),0)</f>
        <v>0</v>
      </c>
      <c r="G20" s="239">
        <f t="shared" si="1"/>
        <v>3057669.3996574394</v>
      </c>
      <c r="H20" s="246">
        <f>SUM(C20:F20)*(1+0.07)^-(B20-Assumptions!$D$4)</f>
        <v>1035738.4142879276</v>
      </c>
      <c r="I20"/>
      <c r="J20" s="57">
        <f t="shared" si="2"/>
        <v>2036</v>
      </c>
      <c r="K20" s="232">
        <f>IFERROR(_xlfn.XLOOKUP($J20,'TT-Detour-Car_B'!B$6:B$25,'TT-Detour-Car_B'!G$6:G$25,,0,1),0)</f>
        <v>2432306.5148283998</v>
      </c>
      <c r="L20" s="234">
        <f>IFERROR(_xlfn.XLOOKUP($J20,'VOC-Detour-Car_B'!B$6:B$25,'VOC-Detour-Car_B'!G$6:G$25,,0,1),0)</f>
        <v>2498742.13162053</v>
      </c>
      <c r="M20" s="239">
        <f t="shared" si="0"/>
        <v>4931048.6464489298</v>
      </c>
      <c r="N20" s="246">
        <f>SUM(K20:L20)*(1+0.07)^-(J20-Assumptions!$D$4)</f>
        <v>1670316.7799703365</v>
      </c>
      <c r="O20"/>
    </row>
    <row r="21" spans="1:15" ht="15" customHeight="1" x14ac:dyDescent="0.25">
      <c r="B21" s="57">
        <f t="shared" si="3"/>
        <v>2037</v>
      </c>
      <c r="C21" s="232">
        <f>IFERROR(_xlfn.XLOOKUP($B21,'TT-Detour-Truck'!B$6:B$25,'TT-Detour-Truck'!G$6:G$25,,0,1),0)</f>
        <v>1036108.3320158124</v>
      </c>
      <c r="D21" s="529">
        <f>IFERROR(_xlfn.XLOOKUP($B21,'TT-Detour-Car_A'!B$6:B$25,'TT-Detour-Car_A'!G$6:G$25,,0,1),0)</f>
        <v>0</v>
      </c>
      <c r="E21" s="529">
        <f>IFERROR(_xlfn.XLOOKUP($B21,'VOC-Detour-Truck'!B$6:B$25,'VOC-Detour-Truck'!G$6:G$25,,0,1),0)</f>
        <v>2065428.3680632142</v>
      </c>
      <c r="F21" s="529">
        <f>IFERROR(_xlfn.XLOOKUP($B21,'VOC-Detour-Car_A'!B$6:B$25,'VOC-Detour-Car_A'!G$6:G$25,,0,1),0)</f>
        <v>0</v>
      </c>
      <c r="G21" s="239">
        <f t="shared" si="1"/>
        <v>3101536.7000790266</v>
      </c>
      <c r="H21" s="246">
        <f>SUM(C21:F21)*(1+0.07)^-(B21-Assumptions!$D$4)</f>
        <v>981867.0903295856</v>
      </c>
      <c r="I21"/>
      <c r="J21" s="57">
        <f t="shared" si="2"/>
        <v>2037</v>
      </c>
      <c r="K21" s="232">
        <f>IFERROR(_xlfn.XLOOKUP($J21,'TT-Detour-Car_B'!B$6:B$25,'TT-Detour-Car_B'!G$6:G$25,,0,1),0)</f>
        <v>2467201.9553280901</v>
      </c>
      <c r="L21" s="234">
        <f>IFERROR(_xlfn.XLOOKUP($J21,'VOC-Detour-Car_B'!B$6:B$25,'VOC-Detour-Car_B'!G$6:G$25,,0,1),0)</f>
        <v>2534590.7003952302</v>
      </c>
      <c r="M21" s="239">
        <f t="shared" si="0"/>
        <v>5001792.6557233203</v>
      </c>
      <c r="N21" s="246">
        <f>SUM(K21:L21)*(1+0.07)^-(J21-Assumptions!$D$4)</f>
        <v>1583439.461213473</v>
      </c>
      <c r="O21"/>
    </row>
    <row r="22" spans="1:15" ht="15" customHeight="1" x14ac:dyDescent="0.25">
      <c r="B22" s="57">
        <f t="shared" si="3"/>
        <v>2038</v>
      </c>
      <c r="C22" s="232">
        <f>IFERROR(_xlfn.XLOOKUP($B22,'TT-Detour-Truck'!B$6:B$25,'TT-Detour-Truck'!G$6:G$25,,0,1),0)</f>
        <v>1050762.7694334686</v>
      </c>
      <c r="D22" s="529">
        <f>IFERROR(_xlfn.XLOOKUP($B22,'TT-Detour-Car_A'!B$6:B$25,'TT-Detour-Car_A'!G$6:G$25,,0,1),0)</f>
        <v>0</v>
      </c>
      <c r="E22" s="529">
        <f>IFERROR(_xlfn.XLOOKUP($B22,'VOC-Detour-Truck'!B$6:B$25,'VOC-Detour-Truck'!G$6:G$25,,0,1),0)</f>
        <v>2094641.2310672021</v>
      </c>
      <c r="F22" s="529">
        <f>IFERROR(_xlfn.XLOOKUP($B22,'VOC-Detour-Car_A'!B$6:B$25,'VOC-Detour-Car_A'!G$6:G$25,,0,1),0)</f>
        <v>0</v>
      </c>
      <c r="G22" s="239">
        <f t="shared" si="1"/>
        <v>3145404.0005006706</v>
      </c>
      <c r="H22" s="246">
        <f>SUM(C22:F22)*(1+0.07)^-(B22-Assumptions!$D$4)</f>
        <v>930611.54600175086</v>
      </c>
      <c r="I22"/>
      <c r="J22" s="57">
        <f t="shared" si="2"/>
        <v>2038</v>
      </c>
      <c r="K22" s="232">
        <f>IFERROR(_xlfn.XLOOKUP($J22,'TT-Detour-Car_B'!B$6:B$25,'TT-Detour-Car_B'!G$6:G$25,,0,1),0)</f>
        <v>2502097.395827747</v>
      </c>
      <c r="L22" s="234">
        <f>IFERROR(_xlfn.XLOOKUP($J22,'VOC-Detour-Car_B'!B$6:B$25,'VOC-Detour-Car_B'!G$6:G$25,,0,1),0)</f>
        <v>2570439.2691699555</v>
      </c>
      <c r="M22" s="239">
        <f t="shared" si="0"/>
        <v>5072536.6649977025</v>
      </c>
      <c r="N22" s="246">
        <f>SUM(K22:L22)*(1+0.07)^-(J22-Assumptions!$D$4)</f>
        <v>1500780.5633911192</v>
      </c>
      <c r="O22"/>
    </row>
    <row r="23" spans="1:15" ht="15" customHeight="1" x14ac:dyDescent="0.25">
      <c r="B23" s="57">
        <f t="shared" si="3"/>
        <v>2039</v>
      </c>
      <c r="C23" s="232">
        <f>IFERROR(_xlfn.XLOOKUP($B23,'TT-Detour-Truck'!B$6:B$25,'TT-Detour-Truck'!G$6:G$25,,0,1),0)</f>
        <v>1065417.2068511248</v>
      </c>
      <c r="D23" s="529">
        <f>IFERROR(_xlfn.XLOOKUP($B23,'TT-Detour-Car_A'!B$6:B$25,'TT-Detour-Car_A'!G$6:G$25,,0,1),0)</f>
        <v>0</v>
      </c>
      <c r="E23" s="529">
        <f>IFERROR(_xlfn.XLOOKUP($B23,'VOC-Detour-Truck'!B$6:B$25,'VOC-Detour-Truck'!G$6:G$25,,0,1),0)</f>
        <v>2123854.094071161</v>
      </c>
      <c r="F23" s="529">
        <f>IFERROR(_xlfn.XLOOKUP($B23,'VOC-Detour-Car_A'!B$6:B$25,'VOC-Detour-Car_A'!G$6:G$25,,0,1),0)</f>
        <v>0</v>
      </c>
      <c r="G23" s="239">
        <f t="shared" si="1"/>
        <v>3189271.3009222858</v>
      </c>
      <c r="H23" s="246">
        <f>SUM(C23:F23)*(1+0.07)^-(B23-Assumptions!$D$4)</f>
        <v>881860.09093733272</v>
      </c>
      <c r="I23"/>
      <c r="J23" s="57">
        <f t="shared" si="2"/>
        <v>2039</v>
      </c>
      <c r="K23" s="232">
        <f>IFERROR(_xlfn.XLOOKUP($J23,'TT-Detour-Car_B'!B$6:B$25,'TT-Detour-Car_B'!G$6:G$25,,0,1),0)</f>
        <v>2536992.8363274373</v>
      </c>
      <c r="L23" s="234">
        <f>IFERROR(_xlfn.XLOOKUP($J23,'VOC-Detour-Car_B'!B$6:B$25,'VOC-Detour-Car_B'!G$6:G$25,,0,1),0)</f>
        <v>2606287.8379446557</v>
      </c>
      <c r="M23" s="239">
        <f t="shared" si="0"/>
        <v>5143280.674272093</v>
      </c>
      <c r="N23" s="246">
        <f>SUM(K23:L23)*(1+0.07)^-(J23-Assumptions!$D$4)</f>
        <v>1422159.9654498429</v>
      </c>
      <c r="O23"/>
    </row>
    <row r="24" spans="1:15" ht="15" customHeight="1" x14ac:dyDescent="0.25">
      <c r="B24" s="57">
        <f t="shared" si="3"/>
        <v>2040</v>
      </c>
      <c r="C24" s="232">
        <f>IFERROR(_xlfn.XLOOKUP($B24,'TT-Detour-Truck'!B$6:B$25,'TT-Detour-Truck'!G$6:G$25,,0,1),0)</f>
        <v>1080071.6442687809</v>
      </c>
      <c r="D24" s="529">
        <f>IFERROR(_xlfn.XLOOKUP($B24,'TT-Detour-Car_A'!B$6:B$25,'TT-Detour-Car_A'!G$6:G$25,,0,1),0)</f>
        <v>0</v>
      </c>
      <c r="E24" s="529">
        <f>IFERROR(_xlfn.XLOOKUP($B24,'VOC-Detour-Truck'!B$6:B$25,'VOC-Detour-Truck'!G$6:G$25,,0,1),0)</f>
        <v>2153066.9570750929</v>
      </c>
      <c r="F24" s="529">
        <f>IFERROR(_xlfn.XLOOKUP($B24,'VOC-Detour-Car_A'!B$6:B$25,'VOC-Detour-Car_A'!G$6:G$25,,0,1),0)</f>
        <v>0</v>
      </c>
      <c r="G24" s="239">
        <f t="shared" si="1"/>
        <v>3233138.6013438739</v>
      </c>
      <c r="H24" s="246">
        <f>SUM(C24:F24)*(1+0.07)^-(B24-Assumptions!$D$4)</f>
        <v>835504.45331831009</v>
      </c>
      <c r="I24"/>
      <c r="J24" s="57">
        <f t="shared" si="2"/>
        <v>2040</v>
      </c>
      <c r="K24" s="232">
        <f>IFERROR(_xlfn.XLOOKUP($J24,'TT-Detour-Car_B'!B$6:B$25,'TT-Detour-Car_B'!G$6:G$25,,0,1),0)</f>
        <v>2571888.2768270932</v>
      </c>
      <c r="L24" s="234">
        <f>IFERROR(_xlfn.XLOOKUP($J24,'VOC-Detour-Car_B'!B$6:B$25,'VOC-Detour-Car_B'!G$6:G$25,,0,1),0)</f>
        <v>2642136.4067193558</v>
      </c>
      <c r="M24" s="239">
        <f t="shared" si="0"/>
        <v>5214024.6835464491</v>
      </c>
      <c r="N24" s="246">
        <f>SUM(K24:L24)*(1+0.07)^-(J24-Assumptions!$D$4)</f>
        <v>1347403.0593689708</v>
      </c>
      <c r="O24"/>
    </row>
    <row r="25" spans="1:15" ht="15" customHeight="1" x14ac:dyDescent="0.25">
      <c r="B25" s="57">
        <f t="shared" si="3"/>
        <v>2041</v>
      </c>
      <c r="C25" s="232">
        <f>IFERROR(_xlfn.XLOOKUP($B25,'TT-Detour-Truck'!B$6:B$25,'TT-Detour-Truck'!G$6:G$25,,0,1),0)</f>
        <v>1094726.0816864222</v>
      </c>
      <c r="D25" s="529">
        <f>IFERROR(_xlfn.XLOOKUP($B25,'TT-Detour-Car_A'!B$6:B$25,'TT-Detour-Car_A'!G$6:G$25,,0,1),0)</f>
        <v>0</v>
      </c>
      <c r="E25" s="529">
        <f>IFERROR(_xlfn.XLOOKUP($B25,'VOC-Detour-Truck'!B$6:B$25,'VOC-Detour-Truck'!G$6:G$25,,0,1),0)</f>
        <v>2182279.8200790528</v>
      </c>
      <c r="F25" s="529">
        <f>IFERROR(_xlfn.XLOOKUP($B25,'VOC-Detour-Car_A'!B$6:B$25,'VOC-Detour-Car_A'!G$6:G$25,,0,1),0)</f>
        <v>0</v>
      </c>
      <c r="G25" s="239">
        <f t="shared" si="1"/>
        <v>3277005.901765475</v>
      </c>
      <c r="H25" s="246">
        <f>SUM(C25:F25)*(1+0.07)^-(B25-Assumptions!$D$4)</f>
        <v>791439.81060691271</v>
      </c>
      <c r="I25"/>
      <c r="J25" s="57">
        <f t="shared" si="2"/>
        <v>2041</v>
      </c>
      <c r="K25" s="232">
        <f>IFERROR(_xlfn.XLOOKUP($J25,'TT-Detour-Car_B'!B$6:B$25,'TT-Detour-Car_B'!G$6:G$25,,0,1),0)</f>
        <v>2606783.717326751</v>
      </c>
      <c r="L25" s="234">
        <f>IFERROR(_xlfn.XLOOKUP($J25,'VOC-Detour-Car_B'!B$6:B$25,'VOC-Detour-Car_B'!G$6:G$25,,0,1),0)</f>
        <v>2677984.9754940299</v>
      </c>
      <c r="M25" s="239">
        <f t="shared" si="0"/>
        <v>5284768.6928207809</v>
      </c>
      <c r="N25" s="246">
        <f>SUM(K25:L25)*(1+0.07)^-(J25-Assumptions!$D$4)</f>
        <v>1276340.7997202789</v>
      </c>
      <c r="O25"/>
    </row>
    <row r="26" spans="1:15" ht="15" customHeight="1" x14ac:dyDescent="0.25">
      <c r="B26" s="57">
        <f t="shared" si="3"/>
        <v>2042</v>
      </c>
      <c r="C26" s="232">
        <f>IFERROR(_xlfn.XLOOKUP($B26,'TT-Detour-Truck'!B$6:B$25,'TT-Detour-Truck'!G$6:G$25,,0,1),0)</f>
        <v>1109380.5191040933</v>
      </c>
      <c r="D26" s="529">
        <f>IFERROR(_xlfn.XLOOKUP($B26,'TT-Detour-Car_A'!B$6:B$25,'TT-Detour-Car_A'!G$6:G$25,,0,1),0)</f>
        <v>0</v>
      </c>
      <c r="E26" s="529">
        <f>IFERROR(_xlfn.XLOOKUP($B26,'VOC-Detour-Truck'!B$6:B$25,'VOC-Detour-Truck'!G$6:G$25,,0,1),0)</f>
        <v>2211492.6830830127</v>
      </c>
      <c r="F26" s="529">
        <f>IFERROR(_xlfn.XLOOKUP($B26,'VOC-Detour-Car_A'!B$6:B$25,'VOC-Detour-Car_A'!G$6:G$25,,0,1),0)</f>
        <v>0</v>
      </c>
      <c r="G26" s="239">
        <f t="shared" si="1"/>
        <v>3320873.202187106</v>
      </c>
      <c r="H26" s="246">
        <f>SUM(C26:F26)*(1+0.07)^-(B26-Assumptions!$D$4)</f>
        <v>749564.80162502488</v>
      </c>
      <c r="I26"/>
      <c r="J26" s="57">
        <f t="shared" si="2"/>
        <v>2042</v>
      </c>
      <c r="K26" s="232">
        <f>IFERROR(_xlfn.XLOOKUP($J26,'TT-Detour-Car_B'!B$6:B$25,'TT-Detour-Car_B'!G$6:G$25,,0,1),0)</f>
        <v>2641679.1578264087</v>
      </c>
      <c r="L26" s="234">
        <f>IFERROR(_xlfn.XLOOKUP($J26,'VOC-Detour-Car_B'!B$6:B$25,'VOC-Detour-Car_B'!G$6:G$25,,0,1),0)</f>
        <v>2713833.5442687841</v>
      </c>
      <c r="M26" s="239">
        <f t="shared" si="0"/>
        <v>5355512.7020951929</v>
      </c>
      <c r="N26" s="246">
        <f>SUM(K26:L26)*(1+0.07)^-(J26-Assumptions!$D$4)</f>
        <v>1208809.7231482638</v>
      </c>
      <c r="O26"/>
    </row>
    <row r="27" spans="1:15" ht="14.25" customHeight="1" thickBot="1" x14ac:dyDescent="0.3">
      <c r="B27" s="59">
        <f t="shared" si="3"/>
        <v>2043</v>
      </c>
      <c r="C27" s="532">
        <f>IFERROR(_xlfn.XLOOKUP($B27,'TT-Detour-Truck'!B$6:B$25,'TT-Detour-Truck'!G$6:G$25,,0,1),0)</f>
        <v>1124034.9565217495</v>
      </c>
      <c r="D27" s="533">
        <f>IFERROR(_xlfn.XLOOKUP($B27,'TT-Detour-Car_A'!B$6:B$25,'TT-Detour-Car_A'!G$6:G$25,,0,1),0)</f>
        <v>0</v>
      </c>
      <c r="E27" s="533">
        <f>IFERROR(_xlfn.XLOOKUP($B27,'VOC-Detour-Truck'!B$6:B$25,'VOC-Detour-Truck'!G$6:G$25,,0,1),0)</f>
        <v>2240705.5460869726</v>
      </c>
      <c r="F27" s="533">
        <f>IFERROR(_xlfn.XLOOKUP($B27,'VOC-Detour-Car_A'!B$6:B$25,'VOC-Detour-Car_A'!G$6:G$25,,0,1),0)</f>
        <v>0</v>
      </c>
      <c r="G27" s="240">
        <f t="shared" si="1"/>
        <v>3364740.5026087221</v>
      </c>
      <c r="H27" s="241">
        <f>SUM(C27:F27)*(1+0.07)^-(B27-Assumptions!$D$4)</f>
        <v>709781.52229071246</v>
      </c>
      <c r="I27"/>
      <c r="J27" s="59">
        <f t="shared" si="2"/>
        <v>2043</v>
      </c>
      <c r="K27" s="532">
        <f>IFERROR(_xlfn.XLOOKUP($J27,'TT-Detour-Car_B'!B$6:B$25,'TT-Detour-Car_B'!G$6:G$25,,0,1),0)</f>
        <v>2676574.5983260991</v>
      </c>
      <c r="L27" s="534">
        <f>IFERROR(_xlfn.XLOOKUP($J27,'VOC-Detour-Car_B'!B$6:B$25,'VOC-Detour-Car_B'!G$6:G$25,,0,1),0)</f>
        <v>2749682.1130434843</v>
      </c>
      <c r="M27" s="240">
        <f t="shared" si="0"/>
        <v>5426256.7113695834</v>
      </c>
      <c r="N27" s="241">
        <f>SUM(K27:L27)*(1+0.07)^-(J27-Assumptions!$D$4)</f>
        <v>1144651.9414944537</v>
      </c>
      <c r="O27"/>
    </row>
    <row r="28" spans="1:15" ht="15" hidden="1" customHeight="1" outlineLevel="1" x14ac:dyDescent="0.25">
      <c r="B28" s="149">
        <f t="shared" si="3"/>
        <v>2044</v>
      </c>
      <c r="C28" s="560">
        <f>IFERROR(_xlfn.XLOOKUP($B28,'TT-Detour-Truck'!B$6:B$25,'TT-Detour-Truck'!G$6:G$25,,0,1),0)</f>
        <v>0</v>
      </c>
      <c r="D28" s="560">
        <f>IFERROR(_xlfn.XLOOKUP($B28,'TT-Detour-Car_A'!B$6:B$25,'TT-Detour-Car_A'!G$6:G$25,,0,1),0)</f>
        <v>0</v>
      </c>
      <c r="E28" s="560">
        <f>IFERROR(_xlfn.XLOOKUP($B28,'VOC-Detour-Truck'!B$6:B$25,'VOC-Detour-Truck'!G$6:G$25,,0,1),0)</f>
        <v>0</v>
      </c>
      <c r="F28" s="560">
        <f>IFERROR(_xlfn.XLOOKUP($B28,'VOC-Detour-Car_A'!B$6:B$25,'VOC-Detour-Car_A'!G$6:G$25,,0,1),0)</f>
        <v>0</v>
      </c>
      <c r="G28" s="561">
        <f t="shared" si="1"/>
        <v>0</v>
      </c>
      <c r="H28" s="567">
        <f>SUM(C28:F28)*(1+0.07)^-(B28-Assumptions!$D$4)</f>
        <v>0</v>
      </c>
      <c r="I28"/>
      <c r="J28" s="149">
        <f t="shared" si="2"/>
        <v>2044</v>
      </c>
      <c r="K28" s="560">
        <f>IFERROR(_xlfn.XLOOKUP($J28,'TT-Detour-Car_A'!B$6:B$25,'TT-Detour-Car_A'!G$6:G$25,,0,1),0)</f>
        <v>0</v>
      </c>
      <c r="L28" s="560">
        <f>IFERROR(_xlfn.XLOOKUP($J28,'VOC-Detour-Car_A'!B$6:B$25,'VOC-Detour-Car_A'!G$6:G$25,,0,1),0)</f>
        <v>0</v>
      </c>
      <c r="M28" s="560">
        <f>IFERROR(_xlfn.XLOOKUP($J28,'VOC-Roughness-1'!B$6:B$25,'VOC-Roughness-1'!G$6:G$25,,0,1),0)</f>
        <v>0</v>
      </c>
      <c r="N28" s="567">
        <f>IFERROR(_xlfn.XLOOKUP($J28,'VOC-Roughness-2'!B$6:B$25,'VOC-Roughness-2'!G$6:G$25,,0,1),0)</f>
        <v>0</v>
      </c>
      <c r="O28"/>
    </row>
    <row r="29" spans="1:15" ht="15" hidden="1" customHeight="1" outlineLevel="1" x14ac:dyDescent="0.25">
      <c r="B29" s="57">
        <f t="shared" si="3"/>
        <v>2045</v>
      </c>
      <c r="C29" s="529">
        <f>IFERROR(_xlfn.XLOOKUP($B29,'TT-Detour-Truck'!B$6:B$25,'TT-Detour-Truck'!G$6:G$25,,0,1),0)</f>
        <v>0</v>
      </c>
      <c r="D29" s="529">
        <f>IFERROR(_xlfn.XLOOKUP($B29,'TT-Detour-Car_A'!B$6:B$25,'TT-Detour-Car_A'!G$6:G$25,,0,1),0)</f>
        <v>0</v>
      </c>
      <c r="E29" s="529">
        <f>IFERROR(_xlfn.XLOOKUP($B29,'VOC-Detour-Truck'!B$6:B$25,'VOC-Detour-Truck'!G$6:G$25,,0,1),0)</f>
        <v>0</v>
      </c>
      <c r="F29" s="529">
        <f>IFERROR(_xlfn.XLOOKUP($B29,'VOC-Detour-Car_A'!B$6:B$25,'VOC-Detour-Car_A'!G$6:G$25,,0,1),0)</f>
        <v>0</v>
      </c>
      <c r="G29" s="530">
        <f t="shared" si="1"/>
        <v>0</v>
      </c>
      <c r="H29" s="234">
        <f>SUM(C29:F29)*(1+0.07)^-(B29-Assumptions!$D$4)</f>
        <v>0</v>
      </c>
      <c r="I29"/>
      <c r="J29" s="57">
        <f t="shared" si="2"/>
        <v>2045</v>
      </c>
      <c r="K29" s="529">
        <f>IFERROR(_xlfn.XLOOKUP($J29,'TT-Detour-Car_A'!B$6:B$25,'TT-Detour-Car_A'!G$6:G$25,,0,1),0)</f>
        <v>0</v>
      </c>
      <c r="L29" s="529">
        <f>IFERROR(_xlfn.XLOOKUP($J29,'VOC-Detour-Car_A'!B$6:B$25,'VOC-Detour-Car_A'!G$6:G$25,,0,1),0)</f>
        <v>0</v>
      </c>
      <c r="M29" s="529">
        <f>IFERROR(_xlfn.XLOOKUP($J29,'VOC-Roughness-1'!B$6:B$25,'VOC-Roughness-1'!G$6:G$25,,0,1),0)</f>
        <v>0</v>
      </c>
      <c r="N29" s="234">
        <f>IFERROR(_xlfn.XLOOKUP($J29,'VOC-Roughness-2'!B$6:B$25,'VOC-Roughness-2'!G$6:G$25,,0,1),0)</f>
        <v>0</v>
      </c>
      <c r="O29"/>
    </row>
    <row r="30" spans="1:15" s="47" customFormat="1" ht="15" hidden="1" customHeight="1" outlineLevel="1" x14ac:dyDescent="0.25">
      <c r="A30"/>
      <c r="B30" s="57">
        <f t="shared" si="3"/>
        <v>2046</v>
      </c>
      <c r="C30" s="529">
        <f>IFERROR(_xlfn.XLOOKUP($B30,'TT-Detour-Truck'!B$6:B$25,'TT-Detour-Truck'!G$6:G$25,,0,1),0)</f>
        <v>0</v>
      </c>
      <c r="D30" s="529">
        <f>IFERROR(_xlfn.XLOOKUP($B30,'TT-Detour-Car_A'!B$6:B$25,'TT-Detour-Car_A'!G$6:G$25,,0,1),0)</f>
        <v>0</v>
      </c>
      <c r="E30" s="529">
        <f>IFERROR(_xlfn.XLOOKUP($B30,'VOC-Detour-Truck'!B$6:B$25,'VOC-Detour-Truck'!G$6:G$25,,0,1),0)</f>
        <v>0</v>
      </c>
      <c r="F30" s="529">
        <f>IFERROR(_xlfn.XLOOKUP($B30,'VOC-Detour-Car_A'!B$6:B$25,'VOC-Detour-Car_A'!G$6:G$25,,0,1),0)</f>
        <v>0</v>
      </c>
      <c r="G30" s="530">
        <f t="shared" si="1"/>
        <v>0</v>
      </c>
      <c r="H30" s="234">
        <f>SUM(C30:F30)*(1+0.07)^-(B30-Assumptions!$D$4)</f>
        <v>0</v>
      </c>
      <c r="J30" s="57">
        <f t="shared" si="2"/>
        <v>2046</v>
      </c>
      <c r="K30" s="529">
        <f>IFERROR(_xlfn.XLOOKUP($J30,'TT-Detour-Car_A'!B$6:B$25,'TT-Detour-Car_A'!G$6:G$25,,0,1),0)</f>
        <v>0</v>
      </c>
      <c r="L30" s="529">
        <f>IFERROR(_xlfn.XLOOKUP($J30,'VOC-Detour-Car_A'!B$6:B$25,'VOC-Detour-Car_A'!G$6:G$25,,0,1),0)</f>
        <v>0</v>
      </c>
      <c r="M30" s="529">
        <f>IFERROR(_xlfn.XLOOKUP($J30,'VOC-Roughness-1'!B$6:B$25,'VOC-Roughness-1'!G$6:G$25,,0,1),0)</f>
        <v>0</v>
      </c>
      <c r="N30" s="234">
        <f>IFERROR(_xlfn.XLOOKUP($J30,'VOC-Roughness-2'!B$6:B$25,'VOC-Roughness-2'!G$6:G$25,,0,1),0)</f>
        <v>0</v>
      </c>
      <c r="O30"/>
    </row>
    <row r="31" spans="1:15" s="47" customFormat="1" ht="15" hidden="1" customHeight="1" outlineLevel="1" x14ac:dyDescent="0.25">
      <c r="A31"/>
      <c r="B31" s="57">
        <f t="shared" si="3"/>
        <v>2047</v>
      </c>
      <c r="C31" s="529">
        <f>IFERROR(_xlfn.XLOOKUP($B31,'TT-Detour-Truck'!B$6:B$25,'TT-Detour-Truck'!G$6:G$25,,0,1),0)</f>
        <v>0</v>
      </c>
      <c r="D31" s="529">
        <f>IFERROR(_xlfn.XLOOKUP($B31,'TT-Detour-Car_A'!B$6:B$25,'TT-Detour-Car_A'!G$6:G$25,,0,1),0)</f>
        <v>0</v>
      </c>
      <c r="E31" s="529">
        <f>IFERROR(_xlfn.XLOOKUP($B31,'VOC-Detour-Truck'!B$6:B$25,'VOC-Detour-Truck'!G$6:G$25,,0,1),0)</f>
        <v>0</v>
      </c>
      <c r="F31" s="529">
        <f>IFERROR(_xlfn.XLOOKUP($B31,'VOC-Detour-Car_A'!B$6:B$25,'VOC-Detour-Car_A'!G$6:G$25,,0,1),0)</f>
        <v>0</v>
      </c>
      <c r="G31" s="530">
        <f t="shared" si="1"/>
        <v>0</v>
      </c>
      <c r="H31" s="234">
        <f>SUM(C31:F31)*(1+0.07)^-(B31-Assumptions!$D$4)</f>
        <v>0</v>
      </c>
      <c r="J31" s="57">
        <f t="shared" si="2"/>
        <v>2047</v>
      </c>
      <c r="K31" s="529">
        <f>IFERROR(_xlfn.XLOOKUP($J31,'TT-Detour-Car_A'!B$6:B$25,'TT-Detour-Car_A'!G$6:G$25,,0,1),0)</f>
        <v>0</v>
      </c>
      <c r="L31" s="529">
        <f>IFERROR(_xlfn.XLOOKUP($J31,'VOC-Detour-Car_A'!B$6:B$25,'VOC-Detour-Car_A'!G$6:G$25,,0,1),0)</f>
        <v>0</v>
      </c>
      <c r="M31" s="529">
        <f>IFERROR(_xlfn.XLOOKUP($J31,'VOC-Roughness-1'!B$6:B$25,'VOC-Roughness-1'!G$6:G$25,,0,1),0)</f>
        <v>0</v>
      </c>
      <c r="N31" s="234">
        <f>IFERROR(_xlfn.XLOOKUP($J31,'VOC-Roughness-2'!B$6:B$25,'VOC-Roughness-2'!G$6:G$25,,0,1),0)</f>
        <v>0</v>
      </c>
      <c r="O31"/>
    </row>
    <row r="32" spans="1:15" ht="15" hidden="1" customHeight="1" outlineLevel="1" x14ac:dyDescent="0.25">
      <c r="B32" s="57">
        <f t="shared" si="3"/>
        <v>2048</v>
      </c>
      <c r="C32" s="529">
        <f>IFERROR(_xlfn.XLOOKUP($B32,'TT-Detour-Truck'!B$6:B$25,'TT-Detour-Truck'!G$6:G$25,,0,1),0)</f>
        <v>0</v>
      </c>
      <c r="D32" s="529">
        <f>IFERROR(_xlfn.XLOOKUP($B32,'TT-Detour-Car_A'!B$6:B$25,'TT-Detour-Car_A'!G$6:G$25,,0,1),0)</f>
        <v>0</v>
      </c>
      <c r="E32" s="529">
        <f>IFERROR(_xlfn.XLOOKUP($B32,'VOC-Detour-Truck'!B$6:B$25,'VOC-Detour-Truck'!G$6:G$25,,0,1),0)</f>
        <v>0</v>
      </c>
      <c r="F32" s="529">
        <f>IFERROR(_xlfn.XLOOKUP($B32,'VOC-Detour-Car_A'!B$6:B$25,'VOC-Detour-Car_A'!G$6:G$25,,0,1),0)</f>
        <v>0</v>
      </c>
      <c r="G32" s="530">
        <f t="shared" si="1"/>
        <v>0</v>
      </c>
      <c r="H32" s="234">
        <f>SUM(C32:F32)*(1+0.07)^-(B32-Assumptions!$D$4)</f>
        <v>0</v>
      </c>
      <c r="I32"/>
      <c r="J32" s="57">
        <f t="shared" si="2"/>
        <v>2048</v>
      </c>
      <c r="K32" s="529">
        <f>IFERROR(_xlfn.XLOOKUP($J32,'TT-Detour-Car_A'!B$6:B$25,'TT-Detour-Car_A'!G$6:G$25,,0,1),0)</f>
        <v>0</v>
      </c>
      <c r="L32" s="529">
        <f>IFERROR(_xlfn.XLOOKUP($J32,'VOC-Detour-Car_A'!B$6:B$25,'VOC-Detour-Car_A'!G$6:G$25,,0,1),0)</f>
        <v>0</v>
      </c>
      <c r="M32" s="529">
        <f>IFERROR(_xlfn.XLOOKUP($J32,'VOC-Roughness-1'!B$6:B$25,'VOC-Roughness-1'!G$6:G$25,,0,1),0)</f>
        <v>0</v>
      </c>
      <c r="N32" s="234">
        <f>IFERROR(_xlfn.XLOOKUP($J32,'VOC-Roughness-2'!B$6:B$25,'VOC-Roughness-2'!G$6:G$25,,0,1),0)</f>
        <v>0</v>
      </c>
      <c r="O32"/>
    </row>
    <row r="33" spans="2:18" ht="15" hidden="1" customHeight="1" outlineLevel="1" x14ac:dyDescent="0.25">
      <c r="B33" s="57">
        <f t="shared" si="3"/>
        <v>2049</v>
      </c>
      <c r="C33" s="529">
        <f>IFERROR(_xlfn.XLOOKUP($B33,'TT-Detour-Truck'!B$6:B$25,'TT-Detour-Truck'!G$6:G$25,,0,1),0)</f>
        <v>0</v>
      </c>
      <c r="D33" s="529">
        <f>IFERROR(_xlfn.XLOOKUP($B33,'TT-Detour-Car_A'!B$6:B$25,'TT-Detour-Car_A'!G$6:G$25,,0,1),0)</f>
        <v>0</v>
      </c>
      <c r="E33" s="529">
        <f>IFERROR(_xlfn.XLOOKUP($B33,'VOC-Detour-Truck'!B$6:B$25,'VOC-Detour-Truck'!G$6:G$25,,0,1),0)</f>
        <v>0</v>
      </c>
      <c r="F33" s="529">
        <f>IFERROR(_xlfn.XLOOKUP($B33,'VOC-Detour-Car_A'!B$6:B$25,'VOC-Detour-Car_A'!G$6:G$25,,0,1),0)</f>
        <v>0</v>
      </c>
      <c r="G33" s="530">
        <f t="shared" si="1"/>
        <v>0</v>
      </c>
      <c r="H33" s="234">
        <f>SUM(C33:F33)*(1+0.07)^-(B33-Assumptions!$D$4)</f>
        <v>0</v>
      </c>
      <c r="I33"/>
      <c r="J33" s="57">
        <f t="shared" si="2"/>
        <v>2049</v>
      </c>
      <c r="K33" s="529">
        <f>IFERROR(_xlfn.XLOOKUP($J33,'TT-Detour-Car_A'!B$6:B$25,'TT-Detour-Car_A'!G$6:G$25,,0,1),0)</f>
        <v>0</v>
      </c>
      <c r="L33" s="529">
        <f>IFERROR(_xlfn.XLOOKUP($J33,'VOC-Detour-Car_A'!B$6:B$25,'VOC-Detour-Car_A'!G$6:G$25,,0,1),0)</f>
        <v>0</v>
      </c>
      <c r="M33" s="529">
        <f>IFERROR(_xlfn.XLOOKUP($J33,'VOC-Roughness-1'!B$6:B$25,'VOC-Roughness-1'!G$6:G$25,,0,1),0)</f>
        <v>0</v>
      </c>
      <c r="N33" s="234">
        <f>IFERROR(_xlfn.XLOOKUP($J33,'VOC-Roughness-2'!B$6:B$25,'VOC-Roughness-2'!G$6:G$25,,0,1),0)</f>
        <v>0</v>
      </c>
      <c r="O33"/>
    </row>
    <row r="34" spans="2:18" ht="15" hidden="1" customHeight="1" outlineLevel="1" x14ac:dyDescent="0.25">
      <c r="B34" s="58">
        <f t="shared" si="3"/>
        <v>2050</v>
      </c>
      <c r="C34" s="529">
        <f>IFERROR(_xlfn.XLOOKUP($B34,'TT-Detour-Truck'!B$6:B$25,'TT-Detour-Truck'!G$6:G$25,,0,1),0)</f>
        <v>0</v>
      </c>
      <c r="D34" s="529">
        <f>IFERROR(_xlfn.XLOOKUP($B34,'TT-Detour-Car_A'!B$6:B$25,'TT-Detour-Car_A'!G$6:G$25,,0,1),0)</f>
        <v>0</v>
      </c>
      <c r="E34" s="529">
        <f>IFERROR(_xlfn.XLOOKUP($B34,'VOC-Detour-Truck'!B$6:B$25,'VOC-Detour-Truck'!G$6:G$25,,0,1),0)</f>
        <v>0</v>
      </c>
      <c r="F34" s="529">
        <f>IFERROR(_xlfn.XLOOKUP($B34,'VOC-Detour-Car_A'!B$6:B$25,'VOC-Detour-Car_A'!G$6:G$25,,0,1),0)</f>
        <v>0</v>
      </c>
      <c r="G34" s="530">
        <f t="shared" si="1"/>
        <v>0</v>
      </c>
      <c r="H34" s="234">
        <f>SUM(C34:F34)*(1+0.07)^-(B34-Assumptions!$D$4)</f>
        <v>0</v>
      </c>
      <c r="I34"/>
      <c r="J34" s="58">
        <f t="shared" si="2"/>
        <v>2050</v>
      </c>
      <c r="K34" s="529">
        <f>IFERROR(_xlfn.XLOOKUP($J34,'TT-Detour-Car_A'!B$6:B$25,'TT-Detour-Car_A'!G$6:G$25,,0,1),0)</f>
        <v>0</v>
      </c>
      <c r="L34" s="529">
        <f>IFERROR(_xlfn.XLOOKUP($J34,'VOC-Detour-Car_A'!B$6:B$25,'VOC-Detour-Car_A'!G$6:G$25,,0,1),0)</f>
        <v>0</v>
      </c>
      <c r="M34" s="529">
        <f>IFERROR(_xlfn.XLOOKUP($J34,'VOC-Roughness-1'!B$6:B$25,'VOC-Roughness-1'!G$6:G$25,,0,1),0)</f>
        <v>0</v>
      </c>
      <c r="N34" s="234">
        <f>IFERROR(_xlfn.XLOOKUP($J34,'VOC-Roughness-2'!B$6:B$25,'VOC-Roughness-2'!G$6:G$25,,0,1),0)</f>
        <v>0</v>
      </c>
      <c r="O34"/>
    </row>
    <row r="35" spans="2:18" ht="15.75" hidden="1" outlineLevel="1" thickBot="1" x14ac:dyDescent="0.3">
      <c r="B35" s="59">
        <f t="shared" si="3"/>
        <v>2051</v>
      </c>
      <c r="C35" s="533">
        <f>IFERROR(_xlfn.XLOOKUP($B35,'TT-Detour-Truck'!B$6:B$25,'TT-Detour-Truck'!G$6:G$25,,0,1),0)</f>
        <v>0</v>
      </c>
      <c r="D35" s="533">
        <f>IFERROR(_xlfn.XLOOKUP($B35,'TT-Detour-Car_A'!B$6:B$25,'TT-Detour-Car_A'!G$6:G$25,,0,1),0)</f>
        <v>0</v>
      </c>
      <c r="E35" s="533">
        <f>IFERROR(_xlfn.XLOOKUP($B35,'VOC-Detour-Truck'!B$6:B$25,'VOC-Detour-Truck'!G$6:G$25,,0,1),0)</f>
        <v>0</v>
      </c>
      <c r="F35" s="533">
        <f>IFERROR(_xlfn.XLOOKUP($B35,'VOC-Detour-Car_A'!B$6:B$25,'VOC-Detour-Car_A'!G$6:G$25,,0,1),0)</f>
        <v>0</v>
      </c>
      <c r="G35" s="562">
        <f t="shared" si="1"/>
        <v>0</v>
      </c>
      <c r="H35" s="534">
        <f>SUM(C35:F35)*(1+0.07)^-(B35-Assumptions!$D$4)</f>
        <v>0</v>
      </c>
      <c r="I35"/>
      <c r="J35" s="59">
        <f t="shared" si="2"/>
        <v>2051</v>
      </c>
      <c r="K35" s="533">
        <f>IFERROR(_xlfn.XLOOKUP($J35,'TT-Detour-Car_A'!B$6:B$25,'TT-Detour-Car_A'!G$6:G$25,,0,1),0)</f>
        <v>0</v>
      </c>
      <c r="L35" s="533">
        <f>IFERROR(_xlfn.XLOOKUP($J35,'VOC-Detour-Car_A'!B$6:B$25,'VOC-Detour-Car_A'!G$6:G$25,,0,1),0)</f>
        <v>0</v>
      </c>
      <c r="M35" s="533">
        <f>IFERROR(_xlfn.XLOOKUP($J35,'VOC-Roughness-1'!B$6:B$25,'VOC-Roughness-1'!G$6:G$25,,0,1),0)</f>
        <v>0</v>
      </c>
      <c r="N35" s="534">
        <f>IFERROR(_xlfn.XLOOKUP($J35,'VOC-Roughness-2'!B$6:B$25,'VOC-Roughness-2'!G$6:G$25,,0,1),0)</f>
        <v>0</v>
      </c>
      <c r="O35"/>
    </row>
    <row r="36" spans="2:18" ht="15" customHeight="1" collapsed="1" thickBot="1" x14ac:dyDescent="0.3">
      <c r="B36" s="10"/>
      <c r="G36" s="569">
        <f>SUM(G7:G27)</f>
        <v>56666953.572605357</v>
      </c>
      <c r="H36" s="537">
        <f>SUM(H7:H35)</f>
        <v>21620245.136917382</v>
      </c>
      <c r="I36"/>
      <c r="J36" s="10"/>
      <c r="K36" s="39"/>
      <c r="L36" s="39"/>
      <c r="M36" s="572">
        <f>SUM(M7:M35)</f>
        <v>55797903.314974658</v>
      </c>
      <c r="N36" s="537">
        <f>SUM(N7:N35)</f>
        <v>16731115.684982754</v>
      </c>
      <c r="O36"/>
    </row>
    <row r="37" spans="2:18" ht="15.75" thickBot="1" x14ac:dyDescent="0.3">
      <c r="C37" s="39"/>
      <c r="D37" s="39"/>
      <c r="E37" s="39"/>
      <c r="F37" s="39"/>
      <c r="G37" s="39"/>
      <c r="H37" s="39"/>
      <c r="I37"/>
      <c r="K37" s="39"/>
      <c r="L37" s="39"/>
      <c r="M37" s="39"/>
      <c r="N37" s="39"/>
      <c r="O37"/>
    </row>
    <row r="38" spans="2:18" ht="16.5" customHeight="1" thickBot="1" x14ac:dyDescent="0.3">
      <c r="C38" s="625" t="s">
        <v>16</v>
      </c>
      <c r="D38" s="631"/>
      <c r="E38" s="626"/>
      <c r="F38" s="627" t="s">
        <v>18</v>
      </c>
      <c r="G38" s="628"/>
      <c r="H38" s="628"/>
      <c r="I38" s="623" t="s">
        <v>30</v>
      </c>
      <c r="J38" s="624"/>
      <c r="K38" s="629" t="s">
        <v>17</v>
      </c>
      <c r="L38" s="630"/>
      <c r="M38" s="523"/>
      <c r="N38" s="523"/>
      <c r="O38" s="523"/>
    </row>
    <row r="39" spans="2:18" ht="15" customHeight="1" x14ac:dyDescent="0.25">
      <c r="B39" s="613" t="s">
        <v>0</v>
      </c>
      <c r="C39" s="621" t="s">
        <v>580</v>
      </c>
      <c r="D39" s="632" t="s">
        <v>579</v>
      </c>
      <c r="E39" s="619" t="s">
        <v>221</v>
      </c>
      <c r="F39" s="621" t="s">
        <v>583</v>
      </c>
      <c r="G39" s="632" t="s">
        <v>584</v>
      </c>
      <c r="H39" s="638" t="s">
        <v>222</v>
      </c>
      <c r="I39" s="621" t="s">
        <v>51</v>
      </c>
      <c r="J39" s="619" t="s">
        <v>598</v>
      </c>
      <c r="K39" s="632" t="s">
        <v>581</v>
      </c>
      <c r="L39" s="632" t="s">
        <v>582</v>
      </c>
      <c r="M39" s="636" t="s">
        <v>585</v>
      </c>
      <c r="N39" s="634" t="s">
        <v>586</v>
      </c>
      <c r="O39"/>
      <c r="P39" s="523"/>
      <c r="Q39" s="523"/>
      <c r="R39" s="523"/>
    </row>
    <row r="40" spans="2:18" ht="70.5" customHeight="1" thickBot="1" x14ac:dyDescent="0.3">
      <c r="B40" s="614"/>
      <c r="C40" s="622"/>
      <c r="D40" s="633"/>
      <c r="E40" s="620"/>
      <c r="F40" s="622"/>
      <c r="G40" s="633"/>
      <c r="H40" s="639"/>
      <c r="I40" s="622"/>
      <c r="J40" s="620"/>
      <c r="K40" s="633"/>
      <c r="L40" s="633"/>
      <c r="M40" s="637"/>
      <c r="N40" s="635"/>
      <c r="O40"/>
      <c r="P40" s="574"/>
      <c r="Q40" s="5"/>
      <c r="R40" s="5"/>
    </row>
    <row r="41" spans="2:18" ht="15.75" thickBot="1" x14ac:dyDescent="0.3">
      <c r="B41" s="553">
        <f>Assumptions!$D$5</f>
        <v>2023</v>
      </c>
      <c r="C41" s="558">
        <f>IFERROR(_xlfn.XLOOKUP($J7,'VOC-Roughness-1'!B$6:B$25,'VOC-Roughness-1'!G$6:G$25,,0,1),0)</f>
        <v>0</v>
      </c>
      <c r="D41" s="603">
        <f>IFERROR(_xlfn.XLOOKUP($J7,'VOC-Roughness-2'!B$6:B$25,'VOC-Roughness-2'!G$6:G$25,,0,1),0)</f>
        <v>0</v>
      </c>
      <c r="E41" s="566">
        <f>IFERROR(_xlfn.XLOOKUP($B7,'TT-Construction'!B$6:B$25,'TT-Construction'!E$6:E$25,,0,1),0)</f>
        <v>-160914.5341333992</v>
      </c>
      <c r="F41" s="554">
        <f>IFERROR(_xlfn.XLOOKUP($B7,'Air Quality'!B$5:B$24,'Air Quality'!D$5:D$24,,0,1),0)</f>
        <v>0</v>
      </c>
      <c r="G41" s="555">
        <f>IFERROR(_xlfn.XLOOKUP($B7,'Air Quality'!B$5:B$24,'Air Quality'!M$5:M$24,,0,1),0)</f>
        <v>0</v>
      </c>
      <c r="H41" s="556">
        <f>IFERROR(_xlfn.XLOOKUP($B7,'Air Quality'!B$5:B$24,'Air Quality'!E$5:E$24,,0,1),0)</f>
        <v>0</v>
      </c>
      <c r="I41" s="586">
        <f>IFERROR(_xlfn.XLOOKUP($B41,'Operation &amp; Maintenance'!B$7:B$46,'Operation &amp; Maintenance'!E$7:E$46,,0,1),0)</f>
        <v>0</v>
      </c>
      <c r="J41" s="557">
        <f>'Capital Costs &amp; RCV Calc'!G10</f>
        <v>0</v>
      </c>
      <c r="K41" s="554">
        <f>'Safety Benefits - Rumble Strip'!E6</f>
        <v>0</v>
      </c>
      <c r="L41" s="556">
        <f>IFERROR(_xlfn.XLOOKUP(#REF!,'Safety Benefits - Shoulder'!B$6:B$25,'Safety Benefits - Shoulder'!E$6:E$25,,0,1),0)</f>
        <v>0</v>
      </c>
      <c r="M41" s="590">
        <f t="shared" ref="M41:M61" si="4">SUM(C41:G41,I41:L41)</f>
        <v>-160914.5341333992</v>
      </c>
      <c r="N41" s="598">
        <f>SUM(I41:L41,G41,C41:E41)*(1+0.07)^-(B41-Assumptions!$D$4)+H41</f>
        <v>-131354.19257397429</v>
      </c>
      <c r="P41" s="523"/>
      <c r="Q41" s="61"/>
      <c r="R41" s="279"/>
    </row>
    <row r="42" spans="2:18" ht="15.75" thickTop="1" x14ac:dyDescent="0.25">
      <c r="B42" s="552">
        <f t="shared" ref="B42:B69" si="5">B41+1</f>
        <v>2024</v>
      </c>
      <c r="C42" s="236">
        <f>IFERROR(_xlfn.XLOOKUP($J8,'VOC-Roughness-1'!B$6:B$25,'VOC-Roughness-1'!G$6:G$25,,0,1),0)</f>
        <v>131653.76655356551</v>
      </c>
      <c r="D42" s="604">
        <f>IFERROR(_xlfn.XLOOKUP($J8,'VOC-Roughness-2'!B$6:B$25,'VOC-Roughness-2'!G$6:G$25,,0,1),0)</f>
        <v>0</v>
      </c>
      <c r="E42" s="541">
        <f>IFERROR(_xlfn.XLOOKUP($B8,'TT-Construction'!B$6:B$25,'TT-Construction'!E$6:E$25,,0,1),0)</f>
        <v>-163752.39770009884</v>
      </c>
      <c r="F42" s="538">
        <f>IFERROR(_xlfn.XLOOKUP($B8,'Air Quality'!B$5:B$24,'Air Quality'!D$5:D$24,,0,1),0)</f>
        <v>0</v>
      </c>
      <c r="G42" s="531">
        <f>IFERROR(_xlfn.XLOOKUP($B8,'Air Quality'!B$5:B$24,'Air Quality'!M$5:M$24,,0,1),0)</f>
        <v>0</v>
      </c>
      <c r="H42" s="539">
        <f>IFERROR(_xlfn.XLOOKUP($B8,'Air Quality'!B$5:B$24,'Air Quality'!E$5:E$24,,0,1),0)</f>
        <v>0</v>
      </c>
      <c r="I42" s="587">
        <f>IFERROR(_xlfn.XLOOKUP($B42,'Operation &amp; Maintenance'!B$7:B$46,'Operation &amp; Maintenance'!E$7:E$46,,0,1),0)</f>
        <v>16896.099999999999</v>
      </c>
      <c r="J42" s="237">
        <f>'Capital Costs &amp; RCV Calc'!G11</f>
        <v>0</v>
      </c>
      <c r="K42" s="531">
        <f>'Safety Benefits - Rumble Strip'!E6</f>
        <v>0</v>
      </c>
      <c r="L42" s="539">
        <f>'Safety Benefits - Shoulder'!E6</f>
        <v>16672.271886895061</v>
      </c>
      <c r="M42" s="591">
        <f t="shared" si="4"/>
        <v>1469.7407403617326</v>
      </c>
      <c r="N42" s="599">
        <f>SUM(I42:L42,G42,C42:E42)*(1+0.07)^-(B42-Assumptions!$D$4)+H42</f>
        <v>1121.2581737731562</v>
      </c>
      <c r="Q42" s="61"/>
      <c r="R42" s="279"/>
    </row>
    <row r="43" spans="2:18" x14ac:dyDescent="0.25">
      <c r="B43" s="56">
        <f t="shared" si="5"/>
        <v>2025</v>
      </c>
      <c r="C43" s="239">
        <f>IFERROR(_xlfn.XLOOKUP($J9,'VOC-Roughness-1'!B$6:B$25,'VOC-Roughness-1'!G$6:G$25,,0,1),0)</f>
        <v>133935.35407697593</v>
      </c>
      <c r="D43" s="530">
        <f>IFERROR(_xlfn.XLOOKUP($J9,'VOC-Roughness-2'!B$6:B$25,'VOC-Roughness-2'!G$6:G$25,,0,1),0)</f>
        <v>0</v>
      </c>
      <c r="E43" s="234">
        <f>IFERROR(_xlfn.XLOOKUP($B9,'TT-Construction'!B$6:B$25,'TT-Construction'!E$6:E$25,,0,1),0)</f>
        <v>0</v>
      </c>
      <c r="F43" s="232">
        <f>IFERROR(_xlfn.XLOOKUP($B9,'Air Quality'!B$5:B$24,'Air Quality'!D$5:D$24,,0,1),0)</f>
        <v>0</v>
      </c>
      <c r="G43" s="529">
        <f>IFERROR(_xlfn.XLOOKUP($B9,'Air Quality'!B$5:B$24,'Air Quality'!M$5:M$24,,0,1),0)</f>
        <v>0</v>
      </c>
      <c r="H43" s="233">
        <f>IFERROR(_xlfn.XLOOKUP($B9,'Air Quality'!B$5:B$24,'Air Quality'!E$5:E$24,,0,1),0)</f>
        <v>0</v>
      </c>
      <c r="I43" s="588">
        <f>IFERROR(_xlfn.XLOOKUP($B43,'Operation &amp; Maintenance'!B$7:B$46,'Operation &amp; Maintenance'!E$7:E$46,,0,1),0)</f>
        <v>17429.27</v>
      </c>
      <c r="J43" s="246">
        <f>'Capital Costs &amp; RCV Calc'!G12</f>
        <v>0</v>
      </c>
      <c r="K43" s="232">
        <f>'Safety Benefits - Rumble Strip'!E7</f>
        <v>46789.533442088359</v>
      </c>
      <c r="L43" s="233">
        <f>'Safety Benefits - Shoulder'!E7</f>
        <v>16961.205872757026</v>
      </c>
      <c r="M43" s="592">
        <f t="shared" si="4"/>
        <v>215115.36339182127</v>
      </c>
      <c r="N43" s="600">
        <f>SUM(I43:L43,G43,C43:E43)*(1+0.07)^-(B43-Assumptions!$D$4)+H43</f>
        <v>153374.28109297567</v>
      </c>
      <c r="Q43" s="61"/>
      <c r="R43" s="279"/>
    </row>
    <row r="44" spans="2:18" x14ac:dyDescent="0.25">
      <c r="B44" s="57">
        <f t="shared" si="5"/>
        <v>2026</v>
      </c>
      <c r="C44" s="239">
        <f>IFERROR(_xlfn.XLOOKUP($J10,'VOC-Roughness-1'!B$6:B$25,'VOC-Roughness-1'!G$6:G$25,,0,1),0)</f>
        <v>136216.94160038687</v>
      </c>
      <c r="D44" s="530">
        <f>IFERROR(_xlfn.XLOOKUP($J10,'VOC-Roughness-2'!B$6:B$25,'VOC-Roughness-2'!G$6:G$25,,0,1),0)</f>
        <v>0</v>
      </c>
      <c r="E44" s="234">
        <f>IFERROR(_xlfn.XLOOKUP($B10,'TT-Construction'!B$6:B$25,'TT-Construction'!E$6:E$25,,0,1),0)</f>
        <v>0</v>
      </c>
      <c r="F44" s="232">
        <f>IFERROR(_xlfn.XLOOKUP($B10,'Air Quality'!B$5:B$24,'Air Quality'!D$5:D$24,,0,1),0)</f>
        <v>0</v>
      </c>
      <c r="G44" s="529">
        <f>IFERROR(_xlfn.XLOOKUP($B10,'Air Quality'!B$5:B$24,'Air Quality'!M$5:M$24,,0,1),0)</f>
        <v>0</v>
      </c>
      <c r="H44" s="233">
        <f>IFERROR(_xlfn.XLOOKUP($B10,'Air Quality'!B$5:B$24,'Air Quality'!E$5:E$24,,0,1),0)</f>
        <v>0</v>
      </c>
      <c r="I44" s="588">
        <f>IFERROR(_xlfn.XLOOKUP($B44,'Operation &amp; Maintenance'!B$7:B$46,'Operation &amp; Maintenance'!E$7:E$46,,0,1),0)</f>
        <v>19781.97</v>
      </c>
      <c r="J44" s="246">
        <f>'Capital Costs &amp; RCV Calc'!G13</f>
        <v>0</v>
      </c>
      <c r="K44" s="232">
        <f>'Safety Benefits - Rumble Strip'!E8</f>
        <v>47586.592713431412</v>
      </c>
      <c r="L44" s="233">
        <f>'Safety Benefits - Shoulder'!E8</f>
        <v>17250.139858618873</v>
      </c>
      <c r="M44" s="592">
        <f t="shared" si="4"/>
        <v>220835.64417243717</v>
      </c>
      <c r="N44" s="600">
        <f>SUM(I44:L44,G44,C44:E44)*(1+0.07)^-(B44-Assumptions!$D$4)+H44</f>
        <v>147152.11423581382</v>
      </c>
      <c r="Q44" s="61"/>
      <c r="R44" s="575"/>
    </row>
    <row r="45" spans="2:18" x14ac:dyDescent="0.25">
      <c r="B45" s="57">
        <f t="shared" si="5"/>
        <v>2027</v>
      </c>
      <c r="C45" s="239">
        <f>IFERROR(_xlfn.XLOOKUP($J11,'VOC-Roughness-1'!B$6:B$25,'VOC-Roughness-1'!G$6:G$25,,0,1),0)</f>
        <v>138498.52912379729</v>
      </c>
      <c r="D45" s="530">
        <f>IFERROR(_xlfn.XLOOKUP($J11,'VOC-Roughness-2'!B$6:B$25,'VOC-Roughness-2'!G$6:G$25,,0,1),0)</f>
        <v>0</v>
      </c>
      <c r="E45" s="234">
        <f>IFERROR(_xlfn.XLOOKUP($B11,'TT-Construction'!B$6:B$25,'TT-Construction'!E$6:E$25,,0,1),0)</f>
        <v>0</v>
      </c>
      <c r="F45" s="232">
        <f>IFERROR(_xlfn.XLOOKUP($B11,'Air Quality'!B$5:B$24,'Air Quality'!D$5:D$24,,0,1),0)</f>
        <v>0</v>
      </c>
      <c r="G45" s="529">
        <f>IFERROR(_xlfn.XLOOKUP($B11,'Air Quality'!B$5:B$24,'Air Quality'!M$5:M$24,,0,1),0)</f>
        <v>0</v>
      </c>
      <c r="H45" s="233">
        <f>IFERROR(_xlfn.XLOOKUP($B11,'Air Quality'!B$5:B$24,'Air Quality'!E$5:E$24,,0,1),0)</f>
        <v>0</v>
      </c>
      <c r="I45" s="588">
        <f>IFERROR(_xlfn.XLOOKUP($B45,'Operation &amp; Maintenance'!B$7:B$46,'Operation &amp; Maintenance'!E$7:E$46,,0,1),0)</f>
        <v>22171.059999999998</v>
      </c>
      <c r="J45" s="246">
        <f>'Capital Costs &amp; RCV Calc'!G14</f>
        <v>0</v>
      </c>
      <c r="K45" s="232">
        <f>'Safety Benefits - Rumble Strip'!E9</f>
        <v>48383.651984774464</v>
      </c>
      <c r="L45" s="233">
        <f>'Safety Benefits - Shoulder'!E9</f>
        <v>17539.073844480736</v>
      </c>
      <c r="M45" s="592">
        <f t="shared" si="4"/>
        <v>226592.3149530525</v>
      </c>
      <c r="N45" s="600">
        <f>SUM(I45:L45,G45,C45:E45)*(1+0.07)^-(B45-Assumptions!$D$4)+H45</f>
        <v>141110.30565004543</v>
      </c>
      <c r="Q45" s="61"/>
    </row>
    <row r="46" spans="2:18" x14ac:dyDescent="0.25">
      <c r="B46" s="57">
        <f t="shared" si="5"/>
        <v>2028</v>
      </c>
      <c r="C46" s="239">
        <f>IFERROR(_xlfn.XLOOKUP($J12,'VOC-Roughness-1'!B$6:B$25,'VOC-Roughness-1'!G$6:G$25,,0,1),0)</f>
        <v>0</v>
      </c>
      <c r="D46" s="530">
        <f>IFERROR(_xlfn.XLOOKUP($J12,'VOC-Roughness-2'!B$6:B$25,'VOC-Roughness-2'!G$6:G$25,,0,1),0)</f>
        <v>46705.040204495825</v>
      </c>
      <c r="E46" s="234">
        <f>IFERROR(_xlfn.XLOOKUP($B12,'TT-Construction'!B$6:B$25,'TT-Construction'!E$6:E$25,,0,1),0)</f>
        <v>0</v>
      </c>
      <c r="F46" s="232">
        <f>IFERROR(_xlfn.XLOOKUP($B12,'Air Quality'!B$5:B$24,'Air Quality'!D$5:D$24,,0,1),0)</f>
        <v>93693.146077898782</v>
      </c>
      <c r="G46" s="529">
        <f>IFERROR(_xlfn.XLOOKUP($B12,'Air Quality'!B$5:B$24,'Air Quality'!M$5:M$24,,0,1),0)</f>
        <v>77530.489563709212</v>
      </c>
      <c r="H46" s="233">
        <f>IFERROR(_xlfn.XLOOKUP($B12,'Air Quality'!B$5:B$24,'Air Quality'!E$5:E$24,,0,1),0)</f>
        <v>73962.234705817813</v>
      </c>
      <c r="I46" s="588">
        <f>IFERROR(_xlfn.XLOOKUP($B46,'Operation &amp; Maintenance'!B$7:B$46,'Operation &amp; Maintenance'!E$7:E$46,,0,1),0)</f>
        <v>-3602.48</v>
      </c>
      <c r="J46" s="246">
        <f>'Capital Costs &amp; RCV Calc'!G15</f>
        <v>0</v>
      </c>
      <c r="K46" s="232">
        <f>'Safety Benefits - Rumble Strip'!E10</f>
        <v>20096.500098048593</v>
      </c>
      <c r="L46" s="233">
        <f>'Safety Benefits - Shoulder'!E10</f>
        <v>7284.9812855426135</v>
      </c>
      <c r="M46" s="592">
        <f t="shared" si="4"/>
        <v>241707.67722969502</v>
      </c>
      <c r="N46" s="600">
        <f>SUM(I46:L46,G46,C46:E46)*(1+0.07)^-(B46-Assumptions!$D$4)+H46</f>
        <v>160108.03944408873</v>
      </c>
      <c r="Q46" s="61"/>
    </row>
    <row r="47" spans="2:18" x14ac:dyDescent="0.25">
      <c r="B47" s="57">
        <f t="shared" si="5"/>
        <v>2029</v>
      </c>
      <c r="C47" s="239">
        <f>IFERROR(_xlfn.XLOOKUP($J13,'VOC-Roughness-1'!B$6:B$25,'VOC-Roughness-1'!G$6:G$25,,0,1),0)</f>
        <v>0</v>
      </c>
      <c r="D47" s="530">
        <f>IFERROR(_xlfn.XLOOKUP($J13,'VOC-Roughness-2'!B$6:B$25,'VOC-Roughness-2'!G$6:G$25,,0,1),0)</f>
        <v>47461.976905138101</v>
      </c>
      <c r="E47" s="234">
        <f>IFERROR(_xlfn.XLOOKUP($B13,'TT-Construction'!B$6:B$25,'TT-Construction'!E$6:E$25,,0,1),0)</f>
        <v>0</v>
      </c>
      <c r="F47" s="232">
        <f>IFERROR(_xlfn.XLOOKUP($B13,'Air Quality'!B$5:B$24,'Air Quality'!D$5:D$24,,0,1),0)</f>
        <v>96798.467169983123</v>
      </c>
      <c r="G47" s="529">
        <f>IFERROR(_xlfn.XLOOKUP($B13,'Air Quality'!B$5:B$24,'Air Quality'!M$5:M$24,,0,1),0)</f>
        <v>80136.871939820179</v>
      </c>
      <c r="H47" s="233">
        <f>IFERROR(_xlfn.XLOOKUP($B13,'Air Quality'!B$5:B$24,'Air Quality'!E$5:E$24,,0,1),0)</f>
        <v>74187.964904290318</v>
      </c>
      <c r="I47" s="588">
        <f>IFERROR(_xlfn.XLOOKUP($B47,'Operation &amp; Maintenance'!B$7:B$46,'Operation &amp; Maintenance'!E$7:E$46,,0,1),0)</f>
        <v>-5421.91</v>
      </c>
      <c r="J47" s="246">
        <f>'Capital Costs &amp; RCV Calc'!G16</f>
        <v>0</v>
      </c>
      <c r="K47" s="232">
        <f>'Safety Benefits - Rumble Strip'!E11</f>
        <v>20422.198960785267</v>
      </c>
      <c r="L47" s="233">
        <f>'Safety Benefits - Shoulder'!E11</f>
        <v>7403.0471232846612</v>
      </c>
      <c r="M47" s="592">
        <f t="shared" si="4"/>
        <v>246800.65209901132</v>
      </c>
      <c r="N47" s="600">
        <f>SUM(I47:L47,G47,C47:E47)*(1+0.07)^-(B47-Assumptions!$D$4)+H47</f>
        <v>155779.21474853612</v>
      </c>
      <c r="Q47" s="61"/>
    </row>
    <row r="48" spans="2:18" x14ac:dyDescent="0.25">
      <c r="B48" s="57">
        <f t="shared" si="5"/>
        <v>2030</v>
      </c>
      <c r="C48" s="239">
        <f>IFERROR(_xlfn.XLOOKUP($J14,'VOC-Roughness-1'!B$6:B$25,'VOC-Roughness-1'!G$6:G$25,,0,1),0)</f>
        <v>0</v>
      </c>
      <c r="D48" s="530">
        <f>IFERROR(_xlfn.XLOOKUP($J14,'VOC-Roughness-2'!B$6:B$25,'VOC-Roughness-2'!G$6:G$25,,0,1),0)</f>
        <v>48218.913605780595</v>
      </c>
      <c r="E48" s="234">
        <f>IFERROR(_xlfn.XLOOKUP($B14,'TT-Construction'!B$6:B$25,'TT-Construction'!E$6:E$25,,0,1),0)</f>
        <v>0</v>
      </c>
      <c r="F48" s="232">
        <f>IFERROR(_xlfn.XLOOKUP($B14,'Air Quality'!B$5:B$24,'Air Quality'!D$5:D$24,,0,1),0)</f>
        <v>99954.403627884429</v>
      </c>
      <c r="G48" s="529">
        <f>IFERROR(_xlfn.XLOOKUP($B14,'Air Quality'!B$5:B$24,'Air Quality'!M$5:M$24,,0,1),0)</f>
        <v>83209.610970004564</v>
      </c>
      <c r="H48" s="233">
        <f>IFERROR(_xlfn.XLOOKUP($B14,'Air Quality'!B$5:B$24,'Air Quality'!E$5:E$24,,0,1),0)</f>
        <v>74375.46350663995</v>
      </c>
      <c r="I48" s="588">
        <f>IFERROR(_xlfn.XLOOKUP($B48,'Operation &amp; Maintenance'!B$7:B$46,'Operation &amp; Maintenance'!E$7:E$46,,0,1),0)</f>
        <v>-7241.34</v>
      </c>
      <c r="J48" s="246">
        <f>'Capital Costs &amp; RCV Calc'!G17</f>
        <v>0</v>
      </c>
      <c r="K48" s="232">
        <f>'Safety Benefits - Rumble Strip'!E12</f>
        <v>20747.89782352194</v>
      </c>
      <c r="L48" s="233">
        <f>'Safety Benefits - Shoulder'!E12</f>
        <v>7521.1129610267017</v>
      </c>
      <c r="M48" s="592">
        <f t="shared" si="4"/>
        <v>252410.59898821826</v>
      </c>
      <c r="N48" s="600">
        <f>SUM(I48:L48,G48,C48:E48)*(1+0.07)^-(B48-Assumptions!$D$4)+H48</f>
        <v>151876.46249961789</v>
      </c>
      <c r="Q48" s="61"/>
    </row>
    <row r="49" spans="2:23" x14ac:dyDescent="0.25">
      <c r="B49" s="57">
        <f t="shared" si="5"/>
        <v>2031</v>
      </c>
      <c r="C49" s="239">
        <f>IFERROR(_xlfn.XLOOKUP($J15,'VOC-Roughness-1'!B$6:B$25,'VOC-Roughness-1'!G$6:G$25,,0,1),0)</f>
        <v>0</v>
      </c>
      <c r="D49" s="530">
        <f>IFERROR(_xlfn.XLOOKUP($J15,'VOC-Roughness-2'!B$6:B$25,'VOC-Roughness-2'!G$6:G$25,,0,1),0)</f>
        <v>48975.850306422872</v>
      </c>
      <c r="E49" s="234">
        <f>IFERROR(_xlfn.XLOOKUP($B15,'TT-Construction'!B$6:B$25,'TT-Construction'!E$6:E$25,,0,1),0)</f>
        <v>0</v>
      </c>
      <c r="F49" s="232">
        <f>IFERROR(_xlfn.XLOOKUP($B15,'Air Quality'!B$5:B$24,'Air Quality'!D$5:D$24,,0,1),0)</f>
        <v>103160.95545160491</v>
      </c>
      <c r="G49" s="529">
        <f>IFERROR(_xlfn.XLOOKUP($B15,'Air Quality'!B$5:B$24,'Air Quality'!M$5:M$24,,0,1),0)</f>
        <v>84515.828876619198</v>
      </c>
      <c r="H49" s="233">
        <f>IFERROR(_xlfn.XLOOKUP($B15,'Air Quality'!B$5:B$24,'Air Quality'!E$5:E$24,,0,1),0)</f>
        <v>74525.669132496463</v>
      </c>
      <c r="I49" s="588">
        <f>IFERROR(_xlfn.XLOOKUP($B49,'Operation &amp; Maintenance'!B$7:B$46,'Operation &amp; Maintenance'!E$7:E$46,,0,1),0)</f>
        <v>-9060.7800000000007</v>
      </c>
      <c r="J49" s="246">
        <f>'Capital Costs &amp; RCV Calc'!G18</f>
        <v>0</v>
      </c>
      <c r="K49" s="232">
        <f>'Safety Benefits - Rumble Strip'!E13</f>
        <v>21073.596686258614</v>
      </c>
      <c r="L49" s="233">
        <f>'Safety Benefits - Shoulder'!E13</f>
        <v>7639.1787987687494</v>
      </c>
      <c r="M49" s="592">
        <f t="shared" si="4"/>
        <v>256304.63011967434</v>
      </c>
      <c r="N49" s="600">
        <f>SUM(I49:L49,G49,C49:E49)*(1+0.07)^-(B49-Assumptions!$D$4)+H49</f>
        <v>147283.12577962037</v>
      </c>
      <c r="Q49" s="61"/>
    </row>
    <row r="50" spans="2:23" x14ac:dyDescent="0.25">
      <c r="B50" s="57">
        <f t="shared" si="5"/>
        <v>2032</v>
      </c>
      <c r="C50" s="239">
        <f>IFERROR(_xlfn.XLOOKUP($J16,'VOC-Roughness-1'!B$6:B$25,'VOC-Roughness-1'!G$6:G$25,,0,1),0)</f>
        <v>0</v>
      </c>
      <c r="D50" s="530">
        <f>IFERROR(_xlfn.XLOOKUP($J16,'VOC-Roughness-2'!B$6:B$25,'VOC-Roughness-2'!G$6:G$25,,0,1),0)</f>
        <v>49732.787007065148</v>
      </c>
      <c r="E50" s="234">
        <f>IFERROR(_xlfn.XLOOKUP($B16,'TT-Construction'!B$6:B$25,'TT-Construction'!E$6:E$25,,0,1),0)</f>
        <v>0</v>
      </c>
      <c r="F50" s="232">
        <f>IFERROR(_xlfn.XLOOKUP($B16,'Air Quality'!B$5:B$24,'Air Quality'!D$5:D$24,,0,1),0)</f>
        <v>106418.12264114361</v>
      </c>
      <c r="G50" s="529">
        <f>IFERROR(_xlfn.XLOOKUP($B16,'Air Quality'!B$5:B$24,'Air Quality'!M$5:M$24,,0,1),0)</f>
        <v>85822.046783233993</v>
      </c>
      <c r="H50" s="233">
        <f>IFERROR(_xlfn.XLOOKUP($B16,'Air Quality'!B$5:B$24,'Air Quality'!E$5:E$24,,0,1),0)</f>
        <v>74639.530108406441</v>
      </c>
      <c r="I50" s="588">
        <f>IFERROR(_xlfn.XLOOKUP($B50,'Operation &amp; Maintenance'!B$7:B$46,'Operation &amp; Maintenance'!E$7:E$46,,0,1),0)</f>
        <v>-10880.2</v>
      </c>
      <c r="J50" s="246">
        <f>'Capital Costs &amp; RCV Calc'!G19</f>
        <v>0</v>
      </c>
      <c r="K50" s="232">
        <f>'Safety Benefits - Rumble Strip'!E14</f>
        <v>21399.29554899528</v>
      </c>
      <c r="L50" s="233">
        <f>'Safety Benefits - Shoulder'!E14</f>
        <v>7757.2446365107899</v>
      </c>
      <c r="M50" s="592">
        <f t="shared" si="4"/>
        <v>260249.29661694882</v>
      </c>
      <c r="N50" s="600">
        <f>SUM(I50:L50,G50,C50:E50)*(1+0.07)^-(B50-Assumptions!$D$4)+H50</f>
        <v>142942.41105770611</v>
      </c>
      <c r="Q50" s="585"/>
      <c r="W50" s="9"/>
    </row>
    <row r="51" spans="2:23" x14ac:dyDescent="0.25">
      <c r="B51" s="57">
        <f t="shared" si="5"/>
        <v>2033</v>
      </c>
      <c r="C51" s="239">
        <f>IFERROR(_xlfn.XLOOKUP($J17,'VOC-Roughness-1'!B$6:B$25,'VOC-Roughness-1'!G$6:G$25,,0,1),0)</f>
        <v>0</v>
      </c>
      <c r="D51" s="530">
        <f>IFERROR(_xlfn.XLOOKUP($J17,'VOC-Roughness-2'!B$6:B$25,'VOC-Roughness-2'!G$6:G$25,,0,1),0)</f>
        <v>0</v>
      </c>
      <c r="E51" s="234">
        <f>IFERROR(_xlfn.XLOOKUP($B17,'TT-Construction'!B$6:B$25,'TT-Construction'!E$6:E$25,,0,1),0)</f>
        <v>0</v>
      </c>
      <c r="F51" s="232">
        <f>IFERROR(_xlfn.XLOOKUP($B17,'Air Quality'!B$5:B$24,'Air Quality'!D$5:D$24,,0,1),0)</f>
        <v>276477.03032811824</v>
      </c>
      <c r="G51" s="529">
        <f>IFERROR(_xlfn.XLOOKUP($B17,'Air Quality'!B$5:B$24,'Air Quality'!M$5:M$24,,0,1),0)</f>
        <v>219537.61817642234</v>
      </c>
      <c r="H51" s="233">
        <f>IFERROR(_xlfn.XLOOKUP($B17,'Air Quality'!B$5:B$24,'Air Quality'!E$5:E$24,,0,1),0)</f>
        <v>188267.4042792666</v>
      </c>
      <c r="I51" s="588">
        <f>IFERROR(_xlfn.XLOOKUP($B51,'Operation &amp; Maintenance'!B$7:B$46,'Operation &amp; Maintenance'!E$7:E$46,,0,1),0)</f>
        <v>-10662.6</v>
      </c>
      <c r="J51" s="246">
        <f>'Capital Costs &amp; RCV Calc'!G20</f>
        <v>0</v>
      </c>
      <c r="K51" s="232">
        <f>'Safety Benefits - Rumble Strip'!E15</f>
        <v>21724.994411731954</v>
      </c>
      <c r="L51" s="233">
        <f>'Safety Benefits - Shoulder'!E15</f>
        <v>7875.3104742528376</v>
      </c>
      <c r="M51" s="592">
        <f t="shared" si="4"/>
        <v>514952.35339052539</v>
      </c>
      <c r="N51" s="600">
        <f>SUM(I51:L51,G51,C51:E51)*(1+0.07)^-(B51-Assumptions!$D$4)+H51</f>
        <v>287226.18504889903</v>
      </c>
      <c r="Q51" s="585"/>
      <c r="W51" s="9"/>
    </row>
    <row r="52" spans="2:23" x14ac:dyDescent="0.25">
      <c r="B52" s="57">
        <f t="shared" si="5"/>
        <v>2034</v>
      </c>
      <c r="C52" s="239">
        <f>IFERROR(_xlfn.XLOOKUP($J18,'VOC-Roughness-1'!B$6:B$25,'VOC-Roughness-1'!G$6:G$25,,0,1),0)</f>
        <v>0</v>
      </c>
      <c r="D52" s="530">
        <f>IFERROR(_xlfn.XLOOKUP($J18,'VOC-Roughness-2'!B$6:B$25,'VOC-Roughness-2'!G$6:G$25,,0,1),0)</f>
        <v>0</v>
      </c>
      <c r="E52" s="234">
        <f>IFERROR(_xlfn.XLOOKUP($B18,'TT-Construction'!B$6:B$25,'TT-Construction'!E$6:E$25,,0,1),0)</f>
        <v>0</v>
      </c>
      <c r="F52" s="232">
        <f>IFERROR(_xlfn.XLOOKUP($B18,'Air Quality'!B$5:B$24,'Air Quality'!D$5:D$24,,0,1),0)</f>
        <v>284939.20598521602</v>
      </c>
      <c r="G52" s="529">
        <f>IFERROR(_xlfn.XLOOKUP($B18,'Air Quality'!B$5:B$24,'Air Quality'!M$5:M$24,,0,1),0)</f>
        <v>222828.90337599046</v>
      </c>
      <c r="H52" s="233">
        <f>IFERROR(_xlfn.XLOOKUP($B18,'Air Quality'!B$5:B$24,'Air Quality'!E$5:E$24,,0,1),0)</f>
        <v>188378.38265264558</v>
      </c>
      <c r="I52" s="588">
        <f>IFERROR(_xlfn.XLOOKUP($B52,'Operation &amp; Maintenance'!B$7:B$46,'Operation &amp; Maintenance'!E$7:E$46,,0,1),0)</f>
        <v>-12482</v>
      </c>
      <c r="J52" s="246">
        <f>'Capital Costs &amp; RCV Calc'!G21</f>
        <v>0</v>
      </c>
      <c r="K52" s="232">
        <f>'Safety Benefits - Rumble Strip'!E16</f>
        <v>0</v>
      </c>
      <c r="L52" s="233">
        <f>'Safety Benefits - Shoulder'!E16</f>
        <v>0</v>
      </c>
      <c r="M52" s="592">
        <f t="shared" si="4"/>
        <v>495286.10936120647</v>
      </c>
      <c r="N52" s="600">
        <f>SUM(I52:L52,G52,C52:E52)*(1+0.07)^-(B52-Assumptions!$D$4)+H52</f>
        <v>269954.53837646003</v>
      </c>
      <c r="Q52" s="585"/>
      <c r="W52" s="9"/>
    </row>
    <row r="53" spans="2:23" x14ac:dyDescent="0.25">
      <c r="B53" s="57">
        <f t="shared" si="5"/>
        <v>2035</v>
      </c>
      <c r="C53" s="239">
        <f>IFERROR(_xlfn.XLOOKUP($J19,'VOC-Roughness-1'!B$6:B$25,'VOC-Roughness-1'!G$6:G$25,,0,1),0)</f>
        <v>0</v>
      </c>
      <c r="D53" s="530">
        <f>IFERROR(_xlfn.XLOOKUP($J19,'VOC-Roughness-2'!B$6:B$25,'VOC-Roughness-2'!G$6:G$25,,0,1),0)</f>
        <v>0</v>
      </c>
      <c r="E53" s="234">
        <f>IFERROR(_xlfn.XLOOKUP($B19,'TT-Construction'!B$6:B$25,'TT-Construction'!E$6:E$25,,0,1),0)</f>
        <v>0</v>
      </c>
      <c r="F53" s="232">
        <f>IFERROR(_xlfn.XLOOKUP($B19,'Air Quality'!B$5:B$24,'Air Quality'!D$5:D$24,,0,1),0)</f>
        <v>293528.91748724412</v>
      </c>
      <c r="G53" s="529">
        <f>IFERROR(_xlfn.XLOOKUP($B19,'Air Quality'!B$5:B$24,'Air Quality'!M$5:M$24,,0,1),0)</f>
        <v>226120.18857555598</v>
      </c>
      <c r="H53" s="233">
        <f>IFERROR(_xlfn.XLOOKUP($B19,'Air Quality'!B$5:B$24,'Air Quality'!E$5:E$24,,0,1),0)</f>
        <v>188405.04259561296</v>
      </c>
      <c r="I53" s="588">
        <f>IFERROR(_xlfn.XLOOKUP($B53,'Operation &amp; Maintenance'!B$7:B$46,'Operation &amp; Maintenance'!E$7:E$46,,0,1),0)</f>
        <v>-14301.5</v>
      </c>
      <c r="J53" s="246">
        <f>'Capital Costs &amp; RCV Calc'!G22</f>
        <v>0</v>
      </c>
      <c r="K53" s="232">
        <f>'Safety Benefits - Rumble Strip'!E17</f>
        <v>0</v>
      </c>
      <c r="L53" s="233">
        <f>'Safety Benefits - Shoulder'!E17</f>
        <v>0</v>
      </c>
      <c r="M53" s="592">
        <f t="shared" si="4"/>
        <v>505347.6060628001</v>
      </c>
      <c r="N53" s="600">
        <f>SUM(I53:L53,G53,C53:E53)*(1+0.07)^-(B53-Assumptions!$D$4)+H53</f>
        <v>265177.88315568777</v>
      </c>
      <c r="Q53" s="585"/>
      <c r="W53" s="9"/>
    </row>
    <row r="54" spans="2:23" x14ac:dyDescent="0.25">
      <c r="B54" s="57">
        <f t="shared" si="5"/>
        <v>2036</v>
      </c>
      <c r="C54" s="239">
        <f>IFERROR(_xlfn.XLOOKUP($J20,'VOC-Roughness-1'!B$6:B$25,'VOC-Roughness-1'!G$6:G$25,,0,1),0)</f>
        <v>0</v>
      </c>
      <c r="D54" s="530">
        <f>IFERROR(_xlfn.XLOOKUP($J20,'VOC-Roughness-2'!B$6:B$25,'VOC-Roughness-2'!G$6:G$25,,0,1),0)</f>
        <v>0</v>
      </c>
      <c r="E54" s="234">
        <f>IFERROR(_xlfn.XLOOKUP($B20,'TT-Construction'!B$6:B$25,'TT-Construction'!E$6:E$25,,0,1),0)</f>
        <v>0</v>
      </c>
      <c r="F54" s="232">
        <f>IFERROR(_xlfn.XLOOKUP($B20,'Air Quality'!B$5:B$24,'Air Quality'!D$5:D$24,,0,1),0)</f>
        <v>306690.9613758832</v>
      </c>
      <c r="G54" s="529">
        <f>IFERROR(_xlfn.XLOOKUP($B20,'Air Quality'!B$5:B$24,'Air Quality'!M$5:M$24,,0,1),0)</f>
        <v>229411.47377511975</v>
      </c>
      <c r="H54" s="233">
        <f>IFERROR(_xlfn.XLOOKUP($B20,'Air Quality'!B$5:B$24,'Air Quality'!E$5:E$24,,0,1),0)</f>
        <v>191119.66768708345</v>
      </c>
      <c r="I54" s="588">
        <f>IFERROR(_xlfn.XLOOKUP($B54,'Operation &amp; Maintenance'!B$7:B$46,'Operation &amp; Maintenance'!E$7:E$46,,0,1),0)</f>
        <v>-16120.9</v>
      </c>
      <c r="J54" s="246">
        <f>'Capital Costs &amp; RCV Calc'!G23</f>
        <v>0</v>
      </c>
      <c r="K54" s="232">
        <f>'Safety Benefits - Rumble Strip'!E18</f>
        <v>0</v>
      </c>
      <c r="L54" s="233">
        <f>'Safety Benefits - Shoulder'!E18</f>
        <v>0</v>
      </c>
      <c r="M54" s="592">
        <f t="shared" si="4"/>
        <v>519981.53515100293</v>
      </c>
      <c r="N54" s="600">
        <f>SUM(I54:L54,G54,C54:E54)*(1+0.07)^-(B54-Assumptions!$D$4)+H54</f>
        <v>263368.56440860423</v>
      </c>
      <c r="Q54" s="585"/>
      <c r="W54" s="9"/>
    </row>
    <row r="55" spans="2:23" x14ac:dyDescent="0.25">
      <c r="B55" s="57">
        <f t="shared" si="5"/>
        <v>2037</v>
      </c>
      <c r="C55" s="239">
        <f>IFERROR(_xlfn.XLOOKUP($J21,'VOC-Roughness-1'!B$6:B$25,'VOC-Roughness-1'!G$6:G$25,,0,1),0)</f>
        <v>0</v>
      </c>
      <c r="D55" s="530">
        <f>IFERROR(_xlfn.XLOOKUP($J21,'VOC-Roughness-2'!B$6:B$25,'VOC-Roughness-2'!G$6:G$25,,0,1),0)</f>
        <v>0</v>
      </c>
      <c r="E55" s="234">
        <f>IFERROR(_xlfn.XLOOKUP($B21,'TT-Construction'!B$6:B$25,'TT-Construction'!E$6:E$25,,0,1),0)</f>
        <v>0</v>
      </c>
      <c r="F55" s="232">
        <f>IFERROR(_xlfn.XLOOKUP($B21,'Air Quality'!B$5:B$24,'Air Quality'!D$5:D$24,,0,1),0)</f>
        <v>315599.5124902447</v>
      </c>
      <c r="G55" s="529">
        <f>IFERROR(_xlfn.XLOOKUP($B21,'Air Quality'!B$5:B$24,'Air Quality'!M$5:M$24,,0,1),0)</f>
        <v>232702.75897468446</v>
      </c>
      <c r="H55" s="233">
        <f>IFERROR(_xlfn.XLOOKUP($B21,'Air Quality'!B$5:B$24,'Air Quality'!E$5:E$24,,0,1),0)</f>
        <v>190942.89535719034</v>
      </c>
      <c r="I55" s="588">
        <f>IFERROR(_xlfn.XLOOKUP($B55,'Operation &amp; Maintenance'!B$7:B$46,'Operation &amp; Maintenance'!E$7:E$46,,0,1),0)</f>
        <v>-17940.3</v>
      </c>
      <c r="J55" s="246">
        <f>'Capital Costs &amp; RCV Calc'!G24</f>
        <v>0</v>
      </c>
      <c r="K55" s="232">
        <f>'Safety Benefits - Rumble Strip'!E19</f>
        <v>0</v>
      </c>
      <c r="L55" s="233">
        <f>'Safety Benefits - Shoulder'!E19</f>
        <v>0</v>
      </c>
      <c r="M55" s="592">
        <f t="shared" si="4"/>
        <v>530361.97146492917</v>
      </c>
      <c r="N55" s="600">
        <f>SUM(I55:L55,G55,C55:E55)*(1+0.07)^-(B55-Assumptions!$D$4)+H55</f>
        <v>258931.18990167454</v>
      </c>
      <c r="Q55" s="585"/>
      <c r="W55" s="9"/>
    </row>
    <row r="56" spans="2:23" x14ac:dyDescent="0.25">
      <c r="B56" s="57">
        <f t="shared" si="5"/>
        <v>2038</v>
      </c>
      <c r="C56" s="239">
        <f>IFERROR(_xlfn.XLOOKUP($J22,'VOC-Roughness-1'!B$6:B$25,'VOC-Roughness-1'!G$6:G$25,,0,1),0)</f>
        <v>0</v>
      </c>
      <c r="D56" s="530">
        <f>IFERROR(_xlfn.XLOOKUP($J22,'VOC-Roughness-2'!B$6:B$25,'VOC-Roughness-2'!G$6:G$25,,0,1),0)</f>
        <v>0</v>
      </c>
      <c r="E56" s="234">
        <f>IFERROR(_xlfn.XLOOKUP($B22,'TT-Construction'!B$6:B$25,'TT-Construction'!E$6:E$25,,0,1),0)</f>
        <v>0</v>
      </c>
      <c r="F56" s="232">
        <f>IFERROR(_xlfn.XLOOKUP($B22,'Air Quality'!B$5:B$24,'Air Quality'!D$5:D$24,,0,1),0)</f>
        <v>324635.59944954474</v>
      </c>
      <c r="G56" s="529">
        <f>IFERROR(_xlfn.XLOOKUP($B22,'Air Quality'!B$5:B$24,'Air Quality'!M$5:M$24,,0,1),0)</f>
        <v>235994.04417425257</v>
      </c>
      <c r="H56" s="233">
        <f>IFERROR(_xlfn.XLOOKUP($B22,'Air Quality'!B$5:B$24,'Air Quality'!E$5:E$24,,0,1),0)</f>
        <v>190689.20055694206</v>
      </c>
      <c r="I56" s="588">
        <f>IFERROR(_xlfn.XLOOKUP($B56,'Operation &amp; Maintenance'!B$7:B$46,'Operation &amp; Maintenance'!E$7:E$46,,0,1),0)</f>
        <v>-19759.8</v>
      </c>
      <c r="J56" s="246">
        <f>'Capital Costs &amp; RCV Calc'!G25</f>
        <v>0</v>
      </c>
      <c r="K56" s="232">
        <f>'Safety Benefits - Rumble Strip'!E20</f>
        <v>0</v>
      </c>
      <c r="L56" s="233">
        <f>'Safety Benefits - Shoulder'!E20</f>
        <v>0</v>
      </c>
      <c r="M56" s="592">
        <f t="shared" si="4"/>
        <v>540869.84362379729</v>
      </c>
      <c r="N56" s="600">
        <f>SUM(I56:L56,G56,C56:E56)*(1+0.07)^-(B56-Assumptions!$D$4)+H56</f>
        <v>254665.11088117718</v>
      </c>
      <c r="Q56" s="585"/>
      <c r="W56" s="9"/>
    </row>
    <row r="57" spans="2:23" x14ac:dyDescent="0.25">
      <c r="B57" s="57">
        <f t="shared" si="5"/>
        <v>2039</v>
      </c>
      <c r="C57" s="239">
        <f>IFERROR(_xlfn.XLOOKUP($J23,'VOC-Roughness-1'!B$6:B$25,'VOC-Roughness-1'!G$6:G$25,,0,1),0)</f>
        <v>0</v>
      </c>
      <c r="D57" s="530">
        <f>IFERROR(_xlfn.XLOOKUP($J23,'VOC-Roughness-2'!B$6:B$25,'VOC-Roughness-2'!G$6:G$25,,0,1),0)</f>
        <v>0</v>
      </c>
      <c r="E57" s="234">
        <f>IFERROR(_xlfn.XLOOKUP($B23,'TT-Construction'!B$6:B$25,'TT-Construction'!E$6:E$25,,0,1),0)</f>
        <v>0</v>
      </c>
      <c r="F57" s="232">
        <f>IFERROR(_xlfn.XLOOKUP($B23,'Air Quality'!B$5:B$24,'Air Quality'!D$5:D$24,,0,1),0)</f>
        <v>333799.22225377511</v>
      </c>
      <c r="G57" s="529">
        <f>IFERROR(_xlfn.XLOOKUP($B23,'Air Quality'!B$5:B$24,'Air Quality'!M$5:M$24,,0,1),0)</f>
        <v>239285.32937381812</v>
      </c>
      <c r="H57" s="233">
        <f>IFERROR(_xlfn.XLOOKUP($B23,'Air Quality'!B$5:B$24,'Air Quality'!E$5:E$24,,0,1),0)</f>
        <v>190361.03221201609</v>
      </c>
      <c r="I57" s="588">
        <f>IFERROR(_xlfn.XLOOKUP($B57,'Operation &amp; Maintenance'!B$7:B$46,'Operation &amp; Maintenance'!E$7:E$46,,0,1),0)</f>
        <v>-21579.200000000001</v>
      </c>
      <c r="J57" s="246">
        <f>'Capital Costs &amp; RCV Calc'!G26</f>
        <v>0</v>
      </c>
      <c r="K57" s="232">
        <f>'Safety Benefits - Rumble Strip'!E21</f>
        <v>0</v>
      </c>
      <c r="L57" s="233">
        <f>'Safety Benefits - Shoulder'!E21</f>
        <v>0</v>
      </c>
      <c r="M57" s="592">
        <f t="shared" si="4"/>
        <v>551505.35162759328</v>
      </c>
      <c r="N57" s="600">
        <f>SUM(I57:L57,G57,C57:E57)*(1+0.07)^-(B57-Assumptions!$D$4)+H57</f>
        <v>250558.59113141269</v>
      </c>
      <c r="Q57" s="585"/>
      <c r="W57" s="9"/>
    </row>
    <row r="58" spans="2:23" x14ac:dyDescent="0.25">
      <c r="B58" s="57">
        <f t="shared" si="5"/>
        <v>2040</v>
      </c>
      <c r="C58" s="239">
        <f>IFERROR(_xlfn.XLOOKUP($J24,'VOC-Roughness-1'!B$6:B$25,'VOC-Roughness-1'!G$6:G$25,,0,1),0)</f>
        <v>0</v>
      </c>
      <c r="D58" s="530">
        <f>IFERROR(_xlfn.XLOOKUP($J24,'VOC-Roughness-2'!B$6:B$25,'VOC-Roughness-2'!G$6:G$25,,0,1),0)</f>
        <v>0</v>
      </c>
      <c r="E58" s="234">
        <f>IFERROR(_xlfn.XLOOKUP($B24,'TT-Construction'!B$6:B$25,'TT-Construction'!E$6:E$25,,0,1),0)</f>
        <v>0</v>
      </c>
      <c r="F58" s="232">
        <f>IFERROR(_xlfn.XLOOKUP($B24,'Air Quality'!B$5:B$24,'Air Quality'!D$5:D$24,,0,1),0)</f>
        <v>343090.38090293785</v>
      </c>
      <c r="G58" s="529">
        <f>IFERROR(_xlfn.XLOOKUP($B24,'Air Quality'!B$5:B$24,'Air Quality'!M$5:M$24,,0,1),0)</f>
        <v>242576.61457338277</v>
      </c>
      <c r="H58" s="233">
        <f>IFERROR(_xlfn.XLOOKUP($B24,'Air Quality'!B$5:B$24,'Air Quality'!E$5:E$24,,0,1),0)</f>
        <v>189960.82540051104</v>
      </c>
      <c r="I58" s="588">
        <f>IFERROR(_xlfn.XLOOKUP($B58,'Operation &amp; Maintenance'!B$7:B$46,'Operation &amp; Maintenance'!E$7:E$46,,0,1),0)</f>
        <v>-23398.6</v>
      </c>
      <c r="J58" s="246">
        <f>'Capital Costs &amp; RCV Calc'!G27</f>
        <v>0</v>
      </c>
      <c r="K58" s="232">
        <f>'Safety Benefits - Rumble Strip'!E22</f>
        <v>0</v>
      </c>
      <c r="L58" s="233">
        <f>'Safety Benefits - Shoulder'!E22</f>
        <v>0</v>
      </c>
      <c r="M58" s="592">
        <f t="shared" si="4"/>
        <v>562268.39547632064</v>
      </c>
      <c r="N58" s="600">
        <f>SUM(I58:L58,G58,C58:E58)*(1+0.07)^-(B58-Assumptions!$D$4)+H58</f>
        <v>246600.58936528821</v>
      </c>
      <c r="Q58" s="585"/>
      <c r="W58" s="9"/>
    </row>
    <row r="59" spans="2:23" x14ac:dyDescent="0.25">
      <c r="B59" s="57">
        <f t="shared" si="5"/>
        <v>2041</v>
      </c>
      <c r="C59" s="239">
        <f>IFERROR(_xlfn.XLOOKUP($J25,'VOC-Roughness-1'!B$6:B$25,'VOC-Roughness-1'!G$6:G$25,,0,1),0)</f>
        <v>0</v>
      </c>
      <c r="D59" s="530">
        <f>IFERROR(_xlfn.XLOOKUP($J25,'VOC-Roughness-2'!B$6:B$25,'VOC-Roughness-2'!G$6:G$25,,0,1),0)</f>
        <v>0</v>
      </c>
      <c r="E59" s="234">
        <f>IFERROR(_xlfn.XLOOKUP($B25,'TT-Construction'!B$6:B$25,'TT-Construction'!E$6:E$25,,0,1),0)</f>
        <v>0</v>
      </c>
      <c r="F59" s="232">
        <f>IFERROR(_xlfn.XLOOKUP($B25,'Air Quality'!B$5:B$24,'Air Quality'!D$5:D$24,,0,1),0)</f>
        <v>352509.07539703324</v>
      </c>
      <c r="G59" s="529">
        <f>IFERROR(_xlfn.XLOOKUP($B25,'Air Quality'!B$5:B$24,'Air Quality'!M$5:M$24,,0,1),0)</f>
        <v>245867.89977294649</v>
      </c>
      <c r="H59" s="233">
        <f>IFERROR(_xlfn.XLOOKUP($B25,'Air Quality'!B$5:B$24,'Air Quality'!E$5:E$24,,0,1),0)</f>
        <v>189490.99823104855</v>
      </c>
      <c r="I59" s="588">
        <f>IFERROR(_xlfn.XLOOKUP($B59,'Operation &amp; Maintenance'!B$7:B$46,'Operation &amp; Maintenance'!E$7:E$46,,0,1),0)</f>
        <v>-25218.1</v>
      </c>
      <c r="J59" s="246">
        <f>'Capital Costs &amp; RCV Calc'!G28</f>
        <v>0</v>
      </c>
      <c r="K59" s="232">
        <f>'Safety Benefits - Rumble Strip'!E23</f>
        <v>0</v>
      </c>
      <c r="L59" s="233">
        <f>'Safety Benefits - Shoulder'!E23</f>
        <v>0</v>
      </c>
      <c r="M59" s="592">
        <f t="shared" si="4"/>
        <v>573158.87516997976</v>
      </c>
      <c r="N59" s="600">
        <f>SUM(I59:L59,G59,C59:E59)*(1+0.07)^-(B59-Assumptions!$D$4)+H59</f>
        <v>242780.8124632024</v>
      </c>
      <c r="Q59" s="585"/>
      <c r="W59" s="9"/>
    </row>
    <row r="60" spans="2:23" x14ac:dyDescent="0.25">
      <c r="B60" s="57">
        <f t="shared" si="5"/>
        <v>2042</v>
      </c>
      <c r="C60" s="239">
        <f>IFERROR(_xlfn.XLOOKUP($J26,'VOC-Roughness-1'!B$6:B$25,'VOC-Roughness-1'!G$6:G$25,,0,1),0)</f>
        <v>0</v>
      </c>
      <c r="D60" s="530">
        <f>IFERROR(_xlfn.XLOOKUP($J26,'VOC-Roughness-2'!B$6:B$25,'VOC-Roughness-2'!G$6:G$25,,0,1),0)</f>
        <v>0</v>
      </c>
      <c r="E60" s="234">
        <f>IFERROR(_xlfn.XLOOKUP($B26,'TT-Construction'!B$6:B$25,'TT-Construction'!E$6:E$25,,0,1),0)</f>
        <v>0</v>
      </c>
      <c r="F60" s="232">
        <f>IFERROR(_xlfn.XLOOKUP($B26,'Air Quality'!B$5:B$24,'Air Quality'!D$5:D$24,,0,1),0)</f>
        <v>362055.30573607009</v>
      </c>
      <c r="G60" s="529">
        <f>IFERROR(_xlfn.XLOOKUP($B26,'Air Quality'!B$5:B$24,'Air Quality'!M$5:M$24,,0,1),0)</f>
        <v>249159.18497251562</v>
      </c>
      <c r="H60" s="233">
        <f>IFERROR(_xlfn.XLOOKUP($B26,'Air Quality'!B$5:B$24,'Air Quality'!E$5:E$24,,0,1),0)</f>
        <v>188953.94896840674</v>
      </c>
      <c r="I60" s="588">
        <f>IFERROR(_xlfn.XLOOKUP($B60,'Operation &amp; Maintenance'!B$7:B$46,'Operation &amp; Maintenance'!E$7:E$46,,0,1),0)</f>
        <v>-25768.681249999907</v>
      </c>
      <c r="J60" s="246">
        <f>'Capital Costs &amp; RCV Calc'!G29</f>
        <v>0</v>
      </c>
      <c r="K60" s="232">
        <f>'Safety Benefits - Rumble Strip'!E24</f>
        <v>0</v>
      </c>
      <c r="L60" s="233">
        <f>'Safety Benefits - Shoulder'!E24</f>
        <v>0</v>
      </c>
      <c r="M60" s="592">
        <f t="shared" si="4"/>
        <v>585445.80945858581</v>
      </c>
      <c r="N60" s="600">
        <f>SUM(I60:L60,G60,C60:E60)*(1+0.07)^-(B60-Assumptions!$D$4)+H60</f>
        <v>239376.12663463116</v>
      </c>
      <c r="Q60" s="585"/>
      <c r="W60" s="9"/>
    </row>
    <row r="61" spans="2:23" ht="15.75" thickBot="1" x14ac:dyDescent="0.3">
      <c r="B61" s="59">
        <f t="shared" si="5"/>
        <v>2043</v>
      </c>
      <c r="C61" s="240">
        <f>IFERROR(_xlfn.XLOOKUP($J27,'VOC-Roughness-1'!B$6:B$25,'VOC-Roughness-1'!G$6:G$25,,0,1),0)</f>
        <v>0</v>
      </c>
      <c r="D61" s="562">
        <f>IFERROR(_xlfn.XLOOKUP($J27,'VOC-Roughness-2'!B$6:B$25,'VOC-Roughness-2'!G$6:G$25,,0,1),0)</f>
        <v>0</v>
      </c>
      <c r="E61" s="534">
        <f>IFERROR(_xlfn.XLOOKUP($B27,'TT-Construction'!B$6:B$25,'TT-Construction'!E$6:E$25,,0,1),0)</f>
        <v>0</v>
      </c>
      <c r="F61" s="532">
        <f>IFERROR(_xlfn.XLOOKUP($B27,'Air Quality'!B$5:B$24,'Air Quality'!D$5:D$24,,0,1),0)</f>
        <v>376620.24391898338</v>
      </c>
      <c r="G61" s="533">
        <f>IFERROR(_xlfn.XLOOKUP($B27,'Air Quality'!B$5:B$24,'Air Quality'!M$5:M$24,,0,1),0)</f>
        <v>252450.47017208108</v>
      </c>
      <c r="H61" s="535">
        <f>IFERROR(_xlfn.XLOOKUP($B27,'Air Quality'!B$5:B$24,'Air Quality'!E$5:E$24,,0,1),0)</f>
        <v>190830.36988532776</v>
      </c>
      <c r="I61" s="589">
        <f>IFERROR(_xlfn.XLOOKUP($B61,'Operation &amp; Maintenance'!B$7:B$46,'Operation &amp; Maintenance'!E$7:E$46,,0,1),0)</f>
        <v>-27304.471911764704</v>
      </c>
      <c r="J61" s="241">
        <f>'Capital Costs &amp; RCV Calc'!G30</f>
        <v>7793207.3017591098</v>
      </c>
      <c r="K61" s="532">
        <f>'Safety Benefits - Rumble Strip'!E25</f>
        <v>0</v>
      </c>
      <c r="L61" s="535">
        <f>'Safety Benefits - Shoulder'!E25</f>
        <v>0</v>
      </c>
      <c r="M61" s="593">
        <f t="shared" si="4"/>
        <v>8394973.5439384095</v>
      </c>
      <c r="N61" s="601">
        <f>SUM(I61:L61,G61,C61:E61)*(1+0.07)^-(B61-Assumptions!$D$4)+H61</f>
        <v>1882277.0080852222</v>
      </c>
      <c r="Q61" s="585"/>
      <c r="W61" s="9"/>
    </row>
    <row r="62" spans="2:23" ht="15" hidden="1" customHeight="1" outlineLevel="1" x14ac:dyDescent="0.25">
      <c r="B62" s="149">
        <f t="shared" si="5"/>
        <v>2044</v>
      </c>
      <c r="C62" s="568">
        <f>IFERROR(_xlfn.XLOOKUP($J28,'VOC-Roughness-1'!B$6:B$25,'VOC-Roughness-1'!G$6:G$25,,0,1),0)</f>
        <v>0</v>
      </c>
      <c r="D62" s="567">
        <f>IFERROR(_xlfn.XLOOKUP($J28,'VOC-Roughness-2'!B$6:B$25,'VOC-Roughness-2'!G$6:G$25,,0,1),0)</f>
        <v>0</v>
      </c>
      <c r="E62" s="560">
        <f>IFERROR(_xlfn.XLOOKUP($B28,'TT-Construction'!B$6:B$25,'TT-Construction'!E$6:E$25,,0,1),0)</f>
        <v>0</v>
      </c>
      <c r="F62" s="560">
        <f>IFERROR(_xlfn.XLOOKUP($B28,'Air Quality'!B$5:B$24,'Air Quality'!D$5:D$24,,0,1),0)</f>
        <v>0</v>
      </c>
      <c r="G62" s="560">
        <f>IFERROR(_xlfn.XLOOKUP($B28,'Air Quality'!B$5:B$24,'Air Quality'!M$5:M$24,,0,1),0)</f>
        <v>0</v>
      </c>
      <c r="H62" s="560">
        <f>IFERROR(_xlfn.XLOOKUP($B28,'Air Quality'!B$5:B$24,'Air Quality'!E$5:E$24,,0,1),0)</f>
        <v>0</v>
      </c>
      <c r="I62" s="560">
        <f>IFERROR(_xlfn.XLOOKUP($B28,'Operation &amp; Maintenance'!B$7:B$46,'Operation &amp; Maintenance'!E$7:E$46,,0,1),0)</f>
        <v>0</v>
      </c>
      <c r="J62" s="561">
        <f>IF($B28=Assumptions!$D$9,_xlfn.XLOOKUP($B28,'Capital Costs &amp; RCV Calc'!B$7:B$34,'Capital Costs &amp; RCV Calc'!H$7:H$34,,0,1),0)</f>
        <v>0</v>
      </c>
      <c r="K62" s="560">
        <f>IFERROR(_xlfn.XLOOKUP($B28,'TT-Construction'!C$6:C$25,'TT-Construction'!F$6:F$25,,0,1),0)</f>
        <v>0</v>
      </c>
      <c r="L62" s="531">
        <f>IFERROR(_xlfn.XLOOKUP(#REF!,'Air Quality'!B$5:B$24,'Air Quality'!M$5:M$24,,0,1),0)</f>
        <v>0</v>
      </c>
      <c r="M62" s="594">
        <f t="shared" ref="M62:M69" si="6">IFERROR(SUM(C28:F28,C62:G62,I62:J62)*(1+0.07)^-($B28-2021),0)</f>
        <v>0</v>
      </c>
      <c r="N62" s="602">
        <f>SUM(I62:L62,C62:F62)*(1+0.07)^-(B62-Assumptions!$D$4)+H62</f>
        <v>0</v>
      </c>
      <c r="O62" s="9"/>
      <c r="W62" s="9"/>
    </row>
    <row r="63" spans="2:23" ht="15" hidden="1" customHeight="1" outlineLevel="1" x14ac:dyDescent="0.25">
      <c r="B63" s="57">
        <f t="shared" si="5"/>
        <v>2045</v>
      </c>
      <c r="C63" s="232">
        <f>IFERROR(_xlfn.XLOOKUP($J29,'VOC-Roughness-1'!B$6:B$25,'VOC-Roughness-1'!G$6:G$25,,0,1),0)</f>
        <v>0</v>
      </c>
      <c r="D63" s="234">
        <f>IFERROR(_xlfn.XLOOKUP($J29,'VOC-Roughness-2'!B$6:B$25,'VOC-Roughness-2'!G$6:G$25,,0,1),0)</f>
        <v>0</v>
      </c>
      <c r="E63" s="529">
        <f>IFERROR(_xlfn.XLOOKUP($B29,'TT-Construction'!B$6:B$25,'TT-Construction'!E$6:E$25,,0,1),0)</f>
        <v>0</v>
      </c>
      <c r="F63" s="529">
        <f>IFERROR(_xlfn.XLOOKUP($B29,'Air Quality'!B$5:B$24,'Air Quality'!D$5:D$24,,0,1),0)</f>
        <v>0</v>
      </c>
      <c r="G63" s="529">
        <f>IFERROR(_xlfn.XLOOKUP($B29,'Air Quality'!B$5:B$24,'Air Quality'!M$5:M$24,,0,1),0)</f>
        <v>0</v>
      </c>
      <c r="H63" s="529">
        <f>IFERROR(_xlfn.XLOOKUP($B29,'Air Quality'!B$5:B$24,'Air Quality'!E$5:E$24,,0,1),0)</f>
        <v>0</v>
      </c>
      <c r="I63" s="529">
        <f>IFERROR(_xlfn.XLOOKUP($B29,'Operation &amp; Maintenance'!B$7:B$46,'Operation &amp; Maintenance'!E$7:E$46,,0,1),0)</f>
        <v>0</v>
      </c>
      <c r="J63" s="530">
        <f>IF($B29=Assumptions!$D$9,_xlfn.XLOOKUP($B29,'Capital Costs &amp; RCV Calc'!B$7:B$34,'Capital Costs &amp; RCV Calc'!H$7:H$34,,0,1),0)</f>
        <v>0</v>
      </c>
      <c r="K63" s="529">
        <f>IFERROR(_xlfn.XLOOKUP($B29,'TT-Construction'!C$6:C$25,'TT-Construction'!F$6:F$25,,0,1),0)</f>
        <v>0</v>
      </c>
      <c r="L63" s="529">
        <f>IFERROR(_xlfn.XLOOKUP(#REF!,'Air Quality'!B$5:B$24,'Air Quality'!M$5:M$24,,0,1),0)</f>
        <v>0</v>
      </c>
      <c r="M63" s="595">
        <f t="shared" si="6"/>
        <v>0</v>
      </c>
      <c r="N63" s="600">
        <f>SUM(I63:L63,C63:F63)*(1+0.07)^-(B63-Assumptions!$D$4)+H63</f>
        <v>0</v>
      </c>
      <c r="O63" s="9"/>
      <c r="W63" s="9"/>
    </row>
    <row r="64" spans="2:23" ht="15" hidden="1" customHeight="1" outlineLevel="1" x14ac:dyDescent="0.25">
      <c r="B64" s="57">
        <f t="shared" si="5"/>
        <v>2046</v>
      </c>
      <c r="C64" s="232">
        <f>IFERROR(_xlfn.XLOOKUP($J30,'VOC-Roughness-1'!B$6:B$25,'VOC-Roughness-1'!G$6:G$25,,0,1),0)</f>
        <v>0</v>
      </c>
      <c r="D64" s="234">
        <f>IFERROR(_xlfn.XLOOKUP($J30,'VOC-Roughness-2'!B$6:B$25,'VOC-Roughness-2'!G$6:G$25,,0,1),0)</f>
        <v>0</v>
      </c>
      <c r="E64" s="529">
        <f>IFERROR(_xlfn.XLOOKUP($B30,'TT-Construction'!B$6:B$25,'TT-Construction'!E$6:E$25,,0,1),0)</f>
        <v>0</v>
      </c>
      <c r="F64" s="529">
        <f>IFERROR(_xlfn.XLOOKUP($B30,'Air Quality'!B$5:B$24,'Air Quality'!D$5:D$24,,0,1),0)</f>
        <v>0</v>
      </c>
      <c r="G64" s="529">
        <f>IFERROR(_xlfn.XLOOKUP($B30,'Air Quality'!B$5:B$24,'Air Quality'!M$5:M$24,,0,1),0)</f>
        <v>0</v>
      </c>
      <c r="H64" s="529">
        <f>IFERROR(_xlfn.XLOOKUP($B30,'Air Quality'!B$5:B$24,'Air Quality'!E$5:E$24,,0,1),0)</f>
        <v>0</v>
      </c>
      <c r="I64" s="529">
        <f>IFERROR(_xlfn.XLOOKUP($B30,'Operation &amp; Maintenance'!B$7:B$46,'Operation &amp; Maintenance'!E$7:E$46,,0,1),0)</f>
        <v>0</v>
      </c>
      <c r="J64" s="530">
        <f>IF($B30=Assumptions!$D$9,_xlfn.XLOOKUP($B30,'Capital Costs &amp; RCV Calc'!B$7:B$34,'Capital Costs &amp; RCV Calc'!H$7:H$34,,0,1),0)</f>
        <v>0</v>
      </c>
      <c r="K64" s="529">
        <f>IFERROR(_xlfn.XLOOKUP($B30,'TT-Construction'!C$6:C$25,'TT-Construction'!F$6:F$25,,0,1),0)</f>
        <v>0</v>
      </c>
      <c r="L64" s="529">
        <f>IFERROR(_xlfn.XLOOKUP(#REF!,'Air Quality'!B$5:B$24,'Air Quality'!M$5:M$24,,0,1),0)</f>
        <v>0</v>
      </c>
      <c r="M64" s="595">
        <f t="shared" si="6"/>
        <v>0</v>
      </c>
      <c r="N64" s="600">
        <f>SUM(I64:L64,C64:F64)*(1+0.07)^-(B64-Assumptions!$D$4)+H64</f>
        <v>0</v>
      </c>
      <c r="O64" s="9"/>
      <c r="W64" s="9"/>
    </row>
    <row r="65" spans="2:23" ht="15" hidden="1" customHeight="1" outlineLevel="1" x14ac:dyDescent="0.25">
      <c r="B65" s="57">
        <f t="shared" si="5"/>
        <v>2047</v>
      </c>
      <c r="C65" s="232">
        <f>IFERROR(_xlfn.XLOOKUP($J31,'VOC-Roughness-1'!B$6:B$25,'VOC-Roughness-1'!G$6:G$25,,0,1),0)</f>
        <v>0</v>
      </c>
      <c r="D65" s="234">
        <f>IFERROR(_xlfn.XLOOKUP($J31,'VOC-Roughness-2'!B$6:B$25,'VOC-Roughness-2'!G$6:G$25,,0,1),0)</f>
        <v>0</v>
      </c>
      <c r="E65" s="529">
        <f>IFERROR(_xlfn.XLOOKUP($B31,'TT-Construction'!B$6:B$25,'TT-Construction'!E$6:E$25,,0,1),0)</f>
        <v>0</v>
      </c>
      <c r="F65" s="529">
        <f>IFERROR(_xlfn.XLOOKUP($B31,'Air Quality'!B$5:B$24,'Air Quality'!D$5:D$24,,0,1),0)</f>
        <v>0</v>
      </c>
      <c r="G65" s="529">
        <f>IFERROR(_xlfn.XLOOKUP($B31,'Air Quality'!B$5:B$24,'Air Quality'!M$5:M$24,,0,1),0)</f>
        <v>0</v>
      </c>
      <c r="H65" s="529">
        <f>IFERROR(_xlfn.XLOOKUP($B31,'Air Quality'!B$5:B$24,'Air Quality'!E$5:E$24,,0,1),0)</f>
        <v>0</v>
      </c>
      <c r="I65" s="529">
        <f>IFERROR(_xlfn.XLOOKUP($B31,'Operation &amp; Maintenance'!B$7:B$46,'Operation &amp; Maintenance'!E$7:E$46,,0,1),0)</f>
        <v>0</v>
      </c>
      <c r="J65" s="530">
        <f>IF($B31=Assumptions!$D$9,_xlfn.XLOOKUP($B31,'Capital Costs &amp; RCV Calc'!B$7:B$34,'Capital Costs &amp; RCV Calc'!H$7:H$34,,0,1),0)</f>
        <v>0</v>
      </c>
      <c r="K65" s="529">
        <f>IFERROR(_xlfn.XLOOKUP($B31,'TT-Construction'!C$6:C$25,'TT-Construction'!F$6:F$25,,0,1),0)</f>
        <v>0</v>
      </c>
      <c r="L65" s="529">
        <f>IFERROR(_xlfn.XLOOKUP(#REF!,'Air Quality'!B$5:B$24,'Air Quality'!M$5:M$24,,0,1),0)</f>
        <v>0</v>
      </c>
      <c r="M65" s="595">
        <f t="shared" si="6"/>
        <v>0</v>
      </c>
      <c r="N65" s="600">
        <f>SUM(I65:L65,C65:F65)*(1+0.07)^-(B65-Assumptions!$D$4)+H65</f>
        <v>0</v>
      </c>
      <c r="O65" s="9"/>
      <c r="W65" s="9"/>
    </row>
    <row r="66" spans="2:23" ht="15" hidden="1" customHeight="1" outlineLevel="1" x14ac:dyDescent="0.25">
      <c r="B66" s="57">
        <f t="shared" si="5"/>
        <v>2048</v>
      </c>
      <c r="C66" s="232">
        <f>IFERROR(_xlfn.XLOOKUP($J32,'VOC-Roughness-1'!B$6:B$25,'VOC-Roughness-1'!G$6:G$25,,0,1),0)</f>
        <v>0</v>
      </c>
      <c r="D66" s="234">
        <f>IFERROR(_xlfn.XLOOKUP($J32,'VOC-Roughness-2'!B$6:B$25,'VOC-Roughness-2'!G$6:G$25,,0,1),0)</f>
        <v>0</v>
      </c>
      <c r="E66" s="529">
        <f>IFERROR(_xlfn.XLOOKUP($B32,'TT-Construction'!B$6:B$25,'TT-Construction'!E$6:E$25,,0,1),0)</f>
        <v>0</v>
      </c>
      <c r="F66" s="529">
        <f>IFERROR(_xlfn.XLOOKUP($B32,'Air Quality'!B$5:B$24,'Air Quality'!D$5:D$24,,0,1),0)</f>
        <v>0</v>
      </c>
      <c r="G66" s="529">
        <f>IFERROR(_xlfn.XLOOKUP($B32,'Air Quality'!B$5:B$24,'Air Quality'!M$5:M$24,,0,1),0)</f>
        <v>0</v>
      </c>
      <c r="H66" s="529">
        <f>IFERROR(_xlfn.XLOOKUP($B32,'Air Quality'!B$5:B$24,'Air Quality'!E$5:E$24,,0,1),0)</f>
        <v>0</v>
      </c>
      <c r="I66" s="529">
        <f>IFERROR(_xlfn.XLOOKUP($B32,'Operation &amp; Maintenance'!B$7:B$46,'Operation &amp; Maintenance'!E$7:E$46,,0,1),0)</f>
        <v>0</v>
      </c>
      <c r="J66" s="530">
        <f>IF($B32=Assumptions!$D$9,_xlfn.XLOOKUP($B32,'Capital Costs &amp; RCV Calc'!B$7:B$34,'Capital Costs &amp; RCV Calc'!H$7:H$34,,0,1),0)</f>
        <v>0</v>
      </c>
      <c r="K66" s="529">
        <f>IFERROR(_xlfn.XLOOKUP($B32,'TT-Construction'!C$6:C$25,'TT-Construction'!F$6:F$25,,0,1),0)</f>
        <v>0</v>
      </c>
      <c r="L66" s="529">
        <f>IFERROR(_xlfn.XLOOKUP(#REF!,'Air Quality'!B$5:B$24,'Air Quality'!M$5:M$24,,0,1),0)</f>
        <v>0</v>
      </c>
      <c r="M66" s="595">
        <f t="shared" si="6"/>
        <v>0</v>
      </c>
      <c r="N66" s="600">
        <f>SUM(I66:L66,C66:F66)*(1+0.07)^-(B66-Assumptions!$D$4)+H66</f>
        <v>0</v>
      </c>
      <c r="O66" s="9"/>
      <c r="W66" s="9"/>
    </row>
    <row r="67" spans="2:23" ht="15" hidden="1" customHeight="1" outlineLevel="1" x14ac:dyDescent="0.25">
      <c r="B67" s="57">
        <f t="shared" si="5"/>
        <v>2049</v>
      </c>
      <c r="C67" s="232">
        <f>IFERROR(_xlfn.XLOOKUP($J33,'VOC-Roughness-1'!B$6:B$25,'VOC-Roughness-1'!G$6:G$25,,0,1),0)</f>
        <v>0</v>
      </c>
      <c r="D67" s="234">
        <f>IFERROR(_xlfn.XLOOKUP($J33,'VOC-Roughness-2'!B$6:B$25,'VOC-Roughness-2'!G$6:G$25,,0,1),0)</f>
        <v>0</v>
      </c>
      <c r="E67" s="529">
        <f>IFERROR(_xlfn.XLOOKUP($B33,'TT-Construction'!B$6:B$25,'TT-Construction'!E$6:E$25,,0,1),0)</f>
        <v>0</v>
      </c>
      <c r="F67" s="529">
        <f>IFERROR(_xlfn.XLOOKUP($B33,'Air Quality'!B$5:B$24,'Air Quality'!D$5:D$24,,0,1),0)</f>
        <v>0</v>
      </c>
      <c r="G67" s="529">
        <f>IFERROR(_xlfn.XLOOKUP($B33,'Air Quality'!B$5:B$24,'Air Quality'!M$5:M$24,,0,1),0)</f>
        <v>0</v>
      </c>
      <c r="H67" s="529">
        <f>IFERROR(_xlfn.XLOOKUP($B33,'Air Quality'!B$5:B$24,'Air Quality'!E$5:E$24,,0,1),0)</f>
        <v>0</v>
      </c>
      <c r="I67" s="529">
        <f>IFERROR(_xlfn.XLOOKUP($B33,'Operation &amp; Maintenance'!B$7:B$46,'Operation &amp; Maintenance'!E$7:E$46,,0,1),0)</f>
        <v>0</v>
      </c>
      <c r="J67" s="530">
        <f>IF($B33=Assumptions!$D$9,_xlfn.XLOOKUP($B33,'Capital Costs &amp; RCV Calc'!B$7:B$34,'Capital Costs &amp; RCV Calc'!H$7:H$34,,0,1),0)</f>
        <v>0</v>
      </c>
      <c r="K67" s="529">
        <f>IFERROR(_xlfn.XLOOKUP($B33,'TT-Construction'!C$6:C$25,'TT-Construction'!F$6:F$25,,0,1),0)</f>
        <v>0</v>
      </c>
      <c r="L67" s="529">
        <f>IFERROR(_xlfn.XLOOKUP(#REF!,'Air Quality'!B$5:B$24,'Air Quality'!M$5:M$24,,0,1),0)</f>
        <v>0</v>
      </c>
      <c r="M67" s="595">
        <f t="shared" si="6"/>
        <v>0</v>
      </c>
      <c r="N67" s="600">
        <f>SUM(I67:L67,C67:F67)*(1+0.07)^-(B67-Assumptions!$D$4)+H67</f>
        <v>0</v>
      </c>
      <c r="O67" s="9"/>
      <c r="W67" s="9"/>
    </row>
    <row r="68" spans="2:23" ht="15" hidden="1" customHeight="1" outlineLevel="1" x14ac:dyDescent="0.25">
      <c r="B68" s="58">
        <f t="shared" si="5"/>
        <v>2050</v>
      </c>
      <c r="C68" s="232">
        <f>IFERROR(_xlfn.XLOOKUP($J34,'VOC-Roughness-1'!B$6:B$25,'VOC-Roughness-1'!G$6:G$25,,0,1),0)</f>
        <v>0</v>
      </c>
      <c r="D68" s="234">
        <f>IFERROR(_xlfn.XLOOKUP($J34,'VOC-Roughness-2'!B$6:B$25,'VOC-Roughness-2'!G$6:G$25,,0,1),0)</f>
        <v>0</v>
      </c>
      <c r="E68" s="529">
        <f>IFERROR(_xlfn.XLOOKUP($B34,'TT-Construction'!B$6:B$25,'TT-Construction'!E$6:E$25,,0,1),0)</f>
        <v>0</v>
      </c>
      <c r="F68" s="529">
        <f>IFERROR(_xlfn.XLOOKUP($B34,'Air Quality'!B$5:B$24,'Air Quality'!D$5:D$24,,0,1),0)</f>
        <v>0</v>
      </c>
      <c r="G68" s="529">
        <f>IFERROR(_xlfn.XLOOKUP($B34,'Air Quality'!B$5:B$24,'Air Quality'!M$5:M$24,,0,1),0)</f>
        <v>0</v>
      </c>
      <c r="H68" s="529">
        <f>IFERROR(_xlfn.XLOOKUP($B34,'Air Quality'!B$5:B$24,'Air Quality'!E$5:E$24,,0,1),0)</f>
        <v>0</v>
      </c>
      <c r="I68" s="529">
        <f>IFERROR(_xlfn.XLOOKUP($B34,'Operation &amp; Maintenance'!B$7:B$46,'Operation &amp; Maintenance'!E$7:E$46,,0,1),0)</f>
        <v>0</v>
      </c>
      <c r="J68" s="530">
        <f>IF($B34=Assumptions!$D$9,_xlfn.XLOOKUP($B34,'Capital Costs &amp; RCV Calc'!B$7:B$34,'Capital Costs &amp; RCV Calc'!H$7:H$34,,0,1),0)</f>
        <v>0</v>
      </c>
      <c r="K68" s="529">
        <f>IFERROR(_xlfn.XLOOKUP($B34,'TT-Construction'!C$6:C$25,'TT-Construction'!F$6:F$25,,0,1),0)</f>
        <v>0</v>
      </c>
      <c r="L68" s="529">
        <f>IFERROR(_xlfn.XLOOKUP(#REF!,'Air Quality'!B$5:B$24,'Air Quality'!M$5:M$24,,0,1),0)</f>
        <v>0</v>
      </c>
      <c r="M68" s="595">
        <f t="shared" si="6"/>
        <v>0</v>
      </c>
      <c r="N68" s="600">
        <f>SUM(I68:L68,C68:F68)*(1+0.07)^-(B68-Assumptions!$D$4)+H68</f>
        <v>0</v>
      </c>
      <c r="O68" s="9"/>
      <c r="W68" s="9"/>
    </row>
    <row r="69" spans="2:23" ht="15.75" hidden="1" customHeight="1" outlineLevel="1" thickBot="1" x14ac:dyDescent="0.3">
      <c r="B69" s="59">
        <f t="shared" si="5"/>
        <v>2051</v>
      </c>
      <c r="C69" s="532">
        <f>IFERROR(_xlfn.XLOOKUP($J35,'VOC-Roughness-1'!B$6:B$25,'VOC-Roughness-1'!G$6:G$25,,0,1),0)</f>
        <v>0</v>
      </c>
      <c r="D69" s="534">
        <f>IFERROR(_xlfn.XLOOKUP($J35,'VOC-Roughness-2'!B$6:B$25,'VOC-Roughness-2'!G$6:G$25,,0,1),0)</f>
        <v>0</v>
      </c>
      <c r="E69" s="533">
        <f>IFERROR(_xlfn.XLOOKUP($B35,'TT-Construction'!B$6:B$25,'TT-Construction'!E$6:E$25,,0,1),0)</f>
        <v>0</v>
      </c>
      <c r="F69" s="533">
        <f>IFERROR(_xlfn.XLOOKUP($B35,'Air Quality'!B$5:B$24,'Air Quality'!D$5:D$24,,0,1),0)</f>
        <v>0</v>
      </c>
      <c r="G69" s="533">
        <f>IFERROR(_xlfn.XLOOKUP($B35,'Air Quality'!B$5:B$24,'Air Quality'!M$5:M$24,,0,1),0)</f>
        <v>0</v>
      </c>
      <c r="H69" s="533">
        <f>IFERROR(_xlfn.XLOOKUP($B35,'Air Quality'!B$5:B$24,'Air Quality'!E$5:E$24,,0,1),0)</f>
        <v>0</v>
      </c>
      <c r="I69" s="533">
        <f>IFERROR(_xlfn.XLOOKUP($B35,'Operation &amp; Maintenance'!B$7:B$46,'Operation &amp; Maintenance'!E$7:E$46,,0,1),0)</f>
        <v>0</v>
      </c>
      <c r="J69" s="562">
        <f>IF($B35=Assumptions!$D$9,_xlfn.XLOOKUP($B35,'Capital Costs &amp; RCV Calc'!B$7:B$34,'Capital Costs &amp; RCV Calc'!H$7:H$34,,0,1),0)</f>
        <v>0</v>
      </c>
      <c r="K69" s="533">
        <f>IFERROR(_xlfn.XLOOKUP($B35,'TT-Construction'!C$6:C$25,'TT-Construction'!F$6:F$25,,0,1),0)</f>
        <v>0</v>
      </c>
      <c r="L69" s="533">
        <f>IFERROR(_xlfn.XLOOKUP(#REF!,'Air Quality'!B$5:B$24,'Air Quality'!M$5:M$24,,0,1),0)</f>
        <v>0</v>
      </c>
      <c r="M69" s="596">
        <f t="shared" si="6"/>
        <v>0</v>
      </c>
      <c r="N69" s="601">
        <f>SUM(I69:L69,C69:F69)*(1+0.07)^-(B69-Assumptions!$D$4)+H69</f>
        <v>0</v>
      </c>
      <c r="O69" s="9"/>
      <c r="W69" s="9"/>
    </row>
    <row r="70" spans="2:23" ht="15.75" collapsed="1" thickBot="1" x14ac:dyDescent="0.3">
      <c r="B70" s="34"/>
      <c r="M70" s="597">
        <f>SUM(M41:M61)</f>
        <v>15534722.77890297</v>
      </c>
      <c r="N70" s="572">
        <f>SUM(N41:N69)</f>
        <v>5530309.6195604634</v>
      </c>
      <c r="O70" s="9"/>
      <c r="W70" s="9"/>
    </row>
    <row r="71" spans="2:23" s="521" customFormat="1" ht="15.75" x14ac:dyDescent="0.25">
      <c r="B71" s="27"/>
      <c r="C71" s="39"/>
      <c r="D71" s="39"/>
      <c r="E71" s="39"/>
      <c r="F71" s="39"/>
      <c r="G71" s="39"/>
      <c r="H71" s="39"/>
      <c r="I71" s="39"/>
      <c r="J71" s="39"/>
      <c r="K71" s="39"/>
      <c r="L71" s="39"/>
      <c r="M71" s="39"/>
      <c r="N71" s="39"/>
      <c r="O71" s="9"/>
      <c r="W71" s="9"/>
    </row>
    <row r="72" spans="2:23" s="523" customFormat="1" ht="16.5" thickBot="1" x14ac:dyDescent="0.3">
      <c r="B72" s="524" t="s">
        <v>595</v>
      </c>
      <c r="C72" s="573"/>
      <c r="D72" s="5"/>
      <c r="E72" s="36"/>
      <c r="F72" s="11" t="s">
        <v>7</v>
      </c>
      <c r="G72" s="36"/>
      <c r="H72" s="36"/>
      <c r="O72" s="9"/>
      <c r="W72" s="9"/>
    </row>
    <row r="73" spans="2:23" s="523" customFormat="1" x14ac:dyDescent="0.25">
      <c r="B73" s="613" t="s">
        <v>0</v>
      </c>
      <c r="C73" s="615" t="s">
        <v>596</v>
      </c>
      <c r="D73" s="617" t="s">
        <v>597</v>
      </c>
      <c r="E73"/>
      <c r="F73" s="621" t="s">
        <v>600</v>
      </c>
      <c r="G73" s="619" t="s">
        <v>597</v>
      </c>
      <c r="H73"/>
      <c r="O73" s="9"/>
      <c r="W73" s="9"/>
    </row>
    <row r="74" spans="2:23" ht="15.75" thickBot="1" x14ac:dyDescent="0.3">
      <c r="B74" s="614"/>
      <c r="C74" s="616"/>
      <c r="D74" s="618"/>
      <c r="E74"/>
      <c r="F74" s="622"/>
      <c r="G74" s="620"/>
      <c r="H74"/>
      <c r="I74" s="523"/>
      <c r="J74" s="523"/>
      <c r="K74" s="523"/>
      <c r="L74" s="523"/>
      <c r="M74" s="523"/>
      <c r="N74" s="523"/>
      <c r="O74" s="9"/>
      <c r="W74" s="9"/>
    </row>
    <row r="75" spans="2:23" x14ac:dyDescent="0.25">
      <c r="B75" s="73">
        <v>2023</v>
      </c>
      <c r="C75" s="549">
        <f>'Capital Costs &amp; RCV Calc'!H10</f>
        <v>15427204.863639537</v>
      </c>
      <c r="D75" s="549">
        <f>SUM(C75)*(1+0.07)^-(B75-2020)</f>
        <v>12593194.576549178</v>
      </c>
      <c r="E75"/>
      <c r="F75" s="13" t="s">
        <v>4</v>
      </c>
      <c r="G75" s="579">
        <f>SUM($H$36,$N$36,$N$70)</f>
        <v>43881670.441460602</v>
      </c>
      <c r="H75" s="583"/>
      <c r="I75" s="523"/>
      <c r="J75" s="523"/>
      <c r="K75" s="523"/>
      <c r="L75" s="523"/>
      <c r="M75" s="523"/>
      <c r="N75" s="523"/>
      <c r="O75" s="9"/>
      <c r="W75" s="9"/>
    </row>
    <row r="76" spans="2:23" ht="15.75" thickBot="1" x14ac:dyDescent="0.3">
      <c r="B76" s="57">
        <f>+B75+1</f>
        <v>2024</v>
      </c>
      <c r="C76" s="72">
        <f>'Capital Costs &amp; RCV Calc'!H11</f>
        <v>5341413.7960615335</v>
      </c>
      <c r="D76" s="72">
        <f>SUM(C76)*(1+0.07)^-(B76-2020)</f>
        <v>4074939.0105799399</v>
      </c>
      <c r="E76"/>
      <c r="F76" s="14" t="s">
        <v>5</v>
      </c>
      <c r="G76" s="580">
        <f>$D$104</f>
        <v>16668133.587129118</v>
      </c>
      <c r="H76"/>
      <c r="I76" s="523"/>
      <c r="J76" s="523"/>
      <c r="K76" s="523"/>
      <c r="L76" s="523"/>
      <c r="M76" s="523"/>
      <c r="N76" s="523"/>
      <c r="O76" s="9"/>
      <c r="W76" s="9"/>
    </row>
    <row r="77" spans="2:23" ht="15.75" thickTop="1" x14ac:dyDescent="0.25">
      <c r="B77" s="57">
        <f>+B76+1</f>
        <v>2025</v>
      </c>
      <c r="C77" s="106">
        <f>'Capital Costs &amp; RCV Calc'!H12</f>
        <v>0</v>
      </c>
      <c r="D77" s="106">
        <f>SUM(C77)*(1+0.07)^-(B77-Assumptions!$D$4)</f>
        <v>0</v>
      </c>
      <c r="E77"/>
      <c r="F77" s="247" t="s">
        <v>6</v>
      </c>
      <c r="G77" s="581">
        <f>+G75/G76</f>
        <v>2.6326685115690078</v>
      </c>
      <c r="H77"/>
      <c r="I77" s="523"/>
      <c r="J77" s="523"/>
      <c r="K77" s="523"/>
      <c r="L77" s="523"/>
      <c r="M77" s="523"/>
      <c r="N77" s="523"/>
      <c r="O77" s="9"/>
      <c r="W77" s="9"/>
    </row>
    <row r="78" spans="2:23" ht="15.75" thickBot="1" x14ac:dyDescent="0.3">
      <c r="B78" s="57">
        <f t="shared" ref="B78:B103" si="7">+B77+1</f>
        <v>2026</v>
      </c>
      <c r="C78" s="106">
        <f>'Capital Costs &amp; RCV Calc'!H13</f>
        <v>0</v>
      </c>
      <c r="D78" s="106">
        <f>SUM(C78)*(1+0.07)^-(B78-Assumptions!$D$4)</f>
        <v>0</v>
      </c>
      <c r="E78"/>
      <c r="F78" s="248" t="s">
        <v>224</v>
      </c>
      <c r="G78" s="582">
        <f>G75-G76</f>
        <v>27213536.854331486</v>
      </c>
      <c r="H78"/>
      <c r="I78" s="523"/>
      <c r="J78" s="523"/>
      <c r="K78" s="523"/>
      <c r="L78" s="523"/>
      <c r="M78" s="523"/>
      <c r="N78" s="523"/>
      <c r="O78" s="9"/>
      <c r="W78" s="9"/>
    </row>
    <row r="79" spans="2:23" x14ac:dyDescent="0.25">
      <c r="B79" s="57">
        <f t="shared" si="7"/>
        <v>2027</v>
      </c>
      <c r="C79" s="106">
        <f>'Capital Costs &amp; RCV Calc'!H14</f>
        <v>0</v>
      </c>
      <c r="D79" s="106">
        <f>SUM(C79)*(1+0.07)^-(B79-Assumptions!$D$4)</f>
        <v>0</v>
      </c>
      <c r="E79"/>
      <c r="F79"/>
      <c r="H79"/>
      <c r="I79" s="523"/>
      <c r="J79" s="523"/>
      <c r="K79" s="523"/>
      <c r="L79" s="523"/>
      <c r="M79" s="523"/>
      <c r="N79" s="523"/>
      <c r="O79" s="9"/>
      <c r="P79" s="9"/>
      <c r="Q79" s="9"/>
      <c r="R79" s="9"/>
      <c r="S79" s="9"/>
      <c r="T79" s="9"/>
      <c r="U79" s="9"/>
      <c r="V79" s="9"/>
      <c r="W79" s="9"/>
    </row>
    <row r="80" spans="2:23" x14ac:dyDescent="0.25">
      <c r="B80" s="57">
        <f t="shared" si="7"/>
        <v>2028</v>
      </c>
      <c r="C80" s="106">
        <f>'Capital Costs &amp; RCV Calc'!H15</f>
        <v>0</v>
      </c>
      <c r="D80" s="106">
        <f>SUM(C80)*(1+0.07)^-(B80-Assumptions!$D$4)</f>
        <v>0</v>
      </c>
      <c r="E80"/>
      <c r="F80"/>
      <c r="H80"/>
      <c r="I80" s="523"/>
      <c r="J80" s="523"/>
      <c r="K80" s="523"/>
      <c r="L80" s="523"/>
      <c r="M80" s="523"/>
      <c r="N80" s="523"/>
      <c r="O80" s="9"/>
      <c r="P80" s="9"/>
      <c r="Q80" s="9"/>
      <c r="R80" s="9"/>
      <c r="S80" s="9"/>
      <c r="T80" s="9"/>
      <c r="U80" s="9"/>
      <c r="V80" s="9"/>
      <c r="W80" s="9"/>
    </row>
    <row r="81" spans="2:23" x14ac:dyDescent="0.25">
      <c r="B81" s="57">
        <f t="shared" si="7"/>
        <v>2029</v>
      </c>
      <c r="C81" s="106">
        <f>'Capital Costs &amp; RCV Calc'!H16</f>
        <v>0</v>
      </c>
      <c r="D81" s="106">
        <f>SUM(C81)*(1+0.07)^-(B81-Assumptions!$D$4)</f>
        <v>0</v>
      </c>
      <c r="E81"/>
      <c r="F81"/>
      <c r="H81"/>
      <c r="I81" s="523"/>
      <c r="J81" s="523"/>
      <c r="K81" s="523"/>
      <c r="L81" s="523"/>
      <c r="M81" s="523"/>
      <c r="N81" s="523"/>
      <c r="O81" s="9"/>
      <c r="P81" s="9"/>
      <c r="Q81" s="9"/>
      <c r="R81" s="9"/>
      <c r="S81" s="9"/>
      <c r="T81" s="9"/>
      <c r="U81" s="9"/>
      <c r="V81" s="9"/>
      <c r="W81" s="9"/>
    </row>
    <row r="82" spans="2:23" x14ac:dyDescent="0.25">
      <c r="B82" s="57">
        <f t="shared" si="7"/>
        <v>2030</v>
      </c>
      <c r="C82" s="106">
        <f>'Capital Costs &amp; RCV Calc'!H17</f>
        <v>0</v>
      </c>
      <c r="D82" s="106">
        <f>SUM(C82)*(1+0.07)^-(B82-Assumptions!$D$4)</f>
        <v>0</v>
      </c>
      <c r="E82"/>
      <c r="F82"/>
      <c r="H82"/>
      <c r="I82" s="523"/>
      <c r="J82" s="523"/>
      <c r="K82" s="523"/>
      <c r="L82" s="523"/>
      <c r="M82" s="523"/>
      <c r="N82" s="523"/>
      <c r="O82" s="9"/>
      <c r="P82" s="9"/>
      <c r="Q82" s="9"/>
      <c r="R82" s="9"/>
      <c r="S82" s="9"/>
      <c r="T82" s="9"/>
      <c r="U82" s="9"/>
      <c r="V82" s="9"/>
      <c r="W82" s="9"/>
    </row>
    <row r="83" spans="2:23" x14ac:dyDescent="0.25">
      <c r="B83" s="57">
        <f t="shared" si="7"/>
        <v>2031</v>
      </c>
      <c r="C83" s="106">
        <f>'Capital Costs &amp; RCV Calc'!H18</f>
        <v>0</v>
      </c>
      <c r="D83" s="106">
        <f>SUM(C83)*(1+0.07)^-(B83-Assumptions!$D$4)</f>
        <v>0</v>
      </c>
      <c r="E83"/>
      <c r="F83"/>
      <c r="H83"/>
      <c r="I83" s="523"/>
      <c r="J83" s="523"/>
      <c r="K83" s="523"/>
      <c r="L83" s="523"/>
      <c r="M83" s="523"/>
      <c r="N83" s="523"/>
      <c r="O83" s="9"/>
      <c r="P83" s="9"/>
      <c r="Q83" s="9"/>
      <c r="R83" s="9"/>
      <c r="S83" s="9"/>
      <c r="T83" s="9"/>
      <c r="U83" s="9"/>
      <c r="V83" s="9"/>
      <c r="W83" s="9"/>
    </row>
    <row r="84" spans="2:23" x14ac:dyDescent="0.25">
      <c r="B84" s="57">
        <f t="shared" si="7"/>
        <v>2032</v>
      </c>
      <c r="C84" s="106">
        <f>'Capital Costs &amp; RCV Calc'!H19</f>
        <v>0</v>
      </c>
      <c r="D84" s="106">
        <f>SUM(C84)*(1+0.07)^-(B84-Assumptions!$D$4)</f>
        <v>0</v>
      </c>
      <c r="E84"/>
      <c r="F84"/>
      <c r="H84"/>
      <c r="I84" s="523"/>
      <c r="J84" s="523"/>
      <c r="K84" s="523"/>
      <c r="L84" s="523"/>
      <c r="M84" s="523"/>
      <c r="N84" s="523"/>
      <c r="O84" s="9"/>
      <c r="P84" s="9"/>
      <c r="Q84" s="9"/>
      <c r="R84" s="9"/>
      <c r="S84" s="9"/>
      <c r="T84" s="9"/>
      <c r="U84" s="9"/>
      <c r="V84" s="9"/>
      <c r="W84" s="9"/>
    </row>
    <row r="85" spans="2:23" x14ac:dyDescent="0.25">
      <c r="B85" s="57">
        <f t="shared" si="7"/>
        <v>2033</v>
      </c>
      <c r="C85" s="106">
        <f>'Capital Costs &amp; RCV Calc'!H20</f>
        <v>0</v>
      </c>
      <c r="D85" s="106">
        <f>SUM(C85)*(1+0.07)^-(B85-Assumptions!$D$4)</f>
        <v>0</v>
      </c>
      <c r="E85"/>
      <c r="F85"/>
      <c r="H85"/>
      <c r="I85" s="523"/>
      <c r="J85" s="523"/>
      <c r="K85" s="523"/>
      <c r="L85" s="523"/>
      <c r="M85" s="523"/>
      <c r="N85" s="523"/>
      <c r="O85" s="9"/>
      <c r="P85" s="9"/>
      <c r="Q85" s="9"/>
      <c r="R85" s="9"/>
      <c r="S85" s="9"/>
      <c r="T85" s="9"/>
      <c r="U85" s="9"/>
      <c r="V85" s="9"/>
      <c r="W85" s="9"/>
    </row>
    <row r="86" spans="2:23" x14ac:dyDescent="0.25">
      <c r="B86" s="57">
        <f t="shared" si="7"/>
        <v>2034</v>
      </c>
      <c r="C86" s="106">
        <f>'Capital Costs &amp; RCV Calc'!H21</f>
        <v>0</v>
      </c>
      <c r="D86" s="106">
        <f>SUM(C86)*(1+0.07)^-(B86-Assumptions!$D$4)</f>
        <v>0</v>
      </c>
      <c r="E86"/>
      <c r="F86"/>
      <c r="H86"/>
      <c r="I86" s="523"/>
      <c r="J86" s="523"/>
      <c r="K86" s="523"/>
      <c r="L86" s="523"/>
      <c r="M86" s="523"/>
      <c r="N86" s="523"/>
      <c r="O86" s="9"/>
      <c r="P86" s="9"/>
      <c r="Q86" s="9"/>
      <c r="R86" s="9"/>
      <c r="S86" s="9"/>
      <c r="T86" s="9"/>
      <c r="U86" s="9"/>
      <c r="V86" s="9"/>
      <c r="W86" s="9"/>
    </row>
    <row r="87" spans="2:23" x14ac:dyDescent="0.25">
      <c r="B87" s="57">
        <f t="shared" si="7"/>
        <v>2035</v>
      </c>
      <c r="C87" s="106">
        <f>'Capital Costs &amp; RCV Calc'!H22</f>
        <v>0</v>
      </c>
      <c r="D87" s="106">
        <f>SUM(C87)*(1+0.07)^-(B87-Assumptions!$D$4)</f>
        <v>0</v>
      </c>
      <c r="E87"/>
      <c r="F87"/>
      <c r="H87"/>
      <c r="I87" s="523"/>
      <c r="J87" s="523"/>
      <c r="K87" s="523"/>
      <c r="L87" s="523"/>
      <c r="M87" s="523"/>
      <c r="N87" s="523"/>
      <c r="O87" s="9"/>
      <c r="P87" s="9"/>
      <c r="Q87" s="9"/>
      <c r="R87" s="9"/>
      <c r="S87" s="9"/>
      <c r="T87" s="9"/>
      <c r="U87" s="9"/>
      <c r="V87" s="9"/>
      <c r="W87" s="9"/>
    </row>
    <row r="88" spans="2:23" x14ac:dyDescent="0.25">
      <c r="B88" s="57">
        <f t="shared" si="7"/>
        <v>2036</v>
      </c>
      <c r="C88" s="106">
        <f>'Capital Costs &amp; RCV Calc'!H23</f>
        <v>0</v>
      </c>
      <c r="D88" s="106">
        <f>SUM(C88)*(1+0.07)^-(B88-Assumptions!$D$4)</f>
        <v>0</v>
      </c>
      <c r="E88"/>
      <c r="F88"/>
      <c r="H88"/>
      <c r="I88" s="523"/>
      <c r="J88" s="523"/>
      <c r="K88" s="523"/>
      <c r="L88" s="523"/>
      <c r="M88" s="523"/>
      <c r="N88" s="523"/>
      <c r="O88" s="9"/>
      <c r="P88" s="9"/>
      <c r="Q88" s="9"/>
      <c r="R88" s="9"/>
      <c r="S88" s="9"/>
      <c r="T88" s="9"/>
      <c r="U88" s="9"/>
      <c r="V88" s="9"/>
      <c r="W88" s="9"/>
    </row>
    <row r="89" spans="2:23" x14ac:dyDescent="0.25">
      <c r="B89" s="57">
        <f t="shared" si="7"/>
        <v>2037</v>
      </c>
      <c r="C89" s="106">
        <f>'Capital Costs &amp; RCV Calc'!H24</f>
        <v>0</v>
      </c>
      <c r="D89" s="106">
        <f>SUM(C89)*(1+0.07)^-(B89-Assumptions!$D$4)</f>
        <v>0</v>
      </c>
      <c r="E89"/>
      <c r="F89"/>
      <c r="H89"/>
      <c r="I89" s="523"/>
      <c r="J89" s="523"/>
      <c r="K89" s="523"/>
      <c r="L89" s="523"/>
      <c r="M89" s="523"/>
      <c r="N89" s="523"/>
      <c r="O89" s="9"/>
      <c r="P89" s="9"/>
      <c r="Q89" s="9"/>
      <c r="R89" s="9"/>
      <c r="S89" s="9"/>
      <c r="T89" s="9"/>
      <c r="U89" s="9"/>
      <c r="V89" s="9"/>
      <c r="W89" s="9"/>
    </row>
    <row r="90" spans="2:23" x14ac:dyDescent="0.25">
      <c r="B90" s="57">
        <f t="shared" si="7"/>
        <v>2038</v>
      </c>
      <c r="C90" s="106">
        <f>'Capital Costs &amp; RCV Calc'!H25</f>
        <v>0</v>
      </c>
      <c r="D90" s="106">
        <f>SUM(C90)*(1+0.07)^-(B90-Assumptions!$D$4)</f>
        <v>0</v>
      </c>
      <c r="E90"/>
      <c r="F90"/>
      <c r="H90"/>
      <c r="I90" s="523"/>
      <c r="J90" s="523"/>
      <c r="K90" s="523"/>
      <c r="L90" s="523"/>
      <c r="M90" s="523"/>
      <c r="N90" s="523"/>
      <c r="O90" s="9"/>
      <c r="P90" s="9"/>
      <c r="Q90" s="9"/>
      <c r="R90" s="9"/>
      <c r="S90" s="9"/>
      <c r="T90" s="9"/>
      <c r="U90" s="9"/>
      <c r="V90" s="9"/>
      <c r="W90" s="9"/>
    </row>
    <row r="91" spans="2:23" x14ac:dyDescent="0.25">
      <c r="B91" s="57">
        <f t="shared" si="7"/>
        <v>2039</v>
      </c>
      <c r="C91" s="106">
        <f>'Capital Costs &amp; RCV Calc'!H26</f>
        <v>0</v>
      </c>
      <c r="D91" s="106">
        <f>SUM(C91)*(1+0.07)^-(B91-Assumptions!$D$4)</f>
        <v>0</v>
      </c>
      <c r="E91"/>
      <c r="F91"/>
      <c r="H91"/>
      <c r="I91" s="523"/>
      <c r="J91" s="523"/>
      <c r="K91" s="523"/>
      <c r="L91" s="523"/>
      <c r="M91" s="523"/>
      <c r="N91" s="523"/>
      <c r="O91" s="9"/>
      <c r="P91" s="9"/>
      <c r="Q91" s="9"/>
      <c r="R91" s="9"/>
      <c r="S91" s="9"/>
      <c r="T91" s="9"/>
      <c r="U91" s="9"/>
      <c r="V91" s="9"/>
      <c r="W91" s="9"/>
    </row>
    <row r="92" spans="2:23" x14ac:dyDescent="0.25">
      <c r="B92" s="57">
        <f t="shared" si="7"/>
        <v>2040</v>
      </c>
      <c r="C92" s="106">
        <f>'Capital Costs &amp; RCV Calc'!H27</f>
        <v>0</v>
      </c>
      <c r="D92" s="106">
        <f>SUM(C92)*(1+0.07)^-(B92-Assumptions!$D$4)</f>
        <v>0</v>
      </c>
      <c r="E92"/>
      <c r="F92"/>
      <c r="H92"/>
      <c r="I92" s="523"/>
      <c r="J92" s="523"/>
      <c r="K92" s="523"/>
      <c r="L92" s="523"/>
      <c r="M92" s="523"/>
      <c r="N92" s="523"/>
      <c r="O92" s="9"/>
      <c r="P92" s="9"/>
      <c r="Q92" s="9"/>
      <c r="R92" s="9"/>
      <c r="S92" s="9"/>
      <c r="T92" s="9"/>
      <c r="U92" s="9"/>
      <c r="V92" s="9"/>
      <c r="W92" s="9"/>
    </row>
    <row r="93" spans="2:23" x14ac:dyDescent="0.25">
      <c r="B93" s="57">
        <f t="shared" si="7"/>
        <v>2041</v>
      </c>
      <c r="C93" s="106">
        <f>'Capital Costs &amp; RCV Calc'!H28</f>
        <v>0</v>
      </c>
      <c r="D93" s="106">
        <f>SUM(C93)*(1+0.07)^-(B93-Assumptions!$D$4)</f>
        <v>0</v>
      </c>
      <c r="E93"/>
      <c r="F93"/>
      <c r="H93"/>
      <c r="I93" s="523"/>
      <c r="J93" s="523"/>
      <c r="K93" s="523"/>
      <c r="L93" s="523"/>
      <c r="M93" s="523"/>
      <c r="N93" s="523"/>
      <c r="O93" s="9"/>
      <c r="P93" s="9"/>
      <c r="Q93" s="9"/>
      <c r="R93" s="9"/>
      <c r="S93" s="9"/>
      <c r="T93" s="9"/>
      <c r="U93" s="9"/>
      <c r="V93" s="9"/>
      <c r="W93" s="9"/>
    </row>
    <row r="94" spans="2:23" x14ac:dyDescent="0.25">
      <c r="B94" s="57">
        <f t="shared" si="7"/>
        <v>2042</v>
      </c>
      <c r="C94" s="106">
        <f>'Capital Costs &amp; RCV Calc'!H29</f>
        <v>0</v>
      </c>
      <c r="D94" s="106">
        <f>SUM(C94)*(1+0.07)^-(B94-Assumptions!$D$4)</f>
        <v>0</v>
      </c>
      <c r="E94"/>
      <c r="F94"/>
      <c r="H94"/>
      <c r="I94" s="523"/>
      <c r="J94" s="523"/>
      <c r="K94" s="523"/>
      <c r="L94" s="523"/>
      <c r="M94" s="523"/>
      <c r="N94" s="523"/>
      <c r="O94" s="9"/>
      <c r="P94" s="9"/>
      <c r="Q94" s="9"/>
      <c r="R94" s="9"/>
      <c r="S94" s="9"/>
      <c r="T94" s="9"/>
      <c r="U94" s="9"/>
      <c r="V94" s="9"/>
      <c r="W94" s="9"/>
    </row>
    <row r="95" spans="2:23" ht="15.75" hidden="1" customHeight="1" thickBot="1" x14ac:dyDescent="0.3">
      <c r="B95" s="59">
        <f t="shared" si="7"/>
        <v>2043</v>
      </c>
      <c r="C95" s="107">
        <f>'Capital Costs &amp; RCV Calc'!H30</f>
        <v>0</v>
      </c>
      <c r="D95" s="107">
        <f>SUM(C95)*(1+0.07)^-(B95-Assumptions!$D$4)</f>
        <v>0</v>
      </c>
      <c r="E95"/>
      <c r="F95"/>
      <c r="H95"/>
      <c r="I95" s="523"/>
      <c r="J95" s="523"/>
      <c r="K95" s="523"/>
      <c r="L95" s="523"/>
      <c r="M95" s="523"/>
      <c r="N95" s="523"/>
      <c r="O95" s="9"/>
      <c r="P95" s="9"/>
      <c r="Q95" s="9"/>
      <c r="R95" s="9"/>
      <c r="S95" s="9"/>
      <c r="T95" s="9"/>
      <c r="U95" s="9"/>
      <c r="V95" s="9"/>
      <c r="W95" s="9"/>
    </row>
    <row r="96" spans="2:23" ht="15.75" hidden="1" customHeight="1" thickBot="1" x14ac:dyDescent="0.3">
      <c r="B96" s="56">
        <f t="shared" si="7"/>
        <v>2044</v>
      </c>
      <c r="C96" s="72">
        <v>0</v>
      </c>
      <c r="D96" s="72">
        <v>0</v>
      </c>
      <c r="E96"/>
      <c r="F96"/>
      <c r="H96"/>
      <c r="I96" s="523"/>
      <c r="J96" s="523"/>
      <c r="K96" s="523"/>
      <c r="L96" s="523"/>
      <c r="M96" s="523"/>
      <c r="N96" s="523"/>
      <c r="O96" s="9"/>
      <c r="P96" s="9"/>
      <c r="Q96" s="9"/>
      <c r="R96" s="9"/>
      <c r="S96" s="9"/>
      <c r="T96" s="9"/>
      <c r="U96" s="9"/>
      <c r="V96" s="9"/>
      <c r="W96" s="9"/>
    </row>
    <row r="97" spans="2:23" ht="15.75" hidden="1" customHeight="1" thickBot="1" x14ac:dyDescent="0.3">
      <c r="B97" s="57">
        <f t="shared" si="7"/>
        <v>2045</v>
      </c>
      <c r="C97" s="106">
        <v>0</v>
      </c>
      <c r="D97" s="106">
        <v>0</v>
      </c>
      <c r="E97"/>
      <c r="F97"/>
      <c r="H97"/>
      <c r="I97" s="523"/>
      <c r="J97" s="523"/>
      <c r="K97" s="523"/>
      <c r="L97" s="523"/>
      <c r="M97" s="523"/>
      <c r="N97" s="523"/>
      <c r="O97" s="9"/>
      <c r="P97" s="9"/>
      <c r="Q97" s="9"/>
      <c r="R97" s="9"/>
      <c r="S97" s="9"/>
      <c r="T97" s="9"/>
      <c r="U97" s="9"/>
      <c r="V97" s="9"/>
      <c r="W97" s="9"/>
    </row>
    <row r="98" spans="2:23" ht="15.75" hidden="1" customHeight="1" thickBot="1" x14ac:dyDescent="0.3">
      <c r="B98" s="57">
        <f t="shared" si="7"/>
        <v>2046</v>
      </c>
      <c r="C98" s="106">
        <v>0</v>
      </c>
      <c r="D98" s="106">
        <v>0</v>
      </c>
      <c r="E98" s="47"/>
      <c r="F98" s="47"/>
      <c r="G98" s="47"/>
      <c r="H98" s="47"/>
      <c r="I98" s="523"/>
      <c r="J98" s="523"/>
      <c r="K98" s="523"/>
      <c r="L98" s="523"/>
      <c r="M98" s="523"/>
      <c r="N98" s="523"/>
      <c r="O98" s="9"/>
      <c r="P98" s="9"/>
      <c r="Q98" s="9"/>
      <c r="R98" s="9"/>
      <c r="S98" s="9"/>
      <c r="T98" s="9"/>
      <c r="U98" s="9"/>
      <c r="V98" s="9"/>
      <c r="W98" s="9"/>
    </row>
    <row r="99" spans="2:23" ht="15.75" hidden="1" customHeight="1" thickBot="1" x14ac:dyDescent="0.3">
      <c r="B99" s="57">
        <f t="shared" si="7"/>
        <v>2047</v>
      </c>
      <c r="C99" s="106">
        <v>0</v>
      </c>
      <c r="D99" s="106">
        <v>0</v>
      </c>
      <c r="E99" s="47"/>
      <c r="F99" s="47"/>
      <c r="G99" s="47"/>
      <c r="H99" s="47"/>
      <c r="I99" s="523"/>
      <c r="J99" s="523"/>
      <c r="K99" s="523"/>
      <c r="L99" s="523"/>
      <c r="M99" s="523"/>
      <c r="N99" s="523"/>
      <c r="O99" s="9"/>
      <c r="P99" s="9"/>
      <c r="Q99" s="9"/>
      <c r="R99" s="9"/>
      <c r="S99" s="9"/>
      <c r="T99" s="9"/>
      <c r="U99" s="9"/>
      <c r="V99" s="9"/>
      <c r="W99" s="9"/>
    </row>
    <row r="100" spans="2:23" ht="15.75" hidden="1" customHeight="1" thickBot="1" x14ac:dyDescent="0.3">
      <c r="B100" s="57">
        <f t="shared" si="7"/>
        <v>2048</v>
      </c>
      <c r="C100" s="106">
        <v>0</v>
      </c>
      <c r="D100" s="106">
        <v>0</v>
      </c>
      <c r="E100" s="12"/>
      <c r="F100"/>
      <c r="H100"/>
      <c r="I100" s="523"/>
      <c r="J100" s="523"/>
      <c r="K100" s="523"/>
      <c r="L100" s="523"/>
      <c r="M100" s="523"/>
      <c r="N100" s="523"/>
      <c r="O100" s="9"/>
      <c r="P100" s="9"/>
      <c r="Q100" s="9"/>
      <c r="R100" s="9"/>
      <c r="S100" s="9"/>
      <c r="T100" s="9"/>
      <c r="U100" s="9"/>
      <c r="V100" s="9"/>
      <c r="W100" s="9"/>
    </row>
    <row r="101" spans="2:23" ht="15.75" hidden="1" customHeight="1" thickBot="1" x14ac:dyDescent="0.3">
      <c r="B101" s="57">
        <f t="shared" si="7"/>
        <v>2049</v>
      </c>
      <c r="C101" s="106">
        <v>0</v>
      </c>
      <c r="D101" s="106">
        <v>0</v>
      </c>
      <c r="E101" s="8"/>
      <c r="F101" s="8"/>
      <c r="H101"/>
      <c r="I101" s="523"/>
      <c r="J101" s="523"/>
      <c r="K101" s="523"/>
      <c r="L101" s="523"/>
      <c r="M101" s="523"/>
      <c r="N101" s="523"/>
      <c r="O101" s="9"/>
      <c r="P101" s="9"/>
      <c r="Q101" s="9"/>
      <c r="R101" s="9"/>
      <c r="S101" s="9"/>
      <c r="T101" s="9"/>
      <c r="U101" s="9"/>
      <c r="V101" s="9"/>
      <c r="W101" s="9"/>
    </row>
    <row r="102" spans="2:23" ht="15.75" hidden="1" customHeight="1" thickBot="1" x14ac:dyDescent="0.3">
      <c r="B102" s="57">
        <f t="shared" si="7"/>
        <v>2050</v>
      </c>
      <c r="C102" s="106">
        <v>0</v>
      </c>
      <c r="D102" s="106">
        <v>0</v>
      </c>
      <c r="E102"/>
      <c r="F102"/>
      <c r="H102"/>
      <c r="I102" s="523"/>
      <c r="J102" s="523"/>
      <c r="K102" s="523"/>
      <c r="L102" s="523"/>
      <c r="M102" s="523"/>
      <c r="N102" s="523"/>
      <c r="O102" s="9"/>
      <c r="P102" s="9"/>
      <c r="Q102" s="9"/>
      <c r="R102" s="9"/>
      <c r="S102" s="9"/>
      <c r="T102" s="9"/>
      <c r="U102" s="9"/>
      <c r="V102" s="9"/>
      <c r="W102" s="9"/>
    </row>
    <row r="103" spans="2:23" ht="15.75" thickBot="1" x14ac:dyDescent="0.3">
      <c r="B103" s="58">
        <f t="shared" si="7"/>
        <v>2051</v>
      </c>
      <c r="C103" s="577">
        <v>0</v>
      </c>
      <c r="D103" s="577">
        <v>0</v>
      </c>
      <c r="E103"/>
      <c r="F103"/>
      <c r="H103"/>
      <c r="I103" s="523"/>
      <c r="J103" s="523"/>
      <c r="K103" s="523"/>
      <c r="L103" s="523"/>
      <c r="M103" s="523"/>
      <c r="N103" s="523"/>
      <c r="O103" s="9"/>
      <c r="P103" s="9"/>
      <c r="Q103" s="9"/>
      <c r="R103" s="9"/>
      <c r="S103" s="9"/>
      <c r="T103" s="9"/>
      <c r="U103" s="9"/>
      <c r="V103" s="9"/>
      <c r="W103" s="9"/>
    </row>
    <row r="104" spans="2:23" ht="15.75" thickBot="1" x14ac:dyDescent="0.3">
      <c r="B104" s="578" t="s">
        <v>223</v>
      </c>
      <c r="C104" s="572">
        <f>SUM(C75:C103)</f>
        <v>20768618.659701072</v>
      </c>
      <c r="D104" s="537">
        <f>SUM(D75:D103)</f>
        <v>16668133.587129118</v>
      </c>
      <c r="E104"/>
      <c r="F104"/>
      <c r="H104"/>
      <c r="I104" s="39"/>
      <c r="J104" s="39"/>
      <c r="K104" s="39"/>
      <c r="L104" s="39"/>
      <c r="M104" s="39"/>
      <c r="N104" s="39"/>
      <c r="O104" s="9"/>
      <c r="P104" s="9"/>
      <c r="Q104" s="9"/>
      <c r="R104" s="9"/>
      <c r="S104" s="9"/>
      <c r="T104" s="9"/>
      <c r="U104" s="9"/>
      <c r="V104" s="9"/>
      <c r="W104" s="9"/>
    </row>
    <row r="105" spans="2:23" x14ac:dyDescent="0.25">
      <c r="B105" s="523"/>
      <c r="C105" s="39"/>
      <c r="D105" s="39"/>
      <c r="E105" s="4"/>
      <c r="F105"/>
      <c r="H105"/>
      <c r="I105" s="39"/>
      <c r="J105" s="39"/>
      <c r="K105" s="39"/>
      <c r="L105" s="39"/>
      <c r="M105" s="39"/>
      <c r="N105" s="39"/>
      <c r="O105" s="9"/>
      <c r="P105" s="9"/>
      <c r="Q105" s="9"/>
      <c r="R105" s="9"/>
      <c r="S105" s="9"/>
      <c r="T105" s="9"/>
      <c r="U105" s="9"/>
      <c r="V105" s="9"/>
      <c r="W105" s="9"/>
    </row>
    <row r="106" spans="2:23" x14ac:dyDescent="0.25">
      <c r="B106" s="523"/>
      <c r="C106" s="523"/>
      <c r="D106" s="523"/>
      <c r="E106"/>
      <c r="F106"/>
      <c r="H106"/>
      <c r="I106" s="39"/>
      <c r="J106" s="39"/>
      <c r="K106" s="39"/>
      <c r="L106" s="39"/>
      <c r="M106" s="39"/>
      <c r="N106" s="39"/>
      <c r="O106" s="9"/>
      <c r="P106" s="9"/>
      <c r="Q106" s="9"/>
      <c r="R106" s="9"/>
      <c r="S106" s="9"/>
      <c r="T106" s="9"/>
      <c r="U106" s="9"/>
      <c r="V106" s="9"/>
      <c r="W106" s="9"/>
    </row>
    <row r="107" spans="2:23" x14ac:dyDescent="0.25">
      <c r="B107" s="10"/>
      <c r="C107" s="39"/>
      <c r="D107" s="39"/>
      <c r="E107" s="39"/>
      <c r="F107" s="39"/>
      <c r="G107" s="39"/>
      <c r="H107" s="39"/>
      <c r="I107" s="39"/>
      <c r="J107" s="39"/>
      <c r="K107" s="39"/>
      <c r="L107" s="39"/>
      <c r="M107" s="39"/>
      <c r="N107" s="39"/>
      <c r="O107" s="9"/>
      <c r="P107" s="9"/>
      <c r="Q107" s="9"/>
      <c r="R107" s="9"/>
      <c r="S107" s="9"/>
      <c r="T107" s="9"/>
      <c r="U107" s="9"/>
      <c r="V107" s="9"/>
      <c r="W107" s="9"/>
    </row>
    <row r="108" spans="2:23" x14ac:dyDescent="0.25">
      <c r="D108"/>
      <c r="F108"/>
      <c r="J108" s="47"/>
      <c r="L108" s="35"/>
      <c r="M108" s="522"/>
      <c r="O108" s="9"/>
      <c r="P108" s="9"/>
      <c r="Q108" s="9"/>
      <c r="R108" s="9"/>
      <c r="S108" s="9"/>
      <c r="T108" s="9"/>
      <c r="U108" s="9"/>
      <c r="V108" s="9"/>
      <c r="W108" s="9"/>
    </row>
    <row r="109" spans="2:23" x14ac:dyDescent="0.25">
      <c r="D109"/>
      <c r="E109"/>
      <c r="F109"/>
      <c r="I109" s="31"/>
      <c r="J109" s="31"/>
      <c r="K109" s="31"/>
      <c r="L109" s="31"/>
      <c r="M109" s="31"/>
      <c r="O109" s="9"/>
      <c r="P109" s="9"/>
      <c r="Q109" s="9"/>
      <c r="R109" s="9"/>
      <c r="S109" s="9"/>
      <c r="T109" s="9"/>
      <c r="U109" s="9"/>
      <c r="V109" s="9"/>
      <c r="W109" s="9"/>
    </row>
    <row r="110" spans="2:23" x14ac:dyDescent="0.25">
      <c r="D110"/>
      <c r="E110"/>
      <c r="F110"/>
      <c r="I110" s="29"/>
      <c r="J110" s="29"/>
      <c r="K110" s="29"/>
      <c r="L110" s="29"/>
      <c r="M110" s="29"/>
      <c r="N110" s="29"/>
      <c r="O110" s="9"/>
      <c r="P110" s="9"/>
      <c r="Q110" s="9"/>
      <c r="R110" s="9"/>
      <c r="S110" s="9"/>
      <c r="T110" s="9"/>
      <c r="U110" s="9"/>
      <c r="V110" s="9"/>
      <c r="W110" s="9"/>
    </row>
    <row r="111" spans="2:23" x14ac:dyDescent="0.25">
      <c r="D111"/>
      <c r="E111"/>
      <c r="F111"/>
      <c r="I111" s="29"/>
      <c r="J111" s="29"/>
      <c r="K111" s="29"/>
      <c r="L111" s="29"/>
      <c r="M111" s="29"/>
      <c r="N111" s="29"/>
      <c r="O111" s="9"/>
      <c r="P111" s="9"/>
      <c r="Q111" s="9"/>
      <c r="R111" s="9"/>
      <c r="S111" s="9"/>
      <c r="T111" s="9"/>
      <c r="U111" s="9"/>
      <c r="V111" s="9"/>
      <c r="W111" s="9"/>
    </row>
    <row r="112" spans="2:23" x14ac:dyDescent="0.25">
      <c r="D112"/>
      <c r="E112"/>
      <c r="F112"/>
      <c r="I112" s="30"/>
      <c r="J112" s="30"/>
      <c r="K112" s="30"/>
      <c r="L112" s="30"/>
      <c r="M112" s="30"/>
      <c r="N112" s="30"/>
      <c r="O112" s="9"/>
      <c r="P112" s="9"/>
      <c r="Q112" s="9"/>
      <c r="R112" s="9"/>
      <c r="S112" s="9"/>
      <c r="T112" s="9"/>
      <c r="U112" s="9"/>
      <c r="V112" s="9"/>
      <c r="W112" s="9"/>
    </row>
    <row r="113" spans="4:23" x14ac:dyDescent="0.25">
      <c r="D113"/>
      <c r="E113"/>
      <c r="F113"/>
      <c r="J113" s="34"/>
      <c r="L113"/>
      <c r="O113" s="9"/>
      <c r="P113" s="9"/>
      <c r="Q113" s="9"/>
      <c r="R113" s="9"/>
      <c r="S113" s="9"/>
      <c r="T113" s="9"/>
      <c r="U113" s="9"/>
      <c r="V113" s="9"/>
      <c r="W113" s="9"/>
    </row>
    <row r="114" spans="4:23" x14ac:dyDescent="0.25">
      <c r="J114" s="34"/>
      <c r="L114"/>
    </row>
    <row r="115" spans="4:23" x14ac:dyDescent="0.25">
      <c r="D115" s="525"/>
      <c r="E115" s="525"/>
      <c r="F115" s="525"/>
      <c r="G115" s="26"/>
      <c r="H115" s="26"/>
      <c r="I115" s="26"/>
    </row>
    <row r="116" spans="4:23" x14ac:dyDescent="0.25">
      <c r="D116" s="526"/>
      <c r="E116" s="526"/>
      <c r="F116" s="526"/>
    </row>
    <row r="117" spans="4:23" x14ac:dyDescent="0.25">
      <c r="D117" s="526"/>
      <c r="E117" s="526"/>
      <c r="F117" s="526"/>
    </row>
    <row r="118" spans="4:23" x14ac:dyDescent="0.25">
      <c r="D118" s="527"/>
      <c r="E118" s="527"/>
      <c r="F118" s="527"/>
    </row>
    <row r="119" spans="4:23" x14ac:dyDescent="0.25">
      <c r="D119" s="528"/>
      <c r="E119" s="528"/>
      <c r="F119" s="528"/>
    </row>
  </sheetData>
  <mergeCells count="36">
    <mergeCell ref="N39:N40"/>
    <mergeCell ref="I39:I40"/>
    <mergeCell ref="J39:J40"/>
    <mergeCell ref="F39:F40"/>
    <mergeCell ref="M39:M40"/>
    <mergeCell ref="H39:H40"/>
    <mergeCell ref="K39:K40"/>
    <mergeCell ref="L39:L40"/>
    <mergeCell ref="N5:N6"/>
    <mergeCell ref="J5:J6"/>
    <mergeCell ref="K5:K6"/>
    <mergeCell ref="B5:B6"/>
    <mergeCell ref="C5:C6"/>
    <mergeCell ref="H5:H6"/>
    <mergeCell ref="G5:G6"/>
    <mergeCell ref="D5:D6"/>
    <mergeCell ref="E5:E6"/>
    <mergeCell ref="F5:F6"/>
    <mergeCell ref="M5:M6"/>
    <mergeCell ref="K4:L4"/>
    <mergeCell ref="F38:H38"/>
    <mergeCell ref="K38:L38"/>
    <mergeCell ref="C4:F4"/>
    <mergeCell ref="E39:E40"/>
    <mergeCell ref="G39:G40"/>
    <mergeCell ref="C38:E38"/>
    <mergeCell ref="C39:C40"/>
    <mergeCell ref="D39:D40"/>
    <mergeCell ref="B73:B74"/>
    <mergeCell ref="C73:C74"/>
    <mergeCell ref="D73:D74"/>
    <mergeCell ref="L5:L6"/>
    <mergeCell ref="B39:B40"/>
    <mergeCell ref="F73:F74"/>
    <mergeCell ref="G73:G74"/>
    <mergeCell ref="I38:J38"/>
  </mergeCells>
  <pageMargins left="0.25" right="0.25" top="0.75" bottom="0.75" header="0.3" footer="0.3"/>
  <pageSetup scale="3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9A8D-05E4-46E0-8BC8-BF3970E9589C}">
  <sheetPr>
    <tabColor theme="0" tint="-0.34998626667073579"/>
  </sheetPr>
  <dimension ref="A1:X4"/>
  <sheetViews>
    <sheetView workbookViewId="0">
      <pane xSplit="1" ySplit="1" topLeftCell="B2" activePane="bottomRight" state="frozen"/>
      <selection activeCell="E2" sqref="E2:X2"/>
      <selection pane="topRight" activeCell="E2" sqref="E2:X2"/>
      <selection pane="bottomLeft" activeCell="E2" sqref="E2:X2"/>
      <selection pane="bottomRight" activeCell="E2" sqref="E2:X2"/>
    </sheetView>
  </sheetViews>
  <sheetFormatPr defaultRowHeight="15" customHeight="1" x14ac:dyDescent="0.25"/>
  <cols>
    <col min="1" max="24" width="28.42578125" style="510" customWidth="1"/>
    <col min="25" max="16384" width="9.140625" style="510"/>
  </cols>
  <sheetData>
    <row r="1" spans="1:24" ht="15" customHeight="1" x14ac:dyDescent="0.25">
      <c r="A1" s="514" t="s">
        <v>591</v>
      </c>
      <c r="B1" s="514" t="s">
        <v>546</v>
      </c>
      <c r="C1" s="514" t="s">
        <v>545</v>
      </c>
      <c r="D1" s="514" t="s">
        <v>544</v>
      </c>
      <c r="E1" s="514" t="s">
        <v>543</v>
      </c>
      <c r="F1" s="514" t="s">
        <v>542</v>
      </c>
      <c r="G1" s="514" t="s">
        <v>541</v>
      </c>
      <c r="H1" s="514" t="s">
        <v>540</v>
      </c>
      <c r="I1" s="514" t="s">
        <v>539</v>
      </c>
      <c r="J1" s="514" t="s">
        <v>538</v>
      </c>
      <c r="K1" s="514" t="s">
        <v>537</v>
      </c>
      <c r="L1" s="514" t="s">
        <v>536</v>
      </c>
      <c r="M1" s="514" t="s">
        <v>535</v>
      </c>
      <c r="N1" s="514" t="s">
        <v>534</v>
      </c>
      <c r="O1" s="514" t="s">
        <v>533</v>
      </c>
      <c r="P1" s="514" t="s">
        <v>532</v>
      </c>
      <c r="Q1" s="514" t="s">
        <v>531</v>
      </c>
      <c r="R1" s="514" t="s">
        <v>530</v>
      </c>
      <c r="S1" s="514" t="s">
        <v>529</v>
      </c>
      <c r="T1" s="514" t="s">
        <v>528</v>
      </c>
      <c r="U1" s="514" t="s">
        <v>527</v>
      </c>
      <c r="V1" s="514" t="s">
        <v>526</v>
      </c>
      <c r="W1" s="514" t="s">
        <v>525</v>
      </c>
      <c r="X1" s="514" t="s">
        <v>524</v>
      </c>
    </row>
    <row r="2" spans="1:24" s="335" customFormat="1" x14ac:dyDescent="0.25">
      <c r="A2" s="335" t="s">
        <v>523</v>
      </c>
      <c r="B2" s="335" t="s">
        <v>522</v>
      </c>
      <c r="D2" s="335" t="s">
        <v>521</v>
      </c>
      <c r="E2" s="335" t="s">
        <v>520</v>
      </c>
      <c r="F2" s="335" t="s">
        <v>519</v>
      </c>
      <c r="G2" s="335" t="s">
        <v>66</v>
      </c>
      <c r="H2" s="335" t="s">
        <v>562</v>
      </c>
      <c r="I2" s="335" t="s">
        <v>562</v>
      </c>
      <c r="J2" s="335" t="s">
        <v>561</v>
      </c>
      <c r="K2" s="335" t="s">
        <v>560</v>
      </c>
      <c r="L2" s="335" t="s">
        <v>559</v>
      </c>
      <c r="M2" s="335" t="s">
        <v>558</v>
      </c>
      <c r="N2" s="335" t="s">
        <v>557</v>
      </c>
      <c r="O2" s="335" t="s">
        <v>556</v>
      </c>
      <c r="P2" s="335" t="s">
        <v>555</v>
      </c>
      <c r="Q2" s="335" t="s">
        <v>554</v>
      </c>
      <c r="R2" s="335" t="s">
        <v>553</v>
      </c>
      <c r="S2" s="335" t="s">
        <v>552</v>
      </c>
      <c r="T2" s="335" t="s">
        <v>551</v>
      </c>
      <c r="U2" s="335" t="s">
        <v>550</v>
      </c>
      <c r="V2" s="335" t="s">
        <v>549</v>
      </c>
      <c r="W2" s="335" t="s">
        <v>548</v>
      </c>
      <c r="X2" s="335" t="s">
        <v>547</v>
      </c>
    </row>
    <row r="3" spans="1:24" s="523" customFormat="1" ht="15" customHeight="1" x14ac:dyDescent="0.25">
      <c r="A3" s="514" t="s">
        <v>590</v>
      </c>
      <c r="B3" s="514" t="s">
        <v>546</v>
      </c>
      <c r="C3" s="514" t="s">
        <v>545</v>
      </c>
      <c r="D3" s="514" t="s">
        <v>544</v>
      </c>
      <c r="E3" s="514" t="s">
        <v>543</v>
      </c>
      <c r="F3" s="514" t="s">
        <v>542</v>
      </c>
      <c r="G3" s="514" t="s">
        <v>541</v>
      </c>
      <c r="H3" s="514" t="s">
        <v>540</v>
      </c>
      <c r="I3" s="514" t="s">
        <v>539</v>
      </c>
      <c r="J3" s="514" t="s">
        <v>538</v>
      </c>
      <c r="K3" s="514" t="s">
        <v>537</v>
      </c>
      <c r="L3" s="514" t="s">
        <v>536</v>
      </c>
      <c r="M3" s="514" t="s">
        <v>535</v>
      </c>
      <c r="N3" s="514" t="s">
        <v>534</v>
      </c>
      <c r="O3" s="514" t="s">
        <v>533</v>
      </c>
      <c r="P3" s="514" t="s">
        <v>532</v>
      </c>
      <c r="Q3" s="514" t="s">
        <v>531</v>
      </c>
      <c r="R3" s="514" t="s">
        <v>530</v>
      </c>
      <c r="S3" s="514" t="s">
        <v>529</v>
      </c>
      <c r="T3" s="514" t="s">
        <v>528</v>
      </c>
      <c r="U3" s="514" t="s">
        <v>527</v>
      </c>
      <c r="V3" s="514" t="s">
        <v>526</v>
      </c>
      <c r="W3" s="514" t="s">
        <v>525</v>
      </c>
      <c r="X3" s="514" t="s">
        <v>524</v>
      </c>
    </row>
    <row r="4" spans="1:24" s="523" customFormat="1" x14ac:dyDescent="0.25">
      <c r="A4" s="523" t="s">
        <v>523</v>
      </c>
      <c r="B4" s="523" t="s">
        <v>522</v>
      </c>
      <c r="D4" s="523" t="s">
        <v>521</v>
      </c>
      <c r="E4" s="523" t="s">
        <v>520</v>
      </c>
      <c r="F4" s="523" t="s">
        <v>519</v>
      </c>
      <c r="G4" s="523" t="s">
        <v>518</v>
      </c>
      <c r="H4" s="523" t="s">
        <v>517</v>
      </c>
      <c r="I4" s="523" t="s">
        <v>516</v>
      </c>
      <c r="J4" s="523" t="s">
        <v>515</v>
      </c>
      <c r="K4" s="523" t="s">
        <v>514</v>
      </c>
      <c r="L4" s="523" t="s">
        <v>513</v>
      </c>
      <c r="M4" s="523" t="s">
        <v>512</v>
      </c>
      <c r="N4" s="523" t="s">
        <v>511</v>
      </c>
      <c r="O4" s="523" t="s">
        <v>510</v>
      </c>
      <c r="P4" s="523" t="s">
        <v>509</v>
      </c>
      <c r="Q4" s="523" t="s">
        <v>508</v>
      </c>
      <c r="R4" s="523" t="s">
        <v>507</v>
      </c>
      <c r="S4" s="523" t="s">
        <v>506</v>
      </c>
      <c r="T4" s="523" t="s">
        <v>505</v>
      </c>
      <c r="U4" s="523" t="s">
        <v>504</v>
      </c>
      <c r="V4" s="523" t="s">
        <v>503</v>
      </c>
      <c r="W4" s="523" t="s">
        <v>502</v>
      </c>
      <c r="X4" s="523">
        <v>56891.7</v>
      </c>
    </row>
  </sheetData>
  <autoFilter ref="A1:X1" xr:uid="{00000000-0009-0000-0000-000000000000}"/>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76FDC-ECBF-4972-8D4E-D316E340EEE7}">
  <sheetPr>
    <tabColor theme="0" tint="-0.34998626667073579"/>
  </sheetPr>
  <dimension ref="A1:Q56"/>
  <sheetViews>
    <sheetView topLeftCell="A13" workbookViewId="0">
      <selection activeCell="E2" sqref="E2:X2"/>
    </sheetView>
  </sheetViews>
  <sheetFormatPr defaultColWidth="9.140625" defaultRowHeight="12.75" x14ac:dyDescent="0.2"/>
  <cols>
    <col min="1" max="1" width="13.28515625" style="455" customWidth="1"/>
    <col min="2" max="2" width="16.5703125" style="455" customWidth="1"/>
    <col min="3" max="3" width="40.7109375" style="455" customWidth="1"/>
    <col min="4" max="4" width="14.140625" style="455" bestFit="1" customWidth="1"/>
    <col min="5" max="5" width="12" style="455" bestFit="1" customWidth="1"/>
    <col min="6" max="6" width="14" style="455" customWidth="1"/>
    <col min="7" max="7" width="13.7109375" style="455" bestFit="1" customWidth="1"/>
    <col min="8" max="8" width="18.28515625" style="455" bestFit="1" customWidth="1"/>
    <col min="9" max="9" width="18.28515625" style="455" customWidth="1"/>
    <col min="10" max="10" width="16.28515625" style="455" bestFit="1" customWidth="1"/>
    <col min="11" max="11" width="19.85546875" style="455" bestFit="1" customWidth="1"/>
    <col min="12" max="12" width="11" style="455" customWidth="1"/>
    <col min="13" max="16384" width="9.140625" style="455"/>
  </cols>
  <sheetData>
    <row r="1" spans="1:17" x14ac:dyDescent="0.2">
      <c r="A1" s="333" t="s">
        <v>123</v>
      </c>
      <c r="B1" s="333" t="s">
        <v>122</v>
      </c>
      <c r="C1" s="333" t="s">
        <v>121</v>
      </c>
      <c r="D1" s="333" t="s">
        <v>120</v>
      </c>
      <c r="E1" s="333" t="s">
        <v>119</v>
      </c>
      <c r="F1" s="333" t="s">
        <v>118</v>
      </c>
      <c r="G1" s="332" t="s">
        <v>117</v>
      </c>
      <c r="H1" s="332" t="s">
        <v>116</v>
      </c>
      <c r="I1" s="332" t="s">
        <v>115</v>
      </c>
      <c r="J1" s="332" t="s">
        <v>114</v>
      </c>
    </row>
    <row r="2" spans="1:17" ht="13.5" customHeight="1" x14ac:dyDescent="0.2">
      <c r="A2" s="495" t="s">
        <v>377</v>
      </c>
      <c r="B2" s="331" t="s">
        <v>107</v>
      </c>
      <c r="C2" s="463" t="s">
        <v>376</v>
      </c>
      <c r="D2" s="330">
        <v>11</v>
      </c>
      <c r="E2" s="326">
        <f>I55</f>
        <v>0</v>
      </c>
      <c r="F2" s="329">
        <f t="shared" ref="F2:F24" si="0">E2*D2</f>
        <v>0</v>
      </c>
      <c r="G2" s="328"/>
      <c r="H2" s="328"/>
      <c r="I2" s="482" t="s">
        <v>375</v>
      </c>
      <c r="J2" s="494"/>
      <c r="K2" s="494"/>
      <c r="L2" s="494"/>
      <c r="M2" s="494"/>
      <c r="N2" s="494"/>
      <c r="O2" s="494"/>
      <c r="P2" s="494"/>
      <c r="Q2" s="494"/>
    </row>
    <row r="3" spans="1:17" ht="13.5" customHeight="1" x14ac:dyDescent="0.2">
      <c r="A3" s="495" t="s">
        <v>374</v>
      </c>
      <c r="B3" s="331" t="s">
        <v>108</v>
      </c>
      <c r="C3" s="463" t="s">
        <v>373</v>
      </c>
      <c r="D3" s="330">
        <v>4630.03</v>
      </c>
      <c r="E3" s="326">
        <f>B45</f>
        <v>9.0350000000000001</v>
      </c>
      <c r="F3" s="329">
        <f t="shared" si="0"/>
        <v>41832.321049999999</v>
      </c>
      <c r="G3" s="328"/>
      <c r="H3" s="328"/>
      <c r="I3" s="482" t="s">
        <v>372</v>
      </c>
      <c r="J3" s="494"/>
      <c r="K3" s="494"/>
      <c r="L3" s="494"/>
      <c r="M3" s="494"/>
      <c r="N3" s="494"/>
      <c r="O3" s="494"/>
      <c r="P3" s="494"/>
      <c r="Q3" s="494"/>
    </row>
    <row r="4" spans="1:17" ht="12.75" customHeight="1" x14ac:dyDescent="0.2">
      <c r="A4" s="492" t="s">
        <v>331</v>
      </c>
      <c r="B4" s="306" t="s">
        <v>330</v>
      </c>
      <c r="C4" s="306" t="s">
        <v>101</v>
      </c>
      <c r="D4" s="121">
        <v>61454.519</v>
      </c>
      <c r="E4" s="491">
        <v>1</v>
      </c>
      <c r="F4" s="319">
        <f t="shared" si="0"/>
        <v>61454.519</v>
      </c>
      <c r="I4" s="482" t="s">
        <v>371</v>
      </c>
    </row>
    <row r="5" spans="1:17" ht="12.75" customHeight="1" x14ac:dyDescent="0.2">
      <c r="A5" s="447" t="s">
        <v>328</v>
      </c>
      <c r="B5" s="447" t="s">
        <v>105</v>
      </c>
      <c r="C5" s="447" t="s">
        <v>327</v>
      </c>
      <c r="D5" s="446">
        <v>19</v>
      </c>
      <c r="E5" s="323">
        <f>J55</f>
        <v>0</v>
      </c>
      <c r="F5" s="319">
        <f t="shared" si="0"/>
        <v>0</v>
      </c>
      <c r="G5" s="328"/>
      <c r="H5" s="328"/>
      <c r="I5" s="482"/>
      <c r="J5" s="494"/>
      <c r="K5" s="494"/>
      <c r="L5" s="494"/>
      <c r="M5" s="494"/>
      <c r="N5" s="494"/>
      <c r="O5" s="494"/>
      <c r="P5" s="494"/>
      <c r="Q5" s="494"/>
    </row>
    <row r="6" spans="1:17" ht="12.75" customHeight="1" x14ac:dyDescent="0.2">
      <c r="A6" s="447" t="s">
        <v>326</v>
      </c>
      <c r="B6" s="447" t="s">
        <v>105</v>
      </c>
      <c r="C6" s="447" t="s">
        <v>325</v>
      </c>
      <c r="D6" s="446">
        <v>7.5</v>
      </c>
      <c r="E6" s="326">
        <f>K55</f>
        <v>0</v>
      </c>
      <c r="F6" s="319">
        <f t="shared" si="0"/>
        <v>0</v>
      </c>
      <c r="G6" s="328"/>
      <c r="H6" s="328"/>
      <c r="I6" s="482"/>
      <c r="J6" s="494"/>
      <c r="K6" s="494"/>
      <c r="L6" s="494"/>
      <c r="M6" s="494"/>
      <c r="N6" s="494"/>
      <c r="O6" s="494"/>
      <c r="P6" s="494"/>
      <c r="Q6" s="494"/>
    </row>
    <row r="7" spans="1:17" ht="12.75" customHeight="1" x14ac:dyDescent="0.2">
      <c r="A7" s="447" t="s">
        <v>323</v>
      </c>
      <c r="B7" s="447" t="s">
        <v>105</v>
      </c>
      <c r="C7" s="447" t="s">
        <v>322</v>
      </c>
      <c r="D7" s="446">
        <v>750</v>
      </c>
      <c r="E7" s="323">
        <f>C55</f>
        <v>2682.9179519999998</v>
      </c>
      <c r="F7" s="319">
        <f t="shared" si="0"/>
        <v>2012188.4639999999</v>
      </c>
      <c r="G7" s="327"/>
      <c r="H7" s="327"/>
      <c r="I7" s="482"/>
      <c r="J7" s="494"/>
      <c r="K7" s="494"/>
      <c r="L7" s="494"/>
      <c r="M7" s="494"/>
      <c r="N7" s="494"/>
      <c r="O7" s="494"/>
      <c r="P7" s="494"/>
      <c r="Q7" s="494"/>
    </row>
    <row r="8" spans="1:17" ht="12.75" customHeight="1" x14ac:dyDescent="0.2">
      <c r="A8" s="448" t="s">
        <v>370</v>
      </c>
      <c r="B8" s="447" t="s">
        <v>105</v>
      </c>
      <c r="C8" s="447" t="s">
        <v>369</v>
      </c>
      <c r="D8" s="446">
        <v>40</v>
      </c>
      <c r="E8" s="326">
        <f>D55</f>
        <v>44715.299200000001</v>
      </c>
      <c r="F8" s="319">
        <f t="shared" si="0"/>
        <v>1788611.9680000001</v>
      </c>
      <c r="I8" s="482"/>
      <c r="J8" s="494"/>
      <c r="K8" s="494"/>
      <c r="L8" s="494"/>
      <c r="M8" s="494"/>
      <c r="N8" s="494"/>
      <c r="O8" s="494"/>
      <c r="P8" s="494"/>
      <c r="Q8" s="494"/>
    </row>
    <row r="9" spans="1:17" ht="12.75" customHeight="1" x14ac:dyDescent="0.2">
      <c r="A9" s="492" t="s">
        <v>319</v>
      </c>
      <c r="B9" s="306" t="s">
        <v>105</v>
      </c>
      <c r="C9" s="306" t="s">
        <v>104</v>
      </c>
      <c r="D9" s="121">
        <v>223.89500000000001</v>
      </c>
      <c r="E9" s="323">
        <f>H55</f>
        <v>447.15299200000004</v>
      </c>
      <c r="F9" s="319">
        <f t="shared" si="0"/>
        <v>100115.31914384001</v>
      </c>
      <c r="I9" s="482"/>
      <c r="J9" s="494"/>
      <c r="K9" s="494"/>
      <c r="L9" s="494"/>
      <c r="M9" s="494"/>
      <c r="N9" s="494"/>
      <c r="O9" s="494"/>
      <c r="P9" s="494"/>
      <c r="Q9" s="494"/>
    </row>
    <row r="10" spans="1:17" x14ac:dyDescent="0.2">
      <c r="A10" s="445" t="s">
        <v>318</v>
      </c>
      <c r="B10" s="444" t="s">
        <v>108</v>
      </c>
      <c r="C10" s="444" t="s">
        <v>317</v>
      </c>
      <c r="D10" s="121">
        <v>613.03200000000004</v>
      </c>
      <c r="E10" s="491">
        <f>B45*2</f>
        <v>18.07</v>
      </c>
      <c r="F10" s="319">
        <f t="shared" si="0"/>
        <v>11077.488240000001</v>
      </c>
    </row>
    <row r="11" spans="1:17" x14ac:dyDescent="0.2">
      <c r="A11" s="445" t="s">
        <v>316</v>
      </c>
      <c r="B11" s="444" t="s">
        <v>108</v>
      </c>
      <c r="C11" s="444" t="s">
        <v>315</v>
      </c>
      <c r="D11" s="325">
        <v>1169.556</v>
      </c>
      <c r="E11" s="491">
        <v>0</v>
      </c>
      <c r="F11" s="324">
        <f t="shared" si="0"/>
        <v>0</v>
      </c>
    </row>
    <row r="12" spans="1:17" ht="12.75" customHeight="1" x14ac:dyDescent="0.2">
      <c r="A12" s="492" t="s">
        <v>313</v>
      </c>
      <c r="B12" s="306" t="s">
        <v>105</v>
      </c>
      <c r="C12" s="306" t="s">
        <v>312</v>
      </c>
      <c r="D12" s="325">
        <v>630.42899999999997</v>
      </c>
      <c r="E12" s="323">
        <f>E55</f>
        <v>166.32531500000002</v>
      </c>
      <c r="F12" s="324">
        <f t="shared" si="0"/>
        <v>104856.30201013501</v>
      </c>
      <c r="I12" s="482"/>
      <c r="J12" s="494"/>
      <c r="K12" s="494"/>
      <c r="L12" s="494"/>
      <c r="M12" s="494"/>
      <c r="N12" s="494"/>
      <c r="O12" s="494"/>
      <c r="P12" s="494"/>
      <c r="Q12" s="494"/>
    </row>
    <row r="13" spans="1:17" ht="12.75" customHeight="1" x14ac:dyDescent="0.2">
      <c r="A13" s="492" t="s">
        <v>311</v>
      </c>
      <c r="B13" s="306" t="s">
        <v>105</v>
      </c>
      <c r="C13" s="306" t="s">
        <v>310</v>
      </c>
      <c r="D13" s="121">
        <v>855.29300000000001</v>
      </c>
      <c r="E13" s="323">
        <f>F55</f>
        <v>40.559922</v>
      </c>
      <c r="F13" s="319">
        <f t="shared" si="0"/>
        <v>34690.617367145998</v>
      </c>
      <c r="I13" s="482"/>
      <c r="J13" s="494"/>
      <c r="K13" s="494"/>
      <c r="L13" s="494"/>
      <c r="M13" s="494"/>
      <c r="N13" s="494"/>
      <c r="O13" s="494"/>
      <c r="P13" s="494"/>
      <c r="Q13" s="494"/>
    </row>
    <row r="14" spans="1:17" ht="12.75" customHeight="1" x14ac:dyDescent="0.2">
      <c r="A14" s="492" t="s">
        <v>307</v>
      </c>
      <c r="B14" s="306" t="s">
        <v>105</v>
      </c>
      <c r="C14" s="306" t="s">
        <v>306</v>
      </c>
      <c r="D14" s="121">
        <v>51.468000000000004</v>
      </c>
      <c r="E14" s="493">
        <f>G55</f>
        <v>466.45355899999998</v>
      </c>
      <c r="F14" s="319">
        <f t="shared" si="0"/>
        <v>24007.431774612</v>
      </c>
      <c r="I14" s="482"/>
    </row>
    <row r="15" spans="1:17" ht="12.75" customHeight="1" x14ac:dyDescent="0.2">
      <c r="A15" s="492" t="s">
        <v>368</v>
      </c>
      <c r="B15" s="306" t="s">
        <v>102</v>
      </c>
      <c r="C15" s="306" t="s">
        <v>367</v>
      </c>
      <c r="D15" s="121">
        <v>0.88400000000000001</v>
      </c>
      <c r="E15" s="493">
        <f>B55</f>
        <v>0</v>
      </c>
      <c r="F15" s="319">
        <f t="shared" si="0"/>
        <v>0</v>
      </c>
      <c r="I15" s="482"/>
    </row>
    <row r="16" spans="1:17" ht="12.75" customHeight="1" x14ac:dyDescent="0.2">
      <c r="A16" s="492" t="s">
        <v>301</v>
      </c>
      <c r="B16" s="306" t="s">
        <v>100</v>
      </c>
      <c r="C16" s="306" t="s">
        <v>300</v>
      </c>
      <c r="D16" s="121">
        <v>13437.607</v>
      </c>
      <c r="E16" s="491">
        <v>1</v>
      </c>
      <c r="F16" s="319">
        <f t="shared" si="0"/>
        <v>13437.607</v>
      </c>
    </row>
    <row r="17" spans="1:6" ht="13.5" customHeight="1" x14ac:dyDescent="0.2">
      <c r="A17" s="492" t="s">
        <v>99</v>
      </c>
      <c r="B17" s="306" t="s">
        <v>93</v>
      </c>
      <c r="C17" s="306" t="s">
        <v>98</v>
      </c>
      <c r="D17" s="121">
        <v>1000</v>
      </c>
      <c r="E17" s="322">
        <f>0.07/1000*SUM(F2:F16,F19:F24)*1.02</f>
        <v>318.64174069962138</v>
      </c>
      <c r="F17" s="319">
        <f t="shared" si="0"/>
        <v>318641.74069962138</v>
      </c>
    </row>
    <row r="18" spans="1:6" x14ac:dyDescent="0.2">
      <c r="A18" s="492" t="s">
        <v>97</v>
      </c>
      <c r="B18" s="306" t="s">
        <v>93</v>
      </c>
      <c r="C18" s="306" t="s">
        <v>96</v>
      </c>
      <c r="D18" s="121">
        <v>1000</v>
      </c>
      <c r="E18" s="322">
        <f>0.02/1000*SUM(F2:F16,F19:F24)*1.1</f>
        <v>98.180928506886147</v>
      </c>
      <c r="F18" s="319">
        <f t="shared" si="0"/>
        <v>98180.92850688615</v>
      </c>
    </row>
    <row r="19" spans="1:6" x14ac:dyDescent="0.2">
      <c r="A19" s="321" t="s">
        <v>366</v>
      </c>
      <c r="B19" s="306" t="s">
        <v>93</v>
      </c>
      <c r="C19" s="306" t="s">
        <v>365</v>
      </c>
      <c r="D19" s="121">
        <v>1000</v>
      </c>
      <c r="E19" s="491">
        <v>0</v>
      </c>
      <c r="F19" s="319">
        <f t="shared" si="0"/>
        <v>0</v>
      </c>
    </row>
    <row r="20" spans="1:6" x14ac:dyDescent="0.2">
      <c r="A20" s="306" t="s">
        <v>297</v>
      </c>
      <c r="B20" s="306" t="s">
        <v>88</v>
      </c>
      <c r="C20" s="306" t="s">
        <v>296</v>
      </c>
      <c r="D20" s="121">
        <v>2208</v>
      </c>
      <c r="E20" s="491">
        <f>$B$45</f>
        <v>9.0350000000000001</v>
      </c>
      <c r="F20" s="319">
        <f t="shared" si="0"/>
        <v>19949.28</v>
      </c>
    </row>
    <row r="21" spans="1:6" x14ac:dyDescent="0.2">
      <c r="A21" s="306" t="s">
        <v>364</v>
      </c>
      <c r="B21" s="306" t="s">
        <v>88</v>
      </c>
      <c r="C21" s="306" t="s">
        <v>363</v>
      </c>
      <c r="D21" s="308">
        <v>14631</v>
      </c>
      <c r="E21" s="491">
        <f>$B$45</f>
        <v>9.0350000000000001</v>
      </c>
      <c r="F21" s="319">
        <f t="shared" si="0"/>
        <v>132191.08499999999</v>
      </c>
    </row>
    <row r="22" spans="1:6" x14ac:dyDescent="0.2">
      <c r="A22" s="306" t="s">
        <v>299</v>
      </c>
      <c r="B22" s="306" t="s">
        <v>88</v>
      </c>
      <c r="C22" s="306" t="s">
        <v>298</v>
      </c>
      <c r="D22" s="121">
        <v>5000</v>
      </c>
      <c r="E22" s="491">
        <f>$B$45</f>
        <v>9.0350000000000001</v>
      </c>
      <c r="F22" s="319">
        <f t="shared" si="0"/>
        <v>45175</v>
      </c>
    </row>
    <row r="23" spans="1:6" x14ac:dyDescent="0.2">
      <c r="A23" s="320" t="s">
        <v>89</v>
      </c>
      <c r="B23" s="306" t="s">
        <v>88</v>
      </c>
      <c r="C23" s="306" t="s">
        <v>362</v>
      </c>
      <c r="D23" s="121">
        <v>4145</v>
      </c>
      <c r="E23" s="491">
        <f>$B$45</f>
        <v>9.0350000000000001</v>
      </c>
      <c r="F23" s="319">
        <f t="shared" si="0"/>
        <v>37450.074999999997</v>
      </c>
    </row>
    <row r="24" spans="1:6" x14ac:dyDescent="0.2">
      <c r="A24" s="306" t="s">
        <v>92</v>
      </c>
      <c r="B24" s="306" t="s">
        <v>91</v>
      </c>
      <c r="C24" s="306" t="s">
        <v>90</v>
      </c>
      <c r="D24" s="121">
        <v>35732</v>
      </c>
      <c r="E24" s="491">
        <v>1</v>
      </c>
      <c r="F24" s="319">
        <f t="shared" si="0"/>
        <v>35732</v>
      </c>
    </row>
    <row r="25" spans="1:6" x14ac:dyDescent="0.2">
      <c r="A25" s="468"/>
    </row>
    <row r="26" spans="1:6" x14ac:dyDescent="0.2">
      <c r="A26" s="468"/>
      <c r="D26" s="488" t="s">
        <v>87</v>
      </c>
      <c r="F26" s="479">
        <f>SUM(F2:F24)</f>
        <v>4879592.1467922414</v>
      </c>
    </row>
    <row r="27" spans="1:6" x14ac:dyDescent="0.2">
      <c r="A27" s="468"/>
      <c r="D27" s="488" t="s">
        <v>86</v>
      </c>
      <c r="E27" s="490">
        <v>0</v>
      </c>
      <c r="F27" s="479">
        <f>F26*(1+E27)</f>
        <v>4879592.1467922414</v>
      </c>
    </row>
    <row r="28" spans="1:6" x14ac:dyDescent="0.2">
      <c r="A28" s="468"/>
      <c r="D28" s="455" t="s">
        <v>85</v>
      </c>
      <c r="E28" s="489">
        <v>0.05</v>
      </c>
      <c r="F28" s="479">
        <f>E28*F27</f>
        <v>243979.60733961209</v>
      </c>
    </row>
    <row r="29" spans="1:6" ht="15.75" x14ac:dyDescent="0.25">
      <c r="A29" s="468"/>
      <c r="D29" s="483" t="s">
        <v>84</v>
      </c>
      <c r="E29" s="489">
        <v>5.5E-2</v>
      </c>
      <c r="F29" s="479">
        <f>E29*F27</f>
        <v>268377.56807357329</v>
      </c>
    </row>
    <row r="30" spans="1:6" ht="15.75" x14ac:dyDescent="0.25">
      <c r="A30" s="468"/>
      <c r="C30" s="488"/>
      <c r="D30" s="483" t="s">
        <v>83</v>
      </c>
      <c r="E30" s="487">
        <v>3.5000000000000003E-2</v>
      </c>
      <c r="F30" s="479">
        <f>E30*F27</f>
        <v>170785.72513772847</v>
      </c>
    </row>
    <row r="31" spans="1:6" ht="15.75" x14ac:dyDescent="0.25">
      <c r="A31" s="468"/>
      <c r="D31" s="483" t="s">
        <v>82</v>
      </c>
      <c r="E31" s="486">
        <v>0</v>
      </c>
      <c r="F31" s="479">
        <f>1000*E31</f>
        <v>0</v>
      </c>
    </row>
    <row r="32" spans="1:6" ht="15.75" x14ac:dyDescent="0.25">
      <c r="A32" s="468"/>
      <c r="D32" s="483" t="s">
        <v>81</v>
      </c>
      <c r="E32" s="486">
        <v>0</v>
      </c>
      <c r="F32" s="479">
        <f>1000*E32</f>
        <v>0</v>
      </c>
    </row>
    <row r="33" spans="1:15" ht="15.75" x14ac:dyDescent="0.25">
      <c r="A33" s="481" t="s">
        <v>80</v>
      </c>
      <c r="B33" s="484"/>
      <c r="D33" s="483" t="s">
        <v>79</v>
      </c>
      <c r="F33" s="485">
        <f>SUM(F27:F32)</f>
        <v>5562735.0473431554</v>
      </c>
      <c r="H33" s="482" t="s">
        <v>486</v>
      </c>
    </row>
    <row r="34" spans="1:15" ht="15.75" x14ac:dyDescent="0.25">
      <c r="A34" s="481"/>
      <c r="B34" s="484"/>
      <c r="D34" s="483"/>
      <c r="F34" s="479"/>
      <c r="H34" s="482"/>
    </row>
    <row r="35" spans="1:15" x14ac:dyDescent="0.2">
      <c r="A35" s="481"/>
      <c r="B35" s="480"/>
      <c r="F35" s="479"/>
    </row>
    <row r="36" spans="1:15" x14ac:dyDescent="0.2">
      <c r="A36" s="481"/>
      <c r="B36" s="480"/>
      <c r="F36" s="479"/>
    </row>
    <row r="37" spans="1:15" ht="18" x14ac:dyDescent="0.25">
      <c r="A37" s="478" t="s">
        <v>78</v>
      </c>
    </row>
    <row r="38" spans="1:15" x14ac:dyDescent="0.2">
      <c r="A38" s="468"/>
      <c r="J38" s="477" t="s">
        <v>361</v>
      </c>
    </row>
    <row r="39" spans="1:15" s="475" customFormat="1" ht="51.75" customHeight="1" thickBot="1" x14ac:dyDescent="0.25">
      <c r="A39" s="466" t="s">
        <v>73</v>
      </c>
      <c r="B39" s="476" t="s">
        <v>77</v>
      </c>
      <c r="C39" s="466" t="s">
        <v>360</v>
      </c>
      <c r="D39" s="466" t="s">
        <v>278</v>
      </c>
      <c r="E39" s="466" t="s">
        <v>76</v>
      </c>
      <c r="F39" s="466" t="s">
        <v>359</v>
      </c>
      <c r="G39" s="466" t="s">
        <v>358</v>
      </c>
      <c r="H39" s="466" t="s">
        <v>75</v>
      </c>
      <c r="I39" s="466" t="s">
        <v>275</v>
      </c>
      <c r="J39" s="466" t="s">
        <v>357</v>
      </c>
      <c r="K39" s="466" t="s">
        <v>356</v>
      </c>
      <c r="L39" s="466" t="s">
        <v>355</v>
      </c>
      <c r="M39" s="466" t="s">
        <v>354</v>
      </c>
      <c r="N39" s="466" t="s">
        <v>353</v>
      </c>
      <c r="O39" s="466" t="s">
        <v>352</v>
      </c>
    </row>
    <row r="40" spans="1:15" x14ac:dyDescent="0.2">
      <c r="A40" s="474"/>
      <c r="B40" s="472">
        <v>9.0350000000000001</v>
      </c>
      <c r="C40" s="472">
        <v>0</v>
      </c>
      <c r="D40" s="472">
        <v>36</v>
      </c>
      <c r="E40" s="472">
        <v>2</v>
      </c>
      <c r="F40" s="472">
        <v>36</v>
      </c>
      <c r="G40" s="472">
        <v>2</v>
      </c>
      <c r="H40" s="472">
        <v>2</v>
      </c>
      <c r="I40" s="472">
        <v>2</v>
      </c>
      <c r="J40" s="472">
        <v>0</v>
      </c>
      <c r="K40" s="472">
        <v>0</v>
      </c>
      <c r="L40" s="472">
        <v>0</v>
      </c>
      <c r="M40" s="472">
        <v>0</v>
      </c>
      <c r="N40" s="472">
        <v>0</v>
      </c>
      <c r="O40" s="472">
        <v>0</v>
      </c>
    </row>
    <row r="41" spans="1:15" x14ac:dyDescent="0.2">
      <c r="A41" s="473"/>
      <c r="B41" s="472">
        <v>0</v>
      </c>
      <c r="C41" s="472">
        <v>0</v>
      </c>
      <c r="D41" s="472">
        <v>0</v>
      </c>
      <c r="E41" s="472">
        <v>0</v>
      </c>
      <c r="F41" s="472">
        <v>0</v>
      </c>
      <c r="G41" s="472">
        <v>0</v>
      </c>
      <c r="H41" s="472">
        <v>0</v>
      </c>
      <c r="I41" s="472">
        <v>0</v>
      </c>
      <c r="J41" s="472">
        <v>0</v>
      </c>
      <c r="K41" s="472">
        <v>0</v>
      </c>
      <c r="L41" s="472">
        <v>0</v>
      </c>
      <c r="M41" s="472">
        <v>0</v>
      </c>
      <c r="N41" s="472">
        <v>0</v>
      </c>
      <c r="O41" s="472">
        <v>0</v>
      </c>
    </row>
    <row r="42" spans="1:15" x14ac:dyDescent="0.2">
      <c r="A42" s="473"/>
      <c r="B42" s="472">
        <v>0</v>
      </c>
      <c r="C42" s="472">
        <v>0</v>
      </c>
      <c r="D42" s="472">
        <v>0</v>
      </c>
      <c r="E42" s="472">
        <v>0</v>
      </c>
      <c r="F42" s="472">
        <v>0</v>
      </c>
      <c r="G42" s="472">
        <v>0</v>
      </c>
      <c r="H42" s="472">
        <v>0</v>
      </c>
      <c r="I42" s="472">
        <v>0</v>
      </c>
      <c r="J42" s="472">
        <v>0</v>
      </c>
      <c r="K42" s="472">
        <v>0</v>
      </c>
      <c r="L42" s="472">
        <v>0</v>
      </c>
      <c r="M42" s="472">
        <v>0</v>
      </c>
      <c r="N42" s="472">
        <v>0</v>
      </c>
      <c r="O42" s="472">
        <v>0</v>
      </c>
    </row>
    <row r="43" spans="1:15" x14ac:dyDescent="0.2">
      <c r="A43" s="444"/>
      <c r="B43" s="472">
        <v>0</v>
      </c>
      <c r="C43" s="472">
        <v>0</v>
      </c>
      <c r="D43" s="472">
        <v>0</v>
      </c>
      <c r="E43" s="472">
        <v>0</v>
      </c>
      <c r="F43" s="472">
        <v>0</v>
      </c>
      <c r="G43" s="472">
        <v>0</v>
      </c>
      <c r="H43" s="472">
        <v>0</v>
      </c>
      <c r="I43" s="472">
        <v>0</v>
      </c>
      <c r="J43" s="472">
        <v>0</v>
      </c>
      <c r="K43" s="472">
        <v>0</v>
      </c>
      <c r="L43" s="472">
        <v>0</v>
      </c>
      <c r="M43" s="472">
        <v>0</v>
      </c>
      <c r="N43" s="472">
        <v>0</v>
      </c>
      <c r="O43" s="472">
        <v>0</v>
      </c>
    </row>
    <row r="44" spans="1:15" ht="13.5" thickBot="1" x14ac:dyDescent="0.25">
      <c r="B44" s="471"/>
    </row>
    <row r="45" spans="1:15" ht="13.5" thickBot="1" x14ac:dyDescent="0.25">
      <c r="A45" s="470" t="s">
        <v>274</v>
      </c>
      <c r="B45" s="469">
        <f>SUM(B40:B43)</f>
        <v>9.0350000000000001</v>
      </c>
    </row>
    <row r="46" spans="1:15" x14ac:dyDescent="0.2">
      <c r="B46" s="468"/>
    </row>
    <row r="48" spans="1:15" x14ac:dyDescent="0.2">
      <c r="A48" s="467" t="s">
        <v>74</v>
      </c>
      <c r="B48" s="467"/>
      <c r="C48" s="467"/>
    </row>
    <row r="49" spans="1:12" s="464" customFormat="1" ht="13.5" thickBot="1" x14ac:dyDescent="0.25">
      <c r="A49" s="466" t="s">
        <v>73</v>
      </c>
      <c r="B49" s="465" t="s">
        <v>351</v>
      </c>
      <c r="C49" s="465" t="s">
        <v>71</v>
      </c>
      <c r="D49" s="465" t="s">
        <v>72</v>
      </c>
      <c r="E49" s="465" t="s">
        <v>70</v>
      </c>
      <c r="F49" s="465" t="s">
        <v>69</v>
      </c>
      <c r="G49" s="465" t="s">
        <v>267</v>
      </c>
      <c r="H49" s="465" t="s">
        <v>68</v>
      </c>
      <c r="I49" s="465" t="s">
        <v>350</v>
      </c>
      <c r="J49" s="465" t="s">
        <v>268</v>
      </c>
      <c r="K49" s="465" t="s">
        <v>349</v>
      </c>
    </row>
    <row r="50" spans="1:12" x14ac:dyDescent="0.2">
      <c r="A50" s="463">
        <f>A40</f>
        <v>0</v>
      </c>
      <c r="B50" s="462">
        <f>B40*C40*5280/9</f>
        <v>0</v>
      </c>
      <c r="C50" s="460">
        <f>D50*0.06</f>
        <v>2682.9179519999998</v>
      </c>
      <c r="D50" s="460">
        <f>B40*(D40+E40)*H40*I40*32.56+M40*B40+L40*B40</f>
        <v>44715.299200000001</v>
      </c>
      <c r="E50" s="460">
        <f>0.2245*B40*(D40+E40*2+1)*(I40+IF(L40=0,0,1))</f>
        <v>166.32531500000002</v>
      </c>
      <c r="F50" s="460">
        <f>0.1247*B40*F40</f>
        <v>40.559922</v>
      </c>
      <c r="G50" s="460">
        <f>2.3467*B40*(11*G40)</f>
        <v>466.45355899999998</v>
      </c>
      <c r="H50" s="460">
        <f>D50*0.01</f>
        <v>447.15299200000004</v>
      </c>
      <c r="I50" s="461">
        <f>N40*B40</f>
        <v>0</v>
      </c>
      <c r="J50" s="460">
        <f>O40*B40</f>
        <v>0</v>
      </c>
      <c r="K50" s="460">
        <f>32.56*(J40+K40)*H40*B40</f>
        <v>0</v>
      </c>
      <c r="L50" s="459"/>
    </row>
    <row r="51" spans="1:12" x14ac:dyDescent="0.2">
      <c r="A51" s="463">
        <f>A41</f>
        <v>0</v>
      </c>
      <c r="B51" s="462">
        <f>B41*C41*5280/9</f>
        <v>0</v>
      </c>
      <c r="C51" s="460">
        <f>D51*0.06</f>
        <v>0</v>
      </c>
      <c r="D51" s="460">
        <f>B41*(D41+E41)*H41*I41*32.56+M41*B41+L41*B41</f>
        <v>0</v>
      </c>
      <c r="E51" s="460">
        <f>0.2245*B41*(D41+E41*2+1)*(I41+IF(L41=0,0,1))</f>
        <v>0</v>
      </c>
      <c r="F51" s="460">
        <f>0.1247*B41*F41</f>
        <v>0</v>
      </c>
      <c r="G51" s="460">
        <f>2.3467*B41*(11*G41)</f>
        <v>0</v>
      </c>
      <c r="H51" s="460">
        <f>D51*0.01</f>
        <v>0</v>
      </c>
      <c r="I51" s="461">
        <f>N41*B41</f>
        <v>0</v>
      </c>
      <c r="J51" s="460">
        <f>O41*B41</f>
        <v>0</v>
      </c>
      <c r="K51" s="460">
        <f>32.56*(J41+K41)*H41*B41</f>
        <v>0</v>
      </c>
      <c r="L51" s="459"/>
    </row>
    <row r="52" spans="1:12" x14ac:dyDescent="0.2">
      <c r="A52" s="463">
        <f>A42</f>
        <v>0</v>
      </c>
      <c r="B52" s="462">
        <f>B42*C42*5280/9</f>
        <v>0</v>
      </c>
      <c r="C52" s="460">
        <f>D52*0.06</f>
        <v>0</v>
      </c>
      <c r="D52" s="460">
        <f>B42*(D42+E42)*H42*I42*32.56+M42*B42+L42*B42</f>
        <v>0</v>
      </c>
      <c r="E52" s="460">
        <f>0.2245*B42*(D42+E42*2+1)*(I42+IF(L42=0,0,1))</f>
        <v>0</v>
      </c>
      <c r="F52" s="460">
        <f>0.1247*B42*F42</f>
        <v>0</v>
      </c>
      <c r="G52" s="460">
        <f>2.3467*B42*(11*G42)</f>
        <v>0</v>
      </c>
      <c r="H52" s="460">
        <f>D52*0.01</f>
        <v>0</v>
      </c>
      <c r="I52" s="461">
        <f>N42*B42</f>
        <v>0</v>
      </c>
      <c r="J52" s="460">
        <f>O42*B42</f>
        <v>0</v>
      </c>
      <c r="K52" s="460">
        <f>32.56*(J42+K42)*H42*B42</f>
        <v>0</v>
      </c>
      <c r="L52" s="459"/>
    </row>
    <row r="53" spans="1:12" x14ac:dyDescent="0.2">
      <c r="A53" s="463">
        <f>A43</f>
        <v>0</v>
      </c>
      <c r="B53" s="462">
        <f>B43*C43*5280/9</f>
        <v>0</v>
      </c>
      <c r="C53" s="460">
        <f>D53*0.06</f>
        <v>0</v>
      </c>
      <c r="D53" s="460">
        <f>B43*(D43+E43)*H43*I43*32.56+M43*B43+L43*B43</f>
        <v>0</v>
      </c>
      <c r="E53" s="460">
        <f>0.2245*B43*(D43+E43*2+1)*(I43+IF(L43=0,0,1))</f>
        <v>0</v>
      </c>
      <c r="F53" s="460">
        <f>0.1247*B43*F43</f>
        <v>0</v>
      </c>
      <c r="G53" s="460">
        <f>2.3467*B43*(11*G43)</f>
        <v>0</v>
      </c>
      <c r="H53" s="460">
        <f>D53*0.01</f>
        <v>0</v>
      </c>
      <c r="I53" s="461">
        <f>N43*B43</f>
        <v>0</v>
      </c>
      <c r="J53" s="460">
        <f>O43*B43</f>
        <v>0</v>
      </c>
      <c r="K53" s="460">
        <f>32.56*(J43+K43)*H43*B43</f>
        <v>0</v>
      </c>
      <c r="L53" s="459"/>
    </row>
    <row r="55" spans="1:12" ht="13.5" thickBot="1" x14ac:dyDescent="0.25">
      <c r="A55" s="458" t="s">
        <v>67</v>
      </c>
      <c r="B55" s="457">
        <f t="shared" ref="B55:K55" si="1">SUM(B50:B54)</f>
        <v>0</v>
      </c>
      <c r="C55" s="457">
        <f t="shared" si="1"/>
        <v>2682.9179519999998</v>
      </c>
      <c r="D55" s="457">
        <f t="shared" si="1"/>
        <v>44715.299200000001</v>
      </c>
      <c r="E55" s="457">
        <f t="shared" si="1"/>
        <v>166.32531500000002</v>
      </c>
      <c r="F55" s="457">
        <f t="shared" si="1"/>
        <v>40.559922</v>
      </c>
      <c r="G55" s="457">
        <f t="shared" si="1"/>
        <v>466.45355899999998</v>
      </c>
      <c r="H55" s="457">
        <f t="shared" si="1"/>
        <v>447.15299200000004</v>
      </c>
      <c r="I55" s="457">
        <f t="shared" si="1"/>
        <v>0</v>
      </c>
      <c r="J55" s="457">
        <f t="shared" si="1"/>
        <v>0</v>
      </c>
      <c r="K55" s="457">
        <f t="shared" si="1"/>
        <v>0</v>
      </c>
      <c r="L55" s="456"/>
    </row>
    <row r="56" spans="1:12" ht="13.5" thickTop="1" x14ac:dyDescent="0.2"/>
  </sheetData>
  <pageMargins left="0.25" right="0.25" top="0.5" bottom="0.5" header="0.5" footer="0.5"/>
  <pageSetup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8541A-5D18-42CC-871D-32B4A1F3B494}">
  <sheetPr>
    <tabColor theme="0" tint="-0.34998626667073579"/>
  </sheetPr>
  <dimension ref="A1:M69"/>
  <sheetViews>
    <sheetView topLeftCell="A21" zoomScale="70" zoomScaleNormal="70" workbookViewId="0">
      <selection activeCell="E2" sqref="E2:X2"/>
    </sheetView>
  </sheetViews>
  <sheetFormatPr defaultRowHeight="12.75" x14ac:dyDescent="0.25"/>
  <cols>
    <col min="1" max="1" width="13.28515625" style="405" customWidth="1"/>
    <col min="2" max="2" width="15" style="405" bestFit="1" customWidth="1"/>
    <col min="3" max="3" width="40.7109375" style="405" bestFit="1" customWidth="1"/>
    <col min="4" max="4" width="14.140625" style="405" bestFit="1" customWidth="1"/>
    <col min="5" max="5" width="15.28515625" style="405" customWidth="1"/>
    <col min="6" max="6" width="15" style="405" bestFit="1" customWidth="1"/>
    <col min="7" max="7" width="13.7109375" style="405" bestFit="1" customWidth="1"/>
    <col min="8" max="8" width="15.5703125" style="405" bestFit="1" customWidth="1"/>
    <col min="9" max="9" width="18.42578125" style="405" bestFit="1" customWidth="1"/>
    <col min="10" max="10" width="15.42578125" style="405" bestFit="1" customWidth="1"/>
    <col min="11" max="11" width="13.42578125" style="405" bestFit="1" customWidth="1"/>
    <col min="12" max="12" width="11" style="405" bestFit="1" customWidth="1"/>
    <col min="13" max="16384" width="9.140625" style="405"/>
  </cols>
  <sheetData>
    <row r="1" spans="1:10" s="454" customFormat="1" ht="13.5" thickBot="1" x14ac:dyDescent="0.3">
      <c r="A1" s="318" t="s">
        <v>123</v>
      </c>
      <c r="B1" s="318" t="s">
        <v>122</v>
      </c>
      <c r="C1" s="318" t="s">
        <v>121</v>
      </c>
      <c r="D1" s="318" t="s">
        <v>120</v>
      </c>
      <c r="E1" s="318" t="s">
        <v>119</v>
      </c>
      <c r="F1" s="318" t="s">
        <v>118</v>
      </c>
      <c r="G1" s="317" t="s">
        <v>117</v>
      </c>
      <c r="H1" s="317" t="s">
        <v>116</v>
      </c>
      <c r="I1" s="317" t="s">
        <v>115</v>
      </c>
      <c r="J1" s="317" t="s">
        <v>114</v>
      </c>
    </row>
    <row r="2" spans="1:10" ht="13.5" thickTop="1" x14ac:dyDescent="0.25">
      <c r="A2" s="447" t="s">
        <v>113</v>
      </c>
      <c r="B2" s="447" t="s">
        <v>107</v>
      </c>
      <c r="C2" s="447" t="s">
        <v>112</v>
      </c>
      <c r="D2" s="446">
        <v>3.5</v>
      </c>
      <c r="E2" s="314">
        <v>710500</v>
      </c>
      <c r="F2" s="123">
        <f t="shared" ref="F2:F39" si="0">E2*D2</f>
        <v>2486750</v>
      </c>
      <c r="G2" s="312"/>
      <c r="H2" s="312"/>
      <c r="I2" s="453" t="s">
        <v>346</v>
      </c>
      <c r="J2" s="312"/>
    </row>
    <row r="3" spans="1:10" x14ac:dyDescent="0.25">
      <c r="A3" s="447" t="s">
        <v>345</v>
      </c>
      <c r="B3" s="447" t="s">
        <v>107</v>
      </c>
      <c r="C3" s="447" t="s">
        <v>344</v>
      </c>
      <c r="D3" s="446">
        <v>7</v>
      </c>
      <c r="E3" s="314">
        <v>0</v>
      </c>
      <c r="F3" s="123">
        <f t="shared" si="0"/>
        <v>0</v>
      </c>
      <c r="G3" s="312"/>
      <c r="H3" s="312"/>
      <c r="I3" s="453" t="s">
        <v>343</v>
      </c>
      <c r="J3" s="312"/>
    </row>
    <row r="4" spans="1:10" x14ac:dyDescent="0.25">
      <c r="A4" s="447" t="s">
        <v>111</v>
      </c>
      <c r="B4" s="447" t="s">
        <v>107</v>
      </c>
      <c r="C4" s="447" t="s">
        <v>110</v>
      </c>
      <c r="D4" s="446">
        <v>5</v>
      </c>
      <c r="E4" s="314">
        <v>0</v>
      </c>
      <c r="F4" s="123">
        <f t="shared" si="0"/>
        <v>0</v>
      </c>
      <c r="G4" s="312"/>
      <c r="H4" s="312"/>
      <c r="I4" s="315" t="s">
        <v>342</v>
      </c>
      <c r="J4" s="312"/>
    </row>
    <row r="5" spans="1:10" x14ac:dyDescent="0.2">
      <c r="A5" s="452" t="s">
        <v>341</v>
      </c>
      <c r="B5" s="451" t="s">
        <v>107</v>
      </c>
      <c r="C5" s="451" t="s">
        <v>340</v>
      </c>
      <c r="D5" s="316">
        <v>8.1449999999999996</v>
      </c>
      <c r="E5" s="314">
        <v>5800</v>
      </c>
      <c r="F5" s="123">
        <f t="shared" si="0"/>
        <v>47241</v>
      </c>
      <c r="G5" s="312"/>
      <c r="H5" s="312"/>
      <c r="I5" s="315"/>
      <c r="J5" s="312"/>
    </row>
    <row r="6" spans="1:10" x14ac:dyDescent="0.2">
      <c r="A6" s="452" t="s">
        <v>339</v>
      </c>
      <c r="B6" s="451" t="s">
        <v>107</v>
      </c>
      <c r="C6" s="451" t="s">
        <v>338</v>
      </c>
      <c r="D6" s="316">
        <v>7.72</v>
      </c>
      <c r="E6" s="314">
        <v>0</v>
      </c>
      <c r="F6" s="123">
        <f t="shared" si="0"/>
        <v>0</v>
      </c>
      <c r="G6" s="312"/>
      <c r="H6" s="312"/>
      <c r="I6" s="315"/>
      <c r="J6" s="312"/>
    </row>
    <row r="7" spans="1:10" x14ac:dyDescent="0.25">
      <c r="A7" s="447" t="s">
        <v>337</v>
      </c>
      <c r="B7" s="447" t="s">
        <v>107</v>
      </c>
      <c r="C7" s="447" t="s">
        <v>336</v>
      </c>
      <c r="D7" s="446">
        <v>1.5</v>
      </c>
      <c r="E7" s="314">
        <v>133500</v>
      </c>
      <c r="F7" s="123">
        <f t="shared" si="0"/>
        <v>200250</v>
      </c>
      <c r="G7" s="312"/>
      <c r="H7" s="312"/>
      <c r="I7" s="311" t="s">
        <v>335</v>
      </c>
    </row>
    <row r="8" spans="1:10" x14ac:dyDescent="0.25">
      <c r="A8" s="450" t="s">
        <v>334</v>
      </c>
      <c r="B8" s="450" t="s">
        <v>333</v>
      </c>
      <c r="C8" s="450" t="s">
        <v>109</v>
      </c>
      <c r="D8" s="124">
        <v>21.067</v>
      </c>
      <c r="E8" s="313">
        <f>0.012*(E10+E11)</f>
        <v>2010.280272</v>
      </c>
      <c r="F8" s="123">
        <f t="shared" si="0"/>
        <v>42350.574490223997</v>
      </c>
      <c r="G8" s="312"/>
      <c r="H8" s="312"/>
      <c r="I8" s="311" t="s">
        <v>332</v>
      </c>
    </row>
    <row r="9" spans="1:10" x14ac:dyDescent="0.25">
      <c r="A9" s="441" t="s">
        <v>331</v>
      </c>
      <c r="B9" s="305" t="s">
        <v>330</v>
      </c>
      <c r="C9" s="305" t="s">
        <v>101</v>
      </c>
      <c r="D9" s="120">
        <v>61454.519</v>
      </c>
      <c r="E9" s="438">
        <v>1</v>
      </c>
      <c r="F9" s="119">
        <f t="shared" si="0"/>
        <v>61454.519</v>
      </c>
      <c r="G9" s="432"/>
      <c r="H9" s="432"/>
      <c r="I9" s="432" t="s">
        <v>329</v>
      </c>
    </row>
    <row r="10" spans="1:10" x14ac:dyDescent="0.25">
      <c r="A10" s="447" t="s">
        <v>328</v>
      </c>
      <c r="B10" s="447" t="s">
        <v>105</v>
      </c>
      <c r="C10" s="447" t="s">
        <v>327</v>
      </c>
      <c r="D10" s="446">
        <v>19</v>
      </c>
      <c r="E10" s="310">
        <f>G68-E11</f>
        <v>74021.947999999989</v>
      </c>
      <c r="F10" s="119">
        <f t="shared" si="0"/>
        <v>1406417.0119999999</v>
      </c>
      <c r="G10" s="312"/>
      <c r="H10" s="432"/>
      <c r="J10" s="432"/>
    </row>
    <row r="11" spans="1:10" x14ac:dyDescent="0.25">
      <c r="A11" s="447" t="s">
        <v>326</v>
      </c>
      <c r="B11" s="447" t="s">
        <v>105</v>
      </c>
      <c r="C11" s="447" t="s">
        <v>325</v>
      </c>
      <c r="D11" s="446">
        <v>7.5</v>
      </c>
      <c r="E11" s="310">
        <f>E12</f>
        <v>93501.40800000001</v>
      </c>
      <c r="F11" s="119">
        <f t="shared" si="0"/>
        <v>701260.56</v>
      </c>
      <c r="G11" s="312"/>
      <c r="H11" s="432"/>
      <c r="J11" s="432"/>
    </row>
    <row r="12" spans="1:10" x14ac:dyDescent="0.25">
      <c r="A12" s="447" t="s">
        <v>324</v>
      </c>
      <c r="B12" s="447" t="s">
        <v>105</v>
      </c>
      <c r="C12" s="447" t="s">
        <v>106</v>
      </c>
      <c r="D12" s="446">
        <v>7</v>
      </c>
      <c r="E12" s="449">
        <f>B68</f>
        <v>93501.40800000001</v>
      </c>
      <c r="F12" s="119">
        <f t="shared" si="0"/>
        <v>654509.85600000003</v>
      </c>
      <c r="G12" s="312"/>
      <c r="H12" s="432"/>
      <c r="I12" s="432"/>
      <c r="J12" s="432"/>
    </row>
    <row r="13" spans="1:10" x14ac:dyDescent="0.25">
      <c r="A13" s="447" t="s">
        <v>323</v>
      </c>
      <c r="B13" s="447" t="s">
        <v>105</v>
      </c>
      <c r="C13" s="447" t="s">
        <v>322</v>
      </c>
      <c r="D13" s="446">
        <v>750</v>
      </c>
      <c r="E13" s="443">
        <f>H68</f>
        <v>0</v>
      </c>
      <c r="F13" s="119">
        <f t="shared" si="0"/>
        <v>0</v>
      </c>
      <c r="G13" s="432"/>
      <c r="H13" s="432"/>
      <c r="I13" s="432"/>
      <c r="J13" s="432"/>
    </row>
    <row r="14" spans="1:10" x14ac:dyDescent="0.25">
      <c r="A14" s="448" t="s">
        <v>321</v>
      </c>
      <c r="B14" s="447" t="s">
        <v>105</v>
      </c>
      <c r="C14" s="447" t="s">
        <v>320</v>
      </c>
      <c r="D14" s="446">
        <v>38</v>
      </c>
      <c r="E14" s="443">
        <f>I68</f>
        <v>0</v>
      </c>
      <c r="F14" s="119">
        <f t="shared" si="0"/>
        <v>0</v>
      </c>
      <c r="G14" s="432"/>
      <c r="H14" s="432"/>
      <c r="I14" s="432"/>
      <c r="J14" s="432"/>
    </row>
    <row r="15" spans="1:10" x14ac:dyDescent="0.25">
      <c r="A15" s="441" t="s">
        <v>319</v>
      </c>
      <c r="B15" s="305" t="s">
        <v>105</v>
      </c>
      <c r="C15" s="305" t="s">
        <v>104</v>
      </c>
      <c r="D15" s="120">
        <v>223.89500000000001</v>
      </c>
      <c r="E15" s="443">
        <f>M68</f>
        <v>0</v>
      </c>
      <c r="F15" s="119">
        <f t="shared" si="0"/>
        <v>0</v>
      </c>
      <c r="G15" s="432"/>
      <c r="H15" s="432"/>
      <c r="I15" s="432"/>
      <c r="J15" s="432"/>
    </row>
    <row r="16" spans="1:10" x14ac:dyDescent="0.2">
      <c r="A16" s="445" t="s">
        <v>318</v>
      </c>
      <c r="B16" s="444" t="s">
        <v>108</v>
      </c>
      <c r="C16" s="444" t="s">
        <v>317</v>
      </c>
      <c r="D16" s="121">
        <v>613.03200000000004</v>
      </c>
      <c r="E16" s="439">
        <v>0</v>
      </c>
      <c r="F16" s="119">
        <f t="shared" si="0"/>
        <v>0</v>
      </c>
      <c r="G16" s="432"/>
      <c r="H16" s="432"/>
      <c r="I16" s="432"/>
      <c r="J16" s="432"/>
    </row>
    <row r="17" spans="1:10" x14ac:dyDescent="0.2">
      <c r="A17" s="445" t="s">
        <v>316</v>
      </c>
      <c r="B17" s="444" t="s">
        <v>108</v>
      </c>
      <c r="C17" s="444" t="s">
        <v>315</v>
      </c>
      <c r="D17" s="121">
        <v>1169.556</v>
      </c>
      <c r="E17" s="439">
        <v>0</v>
      </c>
      <c r="F17" s="119">
        <f t="shared" si="0"/>
        <v>0</v>
      </c>
      <c r="G17" s="432"/>
      <c r="H17" s="432"/>
      <c r="I17" s="432"/>
      <c r="J17" s="432"/>
    </row>
    <row r="18" spans="1:10" x14ac:dyDescent="0.25">
      <c r="A18" s="441" t="s">
        <v>314</v>
      </c>
      <c r="B18" s="305" t="s">
        <v>105</v>
      </c>
      <c r="C18" s="305" t="s">
        <v>103</v>
      </c>
      <c r="D18" s="120">
        <v>917.96100000000001</v>
      </c>
      <c r="E18" s="310">
        <f>E68</f>
        <v>314.0566</v>
      </c>
      <c r="F18" s="119">
        <f t="shared" si="0"/>
        <v>288291.71059259999</v>
      </c>
      <c r="G18" s="311"/>
      <c r="H18" s="432"/>
      <c r="I18" s="432"/>
      <c r="J18" s="432"/>
    </row>
    <row r="19" spans="1:10" x14ac:dyDescent="0.2">
      <c r="A19" s="445" t="s">
        <v>313</v>
      </c>
      <c r="B19" s="444" t="s">
        <v>105</v>
      </c>
      <c r="C19" s="444" t="s">
        <v>312</v>
      </c>
      <c r="D19" s="121">
        <v>630.42899999999997</v>
      </c>
      <c r="E19" s="443">
        <f>J68</f>
        <v>0</v>
      </c>
      <c r="F19" s="119">
        <f t="shared" si="0"/>
        <v>0</v>
      </c>
      <c r="G19" s="432"/>
      <c r="H19" s="432"/>
      <c r="I19" s="432"/>
      <c r="J19" s="432"/>
    </row>
    <row r="20" spans="1:10" x14ac:dyDescent="0.25">
      <c r="A20" s="441" t="s">
        <v>311</v>
      </c>
      <c r="B20" s="305" t="s">
        <v>105</v>
      </c>
      <c r="C20" s="305" t="s">
        <v>310</v>
      </c>
      <c r="D20" s="120">
        <v>855.29300000000001</v>
      </c>
      <c r="E20" s="443">
        <f>K68</f>
        <v>0</v>
      </c>
      <c r="F20" s="119">
        <f t="shared" si="0"/>
        <v>0</v>
      </c>
      <c r="G20" s="432"/>
      <c r="H20" s="432"/>
      <c r="I20" s="432"/>
      <c r="J20" s="432"/>
    </row>
    <row r="21" spans="1:10" x14ac:dyDescent="0.25">
      <c r="A21" s="441" t="s">
        <v>309</v>
      </c>
      <c r="B21" s="305" t="s">
        <v>105</v>
      </c>
      <c r="C21" s="305" t="s">
        <v>308</v>
      </c>
      <c r="D21" s="120">
        <v>47.579000000000001</v>
      </c>
      <c r="E21" s="310">
        <f>F68</f>
        <v>954.08515799999998</v>
      </c>
      <c r="F21" s="119">
        <f t="shared" si="0"/>
        <v>45394.417732481998</v>
      </c>
      <c r="G21" s="432"/>
      <c r="H21" s="432"/>
      <c r="I21" s="432"/>
      <c r="J21" s="432"/>
    </row>
    <row r="22" spans="1:10" x14ac:dyDescent="0.25">
      <c r="A22" s="441" t="s">
        <v>307</v>
      </c>
      <c r="B22" s="305" t="s">
        <v>105</v>
      </c>
      <c r="C22" s="305" t="s">
        <v>306</v>
      </c>
      <c r="D22" s="120">
        <v>51.468000000000004</v>
      </c>
      <c r="E22" s="443">
        <f>L68</f>
        <v>0</v>
      </c>
      <c r="F22" s="119">
        <f t="shared" si="0"/>
        <v>0</v>
      </c>
      <c r="G22" s="432"/>
      <c r="H22" s="432"/>
      <c r="I22" s="432"/>
      <c r="J22" s="432"/>
    </row>
    <row r="23" spans="1:10" x14ac:dyDescent="0.25">
      <c r="A23" s="441" t="s">
        <v>305</v>
      </c>
      <c r="B23" s="305" t="s">
        <v>105</v>
      </c>
      <c r="C23" s="440" t="s">
        <v>304</v>
      </c>
      <c r="D23" s="120">
        <v>514.92899999999997</v>
      </c>
      <c r="E23" s="443">
        <f>C68</f>
        <v>283.85440199999999</v>
      </c>
      <c r="F23" s="119">
        <f t="shared" si="0"/>
        <v>146164.86336745799</v>
      </c>
      <c r="G23" s="432"/>
      <c r="H23" s="432"/>
      <c r="I23" s="432"/>
      <c r="J23" s="432"/>
    </row>
    <row r="24" spans="1:10" x14ac:dyDescent="0.25">
      <c r="A24" s="441" t="s">
        <v>303</v>
      </c>
      <c r="B24" s="305" t="s">
        <v>105</v>
      </c>
      <c r="C24" s="309" t="s">
        <v>302</v>
      </c>
      <c r="D24" s="120">
        <v>31.971</v>
      </c>
      <c r="E24" s="443">
        <f>D68</f>
        <v>3816.3731579999999</v>
      </c>
      <c r="F24" s="119">
        <f t="shared" si="0"/>
        <v>122013.266234418</v>
      </c>
      <c r="G24" s="432"/>
      <c r="H24" s="432"/>
      <c r="I24" s="432"/>
      <c r="J24" s="432"/>
    </row>
    <row r="25" spans="1:10" x14ac:dyDescent="0.25">
      <c r="A25" s="441" t="s">
        <v>301</v>
      </c>
      <c r="B25" s="305" t="s">
        <v>100</v>
      </c>
      <c r="C25" s="305" t="s">
        <v>300</v>
      </c>
      <c r="D25" s="120">
        <v>13437.607</v>
      </c>
      <c r="E25" s="438">
        <v>1</v>
      </c>
      <c r="F25" s="119">
        <f t="shared" si="0"/>
        <v>13437.607</v>
      </c>
      <c r="G25" s="432"/>
      <c r="H25" s="432"/>
      <c r="I25" s="432"/>
      <c r="J25" s="432"/>
    </row>
    <row r="26" spans="1:10" x14ac:dyDescent="0.25">
      <c r="A26" s="441" t="s">
        <v>99</v>
      </c>
      <c r="B26" s="305" t="s">
        <v>93</v>
      </c>
      <c r="C26" s="305" t="s">
        <v>98</v>
      </c>
      <c r="D26" s="120">
        <v>1000</v>
      </c>
      <c r="E26" s="122">
        <f>0.07/1000*SUM(F2:F25,F28:F39)*1.0277</f>
        <v>881.03686924396618</v>
      </c>
      <c r="F26" s="119">
        <f t="shared" si="0"/>
        <v>881036.86924396618</v>
      </c>
      <c r="G26" s="432"/>
      <c r="H26" s="432"/>
      <c r="I26" s="432"/>
      <c r="J26" s="432"/>
    </row>
    <row r="27" spans="1:10" x14ac:dyDescent="0.25">
      <c r="A27" s="441" t="s">
        <v>97</v>
      </c>
      <c r="B27" s="305" t="s">
        <v>93</v>
      </c>
      <c r="C27" s="305" t="s">
        <v>96</v>
      </c>
      <c r="D27" s="120">
        <v>1000</v>
      </c>
      <c r="E27" s="442">
        <f>0.0277/1000*SUM(F2:F25,F28:F39)*1.1</f>
        <v>373.16606299592212</v>
      </c>
      <c r="F27" s="119">
        <f t="shared" si="0"/>
        <v>373166.06299592211</v>
      </c>
      <c r="G27" s="432"/>
      <c r="H27" s="432"/>
      <c r="I27" s="432"/>
      <c r="J27" s="432"/>
    </row>
    <row r="28" spans="1:10" x14ac:dyDescent="0.25">
      <c r="A28" s="305" t="s">
        <v>95</v>
      </c>
      <c r="B28" s="305" t="s">
        <v>93</v>
      </c>
      <c r="C28" s="305" t="s">
        <v>94</v>
      </c>
      <c r="D28" s="120">
        <v>1000</v>
      </c>
      <c r="E28" s="438">
        <v>1345</v>
      </c>
      <c r="F28" s="119">
        <f t="shared" si="0"/>
        <v>1345000</v>
      </c>
      <c r="G28" s="432"/>
      <c r="H28" s="432"/>
      <c r="I28" s="428" t="s">
        <v>485</v>
      </c>
      <c r="J28" s="432"/>
    </row>
    <row r="29" spans="1:10" x14ac:dyDescent="0.2">
      <c r="A29" s="306" t="s">
        <v>299</v>
      </c>
      <c r="B29" s="306" t="s">
        <v>88</v>
      </c>
      <c r="C29" s="306" t="s">
        <v>298</v>
      </c>
      <c r="D29" s="308">
        <v>5000</v>
      </c>
      <c r="E29" s="439">
        <f>$B$59</f>
        <v>9.0350000000000001</v>
      </c>
      <c r="F29" s="119">
        <f t="shared" si="0"/>
        <v>45175</v>
      </c>
      <c r="G29" s="432"/>
      <c r="H29" s="432"/>
      <c r="I29" s="428"/>
      <c r="J29" s="432"/>
    </row>
    <row r="30" spans="1:10" x14ac:dyDescent="0.2">
      <c r="A30" s="306" t="s">
        <v>297</v>
      </c>
      <c r="B30" s="306" t="s">
        <v>88</v>
      </c>
      <c r="C30" s="306" t="s">
        <v>296</v>
      </c>
      <c r="D30" s="121">
        <v>2208</v>
      </c>
      <c r="E30" s="439">
        <f>$B$59</f>
        <v>9.0350000000000001</v>
      </c>
      <c r="F30" s="119">
        <f t="shared" si="0"/>
        <v>19949.28</v>
      </c>
      <c r="G30" s="432"/>
      <c r="H30" s="432"/>
      <c r="I30" s="432"/>
      <c r="J30" s="432"/>
    </row>
    <row r="31" spans="1:10" x14ac:dyDescent="0.2">
      <c r="A31" s="305" t="s">
        <v>484</v>
      </c>
      <c r="B31" s="305" t="s">
        <v>479</v>
      </c>
      <c r="C31" s="305" t="s">
        <v>295</v>
      </c>
      <c r="D31" s="308">
        <v>703270.57162497926</v>
      </c>
      <c r="E31" s="439">
        <v>0</v>
      </c>
      <c r="F31" s="119">
        <f t="shared" si="0"/>
        <v>0</v>
      </c>
      <c r="G31" s="432"/>
      <c r="H31" s="432"/>
      <c r="I31" s="428"/>
      <c r="J31" s="432"/>
    </row>
    <row r="32" spans="1:10" x14ac:dyDescent="0.2">
      <c r="A32" s="305" t="s">
        <v>483</v>
      </c>
      <c r="B32" s="305" t="s">
        <v>479</v>
      </c>
      <c r="C32" s="305" t="s">
        <v>294</v>
      </c>
      <c r="D32" s="308">
        <v>1641419.9182669725</v>
      </c>
      <c r="E32" s="439">
        <v>0</v>
      </c>
      <c r="F32" s="119">
        <f t="shared" si="0"/>
        <v>0</v>
      </c>
      <c r="G32" s="432"/>
      <c r="H32" s="432"/>
      <c r="I32" s="428"/>
      <c r="J32" s="432"/>
    </row>
    <row r="33" spans="1:10" x14ac:dyDescent="0.2">
      <c r="A33" s="305" t="s">
        <v>482</v>
      </c>
      <c r="B33" s="305" t="s">
        <v>479</v>
      </c>
      <c r="C33" s="305" t="s">
        <v>481</v>
      </c>
      <c r="D33" s="308">
        <v>365328.4895615009</v>
      </c>
      <c r="E33" s="439">
        <f>B55</f>
        <v>9.0350000000000001</v>
      </c>
      <c r="F33" s="119">
        <f t="shared" si="0"/>
        <v>3300742.9031881606</v>
      </c>
      <c r="G33" s="432"/>
      <c r="H33" s="432"/>
      <c r="I33" s="432"/>
      <c r="J33" s="432"/>
    </row>
    <row r="34" spans="1:10" x14ac:dyDescent="0.2">
      <c r="A34" s="305" t="s">
        <v>480</v>
      </c>
      <c r="B34" s="305" t="s">
        <v>479</v>
      </c>
      <c r="C34" s="305" t="s">
        <v>478</v>
      </c>
      <c r="D34" s="308">
        <v>733038.74229347601</v>
      </c>
      <c r="E34" s="439">
        <v>0</v>
      </c>
      <c r="F34" s="119">
        <f t="shared" si="0"/>
        <v>0</v>
      </c>
      <c r="G34" s="432"/>
      <c r="H34" s="432"/>
      <c r="I34" s="432"/>
      <c r="J34" s="432"/>
    </row>
    <row r="35" spans="1:10" x14ac:dyDescent="0.2">
      <c r="A35" s="305" t="s">
        <v>293</v>
      </c>
      <c r="B35" s="305" t="s">
        <v>292</v>
      </c>
      <c r="C35" s="305" t="s">
        <v>291</v>
      </c>
      <c r="D35" s="308">
        <v>171707.36914333334</v>
      </c>
      <c r="E35" s="439">
        <v>1</v>
      </c>
      <c r="F35" s="119">
        <f t="shared" si="0"/>
        <v>171707.36914333334</v>
      </c>
      <c r="G35" s="432"/>
      <c r="H35" s="432"/>
      <c r="I35" s="432"/>
      <c r="J35" s="432"/>
    </row>
    <row r="36" spans="1:10" x14ac:dyDescent="0.25">
      <c r="A36" s="441" t="s">
        <v>290</v>
      </c>
      <c r="B36" s="305" t="s">
        <v>88</v>
      </c>
      <c r="C36" s="305" t="s">
        <v>289</v>
      </c>
      <c r="D36" s="307">
        <v>7316</v>
      </c>
      <c r="E36" s="439">
        <v>0</v>
      </c>
      <c r="F36" s="119">
        <f t="shared" si="0"/>
        <v>0</v>
      </c>
      <c r="G36" s="432"/>
      <c r="H36" s="432"/>
      <c r="I36" s="432"/>
      <c r="J36" s="432"/>
    </row>
    <row r="37" spans="1:10" x14ac:dyDescent="0.2">
      <c r="A37" s="306" t="s">
        <v>288</v>
      </c>
      <c r="B37" s="306" t="s">
        <v>88</v>
      </c>
      <c r="C37" s="306" t="s">
        <v>287</v>
      </c>
      <c r="D37" s="121">
        <v>91878</v>
      </c>
      <c r="E37" s="439">
        <f>$B$59</f>
        <v>9.0350000000000001</v>
      </c>
      <c r="F37" s="119">
        <f t="shared" si="0"/>
        <v>830117.73</v>
      </c>
      <c r="G37" s="432"/>
      <c r="H37" s="432"/>
      <c r="I37" s="432"/>
      <c r="J37" s="432"/>
    </row>
    <row r="38" spans="1:10" x14ac:dyDescent="0.25">
      <c r="A38" s="441" t="s">
        <v>286</v>
      </c>
      <c r="B38" s="305" t="s">
        <v>88</v>
      </c>
      <c r="C38" s="440" t="s">
        <v>285</v>
      </c>
      <c r="D38" s="120">
        <v>31327</v>
      </c>
      <c r="E38" s="439">
        <f>$B$59</f>
        <v>9.0350000000000001</v>
      </c>
      <c r="F38" s="119">
        <f t="shared" si="0"/>
        <v>283039.44500000001</v>
      </c>
      <c r="G38" s="432"/>
      <c r="H38" s="432"/>
      <c r="I38" s="432"/>
      <c r="J38" s="432"/>
    </row>
    <row r="39" spans="1:10" x14ac:dyDescent="0.25">
      <c r="A39" s="305" t="s">
        <v>92</v>
      </c>
      <c r="B39" s="305" t="s">
        <v>91</v>
      </c>
      <c r="C39" s="305" t="s">
        <v>90</v>
      </c>
      <c r="D39" s="120">
        <v>35732</v>
      </c>
      <c r="E39" s="438">
        <v>1</v>
      </c>
      <c r="F39" s="119">
        <f t="shared" si="0"/>
        <v>35732</v>
      </c>
      <c r="G39" s="432"/>
      <c r="H39" s="432"/>
      <c r="I39" s="432"/>
      <c r="J39" s="432"/>
    </row>
    <row r="40" spans="1:10" x14ac:dyDescent="0.25">
      <c r="A40" s="418"/>
    </row>
    <row r="41" spans="1:10" x14ac:dyDescent="0.25">
      <c r="A41" s="418"/>
      <c r="D41" s="434" t="s">
        <v>87</v>
      </c>
      <c r="F41" s="427">
        <f>SUM(F2:F39)</f>
        <v>13501202.045988563</v>
      </c>
    </row>
    <row r="42" spans="1:10" x14ac:dyDescent="0.25">
      <c r="A42" s="418"/>
      <c r="D42" s="434" t="s">
        <v>86</v>
      </c>
      <c r="E42" s="437">
        <v>0</v>
      </c>
      <c r="F42" s="427">
        <f>F41*(1+E42)</f>
        <v>13501202.045988563</v>
      </c>
    </row>
    <row r="43" spans="1:10" x14ac:dyDescent="0.25">
      <c r="A43" s="418"/>
      <c r="D43" s="405" t="s">
        <v>85</v>
      </c>
      <c r="E43" s="436">
        <v>0.1</v>
      </c>
      <c r="F43" s="427">
        <f>E43*F42</f>
        <v>1350120.2045988564</v>
      </c>
    </row>
    <row r="44" spans="1:10" ht="15.75" x14ac:dyDescent="0.25">
      <c r="A44" s="418"/>
      <c r="D44" s="430" t="s">
        <v>84</v>
      </c>
      <c r="E44" s="435">
        <v>5.5E-2</v>
      </c>
      <c r="F44" s="427">
        <f>E44*F42</f>
        <v>742566.11252937105</v>
      </c>
    </row>
    <row r="45" spans="1:10" ht="15.75" x14ac:dyDescent="0.25">
      <c r="A45" s="418"/>
      <c r="C45" s="434"/>
      <c r="D45" s="430" t="s">
        <v>83</v>
      </c>
      <c r="E45" s="433">
        <v>3.5000000000000003E-2</v>
      </c>
      <c r="F45" s="427">
        <f>E45*F42</f>
        <v>472542.07160959975</v>
      </c>
    </row>
    <row r="46" spans="1:10" ht="15.75" x14ac:dyDescent="0.25">
      <c r="A46" s="418"/>
      <c r="D46" s="430" t="s">
        <v>82</v>
      </c>
      <c r="E46" s="431">
        <v>0</v>
      </c>
      <c r="F46" s="427">
        <f>1000*E46</f>
        <v>0</v>
      </c>
      <c r="H46" s="428"/>
      <c r="J46" s="432"/>
    </row>
    <row r="47" spans="1:10" ht="15.75" x14ac:dyDescent="0.25">
      <c r="A47" s="418"/>
      <c r="D47" s="430" t="s">
        <v>81</v>
      </c>
      <c r="E47" s="431">
        <v>0</v>
      </c>
      <c r="F47" s="427">
        <f>1000*E47</f>
        <v>0</v>
      </c>
    </row>
    <row r="48" spans="1:10" ht="15.75" x14ac:dyDescent="0.25">
      <c r="A48" s="418" t="s">
        <v>80</v>
      </c>
      <c r="D48" s="430" t="s">
        <v>79</v>
      </c>
      <c r="F48" s="429">
        <f>SUM(F42:F47)</f>
        <v>16066430.434726391</v>
      </c>
      <c r="H48" s="428" t="s">
        <v>477</v>
      </c>
    </row>
    <row r="49" spans="1:13" x14ac:dyDescent="0.25">
      <c r="A49" s="418"/>
      <c r="H49" s="428"/>
    </row>
    <row r="50" spans="1:13" x14ac:dyDescent="0.25">
      <c r="A50" s="418"/>
      <c r="B50" s="427"/>
      <c r="C50" s="428"/>
    </row>
    <row r="51" spans="1:13" x14ac:dyDescent="0.25">
      <c r="A51" s="418"/>
      <c r="F51" s="427"/>
    </row>
    <row r="52" spans="1:13" ht="18" x14ac:dyDescent="0.25">
      <c r="A52" s="426" t="s">
        <v>78</v>
      </c>
    </row>
    <row r="53" spans="1:13" x14ac:dyDescent="0.25">
      <c r="A53" s="418"/>
    </row>
    <row r="54" spans="1:13" s="424" customFormat="1" ht="39" customHeight="1" thickBot="1" x14ac:dyDescent="0.25">
      <c r="A54" s="416" t="s">
        <v>73</v>
      </c>
      <c r="B54" s="425" t="s">
        <v>77</v>
      </c>
      <c r="C54" s="416" t="s">
        <v>284</v>
      </c>
      <c r="D54" s="416" t="s">
        <v>283</v>
      </c>
      <c r="E54" s="416" t="s">
        <v>282</v>
      </c>
      <c r="F54" s="416" t="s">
        <v>281</v>
      </c>
      <c r="G54" s="416" t="s">
        <v>280</v>
      </c>
      <c r="H54" s="416" t="s">
        <v>279</v>
      </c>
      <c r="I54" s="416" t="s">
        <v>278</v>
      </c>
      <c r="J54" s="416" t="s">
        <v>277</v>
      </c>
      <c r="K54" s="416" t="s">
        <v>276</v>
      </c>
      <c r="L54" s="416" t="s">
        <v>75</v>
      </c>
      <c r="M54" s="416" t="s">
        <v>275</v>
      </c>
    </row>
    <row r="55" spans="1:13" x14ac:dyDescent="0.25">
      <c r="A55" s="413"/>
      <c r="B55" s="423">
        <v>9.0350000000000001</v>
      </c>
      <c r="C55" s="413">
        <v>28</v>
      </c>
      <c r="D55" s="413">
        <v>12</v>
      </c>
      <c r="E55" s="413">
        <v>36</v>
      </c>
      <c r="F55" s="413">
        <v>14</v>
      </c>
      <c r="G55" s="413">
        <v>36</v>
      </c>
      <c r="H55" s="413">
        <v>7</v>
      </c>
      <c r="I55" s="413">
        <v>0</v>
      </c>
      <c r="J55" s="413">
        <v>0</v>
      </c>
      <c r="K55" s="413">
        <v>0</v>
      </c>
      <c r="L55" s="413">
        <v>0</v>
      </c>
      <c r="M55" s="413">
        <v>0</v>
      </c>
    </row>
    <row r="56" spans="1:13" x14ac:dyDescent="0.25">
      <c r="A56" s="411"/>
      <c r="B56" s="422">
        <v>0</v>
      </c>
      <c r="C56" s="411">
        <v>0</v>
      </c>
      <c r="D56" s="411">
        <v>0</v>
      </c>
      <c r="E56" s="411">
        <v>0</v>
      </c>
      <c r="F56" s="411">
        <v>0</v>
      </c>
      <c r="G56" s="411">
        <v>0</v>
      </c>
      <c r="H56" s="411">
        <v>0</v>
      </c>
      <c r="I56" s="411">
        <v>0</v>
      </c>
      <c r="J56" s="411">
        <v>0</v>
      </c>
      <c r="K56" s="411">
        <v>0</v>
      </c>
      <c r="L56" s="411">
        <v>0</v>
      </c>
      <c r="M56" s="411">
        <v>0</v>
      </c>
    </row>
    <row r="57" spans="1:13" x14ac:dyDescent="0.25">
      <c r="A57" s="411"/>
      <c r="B57" s="422">
        <v>0</v>
      </c>
      <c r="C57" s="411">
        <v>0</v>
      </c>
      <c r="D57" s="411">
        <v>0</v>
      </c>
      <c r="E57" s="411">
        <v>0</v>
      </c>
      <c r="F57" s="411">
        <v>0</v>
      </c>
      <c r="G57" s="411">
        <v>0</v>
      </c>
      <c r="H57" s="411">
        <v>0</v>
      </c>
      <c r="I57" s="411">
        <v>0</v>
      </c>
      <c r="J57" s="411">
        <v>0</v>
      </c>
      <c r="K57" s="411">
        <v>0</v>
      </c>
      <c r="L57" s="411">
        <v>0</v>
      </c>
      <c r="M57" s="411">
        <v>0</v>
      </c>
    </row>
    <row r="58" spans="1:13" ht="13.5" thickBot="1" x14ac:dyDescent="0.3">
      <c r="B58" s="421"/>
    </row>
    <row r="59" spans="1:13" ht="13.5" thickBot="1" x14ac:dyDescent="0.3">
      <c r="A59" s="420" t="s">
        <v>274</v>
      </c>
      <c r="B59" s="419">
        <f>SUM(B55:B57)</f>
        <v>9.0350000000000001</v>
      </c>
    </row>
    <row r="60" spans="1:13" x14ac:dyDescent="0.25">
      <c r="B60" s="418"/>
    </row>
    <row r="62" spans="1:13" x14ac:dyDescent="0.25">
      <c r="A62" s="417" t="s">
        <v>74</v>
      </c>
      <c r="B62" s="417"/>
      <c r="C62" s="417"/>
    </row>
    <row r="63" spans="1:13" s="414" customFormat="1" ht="13.5" thickBot="1" x14ac:dyDescent="0.25">
      <c r="A63" s="416" t="s">
        <v>73</v>
      </c>
      <c r="B63" s="415" t="s">
        <v>273</v>
      </c>
      <c r="C63" s="415" t="s">
        <v>272</v>
      </c>
      <c r="D63" s="415" t="s">
        <v>271</v>
      </c>
      <c r="E63" s="415" t="s">
        <v>270</v>
      </c>
      <c r="F63" s="415" t="s">
        <v>269</v>
      </c>
      <c r="G63" s="415" t="s">
        <v>268</v>
      </c>
      <c r="H63" s="415" t="s">
        <v>71</v>
      </c>
      <c r="I63" s="415" t="s">
        <v>72</v>
      </c>
      <c r="J63" s="415" t="s">
        <v>70</v>
      </c>
      <c r="K63" s="415" t="s">
        <v>69</v>
      </c>
      <c r="L63" s="415" t="s">
        <v>267</v>
      </c>
      <c r="M63" s="415" t="s">
        <v>68</v>
      </c>
    </row>
    <row r="64" spans="1:13" x14ac:dyDescent="0.25">
      <c r="A64" s="413"/>
      <c r="B64" s="412">
        <f>30.8*B55*C55*D55</f>
        <v>93501.40800000001</v>
      </c>
      <c r="C64" s="409">
        <f>0.8727*E55*B55</f>
        <v>283.85440199999999</v>
      </c>
      <c r="D64" s="409">
        <f>11.7333*E55*B55</f>
        <v>3816.3731579999999</v>
      </c>
      <c r="E64" s="409">
        <f>IF(G55=0,0,0.6952*B55*(G55+H55*2))</f>
        <v>314.0566</v>
      </c>
      <c r="F64" s="409">
        <f>IF(E55=0,0,2.9333*B55*(E55))</f>
        <v>954.08515799999998</v>
      </c>
      <c r="G64" s="409">
        <f>30.8*F55*B55*(G55+H55)</f>
        <v>167523.356</v>
      </c>
      <c r="H64" s="409">
        <f>I64*0.06</f>
        <v>0</v>
      </c>
      <c r="I64" s="409">
        <f>B55*(I55+J55)*L55*M55*32.56</f>
        <v>0</v>
      </c>
      <c r="J64" s="409">
        <f>IF(I55=0,0,0.2246*B55*(I55+1)*M55)</f>
        <v>0</v>
      </c>
      <c r="K64" s="409">
        <f>0.1247*B55*(I55+J55*2)</f>
        <v>0</v>
      </c>
      <c r="L64" s="409">
        <f>2.3467*B55*(K55*11)</f>
        <v>0</v>
      </c>
      <c r="M64" s="409">
        <f>I64*0.01</f>
        <v>0</v>
      </c>
    </row>
    <row r="65" spans="1:13" x14ac:dyDescent="0.25">
      <c r="A65" s="411"/>
      <c r="B65" s="410">
        <f>30.8*B56*C56*D56</f>
        <v>0</v>
      </c>
      <c r="C65" s="408">
        <f>0.8727*E56*B56</f>
        <v>0</v>
      </c>
      <c r="D65" s="408">
        <f>11.7333*E56*B56</f>
        <v>0</v>
      </c>
      <c r="E65" s="408">
        <f>IF(G56=0,0,0.6952*B56*(G56+H56*2))</f>
        <v>0</v>
      </c>
      <c r="F65" s="408">
        <f>IF(E56=0,0,2.9333*B56*(E56))</f>
        <v>0</v>
      </c>
      <c r="G65" s="408">
        <f>30.8*F56*B56*(G56+H56)</f>
        <v>0</v>
      </c>
      <c r="H65" s="408">
        <f>I65*0.06</f>
        <v>0</v>
      </c>
      <c r="I65" s="408">
        <f>B56*(I56+J56)*L56*M56*32.56</f>
        <v>0</v>
      </c>
      <c r="J65" s="409">
        <f>IF(I56=0,0,0.2246*B56*(I56+1)*M56)</f>
        <v>0</v>
      </c>
      <c r="K65" s="409">
        <f>0.1247*B56*(I56+J56*2)</f>
        <v>0</v>
      </c>
      <c r="L65" s="409">
        <f>2.3467*B56*(K56*11)</f>
        <v>0</v>
      </c>
      <c r="M65" s="408">
        <f>I65*0.01</f>
        <v>0</v>
      </c>
    </row>
    <row r="66" spans="1:13" x14ac:dyDescent="0.25">
      <c r="A66" s="411"/>
      <c r="B66" s="410">
        <f>30.8*B57*C57*D57</f>
        <v>0</v>
      </c>
      <c r="C66" s="408">
        <f>0.8727*E57*B57</f>
        <v>0</v>
      </c>
      <c r="D66" s="408">
        <f>11.7333*E57*B57</f>
        <v>0</v>
      </c>
      <c r="E66" s="408">
        <f>IF(G57=0,0,0.6952*B57*(G57+H57*2))</f>
        <v>0</v>
      </c>
      <c r="F66" s="408">
        <f>IF(E57=0,0,2.9333*B57*(E57))</f>
        <v>0</v>
      </c>
      <c r="G66" s="408">
        <f>30.8*F57*B57*(G57+H57)</f>
        <v>0</v>
      </c>
      <c r="H66" s="408">
        <f>I66*0.06</f>
        <v>0</v>
      </c>
      <c r="I66" s="408">
        <f>B57*(I57+J57)*L57*M57*32.56</f>
        <v>0</v>
      </c>
      <c r="J66" s="409">
        <f>IF(I57=0,0,0.2246*B57*(I57+1)*M57)</f>
        <v>0</v>
      </c>
      <c r="K66" s="409">
        <f>0.1247*B57*(I57+J57*2)</f>
        <v>0</v>
      </c>
      <c r="L66" s="409">
        <f>2.3467*B57*(K57*11)</f>
        <v>0</v>
      </c>
      <c r="M66" s="408">
        <f>I66*0.01</f>
        <v>0</v>
      </c>
    </row>
    <row r="68" spans="1:13" ht="13.5" thickBot="1" x14ac:dyDescent="0.3">
      <c r="A68" s="407" t="s">
        <v>67</v>
      </c>
      <c r="B68" s="406">
        <f t="shared" ref="B68:M68" si="1">SUM(B64:B67)</f>
        <v>93501.40800000001</v>
      </c>
      <c r="C68" s="406">
        <f t="shared" si="1"/>
        <v>283.85440199999999</v>
      </c>
      <c r="D68" s="406">
        <f t="shared" si="1"/>
        <v>3816.3731579999999</v>
      </c>
      <c r="E68" s="406">
        <f t="shared" si="1"/>
        <v>314.0566</v>
      </c>
      <c r="F68" s="406">
        <f t="shared" si="1"/>
        <v>954.08515799999998</v>
      </c>
      <c r="G68" s="406">
        <f t="shared" si="1"/>
        <v>167523.356</v>
      </c>
      <c r="H68" s="406">
        <f t="shared" si="1"/>
        <v>0</v>
      </c>
      <c r="I68" s="406">
        <f t="shared" si="1"/>
        <v>0</v>
      </c>
      <c r="J68" s="406">
        <f t="shared" si="1"/>
        <v>0</v>
      </c>
      <c r="K68" s="406">
        <f t="shared" si="1"/>
        <v>0</v>
      </c>
      <c r="L68" s="406">
        <f t="shared" si="1"/>
        <v>0</v>
      </c>
      <c r="M68" s="406">
        <f t="shared" si="1"/>
        <v>0</v>
      </c>
    </row>
    <row r="69" spans="1:13" ht="13.5" thickTop="1" x14ac:dyDescent="0.25"/>
  </sheetData>
  <pageMargins left="0.25" right="0.25" top="0.5" bottom="0.5" header="0.5" footer="0.5"/>
  <pageSetup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80FE9-BF4B-42E7-A54C-32E5BFD5C485}">
  <sheetPr>
    <tabColor rgb="FF00B050"/>
    <pageSetUpPr fitToPage="1"/>
  </sheetPr>
  <dimension ref="A1:AA61"/>
  <sheetViews>
    <sheetView zoomScale="85" zoomScaleNormal="85" zoomScaleSheetLayoutView="70" workbookViewId="0">
      <selection activeCell="C12" sqref="C12"/>
    </sheetView>
  </sheetViews>
  <sheetFormatPr defaultRowHeight="15" x14ac:dyDescent="0.25"/>
  <cols>
    <col min="1" max="1" width="3.5703125" style="15" customWidth="1"/>
    <col min="2" max="6" width="20.7109375" style="15" customWidth="1"/>
    <col min="7" max="7" width="10.7109375" style="15" customWidth="1"/>
    <col min="8" max="8" width="36.42578125" style="15" customWidth="1"/>
    <col min="9" max="12" width="30.5703125" style="15" customWidth="1"/>
    <col min="13" max="14" width="31" style="15" customWidth="1"/>
    <col min="15" max="15" width="9.140625" style="15"/>
    <col min="16" max="16" width="13.140625" style="15" bestFit="1" customWidth="1"/>
    <col min="17" max="16384" width="9.140625" style="15"/>
  </cols>
  <sheetData>
    <row r="1" spans="2:14" x14ac:dyDescent="0.25">
      <c r="B1" s="118">
        <v>1</v>
      </c>
      <c r="C1" s="290">
        <v>2</v>
      </c>
      <c r="D1" s="118">
        <v>3</v>
      </c>
      <c r="E1" s="290">
        <v>4</v>
      </c>
      <c r="F1" s="118">
        <v>5</v>
      </c>
    </row>
    <row r="2" spans="2:14" x14ac:dyDescent="0.25">
      <c r="B2" s="16" t="s">
        <v>15</v>
      </c>
      <c r="C2" s="16"/>
      <c r="D2" s="16"/>
      <c r="E2" s="16"/>
      <c r="F2" s="16"/>
      <c r="G2" s="16"/>
      <c r="H2" s="16"/>
      <c r="I2" s="16"/>
      <c r="J2" s="16"/>
      <c r="K2" s="16"/>
      <c r="L2" s="16"/>
      <c r="M2" s="16"/>
    </row>
    <row r="3" spans="2:14" ht="15.75" thickBot="1" x14ac:dyDescent="0.3">
      <c r="N3" s="118"/>
    </row>
    <row r="4" spans="2:14" ht="35.1" customHeight="1" x14ac:dyDescent="0.25">
      <c r="B4" s="641" t="s">
        <v>0</v>
      </c>
      <c r="C4" s="641" t="s">
        <v>650</v>
      </c>
      <c r="D4" s="641" t="s">
        <v>651</v>
      </c>
      <c r="E4" s="641" t="s">
        <v>62</v>
      </c>
      <c r="F4" s="643" t="s">
        <v>1</v>
      </c>
      <c r="G4" s="640"/>
      <c r="H4" s="23"/>
      <c r="I4" s="40"/>
      <c r="J4" s="40"/>
      <c r="K4" s="40"/>
      <c r="L4" s="40"/>
      <c r="M4" s="40"/>
      <c r="N4" s="40"/>
    </row>
    <row r="5" spans="2:14" ht="35.1" customHeight="1" thickBot="1" x14ac:dyDescent="0.3">
      <c r="B5" s="642"/>
      <c r="C5" s="642"/>
      <c r="D5" s="642"/>
      <c r="E5" s="642"/>
      <c r="F5" s="644"/>
      <c r="G5" s="640"/>
      <c r="H5" s="286" t="s">
        <v>199</v>
      </c>
      <c r="I5" s="99"/>
      <c r="J5" s="23"/>
      <c r="K5" s="23"/>
      <c r="L5" s="23"/>
      <c r="M5" s="23"/>
      <c r="N5" s="40"/>
    </row>
    <row r="6" spans="2:14" x14ac:dyDescent="0.25">
      <c r="B6" s="53">
        <f>Assumptions!$D$7</f>
        <v>2024</v>
      </c>
      <c r="C6" s="68">
        <v>0</v>
      </c>
      <c r="D6" s="100">
        <v>0</v>
      </c>
      <c r="E6" s="68">
        <f>C6-D6</f>
        <v>0</v>
      </c>
      <c r="F6" s="69">
        <f>E6*(1+0.07)^-(B6-Assumptions!$D$4)</f>
        <v>0</v>
      </c>
      <c r="G6" s="42"/>
      <c r="H6" s="249" t="s">
        <v>234</v>
      </c>
      <c r="I6" s="110" t="s">
        <v>232</v>
      </c>
      <c r="J6" s="110" t="s">
        <v>231</v>
      </c>
      <c r="K6" s="110" t="s">
        <v>233</v>
      </c>
      <c r="L6" s="287"/>
      <c r="M6" s="287"/>
      <c r="N6" s="40"/>
    </row>
    <row r="7" spans="2:14" x14ac:dyDescent="0.25">
      <c r="B7" s="53">
        <f>B6+1</f>
        <v>2025</v>
      </c>
      <c r="C7" s="68">
        <f>TREND($I$43:$J$43,$I$39:$J$39,B7)</f>
        <v>146217.29200652614</v>
      </c>
      <c r="D7" s="100">
        <f>C7*$I$47</f>
        <v>99427.758564437783</v>
      </c>
      <c r="E7" s="68">
        <f t="shared" ref="E7:E25" si="0">C7-D7</f>
        <v>46789.533442088359</v>
      </c>
      <c r="F7" s="69">
        <f>E7*(1+0.07)^-(B7-Assumptions!$D$4)</f>
        <v>33360.290688697918</v>
      </c>
      <c r="G7" s="42"/>
      <c r="H7" s="285" t="s">
        <v>14</v>
      </c>
      <c r="I7" s="45">
        <v>12837400</v>
      </c>
      <c r="J7" s="45">
        <v>302600</v>
      </c>
      <c r="K7" s="45">
        <v>4600</v>
      </c>
      <c r="L7" s="15" t="s">
        <v>240</v>
      </c>
      <c r="M7" s="287"/>
      <c r="N7" s="40"/>
    </row>
    <row r="8" spans="2:14" x14ac:dyDescent="0.25">
      <c r="B8" s="53">
        <f t="shared" ref="B8:B25" si="1">B7+1</f>
        <v>2026</v>
      </c>
      <c r="C8" s="68">
        <f>TREND($I$43:$J$43,$I$39:$J$39,B8)</f>
        <v>148708.10222947318</v>
      </c>
      <c r="D8" s="100">
        <f t="shared" ref="D8:D15" si="2">C8*$I$47</f>
        <v>101121.50951604177</v>
      </c>
      <c r="E8" s="68">
        <f t="shared" si="0"/>
        <v>47586.592713431412</v>
      </c>
      <c r="F8" s="69">
        <f>E8*(1+0.07)^-(B8-Assumptions!$D$4)</f>
        <v>31708.956012518538</v>
      </c>
      <c r="G8" s="42"/>
      <c r="H8" s="41"/>
      <c r="I8" s="99"/>
      <c r="J8" s="23"/>
      <c r="K8" s="287"/>
      <c r="L8" s="287"/>
      <c r="M8" s="504"/>
      <c r="N8" s="40"/>
    </row>
    <row r="9" spans="2:14" x14ac:dyDescent="0.25">
      <c r="B9" s="53">
        <f t="shared" si="1"/>
        <v>2027</v>
      </c>
      <c r="C9" s="68">
        <f>TREND($I$43:$J$43,$I$39:$J$39,B9)</f>
        <v>151198.91245242022</v>
      </c>
      <c r="D9" s="100">
        <f t="shared" si="2"/>
        <v>102815.26046764576</v>
      </c>
      <c r="E9" s="68">
        <f t="shared" si="0"/>
        <v>48383.651984774464</v>
      </c>
      <c r="F9" s="69">
        <f>E9*(1+0.07)^-(B9-Assumptions!$D$4)</f>
        <v>30130.906784952182</v>
      </c>
      <c r="G9" s="42"/>
      <c r="H9" s="16" t="s">
        <v>459</v>
      </c>
      <c r="I9" s="40"/>
      <c r="J9" s="40"/>
      <c r="K9" s="23"/>
      <c r="L9" s="287"/>
      <c r="M9" s="287"/>
      <c r="N9" s="23"/>
    </row>
    <row r="10" spans="2:14" ht="15" customHeight="1" x14ac:dyDescent="0.25">
      <c r="B10" s="53">
        <f t="shared" si="1"/>
        <v>2028</v>
      </c>
      <c r="C10" s="68">
        <f>TREND($K$43:$L$43,$K$39:$L$39,B10)</f>
        <v>62801.562806401867</v>
      </c>
      <c r="D10" s="100">
        <f t="shared" si="2"/>
        <v>42705.062708353275</v>
      </c>
      <c r="E10" s="68">
        <f t="shared" si="0"/>
        <v>20096.500098048593</v>
      </c>
      <c r="F10" s="69">
        <f>E10*(1+0.07)^-(B10-Assumptions!$D$4)</f>
        <v>11696.346026956468</v>
      </c>
      <c r="G10" s="42"/>
      <c r="H10" s="249" t="s">
        <v>197</v>
      </c>
      <c r="I10" s="249">
        <v>2016</v>
      </c>
      <c r="J10" s="249">
        <v>2021</v>
      </c>
      <c r="K10" s="249">
        <v>2041</v>
      </c>
      <c r="L10" s="15" t="s">
        <v>230</v>
      </c>
      <c r="M10" s="287"/>
    </row>
    <row r="11" spans="2:14" ht="14.25" customHeight="1" x14ac:dyDescent="0.25">
      <c r="B11" s="53">
        <f t="shared" si="1"/>
        <v>2029</v>
      </c>
      <c r="C11" s="68">
        <f t="shared" ref="C11:C15" si="3">TREND($K$43:$L$43,$K$39:$L$39,B11)</f>
        <v>63819.371752453968</v>
      </c>
      <c r="D11" s="100">
        <f t="shared" si="2"/>
        <v>43397.172791668701</v>
      </c>
      <c r="E11" s="68">
        <f t="shared" si="0"/>
        <v>20422.198960785267</v>
      </c>
      <c r="F11" s="69">
        <f>E11*(1+0.07)^-(B11-Assumptions!$D$4)</f>
        <v>11108.32311253803</v>
      </c>
      <c r="G11" s="42"/>
      <c r="H11" s="291">
        <v>9.26</v>
      </c>
      <c r="I11" s="178">
        <f>TREND(J11:K11,J10:K10,I10)</f>
        <v>459.75</v>
      </c>
      <c r="J11" s="178">
        <v>506</v>
      </c>
      <c r="K11" s="178">
        <v>691</v>
      </c>
      <c r="L11" s="15" t="s">
        <v>230</v>
      </c>
      <c r="M11" s="287"/>
    </row>
    <row r="12" spans="2:14" ht="14.25" customHeight="1" x14ac:dyDescent="0.25">
      <c r="B12" s="53">
        <f t="shared" si="1"/>
        <v>2030</v>
      </c>
      <c r="C12" s="68">
        <f t="shared" si="3"/>
        <v>64837.180698506068</v>
      </c>
      <c r="D12" s="100">
        <f t="shared" si="2"/>
        <v>44089.282874984128</v>
      </c>
      <c r="E12" s="68">
        <f t="shared" si="0"/>
        <v>20747.89782352194</v>
      </c>
      <c r="F12" s="69">
        <f>E12*(1+0.07)^-(B12-Assumptions!$D$4)</f>
        <v>10547.17917187083</v>
      </c>
      <c r="G12" s="42"/>
      <c r="H12" s="287"/>
      <c r="I12" s="287"/>
      <c r="J12" s="287"/>
      <c r="K12" s="287"/>
      <c r="L12" s="287"/>
      <c r="M12" s="287"/>
      <c r="N12" s="287"/>
    </row>
    <row r="13" spans="2:14" s="118" customFormat="1" x14ac:dyDescent="0.25">
      <c r="B13" s="53">
        <f t="shared" si="1"/>
        <v>2031</v>
      </c>
      <c r="C13" s="68">
        <f t="shared" si="3"/>
        <v>65854.989644558169</v>
      </c>
      <c r="D13" s="100">
        <f t="shared" si="2"/>
        <v>44781.392958299555</v>
      </c>
      <c r="E13" s="68">
        <f t="shared" si="0"/>
        <v>21073.596686258614</v>
      </c>
      <c r="F13" s="69">
        <f>E13*(1+0.07)^-(B13-Assumptions!$D$4)</f>
        <v>10011.913979618785</v>
      </c>
      <c r="G13" s="42"/>
      <c r="H13" s="16" t="s">
        <v>490</v>
      </c>
      <c r="N13" s="287"/>
    </row>
    <row r="14" spans="2:14" ht="15" customHeight="1" x14ac:dyDescent="0.25">
      <c r="B14" s="53">
        <f t="shared" si="1"/>
        <v>2032</v>
      </c>
      <c r="C14" s="68">
        <f t="shared" si="3"/>
        <v>66872.798590610269</v>
      </c>
      <c r="D14" s="100">
        <f t="shared" si="2"/>
        <v>45473.503041614989</v>
      </c>
      <c r="E14" s="68">
        <f t="shared" si="0"/>
        <v>21399.29554899528</v>
      </c>
      <c r="F14" s="69">
        <f>E14*(1+0.07)^-(B14-Assumptions!$D$4)</f>
        <v>9501.5431430809404</v>
      </c>
      <c r="G14" s="42"/>
      <c r="H14" s="249" t="s">
        <v>197</v>
      </c>
      <c r="I14" s="249">
        <v>2028</v>
      </c>
      <c r="J14" s="249">
        <v>2033</v>
      </c>
      <c r="K14" s="15" t="s">
        <v>466</v>
      </c>
    </row>
    <row r="15" spans="2:14" x14ac:dyDescent="0.25">
      <c r="B15" s="53">
        <f t="shared" si="1"/>
        <v>2033</v>
      </c>
      <c r="C15" s="68">
        <f t="shared" si="3"/>
        <v>67890.60753666237</v>
      </c>
      <c r="D15" s="100">
        <f t="shared" si="2"/>
        <v>46165.613124930416</v>
      </c>
      <c r="E15" s="68">
        <f t="shared" si="0"/>
        <v>21724.994411731954</v>
      </c>
      <c r="F15" s="69">
        <f>E15*(1+0.07)^-(B15-Assumptions!$D$4)</f>
        <v>9015.1003114459145</v>
      </c>
      <c r="G15" s="42"/>
      <c r="H15" s="291">
        <f>9.26-4</f>
        <v>5.26</v>
      </c>
      <c r="I15" s="178">
        <f>Assumptions!$D$14*TREND(J11:K11,J10:K10,I14)</f>
        <v>410.57905138339925</v>
      </c>
      <c r="J15" s="178">
        <f>Assumptions!$D$14*TREND(J11:K11,J10:K10,J14)</f>
        <v>443.84980237154156</v>
      </c>
      <c r="K15" s="15" t="s">
        <v>466</v>
      </c>
    </row>
    <row r="16" spans="2:14" x14ac:dyDescent="0.25">
      <c r="B16" s="53">
        <f t="shared" si="1"/>
        <v>2034</v>
      </c>
      <c r="C16" s="68">
        <v>0</v>
      </c>
      <c r="D16" s="100">
        <v>0</v>
      </c>
      <c r="E16" s="68">
        <f t="shared" si="0"/>
        <v>0</v>
      </c>
      <c r="F16" s="69">
        <f>E16*(1+0.07)^-(B16-Assumptions!$D$4)</f>
        <v>0</v>
      </c>
      <c r="N16" s="40"/>
    </row>
    <row r="17" spans="1:21" x14ac:dyDescent="0.25">
      <c r="B17" s="53">
        <f t="shared" si="1"/>
        <v>2035</v>
      </c>
      <c r="C17" s="68">
        <v>0</v>
      </c>
      <c r="D17" s="100">
        <v>0</v>
      </c>
      <c r="E17" s="68">
        <f t="shared" si="0"/>
        <v>0</v>
      </c>
      <c r="F17" s="69">
        <f>E17*(1+0.07)^-(B17-Assumptions!$D$4)</f>
        <v>0</v>
      </c>
      <c r="H17" s="16" t="s">
        <v>493</v>
      </c>
      <c r="J17" s="40"/>
      <c r="K17" s="23"/>
      <c r="L17" s="367"/>
      <c r="M17" s="118"/>
      <c r="N17" s="40"/>
    </row>
    <row r="18" spans="1:21" x14ac:dyDescent="0.25">
      <c r="B18" s="53">
        <f t="shared" si="1"/>
        <v>2036</v>
      </c>
      <c r="C18" s="68">
        <v>0</v>
      </c>
      <c r="D18" s="100">
        <v>0</v>
      </c>
      <c r="E18" s="68">
        <f t="shared" si="0"/>
        <v>0</v>
      </c>
      <c r="F18" s="69">
        <f>E18*(1+0.07)^-(B18-Assumptions!$D$4)</f>
        <v>0</v>
      </c>
      <c r="G18" s="42"/>
      <c r="H18" s="249" t="s">
        <v>53</v>
      </c>
      <c r="I18" s="249" t="s">
        <v>193</v>
      </c>
      <c r="J18" s="40"/>
      <c r="K18" s="23"/>
      <c r="L18" s="367"/>
      <c r="N18" s="40"/>
    </row>
    <row r="19" spans="1:21" x14ac:dyDescent="0.25">
      <c r="B19" s="53">
        <f t="shared" si="1"/>
        <v>2037</v>
      </c>
      <c r="C19" s="68">
        <v>0</v>
      </c>
      <c r="D19" s="100">
        <v>0</v>
      </c>
      <c r="E19" s="68">
        <f t="shared" si="0"/>
        <v>0</v>
      </c>
      <c r="F19" s="69">
        <f>E19*(1+0.07)^-(B19-Assumptions!$D$4)</f>
        <v>0</v>
      </c>
      <c r="G19" s="42"/>
      <c r="H19" s="285" t="s">
        <v>232</v>
      </c>
      <c r="I19" s="285">
        <v>0</v>
      </c>
      <c r="J19" s="15" t="s">
        <v>230</v>
      </c>
      <c r="K19" s="23"/>
      <c r="L19" s="367"/>
      <c r="N19" s="23"/>
      <c r="Q19" s="287"/>
      <c r="R19" s="287"/>
      <c r="S19" s="287"/>
      <c r="T19" s="287"/>
      <c r="U19" s="287"/>
    </row>
    <row r="20" spans="1:21" x14ac:dyDescent="0.25">
      <c r="B20" s="53">
        <f t="shared" si="1"/>
        <v>2038</v>
      </c>
      <c r="C20" s="68">
        <v>0</v>
      </c>
      <c r="D20" s="100">
        <v>0</v>
      </c>
      <c r="E20" s="68">
        <f t="shared" si="0"/>
        <v>0</v>
      </c>
      <c r="F20" s="69">
        <f>E20*(1+0.07)^-(B20-Assumptions!$D$4)</f>
        <v>0</v>
      </c>
      <c r="G20" s="42"/>
      <c r="H20" s="285" t="s">
        <v>231</v>
      </c>
      <c r="I20" s="285">
        <f>2/5</f>
        <v>0.4</v>
      </c>
      <c r="J20" s="15" t="s">
        <v>230</v>
      </c>
      <c r="N20" s="23"/>
      <c r="P20" s="287"/>
      <c r="Q20" s="287"/>
      <c r="R20" s="287"/>
      <c r="S20" s="287"/>
      <c r="T20" s="287"/>
      <c r="U20" s="287"/>
    </row>
    <row r="21" spans="1:21" x14ac:dyDescent="0.25">
      <c r="B21" s="53">
        <f t="shared" si="1"/>
        <v>2039</v>
      </c>
      <c r="C21" s="68">
        <v>0</v>
      </c>
      <c r="D21" s="100">
        <v>0</v>
      </c>
      <c r="E21" s="68">
        <f t="shared" si="0"/>
        <v>0</v>
      </c>
      <c r="F21" s="69">
        <f>E21*(1+0.07)^-(B21-Assumptions!$D$4)</f>
        <v>0</v>
      </c>
      <c r="G21" s="42"/>
      <c r="H21" s="285" t="s">
        <v>233</v>
      </c>
      <c r="I21" s="285">
        <f>3/5</f>
        <v>0.6</v>
      </c>
      <c r="J21" s="15" t="s">
        <v>230</v>
      </c>
      <c r="N21" s="23"/>
      <c r="P21" s="287"/>
      <c r="Q21" s="287"/>
      <c r="R21" s="287"/>
      <c r="S21" s="287"/>
      <c r="T21" s="287"/>
      <c r="U21" s="287"/>
    </row>
    <row r="22" spans="1:21" x14ac:dyDescent="0.25">
      <c r="B22" s="53">
        <f t="shared" si="1"/>
        <v>2040</v>
      </c>
      <c r="C22" s="68">
        <v>0</v>
      </c>
      <c r="D22" s="100">
        <v>0</v>
      </c>
      <c r="E22" s="68">
        <f t="shared" si="0"/>
        <v>0</v>
      </c>
      <c r="F22" s="69">
        <f>E22*(1+0.07)^-(B22-Assumptions!$D$4)</f>
        <v>0</v>
      </c>
      <c r="G22" s="42"/>
      <c r="H22" s="285" t="s">
        <v>223</v>
      </c>
      <c r="I22" s="285">
        <f>SUM(I19:I21)</f>
        <v>1</v>
      </c>
      <c r="J22" s="15" t="s">
        <v>246</v>
      </c>
      <c r="N22" s="23"/>
      <c r="P22" s="287"/>
      <c r="Q22" s="287"/>
      <c r="R22" s="287"/>
      <c r="S22" s="287"/>
      <c r="T22" s="287"/>
      <c r="U22" s="287"/>
    </row>
    <row r="23" spans="1:21" ht="14.25" customHeight="1" x14ac:dyDescent="0.25">
      <c r="B23" s="53">
        <f t="shared" si="1"/>
        <v>2041</v>
      </c>
      <c r="C23" s="68">
        <v>0</v>
      </c>
      <c r="D23" s="100">
        <v>0</v>
      </c>
      <c r="E23" s="68">
        <f t="shared" si="0"/>
        <v>0</v>
      </c>
      <c r="F23" s="69">
        <f>E23*(1+0.07)^-(B23-Assumptions!$D$4)</f>
        <v>0</v>
      </c>
      <c r="G23" s="42"/>
      <c r="N23" s="23"/>
      <c r="P23" s="287"/>
      <c r="Q23" s="287"/>
      <c r="R23" s="287"/>
      <c r="S23" s="287"/>
      <c r="T23" s="287"/>
      <c r="U23" s="287"/>
    </row>
    <row r="24" spans="1:21" x14ac:dyDescent="0.25">
      <c r="B24" s="53">
        <f t="shared" si="1"/>
        <v>2042</v>
      </c>
      <c r="C24" s="68">
        <v>0</v>
      </c>
      <c r="D24" s="100">
        <v>0</v>
      </c>
      <c r="E24" s="68">
        <f t="shared" si="0"/>
        <v>0</v>
      </c>
      <c r="F24" s="69">
        <f>E24*(1+0.07)^-(B24-Assumptions!$D$4)</f>
        <v>0</v>
      </c>
      <c r="G24" s="42"/>
      <c r="H24" s="16" t="s">
        <v>620</v>
      </c>
      <c r="N24" s="23"/>
      <c r="P24" s="287"/>
      <c r="Q24" s="287"/>
      <c r="R24" s="287"/>
      <c r="S24" s="287"/>
      <c r="T24" s="287"/>
      <c r="U24" s="287"/>
    </row>
    <row r="25" spans="1:21" ht="15" customHeight="1" thickBot="1" x14ac:dyDescent="0.3">
      <c r="B25" s="54">
        <f t="shared" si="1"/>
        <v>2043</v>
      </c>
      <c r="C25" s="70">
        <v>0</v>
      </c>
      <c r="D25" s="101">
        <v>0</v>
      </c>
      <c r="E25" s="70">
        <f t="shared" si="0"/>
        <v>0</v>
      </c>
      <c r="F25" s="71">
        <f>E25*(1+0.07)^-(B25-Assumptions!$D$4)</f>
        <v>0</v>
      </c>
      <c r="G25" s="42"/>
      <c r="H25" s="249" t="s">
        <v>53</v>
      </c>
      <c r="I25" s="249">
        <v>2016</v>
      </c>
      <c r="P25" s="287"/>
      <c r="Q25" s="287"/>
      <c r="R25" s="287"/>
      <c r="S25" s="287"/>
      <c r="T25" s="287"/>
      <c r="U25" s="287"/>
    </row>
    <row r="26" spans="1:21" ht="15.75" thickBot="1" x14ac:dyDescent="0.3">
      <c r="B26" s="17"/>
      <c r="C26" s="39"/>
      <c r="D26" s="17"/>
      <c r="E26" s="66" t="s">
        <v>2</v>
      </c>
      <c r="F26" s="243">
        <f>SUM(F6:F25)</f>
        <v>157080.55923167962</v>
      </c>
      <c r="G26" s="42"/>
      <c r="H26" s="285" t="s">
        <v>232</v>
      </c>
      <c r="I26" s="285">
        <f>I19/($I$11*$H$11*365)</f>
        <v>0</v>
      </c>
      <c r="J26" s="15" t="s">
        <v>246</v>
      </c>
      <c r="P26" s="287"/>
      <c r="Q26" s="287"/>
      <c r="R26" s="287"/>
      <c r="S26" s="287"/>
      <c r="T26" s="287"/>
      <c r="U26" s="287"/>
    </row>
    <row r="27" spans="1:21" x14ac:dyDescent="0.25">
      <c r="B27" s="16" t="s">
        <v>3</v>
      </c>
      <c r="C27" s="570"/>
      <c r="D27" s="570"/>
      <c r="E27" s="570"/>
      <c r="F27" s="570"/>
      <c r="G27" s="42"/>
      <c r="H27" s="285" t="s">
        <v>231</v>
      </c>
      <c r="I27" s="372">
        <f>I20/($I$11*$H$11*365)</f>
        <v>2.5741532712959178E-7</v>
      </c>
      <c r="J27" s="15" t="s">
        <v>246</v>
      </c>
      <c r="P27" s="287"/>
      <c r="Q27" s="287"/>
      <c r="R27" s="287"/>
      <c r="S27" s="287"/>
      <c r="T27" s="287"/>
      <c r="U27" s="287"/>
    </row>
    <row r="28" spans="1:21" ht="15" customHeight="1" x14ac:dyDescent="0.25">
      <c r="A28" s="60" t="s">
        <v>9</v>
      </c>
      <c r="B28" s="646" t="s">
        <v>383</v>
      </c>
      <c r="C28" s="646"/>
      <c r="D28" s="646"/>
      <c r="E28" s="646"/>
      <c r="F28" s="646"/>
      <c r="H28" s="285" t="s">
        <v>233</v>
      </c>
      <c r="I28" s="372">
        <f>I21/($I$11*$H$11*365)</f>
        <v>3.8612299069438767E-7</v>
      </c>
      <c r="J28" s="15" t="s">
        <v>246</v>
      </c>
      <c r="P28" s="287"/>
      <c r="Q28" s="287"/>
      <c r="R28" s="287"/>
      <c r="S28" s="287"/>
      <c r="T28" s="287"/>
      <c r="U28" s="287"/>
    </row>
    <row r="29" spans="1:21" ht="15" customHeight="1" x14ac:dyDescent="0.25">
      <c r="B29" s="646"/>
      <c r="C29" s="646"/>
      <c r="D29" s="646"/>
      <c r="E29" s="646"/>
      <c r="F29" s="646"/>
      <c r="H29" s="285" t="s">
        <v>223</v>
      </c>
      <c r="I29" s="372">
        <f>I22/($I$11*$H$11*365)</f>
        <v>6.435383178239795E-7</v>
      </c>
      <c r="J29" s="15" t="s">
        <v>246</v>
      </c>
      <c r="P29" s="287"/>
      <c r="Q29" s="287"/>
      <c r="R29" s="287"/>
      <c r="S29" s="287"/>
      <c r="T29" s="287"/>
      <c r="U29" s="287"/>
    </row>
    <row r="30" spans="1:21" x14ac:dyDescent="0.25">
      <c r="B30" s="646"/>
      <c r="C30" s="646"/>
      <c r="D30" s="646"/>
      <c r="E30" s="646"/>
      <c r="F30" s="646"/>
      <c r="P30" s="287"/>
      <c r="Q30" s="287"/>
      <c r="R30" s="287"/>
      <c r="S30" s="287"/>
      <c r="T30" s="287"/>
      <c r="U30" s="287"/>
    </row>
    <row r="31" spans="1:21" ht="15" customHeight="1" x14ac:dyDescent="0.25">
      <c r="B31" s="646"/>
      <c r="C31" s="646"/>
      <c r="D31" s="646"/>
      <c r="E31" s="646"/>
      <c r="F31" s="646"/>
      <c r="H31" s="16" t="s">
        <v>463</v>
      </c>
      <c r="Q31" s="287"/>
      <c r="R31" s="287"/>
      <c r="S31" s="287"/>
      <c r="T31" s="287"/>
      <c r="U31" s="287"/>
    </row>
    <row r="32" spans="1:21" ht="15" customHeight="1" x14ac:dyDescent="0.25">
      <c r="B32" s="646"/>
      <c r="C32" s="646"/>
      <c r="D32" s="646"/>
      <c r="E32" s="646"/>
      <c r="F32" s="646"/>
      <c r="G32" s="16"/>
      <c r="H32" s="249" t="s">
        <v>53</v>
      </c>
      <c r="I32" s="249">
        <v>2016</v>
      </c>
      <c r="J32" s="249">
        <v>2027</v>
      </c>
      <c r="K32" s="249">
        <v>2028</v>
      </c>
      <c r="L32" s="249">
        <v>2033</v>
      </c>
    </row>
    <row r="33" spans="1:27" ht="15" customHeight="1" x14ac:dyDescent="0.25">
      <c r="B33" s="16"/>
      <c r="C33" s="16"/>
      <c r="D33" s="16"/>
      <c r="E33" s="16"/>
      <c r="F33" s="16"/>
      <c r="G33" s="76"/>
      <c r="H33" s="285" t="s">
        <v>232</v>
      </c>
      <c r="I33" s="371">
        <f>($I$11*$H$11*365)*I26</f>
        <v>0</v>
      </c>
      <c r="J33" s="371">
        <f>((TREND($J$11:$K$11,$J$10:$K$10,$J$32)*$H$11*365)*I26)</f>
        <v>0</v>
      </c>
      <c r="K33" s="371">
        <f>((TREND($I$15:$J$15,$I$14:$J$14,$K$32)*$H$15*365)*I26)</f>
        <v>0</v>
      </c>
      <c r="L33" s="371">
        <f>((TREND($I$15:$J$15,$I$14:$J$14,$L$32)*$H$15*365)*I26)</f>
        <v>0</v>
      </c>
      <c r="M33" s="15" t="s">
        <v>246</v>
      </c>
    </row>
    <row r="34" spans="1:27" ht="15" customHeight="1" x14ac:dyDescent="0.25">
      <c r="A34" s="60" t="s">
        <v>8</v>
      </c>
      <c r="B34" s="646" t="s">
        <v>378</v>
      </c>
      <c r="C34" s="646"/>
      <c r="D34" s="646"/>
      <c r="E34" s="646"/>
      <c r="F34" s="646"/>
      <c r="G34" s="76"/>
      <c r="H34" s="285" t="s">
        <v>231</v>
      </c>
      <c r="I34" s="370">
        <f>($I$11*$H$11*365)*I27</f>
        <v>0.39999999999999997</v>
      </c>
      <c r="J34" s="370">
        <f>((TREND($J$11:$K$11,$J$10:$K$10,$J$32)*$H$11*365)*I27)</f>
        <v>0.48852637302882002</v>
      </c>
      <c r="K34" s="370">
        <f>((TREND($I$15:$J$15,$I$14:$J$14,$K$32)*$H$15*365)*I27)</f>
        <v>0.2029129654487942</v>
      </c>
      <c r="L34" s="370">
        <f>((TREND($I$15:$J$15,$I$14:$J$14,$L$32)*$H$15*365)*I27)</f>
        <v>0.21935575940763288</v>
      </c>
      <c r="M34" s="15" t="s">
        <v>246</v>
      </c>
    </row>
    <row r="35" spans="1:27" x14ac:dyDescent="0.25">
      <c r="B35" s="646"/>
      <c r="C35" s="646"/>
      <c r="D35" s="646"/>
      <c r="E35" s="646"/>
      <c r="F35" s="646"/>
      <c r="G35" s="76"/>
      <c r="H35" s="285" t="s">
        <v>233</v>
      </c>
      <c r="I35" s="370">
        <f>($I$11*$H$11*365)*I28</f>
        <v>0.6</v>
      </c>
      <c r="J35" s="370">
        <f>((TREND($J$11:$K$11,$J$10:$K$10,$J$32)*$H$11*365)*I28)</f>
        <v>0.73278955954323</v>
      </c>
      <c r="K35" s="370">
        <f>((TREND($I$15:$J$15,$I$14:$J$14,$K$32)*$H$15*365)*I28)</f>
        <v>0.30436944817319128</v>
      </c>
      <c r="L35" s="370">
        <f>((TREND($I$15:$J$15,$I$14:$J$14,$L$32)*$H$15*365)*I28)</f>
        <v>0.32903363911144934</v>
      </c>
      <c r="M35" s="15" t="s">
        <v>246</v>
      </c>
    </row>
    <row r="36" spans="1:27" ht="17.25" customHeight="1" x14ac:dyDescent="0.25">
      <c r="B36" s="646"/>
      <c r="C36" s="646"/>
      <c r="D36" s="646"/>
      <c r="E36" s="646"/>
      <c r="F36" s="646"/>
      <c r="G36" s="76"/>
      <c r="H36" s="285" t="s">
        <v>223</v>
      </c>
      <c r="I36" s="370">
        <f>($I$11*$H$11*365)*I29</f>
        <v>1</v>
      </c>
      <c r="J36" s="370">
        <f>((TREND($J$11:$K$11,$J$10:$K$10,$J$32)*$H$11*365)*I29)</f>
        <v>1.2213159325720502</v>
      </c>
      <c r="K36" s="370">
        <f>((TREND($I$15:$J$15,$I$14:$J$14,$K$32)*$H$15*365)*I29)</f>
        <v>0.50728241362198556</v>
      </c>
      <c r="L36" s="370">
        <f>((TREND($I$15:$J$15,$I$14:$J$14,$L$32)*$H$15*365)*I29)</f>
        <v>0.54838939851908219</v>
      </c>
      <c r="M36" s="15" t="s">
        <v>246</v>
      </c>
    </row>
    <row r="37" spans="1:27" ht="14.25" customHeight="1" x14ac:dyDescent="0.25">
      <c r="A37" s="60"/>
      <c r="B37" s="646"/>
      <c r="C37" s="646"/>
      <c r="D37" s="646"/>
      <c r="E37" s="646"/>
      <c r="F37" s="646"/>
      <c r="G37" s="76"/>
    </row>
    <row r="38" spans="1:27" ht="15" customHeight="1" x14ac:dyDescent="0.25">
      <c r="B38" s="646"/>
      <c r="C38" s="646"/>
      <c r="D38" s="646"/>
      <c r="E38" s="646"/>
      <c r="F38" s="646"/>
      <c r="G38" s="76"/>
      <c r="H38" s="16" t="s">
        <v>465</v>
      </c>
      <c r="M38" s="367"/>
    </row>
    <row r="39" spans="1:27" ht="15" customHeight="1" x14ac:dyDescent="0.25">
      <c r="B39" s="76"/>
      <c r="C39" s="76"/>
      <c r="D39" s="76"/>
      <c r="E39" s="76"/>
      <c r="F39" s="76"/>
      <c r="H39" s="249" t="s">
        <v>192</v>
      </c>
      <c r="I39" s="249">
        <v>2016</v>
      </c>
      <c r="J39" s="249">
        <v>2027</v>
      </c>
      <c r="K39" s="249">
        <v>2028</v>
      </c>
      <c r="L39" s="249">
        <v>2033</v>
      </c>
      <c r="R39" s="287"/>
      <c r="S39" s="287"/>
      <c r="T39" s="287"/>
      <c r="U39" s="287"/>
      <c r="V39" s="287"/>
      <c r="W39" s="287"/>
      <c r="X39" s="287"/>
      <c r="Y39" s="287"/>
      <c r="Z39" s="287"/>
      <c r="AA39" s="287"/>
    </row>
    <row r="40" spans="1:27" ht="15" customHeight="1" x14ac:dyDescent="0.25">
      <c r="A40" s="60" t="s">
        <v>10</v>
      </c>
      <c r="B40" s="646" t="s">
        <v>379</v>
      </c>
      <c r="C40" s="646"/>
      <c r="D40" s="646"/>
      <c r="E40" s="646"/>
      <c r="F40" s="646"/>
      <c r="G40" s="76"/>
      <c r="H40" s="285" t="s">
        <v>232</v>
      </c>
      <c r="I40" s="45">
        <f>I33*$I$7</f>
        <v>0</v>
      </c>
      <c r="J40" s="45">
        <f>J33*$I$7</f>
        <v>0</v>
      </c>
      <c r="K40" s="45">
        <f>K33*$I$7</f>
        <v>0</v>
      </c>
      <c r="L40" s="45">
        <f>L33*$I$7</f>
        <v>0</v>
      </c>
      <c r="M40" s="15" t="s">
        <v>246</v>
      </c>
      <c r="R40" s="287"/>
      <c r="S40" s="287"/>
      <c r="T40" s="287"/>
      <c r="U40" s="287"/>
      <c r="V40" s="287"/>
      <c r="W40" s="287"/>
      <c r="X40" s="287"/>
      <c r="Y40" s="287"/>
      <c r="Z40" s="287"/>
      <c r="AA40" s="287"/>
    </row>
    <row r="41" spans="1:27" x14ac:dyDescent="0.25">
      <c r="B41" s="646"/>
      <c r="C41" s="646"/>
      <c r="D41" s="646"/>
      <c r="E41" s="646"/>
      <c r="F41" s="646"/>
      <c r="G41" s="76"/>
      <c r="H41" s="285" t="s">
        <v>231</v>
      </c>
      <c r="I41" s="45">
        <f>I34*$J$7</f>
        <v>121039.99999999999</v>
      </c>
      <c r="J41" s="45">
        <f>J34*$J$7</f>
        <v>147828.08047852095</v>
      </c>
      <c r="K41" s="45">
        <f>K34*$J$7</f>
        <v>61401.463344805125</v>
      </c>
      <c r="L41" s="45">
        <f>L34*$J$7</f>
        <v>66377.052796749704</v>
      </c>
      <c r="M41" s="15" t="s">
        <v>246</v>
      </c>
      <c r="R41" s="287"/>
      <c r="S41" s="287"/>
      <c r="T41" s="287"/>
      <c r="U41" s="287"/>
      <c r="V41" s="287"/>
      <c r="W41" s="287"/>
      <c r="X41" s="287"/>
      <c r="Y41" s="287"/>
      <c r="Z41" s="287"/>
      <c r="AA41" s="287"/>
    </row>
    <row r="42" spans="1:27" ht="15" customHeight="1" x14ac:dyDescent="0.25">
      <c r="B42" s="646"/>
      <c r="C42" s="646"/>
      <c r="D42" s="646"/>
      <c r="E42" s="646"/>
      <c r="F42" s="646"/>
      <c r="G42" s="76"/>
      <c r="H42" s="285" t="s">
        <v>233</v>
      </c>
      <c r="I42" s="45">
        <f>$K$7*I35</f>
        <v>2760</v>
      </c>
      <c r="J42" s="45">
        <f>$K$7*J35</f>
        <v>3370.831973898858</v>
      </c>
      <c r="K42" s="45">
        <f>$K$7*K35</f>
        <v>1400.0994615966799</v>
      </c>
      <c r="L42" s="45">
        <f>$K$7*L35</f>
        <v>1513.5547399126669</v>
      </c>
      <c r="M42" s="15" t="s">
        <v>246</v>
      </c>
      <c r="N42" s="118"/>
      <c r="R42" s="287"/>
      <c r="S42" s="287"/>
      <c r="T42" s="287"/>
      <c r="U42" s="287"/>
      <c r="V42" s="287"/>
      <c r="W42" s="287"/>
      <c r="X42" s="287"/>
      <c r="Y42" s="287"/>
      <c r="Z42" s="287"/>
      <c r="AA42" s="287"/>
    </row>
    <row r="43" spans="1:27" ht="15" customHeight="1" x14ac:dyDescent="0.25">
      <c r="A43" s="60"/>
      <c r="B43" s="646"/>
      <c r="C43" s="646"/>
      <c r="D43" s="646"/>
      <c r="E43" s="646"/>
      <c r="F43" s="646"/>
      <c r="G43" s="76"/>
      <c r="H43" s="285" t="s">
        <v>223</v>
      </c>
      <c r="I43" s="45">
        <f>SUM(I40:I42)</f>
        <v>123799.99999999999</v>
      </c>
      <c r="J43" s="45">
        <f>SUM(J40:J42)</f>
        <v>151198.91245241981</v>
      </c>
      <c r="K43" s="45">
        <f>SUM(K40:K42)</f>
        <v>62801.562806401802</v>
      </c>
      <c r="L43" s="45">
        <f>SUM(L40:L42)</f>
        <v>67890.60753666237</v>
      </c>
      <c r="M43" s="15" t="s">
        <v>246</v>
      </c>
      <c r="N43" s="118"/>
      <c r="R43" s="287"/>
      <c r="S43" s="287"/>
      <c r="T43" s="287"/>
      <c r="U43" s="287"/>
      <c r="V43" s="287"/>
      <c r="W43" s="287"/>
      <c r="X43" s="287"/>
      <c r="Y43" s="287"/>
      <c r="Z43" s="287"/>
      <c r="AA43" s="287"/>
    </row>
    <row r="44" spans="1:27" ht="15" customHeight="1" x14ac:dyDescent="0.25">
      <c r="B44" s="646"/>
      <c r="C44" s="646"/>
      <c r="D44" s="646"/>
      <c r="E44" s="646"/>
      <c r="F44" s="646"/>
      <c r="N44" s="118"/>
      <c r="Q44" s="109"/>
      <c r="R44" s="287"/>
      <c r="S44" s="287"/>
      <c r="T44" s="287"/>
      <c r="U44" s="287"/>
      <c r="V44" s="287"/>
      <c r="W44" s="287"/>
      <c r="X44" s="287"/>
      <c r="Y44" s="287"/>
      <c r="Z44" s="287"/>
      <c r="AA44" s="287"/>
    </row>
    <row r="45" spans="1:27" x14ac:dyDescent="0.25">
      <c r="B45" s="76"/>
      <c r="C45" s="76"/>
      <c r="D45" s="76"/>
      <c r="E45" s="76"/>
      <c r="F45" s="76"/>
      <c r="G45" s="76"/>
      <c r="H45" s="16" t="s">
        <v>464</v>
      </c>
      <c r="R45" s="287"/>
      <c r="S45" s="287"/>
      <c r="T45" s="287"/>
      <c r="U45" s="287"/>
      <c r="V45" s="287"/>
      <c r="W45" s="287"/>
      <c r="X45" s="287"/>
      <c r="Y45" s="287"/>
      <c r="Z45" s="287"/>
      <c r="AA45" s="287"/>
    </row>
    <row r="46" spans="1:27" ht="15" customHeight="1" x14ac:dyDescent="0.25">
      <c r="A46" s="15" t="s">
        <v>11</v>
      </c>
      <c r="B46" s="645" t="s">
        <v>606</v>
      </c>
      <c r="C46" s="645"/>
      <c r="D46" s="645"/>
      <c r="E46" s="645"/>
      <c r="F46" s="645"/>
      <c r="G46" s="16"/>
      <c r="H46" s="285" t="s">
        <v>196</v>
      </c>
      <c r="I46" s="285" t="s">
        <v>237</v>
      </c>
      <c r="J46" s="15" t="s">
        <v>380</v>
      </c>
      <c r="R46" s="287"/>
      <c r="S46" s="287"/>
      <c r="T46" s="287"/>
      <c r="U46" s="287"/>
      <c r="V46" s="287"/>
      <c r="W46" s="287"/>
      <c r="X46" s="287"/>
      <c r="Y46" s="287"/>
      <c r="Z46" s="287"/>
      <c r="AA46" s="287"/>
    </row>
    <row r="47" spans="1:27" x14ac:dyDescent="0.25">
      <c r="B47" s="645"/>
      <c r="C47" s="645"/>
      <c r="D47" s="645"/>
      <c r="E47" s="645"/>
      <c r="F47" s="645"/>
      <c r="H47" s="285" t="s">
        <v>458</v>
      </c>
      <c r="I47" s="363">
        <v>0.68</v>
      </c>
      <c r="J47" s="15" t="s">
        <v>380</v>
      </c>
      <c r="R47" s="287"/>
      <c r="S47" s="287"/>
      <c r="T47" s="287"/>
      <c r="U47" s="287"/>
      <c r="V47" s="287"/>
      <c r="W47" s="287"/>
      <c r="X47" s="287"/>
      <c r="Y47" s="287"/>
      <c r="Z47" s="287"/>
      <c r="AA47" s="287"/>
    </row>
    <row r="48" spans="1:27" x14ac:dyDescent="0.25">
      <c r="B48" s="645"/>
      <c r="C48" s="645"/>
      <c r="D48" s="645"/>
      <c r="E48" s="645"/>
      <c r="F48" s="645"/>
      <c r="H48" s="287"/>
      <c r="I48" s="287"/>
      <c r="J48" s="287"/>
      <c r="K48" s="287"/>
      <c r="R48" s="287"/>
      <c r="S48" s="287"/>
      <c r="T48" s="287"/>
      <c r="U48" s="287"/>
      <c r="V48" s="287"/>
      <c r="W48" s="287"/>
      <c r="X48" s="287"/>
      <c r="Y48" s="287"/>
      <c r="Z48" s="287"/>
      <c r="AA48" s="287"/>
    </row>
    <row r="49" spans="1:27" x14ac:dyDescent="0.25">
      <c r="B49" s="645"/>
      <c r="C49" s="645"/>
      <c r="D49" s="645"/>
      <c r="E49" s="645"/>
      <c r="F49" s="645"/>
      <c r="K49" s="287"/>
      <c r="R49" s="287"/>
      <c r="S49" s="287"/>
      <c r="T49" s="287"/>
      <c r="U49" s="287"/>
      <c r="V49" s="287"/>
      <c r="W49" s="287"/>
      <c r="X49" s="287"/>
      <c r="Y49" s="287"/>
      <c r="Z49" s="287"/>
      <c r="AA49" s="287"/>
    </row>
    <row r="50" spans="1:27" x14ac:dyDescent="0.25">
      <c r="B50" s="76"/>
      <c r="C50" s="76"/>
      <c r="D50" s="76"/>
      <c r="E50" s="76"/>
      <c r="F50" s="76"/>
      <c r="K50" s="287"/>
      <c r="R50" s="287"/>
      <c r="S50" s="287"/>
      <c r="T50" s="287"/>
      <c r="U50" s="287"/>
      <c r="V50" s="287"/>
      <c r="W50" s="287"/>
      <c r="X50" s="287"/>
      <c r="Y50" s="287"/>
      <c r="Z50" s="287"/>
      <c r="AA50" s="287"/>
    </row>
    <row r="51" spans="1:27" ht="15" customHeight="1" x14ac:dyDescent="0.25">
      <c r="A51" s="15" t="s">
        <v>58</v>
      </c>
      <c r="B51" s="645" t="s">
        <v>607</v>
      </c>
      <c r="C51" s="645"/>
      <c r="D51" s="645"/>
      <c r="E51" s="645"/>
      <c r="F51" s="645"/>
      <c r="K51" s="287"/>
      <c r="R51" s="287"/>
      <c r="S51" s="287"/>
      <c r="T51" s="287"/>
      <c r="U51" s="287"/>
      <c r="V51" s="287"/>
      <c r="W51" s="287"/>
      <c r="X51" s="287"/>
      <c r="Y51" s="287"/>
      <c r="Z51" s="287"/>
      <c r="AA51" s="287"/>
    </row>
    <row r="52" spans="1:27" x14ac:dyDescent="0.25">
      <c r="B52" s="645"/>
      <c r="C52" s="645"/>
      <c r="D52" s="645"/>
      <c r="E52" s="645"/>
      <c r="F52" s="645"/>
      <c r="H52" s="287"/>
      <c r="I52" s="287"/>
      <c r="J52" s="287"/>
      <c r="K52" s="287"/>
      <c r="R52" s="287"/>
      <c r="S52" s="287"/>
      <c r="T52" s="287"/>
      <c r="U52" s="287"/>
      <c r="V52" s="287"/>
      <c r="W52" s="287"/>
      <c r="X52" s="287"/>
      <c r="Y52" s="287"/>
      <c r="Z52" s="287"/>
      <c r="AA52" s="287"/>
    </row>
    <row r="53" spans="1:27" x14ac:dyDescent="0.25">
      <c r="A53" s="60"/>
      <c r="B53" s="645"/>
      <c r="C53" s="645"/>
      <c r="D53" s="645"/>
      <c r="E53" s="645"/>
      <c r="F53" s="645"/>
      <c r="H53" s="287"/>
      <c r="I53" s="287"/>
      <c r="J53" s="287"/>
      <c r="K53" s="287"/>
      <c r="R53" s="287"/>
      <c r="S53" s="287"/>
      <c r="T53" s="287"/>
      <c r="U53" s="287"/>
      <c r="V53" s="287"/>
      <c r="W53" s="287"/>
      <c r="X53" s="287"/>
      <c r="Y53" s="287"/>
      <c r="Z53" s="287"/>
      <c r="AA53" s="287"/>
    </row>
    <row r="54" spans="1:27" x14ac:dyDescent="0.25">
      <c r="B54" s="645"/>
      <c r="C54" s="645"/>
      <c r="D54" s="645"/>
      <c r="E54" s="645"/>
      <c r="F54" s="645"/>
      <c r="H54" s="287"/>
      <c r="I54" s="287"/>
      <c r="J54" s="287"/>
      <c r="K54" s="287"/>
      <c r="R54" s="287"/>
      <c r="S54" s="287"/>
      <c r="T54" s="287"/>
      <c r="U54" s="287"/>
      <c r="V54" s="287"/>
      <c r="W54" s="287"/>
      <c r="X54" s="287"/>
      <c r="Y54" s="287"/>
      <c r="Z54" s="287"/>
      <c r="AA54" s="287"/>
    </row>
    <row r="55" spans="1:27" x14ac:dyDescent="0.25">
      <c r="B55" s="645"/>
      <c r="C55" s="645"/>
      <c r="D55" s="645"/>
      <c r="E55" s="645"/>
      <c r="F55" s="645"/>
      <c r="H55" s="287"/>
      <c r="I55" s="287"/>
      <c r="J55" s="287"/>
      <c r="K55" s="287"/>
      <c r="R55" s="287"/>
      <c r="S55" s="287"/>
      <c r="T55" s="287"/>
      <c r="U55" s="287"/>
      <c r="V55" s="287"/>
      <c r="W55" s="287"/>
      <c r="X55" s="287"/>
      <c r="Y55" s="287"/>
      <c r="Z55" s="287"/>
      <c r="AA55" s="287"/>
    </row>
    <row r="56" spans="1:27" x14ac:dyDescent="0.25">
      <c r="B56" s="280"/>
      <c r="C56" s="280"/>
      <c r="D56" s="280"/>
      <c r="E56" s="280"/>
      <c r="F56" s="280"/>
      <c r="H56" s="287"/>
      <c r="I56" s="287"/>
      <c r="J56" s="287"/>
      <c r="K56" s="287"/>
      <c r="R56" s="287"/>
      <c r="S56" s="287"/>
      <c r="T56" s="287"/>
      <c r="U56" s="287"/>
      <c r="V56" s="287"/>
      <c r="W56" s="287"/>
      <c r="X56" s="287"/>
      <c r="Y56" s="287"/>
      <c r="Z56" s="287"/>
      <c r="AA56" s="287"/>
    </row>
    <row r="57" spans="1:27" x14ac:dyDescent="0.25">
      <c r="B57" s="44"/>
      <c r="C57" s="44"/>
      <c r="D57" s="44"/>
      <c r="E57" s="44"/>
      <c r="F57" s="44"/>
    </row>
    <row r="58" spans="1:27" x14ac:dyDescent="0.25">
      <c r="B58" s="281"/>
      <c r="C58" s="281"/>
      <c r="D58" s="281"/>
      <c r="E58" s="281"/>
      <c r="F58" s="281"/>
    </row>
    <row r="59" spans="1:27" x14ac:dyDescent="0.25">
      <c r="B59" s="281"/>
      <c r="C59" s="281"/>
      <c r="D59" s="281"/>
      <c r="E59" s="281"/>
      <c r="F59" s="281"/>
    </row>
    <row r="60" spans="1:27" x14ac:dyDescent="0.25">
      <c r="B60" s="281"/>
      <c r="C60" s="281"/>
      <c r="D60" s="281"/>
      <c r="E60" s="281"/>
      <c r="F60" s="281"/>
    </row>
    <row r="61" spans="1:27" x14ac:dyDescent="0.25">
      <c r="B61" s="76"/>
      <c r="C61" s="76"/>
      <c r="D61" s="76"/>
      <c r="E61" s="76"/>
      <c r="F61" s="76"/>
    </row>
  </sheetData>
  <mergeCells count="11">
    <mergeCell ref="B46:F49"/>
    <mergeCell ref="B51:F55"/>
    <mergeCell ref="B40:F44"/>
    <mergeCell ref="B34:F38"/>
    <mergeCell ref="B28:F32"/>
    <mergeCell ref="G4:G5"/>
    <mergeCell ref="B4:B5"/>
    <mergeCell ref="C4:C5"/>
    <mergeCell ref="D4:D5"/>
    <mergeCell ref="E4:E5"/>
    <mergeCell ref="F4:F5"/>
  </mergeCells>
  <pageMargins left="0.25" right="0.25" top="0.75" bottom="0.75" header="0.3" footer="0.3"/>
  <pageSetup scale="3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E1974-E504-450B-8D08-743CD62E1ECA}">
  <sheetPr>
    <tabColor rgb="FF00B050"/>
    <pageSetUpPr fitToPage="1"/>
  </sheetPr>
  <dimension ref="A1:AA61"/>
  <sheetViews>
    <sheetView zoomScale="70" zoomScaleNormal="70" zoomScaleSheetLayoutView="70" workbookViewId="0">
      <selection activeCell="C16" sqref="C16"/>
    </sheetView>
  </sheetViews>
  <sheetFormatPr defaultRowHeight="15" x14ac:dyDescent="0.25"/>
  <cols>
    <col min="1" max="1" width="3.5703125" style="15" customWidth="1"/>
    <col min="2" max="6" width="20.7109375" style="15" customWidth="1"/>
    <col min="7" max="7" width="10.7109375" style="15" customWidth="1"/>
    <col min="8" max="8" width="36.42578125" style="15" customWidth="1"/>
    <col min="9" max="12" width="30.5703125" style="15" customWidth="1"/>
    <col min="13" max="14" width="31" style="15" customWidth="1"/>
    <col min="15" max="15" width="9.140625" style="15"/>
    <col min="16" max="16" width="13.140625" style="15" bestFit="1" customWidth="1"/>
    <col min="17" max="16384" width="9.140625" style="15"/>
  </cols>
  <sheetData>
    <row r="1" spans="2:14" x14ac:dyDescent="0.25">
      <c r="B1" s="118">
        <v>1</v>
      </c>
      <c r="C1" s="118">
        <v>2</v>
      </c>
      <c r="D1" s="118">
        <v>3</v>
      </c>
      <c r="E1" s="118">
        <v>4</v>
      </c>
      <c r="F1" s="118">
        <v>5</v>
      </c>
    </row>
    <row r="2" spans="2:14" x14ac:dyDescent="0.25">
      <c r="B2" s="16" t="s">
        <v>15</v>
      </c>
      <c r="C2" s="16"/>
      <c r="D2" s="16"/>
      <c r="E2" s="16"/>
      <c r="F2" s="16"/>
      <c r="G2" s="16"/>
      <c r="H2" s="16"/>
      <c r="I2" s="16"/>
      <c r="J2" s="16"/>
      <c r="K2" s="16"/>
      <c r="L2" s="16"/>
      <c r="M2" s="16"/>
    </row>
    <row r="3" spans="2:14" ht="15.75" thickBot="1" x14ac:dyDescent="0.3">
      <c r="N3" s="118"/>
    </row>
    <row r="4" spans="2:14" ht="35.1" customHeight="1" x14ac:dyDescent="0.25">
      <c r="B4" s="641" t="s">
        <v>0</v>
      </c>
      <c r="C4" s="641" t="s">
        <v>650</v>
      </c>
      <c r="D4" s="641" t="s">
        <v>651</v>
      </c>
      <c r="E4" s="641" t="s">
        <v>62</v>
      </c>
      <c r="F4" s="643" t="s">
        <v>1</v>
      </c>
      <c r="G4" s="640"/>
      <c r="H4" s="23"/>
      <c r="I4" s="40"/>
      <c r="J4" s="40"/>
      <c r="K4" s="40"/>
      <c r="L4" s="40"/>
      <c r="M4" s="40"/>
      <c r="N4" s="40"/>
    </row>
    <row r="5" spans="2:14" ht="35.1" customHeight="1" thickBot="1" x14ac:dyDescent="0.3">
      <c r="B5" s="642"/>
      <c r="C5" s="642"/>
      <c r="D5" s="642"/>
      <c r="E5" s="642"/>
      <c r="F5" s="644"/>
      <c r="G5" s="640"/>
      <c r="H5" s="365" t="s">
        <v>199</v>
      </c>
      <c r="I5" s="99"/>
      <c r="J5" s="23"/>
      <c r="K5" s="23"/>
      <c r="L5" s="23"/>
      <c r="M5" s="23"/>
      <c r="N5" s="40"/>
    </row>
    <row r="6" spans="2:14" x14ac:dyDescent="0.25">
      <c r="B6" s="53">
        <f>Assumptions!$D$7</f>
        <v>2024</v>
      </c>
      <c r="C6" s="68">
        <f>TREND($I$43:$J$43,$I$39:$J$39,B6)</f>
        <v>143726.48178357817</v>
      </c>
      <c r="D6" s="100">
        <f>C6*$I$47</f>
        <v>127054.20989668311</v>
      </c>
      <c r="E6" s="68">
        <f>C6-D6</f>
        <v>16672.271886895061</v>
      </c>
      <c r="F6" s="69">
        <f>E6*(1+0.07)^-(B6-Assumptions!$D$4)</f>
        <v>12719.196396466801</v>
      </c>
      <c r="G6" s="42"/>
      <c r="H6" s="249" t="s">
        <v>234</v>
      </c>
      <c r="I6" s="110" t="s">
        <v>232</v>
      </c>
      <c r="J6" s="110" t="s">
        <v>231</v>
      </c>
      <c r="K6" s="110" t="s">
        <v>233</v>
      </c>
      <c r="L6" s="367"/>
      <c r="M6" s="367"/>
      <c r="N6" s="40"/>
    </row>
    <row r="7" spans="2:14" x14ac:dyDescent="0.25">
      <c r="B7" s="53">
        <f>B6+1</f>
        <v>2025</v>
      </c>
      <c r="C7" s="68">
        <f>TREND($I$43:$J$43,$I$39:$J$39,B7)</f>
        <v>146217.29200652614</v>
      </c>
      <c r="D7" s="100">
        <f>C7*$I$47</f>
        <v>129256.08613376912</v>
      </c>
      <c r="E7" s="68">
        <f t="shared" ref="E7:E25" si="0">C7-D7</f>
        <v>16961.205872757026</v>
      </c>
      <c r="F7" s="69">
        <f>E7*(1+0.07)^-(B7-Assumptions!$D$4)</f>
        <v>12093.105374652991</v>
      </c>
      <c r="G7" s="42"/>
      <c r="H7" s="285" t="s">
        <v>14</v>
      </c>
      <c r="I7" s="45">
        <v>12837400</v>
      </c>
      <c r="J7" s="45">
        <v>302600</v>
      </c>
      <c r="K7" s="45">
        <v>4600</v>
      </c>
      <c r="L7" s="15" t="s">
        <v>240</v>
      </c>
      <c r="M7" s="367"/>
      <c r="N7" s="40"/>
    </row>
    <row r="8" spans="2:14" x14ac:dyDescent="0.25">
      <c r="B8" s="53">
        <f t="shared" ref="B8:B25" si="1">B7+1</f>
        <v>2026</v>
      </c>
      <c r="C8" s="68">
        <f>TREND($I$43:$J$43,$I$39:$J$39,B8)</f>
        <v>148708.10222947318</v>
      </c>
      <c r="D8" s="100">
        <f t="shared" ref="D8:D15" si="2">C8*$I$47</f>
        <v>131457.96237085431</v>
      </c>
      <c r="E8" s="68">
        <f t="shared" si="0"/>
        <v>17250.139858618873</v>
      </c>
      <c r="F8" s="69">
        <f>E8*(1+0.07)^-(B8-Assumptions!$D$4)</f>
        <v>11494.496554537962</v>
      </c>
      <c r="G8" s="42"/>
      <c r="H8" s="41"/>
      <c r="I8" s="99"/>
      <c r="J8" s="23"/>
      <c r="K8" s="367"/>
      <c r="L8" s="367"/>
      <c r="M8" s="367"/>
      <c r="N8" s="40"/>
    </row>
    <row r="9" spans="2:14" x14ac:dyDescent="0.25">
      <c r="B9" s="53">
        <f t="shared" si="1"/>
        <v>2027</v>
      </c>
      <c r="C9" s="68">
        <f>TREND($I$43:$J$43,$I$39:$J$39,B9)</f>
        <v>151198.91245242022</v>
      </c>
      <c r="D9" s="100">
        <f t="shared" si="2"/>
        <v>133659.83860793948</v>
      </c>
      <c r="E9" s="68">
        <f t="shared" si="0"/>
        <v>17539.073844480736</v>
      </c>
      <c r="F9" s="69">
        <f>E9*(1+0.07)^-(B9-Assumptions!$D$4)</f>
        <v>10922.453709545161</v>
      </c>
      <c r="G9" s="42"/>
      <c r="H9" s="16" t="s">
        <v>459</v>
      </c>
      <c r="I9" s="40"/>
      <c r="J9" s="40"/>
      <c r="K9" s="23"/>
      <c r="L9" s="367"/>
      <c r="M9" s="367"/>
      <c r="N9" s="23"/>
    </row>
    <row r="10" spans="2:14" ht="15" customHeight="1" x14ac:dyDescent="0.25">
      <c r="B10" s="53">
        <f t="shared" si="1"/>
        <v>2028</v>
      </c>
      <c r="C10" s="68">
        <f>TREND($K$43:$L$43,$K$39:$L$39,B10)</f>
        <v>62801.562806401867</v>
      </c>
      <c r="D10" s="100">
        <f t="shared" si="2"/>
        <v>55516.581520859254</v>
      </c>
      <c r="E10" s="68">
        <f t="shared" si="0"/>
        <v>7284.9812855426135</v>
      </c>
      <c r="F10" s="69">
        <f>E10*(1+0.07)^-(B10-Assumptions!$D$4)</f>
        <v>4239.9254347717188</v>
      </c>
      <c r="G10" s="42"/>
      <c r="H10" s="249" t="s">
        <v>197</v>
      </c>
      <c r="I10" s="249">
        <v>2016</v>
      </c>
      <c r="J10" s="249">
        <v>2021</v>
      </c>
      <c r="K10" s="249">
        <v>2041</v>
      </c>
      <c r="L10" s="15" t="s">
        <v>230</v>
      </c>
      <c r="M10" s="367"/>
    </row>
    <row r="11" spans="2:14" ht="14.25" customHeight="1" x14ac:dyDescent="0.25">
      <c r="B11" s="53">
        <f t="shared" si="1"/>
        <v>2029</v>
      </c>
      <c r="C11" s="68">
        <f t="shared" ref="C11:C15" si="3">TREND($K$43:$L$43,$K$39:$L$39,B11)</f>
        <v>63819.371752453968</v>
      </c>
      <c r="D11" s="100">
        <f t="shared" si="2"/>
        <v>56416.324629169307</v>
      </c>
      <c r="E11" s="68">
        <f t="shared" si="0"/>
        <v>7403.0471232846612</v>
      </c>
      <c r="F11" s="69">
        <f>E11*(1+0.07)^-(B11-Assumptions!$D$4)</f>
        <v>4026.7671282950369</v>
      </c>
      <c r="G11" s="42"/>
      <c r="H11" s="291">
        <v>9.26</v>
      </c>
      <c r="I11" s="178">
        <f>TREND(J11:K11,J10:K10,I10)</f>
        <v>459.75</v>
      </c>
      <c r="J11" s="178">
        <v>506</v>
      </c>
      <c r="K11" s="178">
        <v>691</v>
      </c>
      <c r="L11" s="15" t="s">
        <v>230</v>
      </c>
      <c r="M11" s="367"/>
    </row>
    <row r="12" spans="2:14" ht="14.25" customHeight="1" x14ac:dyDescent="0.25">
      <c r="B12" s="53">
        <f t="shared" si="1"/>
        <v>2030</v>
      </c>
      <c r="C12" s="68">
        <f t="shared" si="3"/>
        <v>64837.180698506068</v>
      </c>
      <c r="D12" s="100">
        <f t="shared" si="2"/>
        <v>57316.067737479367</v>
      </c>
      <c r="E12" s="68">
        <f t="shared" si="0"/>
        <v>7521.1129610267017</v>
      </c>
      <c r="F12" s="69">
        <f>E12*(1+0.07)^-(B12-Assumptions!$D$4)</f>
        <v>3823.3524498031752</v>
      </c>
      <c r="G12" s="42"/>
      <c r="H12" s="367"/>
      <c r="I12" s="367"/>
      <c r="J12" s="367"/>
      <c r="K12" s="367"/>
      <c r="L12" s="367"/>
      <c r="M12" s="367"/>
      <c r="N12" s="367"/>
    </row>
    <row r="13" spans="2:14" s="118" customFormat="1" x14ac:dyDescent="0.25">
      <c r="B13" s="53">
        <f t="shared" si="1"/>
        <v>2031</v>
      </c>
      <c r="C13" s="68">
        <f t="shared" si="3"/>
        <v>65854.989644558169</v>
      </c>
      <c r="D13" s="100">
        <f t="shared" si="2"/>
        <v>58215.81084578942</v>
      </c>
      <c r="E13" s="68">
        <f t="shared" si="0"/>
        <v>7639.1787987687494</v>
      </c>
      <c r="F13" s="69">
        <f>E13*(1+0.07)^-(B13-Assumptions!$D$4)</f>
        <v>3629.3188176118106</v>
      </c>
      <c r="G13" s="42"/>
      <c r="H13" s="16" t="s">
        <v>460</v>
      </c>
      <c r="N13" s="367"/>
    </row>
    <row r="14" spans="2:14" ht="15" customHeight="1" x14ac:dyDescent="0.25">
      <c r="B14" s="53">
        <f t="shared" si="1"/>
        <v>2032</v>
      </c>
      <c r="C14" s="68">
        <f t="shared" si="3"/>
        <v>66872.798590610269</v>
      </c>
      <c r="D14" s="100">
        <f t="shared" si="2"/>
        <v>59115.55395409948</v>
      </c>
      <c r="E14" s="68">
        <f t="shared" si="0"/>
        <v>7757.2446365107899</v>
      </c>
      <c r="F14" s="69">
        <f>E14*(1+0.07)^-(B14-Assumptions!$D$4)</f>
        <v>3444.3093893668411</v>
      </c>
      <c r="G14" s="42"/>
      <c r="H14" s="249" t="s">
        <v>197</v>
      </c>
      <c r="I14" s="249">
        <v>2028</v>
      </c>
      <c r="J14" s="249">
        <v>2033</v>
      </c>
      <c r="K14" s="15" t="s">
        <v>466</v>
      </c>
    </row>
    <row r="15" spans="2:14" x14ac:dyDescent="0.25">
      <c r="B15" s="53">
        <f t="shared" si="1"/>
        <v>2033</v>
      </c>
      <c r="C15" s="68">
        <f t="shared" si="3"/>
        <v>67890.60753666237</v>
      </c>
      <c r="D15" s="100">
        <f t="shared" si="2"/>
        <v>60015.297062409532</v>
      </c>
      <c r="E15" s="68">
        <f t="shared" si="0"/>
        <v>7875.3104742528376</v>
      </c>
      <c r="F15" s="69">
        <f>E15*(1+0.07)^-(B15-Assumptions!$D$4)</f>
        <v>3267.9738628991458</v>
      </c>
      <c r="G15" s="42"/>
      <c r="H15" s="291">
        <f>9.26-4</f>
        <v>5.26</v>
      </c>
      <c r="I15" s="178">
        <f>Assumptions!$D$14*TREND(J11:K11,J10:K10,I14)</f>
        <v>410.57905138339925</v>
      </c>
      <c r="J15" s="178">
        <f>Assumptions!$D$14*TREND(J11:K11,J10:K10,J14)</f>
        <v>443.84980237154156</v>
      </c>
      <c r="K15" s="15" t="s">
        <v>466</v>
      </c>
    </row>
    <row r="16" spans="2:14" x14ac:dyDescent="0.25">
      <c r="B16" s="53">
        <f t="shared" si="1"/>
        <v>2034</v>
      </c>
      <c r="C16" s="68">
        <v>0</v>
      </c>
      <c r="D16" s="100">
        <v>0</v>
      </c>
      <c r="E16" s="68">
        <f t="shared" si="0"/>
        <v>0</v>
      </c>
      <c r="F16" s="69">
        <f>E16*(1+0.07)^-(B16-Assumptions!$D$4)</f>
        <v>0</v>
      </c>
      <c r="N16" s="40"/>
    </row>
    <row r="17" spans="1:21" x14ac:dyDescent="0.25">
      <c r="B17" s="53">
        <f t="shared" si="1"/>
        <v>2035</v>
      </c>
      <c r="C17" s="68">
        <v>0</v>
      </c>
      <c r="D17" s="100">
        <v>0</v>
      </c>
      <c r="E17" s="68">
        <f t="shared" si="0"/>
        <v>0</v>
      </c>
      <c r="F17" s="69">
        <f>E17*(1+0.07)^-(B17-Assumptions!$D$4)</f>
        <v>0</v>
      </c>
      <c r="H17" s="16" t="s">
        <v>461</v>
      </c>
      <c r="J17" s="40"/>
      <c r="K17" s="23"/>
      <c r="L17" s="367"/>
      <c r="M17" s="118"/>
      <c r="N17" s="40"/>
    </row>
    <row r="18" spans="1:21" x14ac:dyDescent="0.25">
      <c r="B18" s="53">
        <f t="shared" si="1"/>
        <v>2036</v>
      </c>
      <c r="C18" s="68">
        <v>0</v>
      </c>
      <c r="D18" s="100">
        <v>0</v>
      </c>
      <c r="E18" s="68">
        <f t="shared" si="0"/>
        <v>0</v>
      </c>
      <c r="F18" s="69">
        <f>E18*(1+0.07)^-(B18-Assumptions!$D$4)</f>
        <v>0</v>
      </c>
      <c r="G18" s="42"/>
      <c r="H18" s="249" t="s">
        <v>53</v>
      </c>
      <c r="I18" s="249" t="s">
        <v>193</v>
      </c>
      <c r="J18" s="40"/>
      <c r="K18" s="23"/>
      <c r="L18" s="367"/>
      <c r="N18" s="40"/>
    </row>
    <row r="19" spans="1:21" x14ac:dyDescent="0.25">
      <c r="B19" s="53">
        <f t="shared" si="1"/>
        <v>2037</v>
      </c>
      <c r="C19" s="68">
        <v>0</v>
      </c>
      <c r="D19" s="100">
        <v>0</v>
      </c>
      <c r="E19" s="68">
        <f t="shared" si="0"/>
        <v>0</v>
      </c>
      <c r="F19" s="69">
        <f>E19*(1+0.07)^-(B19-Assumptions!$D$4)</f>
        <v>0</v>
      </c>
      <c r="G19" s="42"/>
      <c r="H19" s="285" t="s">
        <v>232</v>
      </c>
      <c r="I19" s="285">
        <v>0</v>
      </c>
      <c r="J19" s="15" t="s">
        <v>230</v>
      </c>
      <c r="K19" s="23"/>
      <c r="L19" s="367"/>
      <c r="N19" s="23"/>
      <c r="Q19" s="367"/>
      <c r="R19" s="367"/>
      <c r="S19" s="367"/>
      <c r="T19" s="367"/>
      <c r="U19" s="367"/>
    </row>
    <row r="20" spans="1:21" x14ac:dyDescent="0.25">
      <c r="B20" s="53">
        <f t="shared" si="1"/>
        <v>2038</v>
      </c>
      <c r="C20" s="68">
        <v>0</v>
      </c>
      <c r="D20" s="100">
        <v>0</v>
      </c>
      <c r="E20" s="68">
        <f t="shared" si="0"/>
        <v>0</v>
      </c>
      <c r="F20" s="69">
        <f>E20*(1+0.07)^-(B20-Assumptions!$D$4)</f>
        <v>0</v>
      </c>
      <c r="G20" s="42"/>
      <c r="H20" s="285" t="s">
        <v>231</v>
      </c>
      <c r="I20" s="285">
        <f>2/5</f>
        <v>0.4</v>
      </c>
      <c r="J20" s="15" t="s">
        <v>230</v>
      </c>
      <c r="N20" s="23"/>
      <c r="P20" s="367"/>
      <c r="Q20" s="367"/>
      <c r="R20" s="367"/>
      <c r="S20" s="367"/>
      <c r="T20" s="367"/>
      <c r="U20" s="367"/>
    </row>
    <row r="21" spans="1:21" x14ac:dyDescent="0.25">
      <c r="B21" s="53">
        <f t="shared" si="1"/>
        <v>2039</v>
      </c>
      <c r="C21" s="68">
        <v>0</v>
      </c>
      <c r="D21" s="100">
        <v>0</v>
      </c>
      <c r="E21" s="68">
        <f t="shared" si="0"/>
        <v>0</v>
      </c>
      <c r="F21" s="69">
        <f>E21*(1+0.07)^-(B21-Assumptions!$D$4)</f>
        <v>0</v>
      </c>
      <c r="G21" s="42"/>
      <c r="H21" s="285" t="s">
        <v>233</v>
      </c>
      <c r="I21" s="285">
        <f>3/5</f>
        <v>0.6</v>
      </c>
      <c r="J21" s="15" t="s">
        <v>230</v>
      </c>
      <c r="N21" s="23"/>
      <c r="P21" s="367"/>
      <c r="Q21" s="367"/>
      <c r="R21" s="367"/>
      <c r="S21" s="367"/>
      <c r="T21" s="367"/>
      <c r="U21" s="367"/>
    </row>
    <row r="22" spans="1:21" x14ac:dyDescent="0.25">
      <c r="B22" s="53">
        <f t="shared" si="1"/>
        <v>2040</v>
      </c>
      <c r="C22" s="68">
        <v>0</v>
      </c>
      <c r="D22" s="100">
        <v>0</v>
      </c>
      <c r="E22" s="68">
        <f t="shared" si="0"/>
        <v>0</v>
      </c>
      <c r="F22" s="69">
        <f>E22*(1+0.07)^-(B22-Assumptions!$D$4)</f>
        <v>0</v>
      </c>
      <c r="G22" s="42"/>
      <c r="H22" s="285" t="s">
        <v>223</v>
      </c>
      <c r="I22" s="285">
        <f>SUM(I19:I21)</f>
        <v>1</v>
      </c>
      <c r="J22" s="15" t="s">
        <v>246</v>
      </c>
      <c r="N22" s="23"/>
      <c r="P22" s="367"/>
      <c r="Q22" s="367"/>
      <c r="R22" s="367"/>
      <c r="S22" s="367"/>
      <c r="T22" s="367"/>
      <c r="U22" s="367"/>
    </row>
    <row r="23" spans="1:21" ht="14.25" customHeight="1" x14ac:dyDescent="0.25">
      <c r="B23" s="53">
        <f t="shared" si="1"/>
        <v>2041</v>
      </c>
      <c r="C23" s="68">
        <v>0</v>
      </c>
      <c r="D23" s="100">
        <v>0</v>
      </c>
      <c r="E23" s="68">
        <f t="shared" si="0"/>
        <v>0</v>
      </c>
      <c r="F23" s="69">
        <f>E23*(1+0.07)^-(B23-Assumptions!$D$4)</f>
        <v>0</v>
      </c>
      <c r="G23" s="42"/>
      <c r="N23" s="23"/>
      <c r="P23" s="367"/>
      <c r="Q23" s="367"/>
      <c r="R23" s="367"/>
      <c r="S23" s="367"/>
      <c r="T23" s="367"/>
      <c r="U23" s="367"/>
    </row>
    <row r="24" spans="1:21" x14ac:dyDescent="0.25">
      <c r="B24" s="53">
        <f t="shared" si="1"/>
        <v>2042</v>
      </c>
      <c r="C24" s="68">
        <v>0</v>
      </c>
      <c r="D24" s="100">
        <v>0</v>
      </c>
      <c r="E24" s="68">
        <f t="shared" si="0"/>
        <v>0</v>
      </c>
      <c r="F24" s="69">
        <f>E24*(1+0.07)^-(B24-Assumptions!$D$4)</f>
        <v>0</v>
      </c>
      <c r="G24" s="42"/>
      <c r="H24" s="16" t="s">
        <v>462</v>
      </c>
      <c r="N24" s="23"/>
      <c r="P24" s="367"/>
      <c r="Q24" s="367"/>
      <c r="R24" s="367"/>
      <c r="S24" s="367"/>
      <c r="T24" s="367"/>
      <c r="U24" s="367"/>
    </row>
    <row r="25" spans="1:21" ht="15" customHeight="1" thickBot="1" x14ac:dyDescent="0.3">
      <c r="B25" s="54">
        <f t="shared" si="1"/>
        <v>2043</v>
      </c>
      <c r="C25" s="70">
        <v>0</v>
      </c>
      <c r="D25" s="101">
        <v>0</v>
      </c>
      <c r="E25" s="70">
        <f t="shared" si="0"/>
        <v>0</v>
      </c>
      <c r="F25" s="71">
        <f>E25*(1+0.07)^-(B25-Assumptions!$D$4)</f>
        <v>0</v>
      </c>
      <c r="G25" s="42"/>
      <c r="H25" s="249" t="s">
        <v>53</v>
      </c>
      <c r="I25" s="249">
        <v>2016</v>
      </c>
      <c r="P25" s="367"/>
      <c r="Q25" s="367"/>
      <c r="R25" s="367"/>
      <c r="S25" s="367"/>
      <c r="T25" s="367"/>
      <c r="U25" s="367"/>
    </row>
    <row r="26" spans="1:21" ht="15.75" thickBot="1" x14ac:dyDescent="0.3">
      <c r="B26" s="17"/>
      <c r="C26" s="17"/>
      <c r="D26" s="17"/>
      <c r="E26" s="66" t="s">
        <v>2</v>
      </c>
      <c r="F26" s="243">
        <f>SUM(F6:F25)</f>
        <v>69660.899117950641</v>
      </c>
      <c r="G26" s="42"/>
      <c r="H26" s="285" t="s">
        <v>232</v>
      </c>
      <c r="I26" s="285">
        <f>I19/($I$11*$H$11*365)</f>
        <v>0</v>
      </c>
      <c r="J26" s="15" t="s">
        <v>246</v>
      </c>
      <c r="P26" s="367"/>
      <c r="Q26" s="367"/>
      <c r="R26" s="367"/>
      <c r="S26" s="367"/>
      <c r="T26" s="367"/>
      <c r="U26" s="367"/>
    </row>
    <row r="27" spans="1:21" x14ac:dyDescent="0.25">
      <c r="B27" s="16" t="s">
        <v>3</v>
      </c>
      <c r="C27" s="570"/>
      <c r="D27" s="570"/>
      <c r="E27" s="570"/>
      <c r="F27" s="570"/>
      <c r="G27" s="42"/>
      <c r="H27" s="285" t="s">
        <v>231</v>
      </c>
      <c r="I27" s="372">
        <f>I20/($I$11*$H$11*365)</f>
        <v>2.5741532712959178E-7</v>
      </c>
      <c r="J27" s="15" t="s">
        <v>246</v>
      </c>
      <c r="P27" s="367"/>
      <c r="Q27" s="367"/>
      <c r="R27" s="367"/>
      <c r="S27" s="367"/>
      <c r="T27" s="367"/>
      <c r="U27" s="367"/>
    </row>
    <row r="28" spans="1:21" ht="15" customHeight="1" x14ac:dyDescent="0.25">
      <c r="A28" s="60" t="s">
        <v>9</v>
      </c>
      <c r="B28" s="646" t="s">
        <v>383</v>
      </c>
      <c r="C28" s="646"/>
      <c r="D28" s="646"/>
      <c r="E28" s="646"/>
      <c r="F28" s="646"/>
      <c r="H28" s="285" t="s">
        <v>233</v>
      </c>
      <c r="I28" s="372">
        <f>I21/($I$11*$H$11*365)</f>
        <v>3.8612299069438767E-7</v>
      </c>
      <c r="J28" s="15" t="s">
        <v>246</v>
      </c>
      <c r="P28" s="367"/>
      <c r="Q28" s="367"/>
      <c r="R28" s="367"/>
      <c r="S28" s="367"/>
      <c r="T28" s="367"/>
      <c r="U28" s="367"/>
    </row>
    <row r="29" spans="1:21" ht="15" customHeight="1" x14ac:dyDescent="0.25">
      <c r="B29" s="646"/>
      <c r="C29" s="646"/>
      <c r="D29" s="646"/>
      <c r="E29" s="646"/>
      <c r="F29" s="646"/>
      <c r="H29" s="285" t="s">
        <v>223</v>
      </c>
      <c r="I29" s="372">
        <f>I22/($I$11*$H$11*365)</f>
        <v>6.435383178239795E-7</v>
      </c>
      <c r="J29" s="15" t="s">
        <v>246</v>
      </c>
      <c r="P29" s="367"/>
      <c r="Q29" s="367"/>
      <c r="R29" s="367"/>
      <c r="S29" s="367"/>
      <c r="T29" s="367"/>
      <c r="U29" s="367"/>
    </row>
    <row r="30" spans="1:21" x14ac:dyDescent="0.25">
      <c r="B30" s="646"/>
      <c r="C30" s="646"/>
      <c r="D30" s="646"/>
      <c r="E30" s="646"/>
      <c r="F30" s="646"/>
      <c r="P30" s="367"/>
      <c r="Q30" s="367"/>
      <c r="R30" s="367"/>
      <c r="S30" s="367"/>
      <c r="T30" s="367"/>
      <c r="U30" s="367"/>
    </row>
    <row r="31" spans="1:21" ht="15" customHeight="1" x14ac:dyDescent="0.25">
      <c r="B31" s="646"/>
      <c r="C31" s="646"/>
      <c r="D31" s="646"/>
      <c r="E31" s="646"/>
      <c r="F31" s="646"/>
      <c r="H31" s="16" t="s">
        <v>463</v>
      </c>
      <c r="Q31" s="367"/>
      <c r="R31" s="367"/>
      <c r="S31" s="367"/>
      <c r="T31" s="367"/>
      <c r="U31" s="367"/>
    </row>
    <row r="32" spans="1:21" ht="15" customHeight="1" x14ac:dyDescent="0.25">
      <c r="B32" s="646"/>
      <c r="C32" s="646"/>
      <c r="D32" s="646"/>
      <c r="E32" s="646"/>
      <c r="F32" s="646"/>
      <c r="G32" s="16"/>
      <c r="H32" s="249" t="s">
        <v>53</v>
      </c>
      <c r="I32" s="249">
        <v>2016</v>
      </c>
      <c r="J32" s="249">
        <v>2027</v>
      </c>
      <c r="K32" s="249">
        <v>2028</v>
      </c>
      <c r="L32" s="249">
        <v>2033</v>
      </c>
    </row>
    <row r="33" spans="1:27" ht="15" customHeight="1" x14ac:dyDescent="0.25">
      <c r="B33" s="16"/>
      <c r="C33" s="16"/>
      <c r="D33" s="16"/>
      <c r="E33" s="16"/>
      <c r="F33" s="16"/>
      <c r="G33" s="76"/>
      <c r="H33" s="285" t="s">
        <v>232</v>
      </c>
      <c r="I33" s="371">
        <f>($I$11*$H$11*365)*I26</f>
        <v>0</v>
      </c>
      <c r="J33" s="371">
        <f>((TREND($J$11:$K$11,$J$10:$K$10,$J$32)*$H$11*365)*I26)</f>
        <v>0</v>
      </c>
      <c r="K33" s="371">
        <f>((TREND($I$15:$J$15,$I$14:$J$14,$K$32)*$H$15*365)*I26)</f>
        <v>0</v>
      </c>
      <c r="L33" s="371">
        <f>((TREND($I$15:$J$15,$I$14:$J$14,$L$32)*$H$15*365)*I26)</f>
        <v>0</v>
      </c>
      <c r="M33" s="15" t="s">
        <v>246</v>
      </c>
    </row>
    <row r="34" spans="1:27" ht="15" customHeight="1" x14ac:dyDescent="0.25">
      <c r="A34" s="60" t="s">
        <v>8</v>
      </c>
      <c r="B34" s="646" t="s">
        <v>378</v>
      </c>
      <c r="C34" s="646"/>
      <c r="D34" s="646"/>
      <c r="E34" s="646"/>
      <c r="F34" s="646"/>
      <c r="G34" s="76"/>
      <c r="H34" s="285" t="s">
        <v>231</v>
      </c>
      <c r="I34" s="370">
        <f>($I$11*$H$11*365)*I27</f>
        <v>0.39999999999999997</v>
      </c>
      <c r="J34" s="370">
        <f>((TREND($J$11:$K$11,$J$10:$K$10,$J$32)*$H$11*365)*I27)</f>
        <v>0.48852637302882002</v>
      </c>
      <c r="K34" s="370">
        <f>((TREND($I$15:$J$15,$I$14:$J$14,$K$32)*$H$15*365)*I27)</f>
        <v>0.2029129654487942</v>
      </c>
      <c r="L34" s="370">
        <f>((TREND($I$15:$J$15,$I$14:$J$14,$L$32)*$H$15*365)*I27)</f>
        <v>0.21935575940763288</v>
      </c>
      <c r="M34" s="15" t="s">
        <v>246</v>
      </c>
    </row>
    <row r="35" spans="1:27" x14ac:dyDescent="0.25">
      <c r="B35" s="646"/>
      <c r="C35" s="646"/>
      <c r="D35" s="646"/>
      <c r="E35" s="646"/>
      <c r="F35" s="646"/>
      <c r="G35" s="76"/>
      <c r="H35" s="285" t="s">
        <v>233</v>
      </c>
      <c r="I35" s="370">
        <f>($I$11*$H$11*365)*I28</f>
        <v>0.6</v>
      </c>
      <c r="J35" s="370">
        <f>((TREND($J$11:$K$11,$J$10:$K$10,$J$32)*$H$11*365)*I28)</f>
        <v>0.73278955954323</v>
      </c>
      <c r="K35" s="370">
        <f>((TREND($I$15:$J$15,$I$14:$J$14,$K$32)*$H$15*365)*I28)</f>
        <v>0.30436944817319128</v>
      </c>
      <c r="L35" s="370">
        <f>((TREND($I$15:$J$15,$I$14:$J$14,$L$32)*$H$15*365)*I28)</f>
        <v>0.32903363911144934</v>
      </c>
      <c r="M35" s="15" t="s">
        <v>246</v>
      </c>
    </row>
    <row r="36" spans="1:27" ht="17.25" customHeight="1" x14ac:dyDescent="0.25">
      <c r="B36" s="646"/>
      <c r="C36" s="646"/>
      <c r="D36" s="646"/>
      <c r="E36" s="646"/>
      <c r="F36" s="646"/>
      <c r="G36" s="76"/>
      <c r="H36" s="285" t="s">
        <v>223</v>
      </c>
      <c r="I36" s="370">
        <f>($I$11*$H$11*365)*I29</f>
        <v>1</v>
      </c>
      <c r="J36" s="370">
        <f>((TREND($J$11:$K$11,$J$10:$K$10,$J$32)*$H$11*365)*I29)</f>
        <v>1.2213159325720502</v>
      </c>
      <c r="K36" s="370">
        <f>((TREND($I$15:$J$15,$I$14:$J$14,$K$32)*$H$15*365)*I29)</f>
        <v>0.50728241362198556</v>
      </c>
      <c r="L36" s="370">
        <f>((TREND($I$15:$J$15,$I$14:$J$14,$L$32)*$H$15*365)*I29)</f>
        <v>0.54838939851908219</v>
      </c>
      <c r="M36" s="15" t="s">
        <v>246</v>
      </c>
    </row>
    <row r="37" spans="1:27" ht="14.25" customHeight="1" x14ac:dyDescent="0.25">
      <c r="A37" s="60"/>
      <c r="B37" s="646"/>
      <c r="C37" s="646"/>
      <c r="D37" s="646"/>
      <c r="E37" s="646"/>
      <c r="F37" s="646"/>
      <c r="G37" s="76"/>
    </row>
    <row r="38" spans="1:27" ht="15" customHeight="1" x14ac:dyDescent="0.25">
      <c r="B38" s="646"/>
      <c r="C38" s="646"/>
      <c r="D38" s="646"/>
      <c r="E38" s="646"/>
      <c r="F38" s="646"/>
      <c r="G38" s="76"/>
      <c r="H38" s="16" t="s">
        <v>465</v>
      </c>
      <c r="M38" s="367"/>
    </row>
    <row r="39" spans="1:27" ht="15" customHeight="1" x14ac:dyDescent="0.25">
      <c r="B39" s="76"/>
      <c r="C39" s="76"/>
      <c r="D39" s="76"/>
      <c r="E39" s="76"/>
      <c r="F39" s="76"/>
      <c r="H39" s="249" t="s">
        <v>192</v>
      </c>
      <c r="I39" s="249">
        <v>2016</v>
      </c>
      <c r="J39" s="249">
        <v>2027</v>
      </c>
      <c r="K39" s="249">
        <v>2028</v>
      </c>
      <c r="L39" s="249">
        <v>2033</v>
      </c>
      <c r="R39" s="367"/>
      <c r="S39" s="367"/>
      <c r="T39" s="367"/>
      <c r="U39" s="367"/>
      <c r="V39" s="367"/>
      <c r="W39" s="367"/>
      <c r="X39" s="367"/>
      <c r="Y39" s="367"/>
      <c r="Z39" s="367"/>
      <c r="AA39" s="367"/>
    </row>
    <row r="40" spans="1:27" ht="15" customHeight="1" x14ac:dyDescent="0.25">
      <c r="A40" s="60" t="s">
        <v>10</v>
      </c>
      <c r="B40" s="646" t="s">
        <v>571</v>
      </c>
      <c r="C40" s="646"/>
      <c r="D40" s="646"/>
      <c r="E40" s="646"/>
      <c r="F40" s="646"/>
      <c r="G40" s="76"/>
      <c r="H40" s="285" t="s">
        <v>232</v>
      </c>
      <c r="I40" s="45">
        <f>I33*$I$7</f>
        <v>0</v>
      </c>
      <c r="J40" s="45">
        <f>J33*$I$7</f>
        <v>0</v>
      </c>
      <c r="K40" s="45">
        <f>K33*$I$7</f>
        <v>0</v>
      </c>
      <c r="L40" s="45">
        <f>L33*$I$7</f>
        <v>0</v>
      </c>
      <c r="M40" s="15" t="s">
        <v>246</v>
      </c>
      <c r="R40" s="367"/>
      <c r="S40" s="367"/>
      <c r="T40" s="367"/>
      <c r="U40" s="367"/>
      <c r="V40" s="367"/>
      <c r="W40" s="367"/>
      <c r="X40" s="367"/>
      <c r="Y40" s="367"/>
      <c r="Z40" s="367"/>
      <c r="AA40" s="367"/>
    </row>
    <row r="41" spans="1:27" x14ac:dyDescent="0.25">
      <c r="B41" s="646"/>
      <c r="C41" s="646"/>
      <c r="D41" s="646"/>
      <c r="E41" s="646"/>
      <c r="F41" s="646"/>
      <c r="G41" s="76"/>
      <c r="H41" s="285" t="s">
        <v>231</v>
      </c>
      <c r="I41" s="45">
        <f>I34*$J$7</f>
        <v>121039.99999999999</v>
      </c>
      <c r="J41" s="45">
        <f>J34*$J$7</f>
        <v>147828.08047852095</v>
      </c>
      <c r="K41" s="45">
        <f>K34*$J$7</f>
        <v>61401.463344805125</v>
      </c>
      <c r="L41" s="45">
        <f>L34*$J$7</f>
        <v>66377.052796749704</v>
      </c>
      <c r="M41" s="15" t="s">
        <v>246</v>
      </c>
      <c r="R41" s="367"/>
      <c r="S41" s="367"/>
      <c r="T41" s="367"/>
      <c r="U41" s="367"/>
      <c r="V41" s="367"/>
      <c r="W41" s="367"/>
      <c r="X41" s="367"/>
      <c r="Y41" s="367"/>
      <c r="Z41" s="367"/>
      <c r="AA41" s="367"/>
    </row>
    <row r="42" spans="1:27" ht="15" customHeight="1" x14ac:dyDescent="0.25">
      <c r="B42" s="646"/>
      <c r="C42" s="646"/>
      <c r="D42" s="646"/>
      <c r="E42" s="646"/>
      <c r="F42" s="646"/>
      <c r="G42" s="76"/>
      <c r="H42" s="285" t="s">
        <v>233</v>
      </c>
      <c r="I42" s="45">
        <f>$K$7*I35</f>
        <v>2760</v>
      </c>
      <c r="J42" s="45">
        <f>$K$7*J35</f>
        <v>3370.831973898858</v>
      </c>
      <c r="K42" s="45">
        <f>$K$7*K35</f>
        <v>1400.0994615966799</v>
      </c>
      <c r="L42" s="45">
        <f>$K$7*L35</f>
        <v>1513.5547399126669</v>
      </c>
      <c r="M42" s="15" t="s">
        <v>246</v>
      </c>
      <c r="N42" s="118"/>
      <c r="R42" s="367"/>
      <c r="S42" s="367"/>
      <c r="T42" s="367"/>
      <c r="U42" s="367"/>
      <c r="V42" s="367"/>
      <c r="W42" s="367"/>
      <c r="X42" s="367"/>
      <c r="Y42" s="367"/>
      <c r="Z42" s="367"/>
      <c r="AA42" s="367"/>
    </row>
    <row r="43" spans="1:27" ht="15" customHeight="1" x14ac:dyDescent="0.25">
      <c r="A43" s="60"/>
      <c r="B43" s="646"/>
      <c r="C43" s="646"/>
      <c r="D43" s="646"/>
      <c r="E43" s="646"/>
      <c r="F43" s="646"/>
      <c r="G43" s="76"/>
      <c r="H43" s="285" t="s">
        <v>223</v>
      </c>
      <c r="I43" s="45">
        <f>SUM(I40:I42)</f>
        <v>123799.99999999999</v>
      </c>
      <c r="J43" s="45">
        <f>SUM(J40:J42)</f>
        <v>151198.91245241981</v>
      </c>
      <c r="K43" s="45">
        <f>SUM(K40:K42)</f>
        <v>62801.562806401802</v>
      </c>
      <c r="L43" s="45">
        <f>SUM(L40:L42)</f>
        <v>67890.60753666237</v>
      </c>
      <c r="M43" s="15" t="s">
        <v>246</v>
      </c>
      <c r="N43" s="118"/>
      <c r="R43" s="367"/>
      <c r="S43" s="367"/>
      <c r="T43" s="367"/>
      <c r="U43" s="367"/>
      <c r="V43" s="367"/>
      <c r="W43" s="367"/>
      <c r="X43" s="367"/>
      <c r="Y43" s="367"/>
      <c r="Z43" s="367"/>
      <c r="AA43" s="367"/>
    </row>
    <row r="44" spans="1:27" ht="15" customHeight="1" x14ac:dyDescent="0.25">
      <c r="B44" s="646"/>
      <c r="C44" s="646"/>
      <c r="D44" s="646"/>
      <c r="E44" s="646"/>
      <c r="F44" s="646"/>
      <c r="N44" s="118"/>
      <c r="Q44" s="109"/>
      <c r="R44" s="367"/>
      <c r="S44" s="367"/>
      <c r="T44" s="367"/>
      <c r="U44" s="367"/>
      <c r="V44" s="367"/>
      <c r="W44" s="367"/>
      <c r="X44" s="367"/>
      <c r="Y44" s="367"/>
      <c r="Z44" s="367"/>
      <c r="AA44" s="367"/>
    </row>
    <row r="45" spans="1:27" x14ac:dyDescent="0.25">
      <c r="B45" s="76"/>
      <c r="C45" s="76"/>
      <c r="D45" s="76"/>
      <c r="E45" s="76"/>
      <c r="F45" s="76"/>
      <c r="G45" s="76"/>
      <c r="H45" s="16" t="s">
        <v>235</v>
      </c>
      <c r="R45" s="367"/>
      <c r="S45" s="367"/>
      <c r="T45" s="367"/>
      <c r="U45" s="367"/>
      <c r="V45" s="367"/>
      <c r="W45" s="367"/>
      <c r="X45" s="367"/>
      <c r="Y45" s="367"/>
      <c r="Z45" s="367"/>
      <c r="AA45" s="367"/>
    </row>
    <row r="46" spans="1:27" ht="15" customHeight="1" x14ac:dyDescent="0.25">
      <c r="A46" s="15" t="s">
        <v>11</v>
      </c>
      <c r="B46" s="645" t="s">
        <v>606</v>
      </c>
      <c r="C46" s="645"/>
      <c r="D46" s="645"/>
      <c r="E46" s="645"/>
      <c r="F46" s="645"/>
      <c r="G46" s="16"/>
      <c r="H46" s="285" t="s">
        <v>196</v>
      </c>
      <c r="I46" s="285" t="s">
        <v>236</v>
      </c>
      <c r="R46" s="367"/>
      <c r="S46" s="367"/>
      <c r="T46" s="367"/>
      <c r="U46" s="367"/>
      <c r="V46" s="367"/>
      <c r="W46" s="367"/>
      <c r="X46" s="367"/>
      <c r="Y46" s="367"/>
      <c r="Z46" s="367"/>
      <c r="AA46" s="367"/>
    </row>
    <row r="47" spans="1:27" x14ac:dyDescent="0.25">
      <c r="B47" s="645"/>
      <c r="C47" s="645"/>
      <c r="D47" s="645"/>
      <c r="E47" s="645"/>
      <c r="F47" s="645"/>
      <c r="H47" s="285" t="s">
        <v>458</v>
      </c>
      <c r="I47" s="363">
        <v>0.88400000000000001</v>
      </c>
      <c r="J47" s="15" t="s">
        <v>249</v>
      </c>
      <c r="R47" s="367"/>
      <c r="S47" s="367"/>
      <c r="T47" s="367"/>
      <c r="U47" s="367"/>
      <c r="V47" s="367"/>
      <c r="W47" s="367"/>
      <c r="X47" s="367"/>
      <c r="Y47" s="367"/>
      <c r="Z47" s="367"/>
      <c r="AA47" s="367"/>
    </row>
    <row r="48" spans="1:27" x14ac:dyDescent="0.25">
      <c r="B48" s="645"/>
      <c r="C48" s="645"/>
      <c r="D48" s="645"/>
      <c r="E48" s="645"/>
      <c r="F48" s="645"/>
      <c r="H48" s="367"/>
      <c r="I48" s="367"/>
      <c r="J48" s="367"/>
      <c r="K48" s="367"/>
      <c r="R48" s="367"/>
      <c r="S48" s="367"/>
      <c r="T48" s="367"/>
      <c r="U48" s="367"/>
      <c r="V48" s="367"/>
      <c r="W48" s="367"/>
      <c r="X48" s="367"/>
      <c r="Y48" s="367"/>
      <c r="Z48" s="367"/>
      <c r="AA48" s="367"/>
    </row>
    <row r="49" spans="1:27" x14ac:dyDescent="0.25">
      <c r="B49" s="645"/>
      <c r="C49" s="645"/>
      <c r="D49" s="645"/>
      <c r="E49" s="645"/>
      <c r="F49" s="645"/>
      <c r="K49" s="367"/>
      <c r="R49" s="367"/>
      <c r="S49" s="367"/>
      <c r="T49" s="367"/>
      <c r="U49" s="367"/>
      <c r="V49" s="367"/>
      <c r="W49" s="367"/>
      <c r="X49" s="367"/>
      <c r="Y49" s="367"/>
      <c r="Z49" s="367"/>
      <c r="AA49" s="367"/>
    </row>
    <row r="50" spans="1:27" x14ac:dyDescent="0.25">
      <c r="B50" s="76"/>
      <c r="C50" s="76"/>
      <c r="D50" s="76"/>
      <c r="E50" s="76"/>
      <c r="F50" s="76"/>
      <c r="K50" s="367"/>
      <c r="R50" s="367"/>
      <c r="S50" s="367"/>
      <c r="T50" s="367"/>
      <c r="U50" s="367"/>
      <c r="V50" s="367"/>
      <c r="W50" s="367"/>
      <c r="X50" s="367"/>
      <c r="Y50" s="367"/>
      <c r="Z50" s="367"/>
      <c r="AA50" s="367"/>
    </row>
    <row r="51" spans="1:27" x14ac:dyDescent="0.25">
      <c r="B51" s="76"/>
      <c r="C51" s="76"/>
      <c r="D51" s="76"/>
      <c r="E51" s="76"/>
      <c r="F51" s="76"/>
      <c r="K51" s="367"/>
      <c r="R51" s="367"/>
      <c r="S51" s="367"/>
      <c r="T51" s="367"/>
      <c r="U51" s="367"/>
      <c r="V51" s="367"/>
      <c r="W51" s="367"/>
      <c r="X51" s="367"/>
      <c r="Y51" s="367"/>
      <c r="Z51" s="367"/>
      <c r="AA51" s="367"/>
    </row>
    <row r="52" spans="1:27" x14ac:dyDescent="0.25">
      <c r="B52" s="75"/>
      <c r="C52" s="364"/>
      <c r="D52" s="364"/>
      <c r="E52" s="364"/>
      <c r="F52" s="364"/>
      <c r="H52" s="367"/>
      <c r="I52" s="367"/>
      <c r="J52" s="367"/>
      <c r="K52" s="367"/>
      <c r="R52" s="367"/>
      <c r="S52" s="367"/>
      <c r="T52" s="367"/>
      <c r="U52" s="367"/>
      <c r="V52" s="367"/>
      <c r="W52" s="367"/>
      <c r="X52" s="367"/>
      <c r="Y52" s="367"/>
      <c r="Z52" s="367"/>
      <c r="AA52" s="367"/>
    </row>
    <row r="53" spans="1:27" x14ac:dyDescent="0.25">
      <c r="A53" s="60"/>
      <c r="B53" s="364"/>
      <c r="C53" s="364"/>
      <c r="D53" s="364"/>
      <c r="E53" s="364"/>
      <c r="F53" s="364"/>
      <c r="H53" s="367"/>
      <c r="I53" s="367"/>
      <c r="J53" s="367"/>
      <c r="K53" s="367"/>
      <c r="R53" s="367"/>
      <c r="S53" s="367"/>
      <c r="T53" s="367"/>
      <c r="U53" s="367"/>
      <c r="V53" s="367"/>
      <c r="W53" s="367"/>
      <c r="X53" s="367"/>
      <c r="Y53" s="367"/>
      <c r="Z53" s="367"/>
      <c r="AA53" s="367"/>
    </row>
    <row r="54" spans="1:27" x14ac:dyDescent="0.25">
      <c r="B54" s="44"/>
      <c r="C54" s="44"/>
      <c r="D54" s="44"/>
      <c r="E54" s="44"/>
      <c r="F54" s="44"/>
      <c r="H54" s="367"/>
      <c r="I54" s="367"/>
      <c r="J54" s="367"/>
      <c r="K54" s="367"/>
      <c r="R54" s="367"/>
      <c r="S54" s="367"/>
      <c r="T54" s="367"/>
      <c r="U54" s="367"/>
      <c r="V54" s="367"/>
      <c r="W54" s="367"/>
      <c r="X54" s="367"/>
      <c r="Y54" s="367"/>
      <c r="Z54" s="367"/>
      <c r="AA54" s="367"/>
    </row>
    <row r="55" spans="1:27" x14ac:dyDescent="0.25">
      <c r="B55" s="364"/>
      <c r="C55" s="364"/>
      <c r="D55" s="364"/>
      <c r="E55" s="364"/>
      <c r="F55" s="364"/>
      <c r="H55" s="367"/>
      <c r="I55" s="367"/>
      <c r="J55" s="367"/>
      <c r="K55" s="367"/>
      <c r="R55" s="367"/>
      <c r="S55" s="367"/>
      <c r="T55" s="367"/>
      <c r="U55" s="367"/>
      <c r="V55" s="367"/>
      <c r="W55" s="367"/>
      <c r="X55" s="367"/>
      <c r="Y55" s="367"/>
      <c r="Z55" s="367"/>
      <c r="AA55" s="367"/>
    </row>
    <row r="56" spans="1:27" x14ac:dyDescent="0.25">
      <c r="B56" s="364"/>
      <c r="C56" s="364"/>
      <c r="D56" s="364"/>
      <c r="E56" s="364"/>
      <c r="F56" s="364"/>
      <c r="H56" s="367"/>
      <c r="I56" s="367"/>
      <c r="J56" s="367"/>
      <c r="K56" s="367"/>
      <c r="R56" s="367"/>
      <c r="S56" s="367"/>
      <c r="T56" s="367"/>
      <c r="U56" s="367"/>
      <c r="V56" s="367"/>
      <c r="W56" s="367"/>
      <c r="X56" s="367"/>
      <c r="Y56" s="367"/>
      <c r="Z56" s="367"/>
      <c r="AA56" s="367"/>
    </row>
    <row r="57" spans="1:27" x14ac:dyDescent="0.25">
      <c r="B57" s="44"/>
      <c r="C57" s="44"/>
      <c r="D57" s="44"/>
      <c r="E57" s="44"/>
      <c r="F57" s="44"/>
    </row>
    <row r="58" spans="1:27" x14ac:dyDescent="0.25">
      <c r="B58" s="362"/>
      <c r="C58" s="362"/>
      <c r="D58" s="362"/>
      <c r="E58" s="362"/>
      <c r="F58" s="362"/>
    </row>
    <row r="59" spans="1:27" x14ac:dyDescent="0.25">
      <c r="B59" s="362"/>
      <c r="C59" s="362"/>
      <c r="D59" s="362"/>
      <c r="E59" s="362"/>
      <c r="F59" s="362"/>
    </row>
    <row r="60" spans="1:27" x14ac:dyDescent="0.25">
      <c r="B60" s="362"/>
      <c r="C60" s="362"/>
      <c r="D60" s="362"/>
      <c r="E60" s="362"/>
      <c r="F60" s="362"/>
    </row>
    <row r="61" spans="1:27" x14ac:dyDescent="0.25">
      <c r="B61" s="76"/>
      <c r="C61" s="76"/>
      <c r="D61" s="76"/>
      <c r="E61" s="76"/>
      <c r="F61" s="76"/>
    </row>
  </sheetData>
  <mergeCells count="10">
    <mergeCell ref="B46:F49"/>
    <mergeCell ref="G4:G5"/>
    <mergeCell ref="B28:F32"/>
    <mergeCell ref="B34:F38"/>
    <mergeCell ref="B40:F44"/>
    <mergeCell ref="B4:B5"/>
    <mergeCell ref="C4:C5"/>
    <mergeCell ref="D4:D5"/>
    <mergeCell ref="E4:E5"/>
    <mergeCell ref="F4:F5"/>
  </mergeCells>
  <pageMargins left="0.25" right="0.25" top="0.75" bottom="0.75" header="0.3" footer="0.3"/>
  <pageSetup scale="3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AK117"/>
  <sheetViews>
    <sheetView zoomScale="70" zoomScaleNormal="70" zoomScaleSheetLayoutView="70" zoomScalePageLayoutView="55" workbookViewId="0">
      <selection activeCell="K15" sqref="K15"/>
    </sheetView>
  </sheetViews>
  <sheetFormatPr defaultRowHeight="15" x14ac:dyDescent="0.25"/>
  <cols>
    <col min="1" max="1" width="3.7109375" style="47" customWidth="1"/>
    <col min="2" max="2" width="20.7109375" style="47" customWidth="1"/>
    <col min="3" max="4" width="20.7109375" style="287" customWidth="1"/>
    <col min="5" max="8" width="20.7109375" style="47" customWidth="1"/>
    <col min="9" max="9" width="5.7109375" style="47" customWidth="1"/>
    <col min="10" max="10" width="3" style="47" customWidth="1"/>
    <col min="11" max="11" width="39.140625" style="47" customWidth="1"/>
    <col min="12" max="12" width="29.28515625" style="47" bestFit="1" customWidth="1"/>
    <col min="13" max="13" width="39.140625" style="47" customWidth="1"/>
    <col min="14" max="14" width="29.28515625" style="47" bestFit="1" customWidth="1"/>
    <col min="15" max="15" width="16.28515625" style="47" customWidth="1"/>
    <col min="16" max="16" width="5.7109375" style="47" customWidth="1"/>
    <col min="17" max="17" width="36.140625" style="47" customWidth="1"/>
    <col min="18" max="18" width="16.28515625" style="47" customWidth="1"/>
    <col min="19" max="20" width="4.5703125" style="47" customWidth="1"/>
    <col min="21" max="21" width="4.5703125" style="167" customWidth="1"/>
    <col min="22" max="22" width="18" style="47" bestFit="1" customWidth="1"/>
    <col min="23" max="23" width="22.85546875" style="47" bestFit="1" customWidth="1"/>
    <col min="24" max="25" width="50.85546875" style="47" customWidth="1"/>
    <col min="26" max="26" width="16.28515625" style="47" bestFit="1" customWidth="1"/>
    <col min="27" max="16384" width="9.140625" style="47"/>
  </cols>
  <sheetData>
    <row r="1" spans="1:29" ht="14.25" customHeight="1" x14ac:dyDescent="0.25">
      <c r="A1" s="15"/>
      <c r="B1" s="117">
        <v>1</v>
      </c>
      <c r="C1" s="522">
        <v>2</v>
      </c>
      <c r="D1" s="522">
        <v>3</v>
      </c>
      <c r="E1" s="522">
        <v>4</v>
      </c>
      <c r="F1" s="522">
        <v>5</v>
      </c>
      <c r="G1" s="522">
        <v>6</v>
      </c>
      <c r="H1" s="522">
        <v>7</v>
      </c>
    </row>
    <row r="2" spans="1:29" x14ac:dyDescent="0.25">
      <c r="B2" s="6" t="s">
        <v>191</v>
      </c>
      <c r="C2" s="6"/>
      <c r="D2" s="6"/>
    </row>
    <row r="3" spans="1:29" ht="15.75" thickBot="1" x14ac:dyDescent="0.3">
      <c r="B3" s="367" t="s">
        <v>491</v>
      </c>
      <c r="K3" s="55"/>
    </row>
    <row r="4" spans="1:29" ht="35.1" customHeight="1" x14ac:dyDescent="0.25">
      <c r="B4" s="651" t="s">
        <v>0</v>
      </c>
      <c r="C4" s="651" t="s">
        <v>648</v>
      </c>
      <c r="D4" s="653" t="s">
        <v>649</v>
      </c>
      <c r="E4" s="651" t="s">
        <v>23</v>
      </c>
      <c r="F4" s="651" t="s">
        <v>24</v>
      </c>
      <c r="G4" s="649" t="s">
        <v>28</v>
      </c>
      <c r="H4" s="647" t="s">
        <v>1</v>
      </c>
      <c r="K4" s="62"/>
      <c r="L4" s="15"/>
      <c r="M4" s="20"/>
      <c r="N4" s="287"/>
    </row>
    <row r="5" spans="1:29" ht="43.5" customHeight="1" thickBot="1" x14ac:dyDescent="0.3">
      <c r="B5" s="652"/>
      <c r="C5" s="652"/>
      <c r="D5" s="654"/>
      <c r="E5" s="652"/>
      <c r="F5" s="652"/>
      <c r="G5" s="650"/>
      <c r="H5" s="648"/>
      <c r="K5" s="655" t="s">
        <v>592</v>
      </c>
      <c r="L5" s="655"/>
      <c r="M5" s="28"/>
      <c r="N5" s="287"/>
    </row>
    <row r="6" spans="1:29" x14ac:dyDescent="0.25">
      <c r="A6" s="287"/>
      <c r="B6" s="1">
        <f>Assumptions!$D$7</f>
        <v>2024</v>
      </c>
      <c r="C6" s="145">
        <v>0</v>
      </c>
      <c r="D6" s="145">
        <v>0</v>
      </c>
      <c r="E6" s="156">
        <f>C6*$L$6</f>
        <v>0</v>
      </c>
      <c r="F6" s="156">
        <f>D6*$L$6</f>
        <v>0</v>
      </c>
      <c r="G6" s="157">
        <f>(E6-F6)</f>
        <v>0</v>
      </c>
      <c r="H6" s="156">
        <f>G6*(1+0.07)^-(B6-Assumptions!$D$4)</f>
        <v>0</v>
      </c>
      <c r="I6" s="15"/>
      <c r="J6" s="287"/>
      <c r="K6" s="65" t="s">
        <v>239</v>
      </c>
      <c r="L6" s="67">
        <f>Assumptions!D22</f>
        <v>32</v>
      </c>
      <c r="M6" s="15" t="s">
        <v>240</v>
      </c>
      <c r="N6" s="287"/>
      <c r="O6" s="287"/>
      <c r="P6" s="287"/>
      <c r="Q6" s="287"/>
      <c r="R6" s="287"/>
      <c r="S6" s="287"/>
      <c r="T6" s="287"/>
      <c r="U6" s="287"/>
      <c r="V6" s="287"/>
      <c r="W6" s="287"/>
      <c r="X6" s="287"/>
      <c r="Y6" s="287"/>
      <c r="Z6" s="287"/>
      <c r="AA6" s="287"/>
      <c r="AB6" s="287"/>
      <c r="AC6" s="287"/>
    </row>
    <row r="7" spans="1:29" x14ac:dyDescent="0.25">
      <c r="A7" s="287"/>
      <c r="B7" s="2">
        <f>B6+1</f>
        <v>2025</v>
      </c>
      <c r="C7" s="145">
        <v>0</v>
      </c>
      <c r="D7" s="145">
        <v>0</v>
      </c>
      <c r="E7" s="147">
        <f t="shared" ref="E7:F25" si="0">C7*$L$6</f>
        <v>0</v>
      </c>
      <c r="F7" s="147">
        <f t="shared" si="0"/>
        <v>0</v>
      </c>
      <c r="G7" s="148">
        <f t="shared" ref="G7:G25" si="1">(E7-F7)</f>
        <v>0</v>
      </c>
      <c r="H7" s="147">
        <f>G7*(1+0.07)^-(B7-Assumptions!$D$4)</f>
        <v>0</v>
      </c>
      <c r="I7" s="15"/>
      <c r="J7" s="287"/>
      <c r="K7" s="287"/>
      <c r="L7" s="287"/>
      <c r="M7" s="19"/>
      <c r="N7" s="287"/>
      <c r="O7" s="287"/>
      <c r="P7" s="287"/>
      <c r="Q7" s="287"/>
      <c r="R7" s="287"/>
      <c r="S7" s="287"/>
      <c r="T7" s="287"/>
      <c r="U7" s="287"/>
      <c r="V7" s="287"/>
      <c r="W7" s="287"/>
      <c r="X7" s="287"/>
      <c r="Y7" s="287"/>
      <c r="Z7" s="287"/>
      <c r="AA7" s="287"/>
      <c r="AB7" s="287"/>
      <c r="AC7" s="287"/>
    </row>
    <row r="8" spans="1:29" x14ac:dyDescent="0.25">
      <c r="A8" s="287"/>
      <c r="B8" s="2">
        <f t="shared" ref="B8:B25" si="2">B7+1</f>
        <v>2026</v>
      </c>
      <c r="C8" s="145">
        <v>0</v>
      </c>
      <c r="D8" s="145">
        <v>0</v>
      </c>
      <c r="E8" s="147">
        <f t="shared" si="0"/>
        <v>0</v>
      </c>
      <c r="F8" s="147">
        <f t="shared" si="0"/>
        <v>0</v>
      </c>
      <c r="G8" s="148">
        <f t="shared" si="1"/>
        <v>0</v>
      </c>
      <c r="H8" s="147">
        <f>G8*(1+0.07)^-(B8-Assumptions!$D$4)</f>
        <v>0</v>
      </c>
      <c r="I8" s="287"/>
      <c r="J8" s="61"/>
      <c r="K8" s="283" t="s">
        <v>194</v>
      </c>
      <c r="L8" s="283"/>
      <c r="M8" s="18"/>
      <c r="N8" s="287"/>
      <c r="O8" s="287"/>
      <c r="P8" s="287"/>
      <c r="Q8" s="287"/>
      <c r="R8" s="287"/>
      <c r="S8" s="287"/>
      <c r="T8" s="287"/>
      <c r="U8" s="287"/>
      <c r="V8" s="287"/>
      <c r="W8" s="287"/>
      <c r="X8" s="287"/>
      <c r="Y8" s="287"/>
      <c r="Z8" s="287"/>
      <c r="AA8" s="287"/>
      <c r="AB8" s="287"/>
      <c r="AC8" s="287"/>
    </row>
    <row r="9" spans="1:29" s="287" customFormat="1" ht="15" customHeight="1" x14ac:dyDescent="0.25">
      <c r="B9" s="2">
        <f t="shared" si="2"/>
        <v>2027</v>
      </c>
      <c r="C9" s="145">
        <v>0</v>
      </c>
      <c r="D9" s="145">
        <v>0</v>
      </c>
      <c r="E9" s="147">
        <f t="shared" si="0"/>
        <v>0</v>
      </c>
      <c r="F9" s="147">
        <f t="shared" si="0"/>
        <v>0</v>
      </c>
      <c r="G9" s="148">
        <f t="shared" si="1"/>
        <v>0</v>
      </c>
      <c r="H9" s="147">
        <f>G9*(1+0.07)^-(B9-Assumptions!$D$4)</f>
        <v>0</v>
      </c>
      <c r="K9" s="65" t="s">
        <v>22</v>
      </c>
      <c r="L9" s="64">
        <f>Assumptions!D15</f>
        <v>0.28063241106719367</v>
      </c>
      <c r="M9" s="18" t="s">
        <v>382</v>
      </c>
    </row>
    <row r="10" spans="1:29" x14ac:dyDescent="0.25">
      <c r="A10" s="287"/>
      <c r="B10" s="2">
        <f t="shared" si="2"/>
        <v>2028</v>
      </c>
      <c r="C10" s="145">
        <f t="shared" ref="C10:C25" si="3">TREND($L$27:$L$28,$K$27:$K$28,B10)</f>
        <v>111078.55286561279</v>
      </c>
      <c r="D10" s="145">
        <f t="shared" ref="D10:D25" si="4">TREND($N$27:$N$28,$M$27:$M$28,B10)</f>
        <v>82821.728013833985</v>
      </c>
      <c r="E10" s="147">
        <f t="shared" si="0"/>
        <v>3554513.6916996092</v>
      </c>
      <c r="F10" s="147">
        <f t="shared" si="0"/>
        <v>2650295.2964426875</v>
      </c>
      <c r="G10" s="148">
        <f t="shared" si="1"/>
        <v>904218.39525692165</v>
      </c>
      <c r="H10" s="147">
        <f>G10*(1+0.07)^-(B10-Assumptions!$D$4)</f>
        <v>526263.3385547169</v>
      </c>
      <c r="I10" s="287"/>
      <c r="J10" s="287"/>
      <c r="K10" s="287"/>
      <c r="L10" s="287"/>
      <c r="M10" s="48"/>
      <c r="N10" s="287"/>
      <c r="O10" s="287"/>
      <c r="P10" s="287"/>
      <c r="Q10" s="287"/>
      <c r="R10" s="287"/>
      <c r="S10" s="287"/>
      <c r="T10" s="287"/>
      <c r="U10" s="287"/>
      <c r="V10" s="287"/>
      <c r="W10" s="287"/>
      <c r="X10" s="287"/>
      <c r="Y10" s="287"/>
      <c r="Z10" s="287"/>
      <c r="AA10" s="287"/>
      <c r="AB10" s="287"/>
      <c r="AC10" s="287"/>
    </row>
    <row r="11" spans="1:29" x14ac:dyDescent="0.25">
      <c r="A11" s="287"/>
      <c r="B11" s="2">
        <f t="shared" si="2"/>
        <v>2029</v>
      </c>
      <c r="C11" s="145">
        <f t="shared" si="3"/>
        <v>112878.77470355714</v>
      </c>
      <c r="D11" s="145">
        <f t="shared" si="4"/>
        <v>84163.998682477046</v>
      </c>
      <c r="E11" s="147">
        <f t="shared" si="0"/>
        <v>3612120.7905138284</v>
      </c>
      <c r="F11" s="147">
        <f t="shared" si="0"/>
        <v>2693247.9578392655</v>
      </c>
      <c r="G11" s="148">
        <f t="shared" si="1"/>
        <v>918872.83267456293</v>
      </c>
      <c r="H11" s="147">
        <f>G11*(1+0.07)^-(B11-Assumptions!$D$4)</f>
        <v>499805.93883557268</v>
      </c>
      <c r="I11" s="287"/>
      <c r="J11" s="287"/>
      <c r="K11" s="283" t="s">
        <v>632</v>
      </c>
      <c r="L11" s="283"/>
      <c r="M11" s="18"/>
      <c r="N11" s="287"/>
      <c r="O11" s="287"/>
      <c r="P11" s="287"/>
      <c r="Q11" s="287"/>
      <c r="R11" s="287"/>
      <c r="S11" s="287"/>
      <c r="T11" s="287"/>
      <c r="U11" s="287"/>
      <c r="V11" s="287"/>
      <c r="W11" s="287"/>
      <c r="X11" s="287"/>
      <c r="Y11" s="287"/>
      <c r="Z11" s="287"/>
      <c r="AA11" s="287"/>
      <c r="AB11" s="287"/>
      <c r="AC11" s="287"/>
    </row>
    <row r="12" spans="1:29" x14ac:dyDescent="0.25">
      <c r="A12" s="287"/>
      <c r="B12" s="2">
        <f t="shared" si="2"/>
        <v>2030</v>
      </c>
      <c r="C12" s="145">
        <f t="shared" si="3"/>
        <v>114678.99654150195</v>
      </c>
      <c r="D12" s="145">
        <f t="shared" si="4"/>
        <v>85506.269351119641</v>
      </c>
      <c r="E12" s="147">
        <f t="shared" si="0"/>
        <v>3669727.8893280625</v>
      </c>
      <c r="F12" s="147">
        <f t="shared" si="0"/>
        <v>2736200.6192358285</v>
      </c>
      <c r="G12" s="148">
        <f t="shared" si="1"/>
        <v>933527.27009223402</v>
      </c>
      <c r="H12" s="147">
        <f>G12*(1+0.07)^-(B12-Assumptions!$D$4)</f>
        <v>474557.9269398427</v>
      </c>
      <c r="I12" s="287"/>
      <c r="J12" s="287"/>
      <c r="K12" s="65" t="s">
        <v>27</v>
      </c>
      <c r="L12" s="144">
        <f>Assumptions!D17</f>
        <v>1</v>
      </c>
      <c r="M12" s="15" t="s">
        <v>240</v>
      </c>
      <c r="N12" s="287"/>
      <c r="O12" s="287"/>
      <c r="P12" s="287"/>
      <c r="Q12" s="287"/>
      <c r="R12" s="287"/>
      <c r="S12" s="287"/>
      <c r="T12" s="287"/>
      <c r="U12" s="287"/>
      <c r="V12" s="287"/>
      <c r="W12" s="287"/>
      <c r="X12" s="287"/>
      <c r="Y12" s="287"/>
      <c r="Z12" s="287"/>
      <c r="AA12" s="287"/>
      <c r="AB12" s="287"/>
      <c r="AC12" s="287"/>
    </row>
    <row r="13" spans="1:29" s="287" customFormat="1" ht="15" customHeight="1" x14ac:dyDescent="0.25">
      <c r="B13" s="2">
        <f t="shared" si="2"/>
        <v>2031</v>
      </c>
      <c r="C13" s="145">
        <f t="shared" si="3"/>
        <v>116479.21837944677</v>
      </c>
      <c r="D13" s="145">
        <f t="shared" si="4"/>
        <v>86848.540019762702</v>
      </c>
      <c r="E13" s="147">
        <f t="shared" si="0"/>
        <v>3727334.9881422967</v>
      </c>
      <c r="F13" s="147">
        <f t="shared" si="0"/>
        <v>2779153.2806324065</v>
      </c>
      <c r="G13" s="148">
        <f t="shared" si="1"/>
        <v>948181.7075098902</v>
      </c>
      <c r="H13" s="147">
        <f>G13*(1+0.07)^-(B13-Assumptions!$D$4)</f>
        <v>450474.29890443053</v>
      </c>
      <c r="M13" s="52"/>
    </row>
    <row r="14" spans="1:29" x14ac:dyDescent="0.25">
      <c r="A14" s="287"/>
      <c r="B14" s="2">
        <f t="shared" si="2"/>
        <v>2032</v>
      </c>
      <c r="C14" s="145">
        <f t="shared" si="3"/>
        <v>118279.44021739112</v>
      </c>
      <c r="D14" s="145">
        <f t="shared" si="4"/>
        <v>88190.810688405763</v>
      </c>
      <c r="E14" s="147">
        <f t="shared" si="0"/>
        <v>3784942.0869565159</v>
      </c>
      <c r="F14" s="147">
        <f t="shared" si="0"/>
        <v>2822105.9420289844</v>
      </c>
      <c r="G14" s="148">
        <f t="shared" si="1"/>
        <v>962836.14492753148</v>
      </c>
      <c r="H14" s="147">
        <f>G14*(1+0.07)^-(B14-Assumptions!$D$4)</f>
        <v>427510.76313706976</v>
      </c>
      <c r="I14" s="287"/>
      <c r="J14" s="287"/>
      <c r="K14" s="283" t="s">
        <v>633</v>
      </c>
      <c r="L14" s="283"/>
      <c r="M14" s="18"/>
      <c r="N14" s="287"/>
      <c r="O14" s="287"/>
      <c r="P14" s="287"/>
      <c r="Q14" s="287"/>
      <c r="R14" s="287"/>
      <c r="S14" s="287"/>
      <c r="T14" s="287"/>
      <c r="U14" s="287"/>
      <c r="V14" s="287"/>
      <c r="W14" s="287"/>
      <c r="X14" s="287"/>
      <c r="Y14" s="287"/>
      <c r="Z14" s="287"/>
      <c r="AA14" s="287"/>
      <c r="AB14" s="287"/>
      <c r="AC14" s="287"/>
    </row>
    <row r="15" spans="1:29" x14ac:dyDescent="0.25">
      <c r="A15" s="287"/>
      <c r="B15" s="2">
        <f t="shared" si="2"/>
        <v>2033</v>
      </c>
      <c r="C15" s="145">
        <f t="shared" si="3"/>
        <v>120079.66205533594</v>
      </c>
      <c r="D15" s="145">
        <f t="shared" si="4"/>
        <v>89533.081357048824</v>
      </c>
      <c r="E15" s="147">
        <f t="shared" si="0"/>
        <v>3842549.18577075</v>
      </c>
      <c r="F15" s="147">
        <f t="shared" si="0"/>
        <v>2865058.6034255624</v>
      </c>
      <c r="G15" s="148">
        <f t="shared" si="1"/>
        <v>977490.58234518766</v>
      </c>
      <c r="H15" s="147">
        <f>G15*(1+0.07)^-(B15-Assumptions!$D$4)</f>
        <v>405623.83981911588</v>
      </c>
      <c r="I15" s="287"/>
      <c r="J15" s="287"/>
      <c r="K15" s="289" t="s">
        <v>125</v>
      </c>
      <c r="L15" s="289" t="s">
        <v>200</v>
      </c>
      <c r="M15" s="19"/>
      <c r="N15" s="287"/>
      <c r="O15" s="287"/>
      <c r="P15" s="287"/>
      <c r="Q15" s="287"/>
      <c r="R15" s="287"/>
      <c r="S15" s="287"/>
      <c r="T15" s="287"/>
      <c r="U15" s="287"/>
      <c r="V15" s="287"/>
      <c r="W15" s="287"/>
      <c r="X15" s="287"/>
      <c r="Y15" s="287"/>
      <c r="Z15" s="287"/>
      <c r="AA15" s="287"/>
      <c r="AB15" s="287"/>
      <c r="AC15" s="287"/>
    </row>
    <row r="16" spans="1:29" x14ac:dyDescent="0.25">
      <c r="A16" s="287"/>
      <c r="B16" s="2">
        <f t="shared" si="2"/>
        <v>2034</v>
      </c>
      <c r="C16" s="145">
        <f t="shared" si="3"/>
        <v>121879.88389328076</v>
      </c>
      <c r="D16" s="145">
        <f t="shared" si="4"/>
        <v>90875.35202569142</v>
      </c>
      <c r="E16" s="147">
        <f t="shared" si="0"/>
        <v>3900156.2845849842</v>
      </c>
      <c r="F16" s="147">
        <f t="shared" si="0"/>
        <v>2908011.2648221254</v>
      </c>
      <c r="G16" s="148">
        <f t="shared" si="1"/>
        <v>992145.01976285875</v>
      </c>
      <c r="H16" s="147">
        <f>G16*(1+0.07)^-(B16-Assumptions!$D$4)</f>
        <v>384770.94425351114</v>
      </c>
      <c r="I16" s="287"/>
      <c r="J16" s="287"/>
      <c r="K16" s="282">
        <v>2021</v>
      </c>
      <c r="L16" s="282">
        <v>506</v>
      </c>
      <c r="M16" s="18" t="s">
        <v>382</v>
      </c>
      <c r="N16" s="287"/>
      <c r="O16" s="287"/>
      <c r="P16" s="287"/>
      <c r="Q16" s="287"/>
      <c r="R16" s="287"/>
      <c r="S16" s="287"/>
      <c r="T16" s="287"/>
      <c r="U16" s="287"/>
      <c r="V16" s="287"/>
      <c r="W16" s="287"/>
      <c r="X16" s="287"/>
      <c r="Y16" s="287"/>
      <c r="Z16" s="287"/>
      <c r="AA16" s="287"/>
      <c r="AB16" s="287"/>
      <c r="AC16" s="287"/>
    </row>
    <row r="17" spans="1:21" x14ac:dyDescent="0.25">
      <c r="B17" s="2">
        <f t="shared" si="2"/>
        <v>2035</v>
      </c>
      <c r="C17" s="145">
        <f t="shared" si="3"/>
        <v>123680.10573122511</v>
      </c>
      <c r="D17" s="145">
        <f t="shared" si="4"/>
        <v>92217.622694334481</v>
      </c>
      <c r="E17" s="147">
        <f t="shared" si="0"/>
        <v>3957763.3833992034</v>
      </c>
      <c r="F17" s="147">
        <f t="shared" si="0"/>
        <v>2950963.9262187034</v>
      </c>
      <c r="G17" s="148">
        <f t="shared" si="1"/>
        <v>1006799.4571805</v>
      </c>
      <c r="H17" s="147">
        <f>G17*(1+0.07)^-(B17-Assumptions!$D$4)</f>
        <v>364910.45583316055</v>
      </c>
      <c r="K17" s="282">
        <v>2041</v>
      </c>
      <c r="L17" s="282">
        <v>691</v>
      </c>
      <c r="M17" s="18" t="s">
        <v>382</v>
      </c>
      <c r="N17" s="287"/>
      <c r="U17" s="47"/>
    </row>
    <row r="18" spans="1:21" x14ac:dyDescent="0.25">
      <c r="B18" s="2">
        <f t="shared" si="2"/>
        <v>2036</v>
      </c>
      <c r="C18" s="145">
        <f t="shared" si="3"/>
        <v>125480.32756916992</v>
      </c>
      <c r="D18" s="145">
        <f t="shared" si="4"/>
        <v>93559.893362977542</v>
      </c>
      <c r="E18" s="147">
        <f t="shared" si="0"/>
        <v>4015370.4822134376</v>
      </c>
      <c r="F18" s="147">
        <f t="shared" si="0"/>
        <v>2993916.5876152813</v>
      </c>
      <c r="G18" s="148">
        <f t="shared" si="1"/>
        <v>1021453.8945981562</v>
      </c>
      <c r="H18" s="147">
        <f>G18*(1+0.07)^-(B18-Assumptions!$D$4)</f>
        <v>346001.7741544749</v>
      </c>
      <c r="K18" s="287"/>
      <c r="L18" s="287"/>
      <c r="M18" s="287"/>
      <c r="N18" s="287"/>
      <c r="U18" s="47"/>
    </row>
    <row r="19" spans="1:21" x14ac:dyDescent="0.25">
      <c r="B19" s="2">
        <f t="shared" si="2"/>
        <v>2037</v>
      </c>
      <c r="C19" s="145">
        <f t="shared" si="3"/>
        <v>127280.54940711474</v>
      </c>
      <c r="D19" s="145">
        <f t="shared" si="4"/>
        <v>94902.164031620603</v>
      </c>
      <c r="E19" s="147">
        <f t="shared" si="0"/>
        <v>4072977.5810276717</v>
      </c>
      <c r="F19" s="147">
        <f t="shared" si="0"/>
        <v>3036869.2490118593</v>
      </c>
      <c r="G19" s="148">
        <f t="shared" si="1"/>
        <v>1036108.3320158124</v>
      </c>
      <c r="H19" s="147">
        <f>G19*(1+0.07)^-(B19-Assumptions!$D$4)</f>
        <v>328005.36366269173</v>
      </c>
      <c r="K19" s="286" t="s">
        <v>247</v>
      </c>
      <c r="L19" s="15"/>
      <c r="M19" s="287"/>
      <c r="N19" s="287"/>
      <c r="O19" s="287"/>
      <c r="P19" s="167"/>
      <c r="Q19" s="48"/>
      <c r="R19" s="169"/>
      <c r="U19" s="47"/>
    </row>
    <row r="20" spans="1:21" ht="14.25" customHeight="1" x14ac:dyDescent="0.25">
      <c r="B20" s="2">
        <f t="shared" si="2"/>
        <v>2038</v>
      </c>
      <c r="C20" s="145">
        <f t="shared" si="3"/>
        <v>129080.77124505909</v>
      </c>
      <c r="D20" s="145">
        <f t="shared" si="4"/>
        <v>96244.434700263198</v>
      </c>
      <c r="E20" s="147">
        <f t="shared" si="0"/>
        <v>4130584.6798418909</v>
      </c>
      <c r="F20" s="147">
        <f t="shared" si="0"/>
        <v>3079821.9104084224</v>
      </c>
      <c r="G20" s="148">
        <f t="shared" si="1"/>
        <v>1050762.7694334686</v>
      </c>
      <c r="H20" s="147">
        <f>G20*(1+0.07)^-(B20-Assumptions!$D$4)</f>
        <v>310882.78808951459</v>
      </c>
      <c r="K20" s="656" t="s">
        <v>243</v>
      </c>
      <c r="L20" s="657"/>
      <c r="M20" s="656" t="s">
        <v>238</v>
      </c>
      <c r="N20" s="657"/>
      <c r="O20" s="287"/>
      <c r="P20" s="167"/>
      <c r="S20" s="139"/>
      <c r="T20" s="139"/>
      <c r="U20" s="47"/>
    </row>
    <row r="21" spans="1:21" x14ac:dyDescent="0.25">
      <c r="B21" s="2">
        <f t="shared" si="2"/>
        <v>2039</v>
      </c>
      <c r="C21" s="145">
        <f t="shared" si="3"/>
        <v>130880.99308300391</v>
      </c>
      <c r="D21" s="145">
        <f t="shared" si="4"/>
        <v>97586.70536890626</v>
      </c>
      <c r="E21" s="147">
        <f t="shared" si="0"/>
        <v>4188191.7786561251</v>
      </c>
      <c r="F21" s="147">
        <f t="shared" si="0"/>
        <v>3122774.5718050003</v>
      </c>
      <c r="G21" s="148">
        <f t="shared" si="1"/>
        <v>1065417.2068511248</v>
      </c>
      <c r="H21" s="147">
        <f>G21*(1+0.07)^-(B21-Assumptions!$D$4)</f>
        <v>294596.73582746927</v>
      </c>
      <c r="K21" s="282" t="s">
        <v>241</v>
      </c>
      <c r="L21" s="289">
        <v>123</v>
      </c>
      <c r="M21" s="282" t="s">
        <v>241</v>
      </c>
      <c r="N21" s="289">
        <v>90.2</v>
      </c>
      <c r="O21" s="369" t="s">
        <v>492</v>
      </c>
      <c r="P21" s="287"/>
      <c r="Q21" s="287"/>
      <c r="R21" s="287"/>
      <c r="S21" s="139"/>
      <c r="T21" s="139"/>
      <c r="U21" s="47"/>
    </row>
    <row r="22" spans="1:21" x14ac:dyDescent="0.25">
      <c r="B22" s="2">
        <f t="shared" si="2"/>
        <v>2040</v>
      </c>
      <c r="C22" s="145">
        <f t="shared" si="3"/>
        <v>132681.21492094873</v>
      </c>
      <c r="D22" s="145">
        <f t="shared" si="4"/>
        <v>98928.976037549321</v>
      </c>
      <c r="E22" s="147">
        <f t="shared" si="0"/>
        <v>4245798.8774703592</v>
      </c>
      <c r="F22" s="147">
        <f t="shared" si="0"/>
        <v>3165727.2332015783</v>
      </c>
      <c r="G22" s="148">
        <f t="shared" si="1"/>
        <v>1080071.6442687809</v>
      </c>
      <c r="H22" s="147">
        <f>G22*(1+0.07)^-(B22-Assumptions!$D$4)</f>
        <v>279111.03727947391</v>
      </c>
      <c r="K22" s="282" t="s">
        <v>242</v>
      </c>
      <c r="L22" s="289">
        <v>114</v>
      </c>
      <c r="M22" s="282" t="s">
        <v>242</v>
      </c>
      <c r="N22" s="289">
        <v>85</v>
      </c>
      <c r="O22" s="369" t="s">
        <v>492</v>
      </c>
      <c r="P22" s="287"/>
      <c r="Q22" s="287"/>
      <c r="R22" s="287"/>
      <c r="S22" s="139"/>
      <c r="T22" s="139"/>
      <c r="U22" s="47"/>
    </row>
    <row r="23" spans="1:21" x14ac:dyDescent="0.25">
      <c r="B23" s="2">
        <f t="shared" si="2"/>
        <v>2041</v>
      </c>
      <c r="C23" s="145">
        <f t="shared" si="3"/>
        <v>134481.43675889308</v>
      </c>
      <c r="D23" s="145">
        <f t="shared" si="4"/>
        <v>100271.24670619238</v>
      </c>
      <c r="E23" s="147">
        <f t="shared" si="0"/>
        <v>4303405.9762845784</v>
      </c>
      <c r="F23" s="147">
        <f t="shared" si="0"/>
        <v>3208679.8945981562</v>
      </c>
      <c r="G23" s="148">
        <f t="shared" si="1"/>
        <v>1094726.0816864222</v>
      </c>
      <c r="H23" s="147">
        <f>G23*(1+0.07)^-(B23-Assumptions!$D$4)</f>
        <v>264390.67512498971</v>
      </c>
      <c r="K23" s="287"/>
      <c r="L23" s="287"/>
      <c r="M23" s="287"/>
      <c r="N23" s="287"/>
      <c r="O23" s="287"/>
      <c r="P23" s="287"/>
      <c r="Q23" s="287"/>
      <c r="R23" s="287"/>
      <c r="S23" s="139"/>
      <c r="T23" s="139"/>
      <c r="U23" s="47"/>
    </row>
    <row r="24" spans="1:21" x14ac:dyDescent="0.25">
      <c r="B24" s="2">
        <f t="shared" si="2"/>
        <v>2042</v>
      </c>
      <c r="C24" s="145">
        <f t="shared" si="3"/>
        <v>136281.65859683789</v>
      </c>
      <c r="D24" s="145">
        <f t="shared" si="4"/>
        <v>101613.51737483498</v>
      </c>
      <c r="E24" s="147">
        <f t="shared" si="0"/>
        <v>4361013.0750988126</v>
      </c>
      <c r="F24" s="147">
        <f t="shared" si="0"/>
        <v>3251632.5559947193</v>
      </c>
      <c r="G24" s="148">
        <f t="shared" si="1"/>
        <v>1109380.5191040933</v>
      </c>
      <c r="H24" s="147">
        <f>G24*(1+0.07)^-(B24-Assumptions!$D$4)</f>
        <v>250401.7883553252</v>
      </c>
      <c r="K24" s="286" t="s">
        <v>248</v>
      </c>
      <c r="L24" s="287"/>
      <c r="M24" s="287"/>
      <c r="N24" s="287"/>
      <c r="O24" s="287"/>
      <c r="P24" s="287"/>
      <c r="Q24" s="287"/>
      <c r="R24" s="287"/>
    </row>
    <row r="25" spans="1:21" ht="15" customHeight="1" thickBot="1" x14ac:dyDescent="0.3">
      <c r="B25" s="3">
        <f t="shared" si="2"/>
        <v>2043</v>
      </c>
      <c r="C25" s="175">
        <f t="shared" si="3"/>
        <v>138081.88043478271</v>
      </c>
      <c r="D25" s="175">
        <f t="shared" si="4"/>
        <v>102955.78804347804</v>
      </c>
      <c r="E25" s="180">
        <f t="shared" si="0"/>
        <v>4418620.1739130467</v>
      </c>
      <c r="F25" s="180">
        <f t="shared" si="0"/>
        <v>3294585.2173912972</v>
      </c>
      <c r="G25" s="181">
        <f t="shared" si="1"/>
        <v>1124034.9565217495</v>
      </c>
      <c r="H25" s="180">
        <f>G25*(1+0.07)^-(B25-Assumptions!$D$4)</f>
        <v>237111.67084933407</v>
      </c>
      <c r="K25" s="656" t="s">
        <v>243</v>
      </c>
      <c r="L25" s="657"/>
      <c r="M25" s="656" t="s">
        <v>238</v>
      </c>
      <c r="N25" s="657"/>
      <c r="O25" s="287"/>
      <c r="P25" s="287"/>
      <c r="Q25" s="287"/>
      <c r="R25" s="287"/>
    </row>
    <row r="26" spans="1:21" ht="15" customHeight="1" thickBot="1" x14ac:dyDescent="0.3">
      <c r="B26" s="4"/>
      <c r="C26" s="4"/>
      <c r="D26" s="4"/>
      <c r="E26" s="46"/>
      <c r="F26" s="46"/>
      <c r="G26" s="66" t="s">
        <v>2</v>
      </c>
      <c r="H26" s="243">
        <f>SUM(H6:H25)</f>
        <v>5844419.3396206945</v>
      </c>
      <c r="K26" s="282" t="s">
        <v>125</v>
      </c>
      <c r="L26" s="116" t="s">
        <v>189</v>
      </c>
      <c r="M26" s="282" t="s">
        <v>125</v>
      </c>
      <c r="N26" s="116" t="s">
        <v>189</v>
      </c>
      <c r="O26" s="287"/>
      <c r="P26" s="287"/>
      <c r="Q26" s="287"/>
      <c r="R26" s="287"/>
    </row>
    <row r="27" spans="1:21" x14ac:dyDescent="0.25">
      <c r="A27" s="543"/>
      <c r="B27" s="543"/>
      <c r="C27" s="570"/>
      <c r="D27" s="570"/>
      <c r="E27" s="570"/>
      <c r="F27" s="570"/>
      <c r="G27" s="570"/>
      <c r="H27" s="570"/>
      <c r="I27" s="24"/>
      <c r="K27" s="282">
        <v>2021</v>
      </c>
      <c r="L27" s="178">
        <f>$L$9*$L$12*L16*($L$22/60)*365</f>
        <v>98477</v>
      </c>
      <c r="M27" s="282">
        <v>2021</v>
      </c>
      <c r="N27" s="178">
        <f>$L$9*$L$12*L16*($N$22/60)*365</f>
        <v>73425.833333333343</v>
      </c>
      <c r="O27" s="287" t="s">
        <v>246</v>
      </c>
      <c r="P27" s="287"/>
      <c r="Q27" s="287"/>
      <c r="R27" s="287"/>
    </row>
    <row r="28" spans="1:21" x14ac:dyDescent="0.25">
      <c r="A28" s="15"/>
      <c r="B28" s="16" t="s">
        <v>3</v>
      </c>
      <c r="C28" s="16"/>
      <c r="D28" s="16"/>
      <c r="E28" s="15"/>
      <c r="F28" s="15"/>
      <c r="G28" s="543"/>
      <c r="H28" s="279"/>
      <c r="I28" s="20"/>
      <c r="K28" s="282">
        <v>2041</v>
      </c>
      <c r="L28" s="178">
        <f>$L$9*$L$12*L17*($L$22/60)*365</f>
        <v>134481.43675889325</v>
      </c>
      <c r="M28" s="282">
        <v>2041</v>
      </c>
      <c r="N28" s="178">
        <f>$L$9*$L$12*L17*($N$22/60)*365</f>
        <v>100271.24670619235</v>
      </c>
      <c r="O28" s="287" t="s">
        <v>246</v>
      </c>
      <c r="P28" s="287"/>
      <c r="Q28" s="287"/>
      <c r="R28" s="287"/>
      <c r="T28" s="20"/>
    </row>
    <row r="29" spans="1:21" ht="15" customHeight="1" x14ac:dyDescent="0.25">
      <c r="A29" s="60" t="s">
        <v>9</v>
      </c>
      <c r="B29" s="645" t="s">
        <v>608</v>
      </c>
      <c r="C29" s="645"/>
      <c r="D29" s="645"/>
      <c r="E29" s="645"/>
      <c r="F29" s="645"/>
      <c r="G29" s="645"/>
      <c r="I29" s="20"/>
      <c r="P29" s="287"/>
      <c r="Q29" s="287"/>
      <c r="R29" s="287"/>
    </row>
    <row r="30" spans="1:21" x14ac:dyDescent="0.25">
      <c r="A30" s="60"/>
      <c r="B30" s="645"/>
      <c r="C30" s="645"/>
      <c r="D30" s="645"/>
      <c r="E30" s="645"/>
      <c r="F30" s="645"/>
      <c r="G30" s="645"/>
      <c r="H30" s="15"/>
      <c r="J30" s="139"/>
      <c r="N30" s="360"/>
      <c r="O30" s="287"/>
      <c r="P30" s="287"/>
      <c r="Q30" s="287"/>
      <c r="R30" s="287"/>
      <c r="S30" s="139"/>
      <c r="T30" s="139"/>
    </row>
    <row r="31" spans="1:21" x14ac:dyDescent="0.25">
      <c r="A31" s="60"/>
      <c r="B31" s="645"/>
      <c r="C31" s="645"/>
      <c r="D31" s="645"/>
      <c r="E31" s="645"/>
      <c r="F31" s="645"/>
      <c r="G31" s="645"/>
      <c r="H31" s="15"/>
      <c r="J31" s="139"/>
      <c r="K31" s="139"/>
      <c r="L31" s="139"/>
      <c r="M31" s="139"/>
      <c r="N31" s="287"/>
      <c r="O31" s="287"/>
      <c r="P31" s="287"/>
      <c r="Q31" s="287"/>
      <c r="R31" s="287"/>
      <c r="S31" s="139"/>
      <c r="T31" s="139"/>
    </row>
    <row r="32" spans="1:21" x14ac:dyDescent="0.25">
      <c r="A32" s="60"/>
      <c r="B32" s="645"/>
      <c r="C32" s="645"/>
      <c r="D32" s="645"/>
      <c r="E32" s="645"/>
      <c r="F32" s="645"/>
      <c r="G32" s="645"/>
      <c r="H32" s="15"/>
      <c r="J32" s="139"/>
      <c r="K32" s="139"/>
      <c r="L32" s="139"/>
      <c r="M32" s="139"/>
      <c r="N32" s="287"/>
      <c r="O32" s="287"/>
      <c r="P32" s="287"/>
      <c r="Q32" s="287"/>
      <c r="R32" s="287"/>
      <c r="S32" s="139"/>
      <c r="T32" s="139"/>
    </row>
    <row r="33" spans="1:37" ht="15" customHeight="1" x14ac:dyDescent="0.25">
      <c r="A33" s="60"/>
      <c r="B33" s="645"/>
      <c r="C33" s="645"/>
      <c r="D33" s="645"/>
      <c r="E33" s="645"/>
      <c r="F33" s="645"/>
      <c r="G33" s="645"/>
      <c r="H33" s="15"/>
      <c r="I33" s="20"/>
      <c r="J33" s="139"/>
      <c r="K33" s="139"/>
      <c r="L33" s="139"/>
      <c r="M33" s="139"/>
      <c r="N33" s="287"/>
      <c r="O33" s="287"/>
      <c r="P33" s="287"/>
      <c r="Q33" s="287"/>
      <c r="R33" s="287"/>
      <c r="S33" s="139"/>
      <c r="T33" s="139"/>
    </row>
    <row r="34" spans="1:37" ht="15" customHeight="1" x14ac:dyDescent="0.25">
      <c r="A34" s="60"/>
      <c r="B34" s="645"/>
      <c r="C34" s="645"/>
      <c r="D34" s="645"/>
      <c r="E34" s="645"/>
      <c r="F34" s="645"/>
      <c r="G34" s="645"/>
      <c r="H34" s="15"/>
      <c r="I34" s="20"/>
      <c r="J34" s="139"/>
      <c r="K34" s="139"/>
      <c r="L34" s="139"/>
      <c r="M34" s="139"/>
      <c r="N34" s="287"/>
      <c r="O34" s="287"/>
      <c r="P34" s="287"/>
      <c r="Q34" s="287"/>
      <c r="R34" s="287"/>
      <c r="S34" s="139"/>
      <c r="T34" s="139"/>
      <c r="U34" s="47"/>
    </row>
    <row r="35" spans="1:37" ht="15" customHeight="1" x14ac:dyDescent="0.25">
      <c r="A35" s="60"/>
      <c r="B35" s="76"/>
      <c r="C35" s="76"/>
      <c r="D35" s="76"/>
      <c r="E35" s="76"/>
      <c r="F35" s="76"/>
      <c r="G35" s="543"/>
      <c r="I35" s="28"/>
      <c r="J35" s="139"/>
      <c r="K35" s="139"/>
      <c r="L35" s="139"/>
      <c r="M35" s="139"/>
      <c r="N35" s="287"/>
      <c r="O35" s="287"/>
      <c r="P35" s="287"/>
      <c r="Q35" s="287"/>
      <c r="R35" s="287"/>
      <c r="S35" s="139"/>
      <c r="T35" s="139"/>
    </row>
    <row r="36" spans="1:37" ht="15" customHeight="1" x14ac:dyDescent="0.25">
      <c r="A36" s="60" t="s">
        <v>8</v>
      </c>
      <c r="B36" s="645" t="s">
        <v>384</v>
      </c>
      <c r="C36" s="645"/>
      <c r="D36" s="645"/>
      <c r="E36" s="645"/>
      <c r="F36" s="645"/>
      <c r="G36" s="645"/>
      <c r="I36" s="33"/>
      <c r="J36" s="167"/>
      <c r="K36" s="167"/>
      <c r="L36" s="167"/>
      <c r="M36" s="167"/>
      <c r="N36" s="287"/>
      <c r="O36" s="287"/>
      <c r="P36" s="287"/>
      <c r="Q36" s="287"/>
      <c r="R36" s="287"/>
      <c r="S36" s="167"/>
      <c r="T36" s="167"/>
    </row>
    <row r="37" spans="1:37" x14ac:dyDescent="0.25">
      <c r="A37" s="60"/>
      <c r="B37" s="645"/>
      <c r="C37" s="645"/>
      <c r="D37" s="645"/>
      <c r="E37" s="645"/>
      <c r="F37" s="645"/>
      <c r="G37" s="645"/>
      <c r="H37" s="108"/>
      <c r="N37" s="287"/>
      <c r="O37" s="287"/>
      <c r="P37" s="287"/>
      <c r="Q37" s="287"/>
      <c r="R37" s="287"/>
      <c r="V37" s="167"/>
      <c r="W37" s="167"/>
      <c r="X37" s="167"/>
      <c r="Y37" s="167"/>
      <c r="Z37" s="167"/>
      <c r="AA37" s="167"/>
      <c r="AB37" s="167"/>
      <c r="AC37" s="167"/>
    </row>
    <row r="38" spans="1:37" x14ac:dyDescent="0.25">
      <c r="A38" s="60"/>
      <c r="B38" s="605"/>
      <c r="C38" s="605"/>
      <c r="D38" s="605"/>
      <c r="E38" s="605"/>
      <c r="F38" s="605"/>
      <c r="G38" s="605"/>
      <c r="N38" s="287"/>
      <c r="O38" s="287"/>
      <c r="P38" s="287"/>
      <c r="Q38" s="287"/>
      <c r="R38" s="287"/>
      <c r="V38" s="167"/>
      <c r="W38" s="167"/>
      <c r="X38" s="167"/>
      <c r="Y38" s="167"/>
      <c r="Z38" s="167"/>
      <c r="AA38" s="167"/>
      <c r="AB38" s="167"/>
      <c r="AC38" s="167"/>
    </row>
    <row r="39" spans="1:37" ht="15" customHeight="1" x14ac:dyDescent="0.25">
      <c r="A39" s="60" t="s">
        <v>10</v>
      </c>
      <c r="B39" s="645" t="s">
        <v>628</v>
      </c>
      <c r="C39" s="645"/>
      <c r="D39" s="645"/>
      <c r="E39" s="645"/>
      <c r="F39" s="645"/>
      <c r="G39" s="645"/>
      <c r="N39" s="278"/>
      <c r="O39" s="278"/>
      <c r="P39" s="278"/>
      <c r="Q39" s="278"/>
      <c r="R39" s="278"/>
      <c r="V39" s="167"/>
      <c r="W39" s="167"/>
      <c r="X39" s="167"/>
      <c r="Y39" s="167"/>
      <c r="Z39" s="167"/>
      <c r="AA39" s="167"/>
      <c r="AB39" s="167"/>
      <c r="AC39" s="167"/>
    </row>
    <row r="40" spans="1:37" ht="15" customHeight="1" x14ac:dyDescent="0.25">
      <c r="A40" s="60"/>
      <c r="B40" s="645"/>
      <c r="C40" s="645"/>
      <c r="D40" s="645"/>
      <c r="E40" s="645"/>
      <c r="F40" s="645"/>
      <c r="G40" s="645"/>
      <c r="N40" s="278"/>
      <c r="O40" s="278"/>
      <c r="P40" s="278"/>
      <c r="Q40" s="278"/>
      <c r="R40" s="278"/>
      <c r="V40" s="167"/>
      <c r="W40" s="167"/>
      <c r="X40" s="167"/>
      <c r="Y40" s="167"/>
      <c r="Z40" s="167"/>
      <c r="AA40" s="167"/>
      <c r="AB40" s="167"/>
      <c r="AC40" s="167"/>
    </row>
    <row r="41" spans="1:37" ht="15" customHeight="1" x14ac:dyDescent="0.25">
      <c r="A41" s="60"/>
      <c r="B41" s="645"/>
      <c r="C41" s="645"/>
      <c r="D41" s="645"/>
      <c r="E41" s="645"/>
      <c r="F41" s="645"/>
      <c r="G41" s="645"/>
      <c r="N41" s="278"/>
      <c r="O41" s="278"/>
      <c r="P41" s="278"/>
      <c r="Q41" s="278"/>
      <c r="R41" s="278"/>
      <c r="V41" s="167"/>
      <c r="W41" s="167"/>
      <c r="X41" s="167"/>
      <c r="Y41" s="167"/>
      <c r="Z41" s="167"/>
      <c r="AA41" s="167"/>
      <c r="AB41" s="167"/>
      <c r="AC41" s="167"/>
    </row>
    <row r="42" spans="1:37" ht="15" customHeight="1" x14ac:dyDescent="0.25">
      <c r="A42" s="60"/>
      <c r="B42" s="645"/>
      <c r="C42" s="645"/>
      <c r="D42" s="645"/>
      <c r="E42" s="645"/>
      <c r="F42" s="645"/>
      <c r="G42" s="645"/>
      <c r="N42" s="278"/>
      <c r="O42" s="278"/>
      <c r="P42" s="278"/>
      <c r="Q42" s="278"/>
      <c r="R42" s="278"/>
      <c r="V42" s="167"/>
      <c r="W42" s="167"/>
      <c r="X42" s="167"/>
      <c r="Y42" s="167"/>
      <c r="Z42" s="167"/>
      <c r="AA42" s="167"/>
      <c r="AB42" s="167"/>
      <c r="AC42" s="167"/>
    </row>
    <row r="43" spans="1:37" x14ac:dyDescent="0.25">
      <c r="A43" s="60"/>
      <c r="B43" s="76"/>
      <c r="C43" s="76"/>
      <c r="D43" s="76"/>
      <c r="E43" s="76"/>
      <c r="F43" s="76"/>
      <c r="G43" s="543"/>
      <c r="N43" s="278"/>
      <c r="O43" s="278"/>
      <c r="P43" s="278"/>
      <c r="Q43" s="278"/>
      <c r="R43" s="278"/>
      <c r="V43" s="167"/>
      <c r="W43" s="167"/>
      <c r="X43" s="167"/>
      <c r="Y43" s="167"/>
      <c r="Z43" s="167"/>
      <c r="AA43" s="167"/>
      <c r="AB43" s="167"/>
      <c r="AC43" s="167"/>
    </row>
    <row r="44" spans="1:37" ht="15" customHeight="1" x14ac:dyDescent="0.25">
      <c r="A44" s="60" t="s">
        <v>11</v>
      </c>
      <c r="B44" s="645" t="s">
        <v>381</v>
      </c>
      <c r="C44" s="645"/>
      <c r="D44" s="645"/>
      <c r="E44" s="645"/>
      <c r="F44" s="645"/>
      <c r="G44" s="645"/>
      <c r="N44" s="278"/>
      <c r="O44" s="278"/>
      <c r="P44" s="278"/>
      <c r="Q44" s="278"/>
      <c r="R44" s="278"/>
      <c r="V44" s="167"/>
      <c r="W44" s="167"/>
      <c r="X44" s="167"/>
      <c r="Y44" s="167"/>
      <c r="Z44" s="167"/>
      <c r="AA44" s="167"/>
      <c r="AB44" s="167"/>
      <c r="AC44" s="167"/>
    </row>
    <row r="45" spans="1:37" s="108" customFormat="1" x14ac:dyDescent="0.25">
      <c r="A45" s="60"/>
      <c r="B45" s="645"/>
      <c r="C45" s="645"/>
      <c r="D45" s="645"/>
      <c r="E45" s="645"/>
      <c r="F45" s="645"/>
      <c r="G45" s="645"/>
      <c r="H45" s="47"/>
      <c r="N45" s="278"/>
      <c r="O45" s="278"/>
      <c r="P45" s="278"/>
      <c r="Q45" s="278"/>
      <c r="R45" s="278"/>
      <c r="U45" s="167"/>
      <c r="V45" s="36"/>
      <c r="W45" s="167"/>
      <c r="X45" s="167"/>
      <c r="Y45" s="167"/>
      <c r="Z45" s="167"/>
      <c r="AA45" s="167"/>
      <c r="AB45" s="167"/>
      <c r="AC45" s="167"/>
      <c r="AK45" s="36"/>
    </row>
    <row r="46" spans="1:37" s="108" customFormat="1" x14ac:dyDescent="0.25">
      <c r="A46" s="60"/>
      <c r="B46" s="645"/>
      <c r="C46" s="645"/>
      <c r="D46" s="645"/>
      <c r="E46" s="645"/>
      <c r="F46" s="645"/>
      <c r="G46" s="645"/>
      <c r="H46" s="47"/>
      <c r="N46" s="278"/>
      <c r="O46" s="278"/>
      <c r="P46" s="278"/>
      <c r="Q46" s="278"/>
      <c r="R46" s="278"/>
      <c r="U46" s="167"/>
      <c r="V46" s="167"/>
      <c r="W46" s="167"/>
      <c r="X46" s="167"/>
      <c r="Y46" s="167"/>
      <c r="Z46" s="167"/>
      <c r="AA46" s="167"/>
      <c r="AB46" s="167"/>
      <c r="AC46" s="167"/>
    </row>
    <row r="47" spans="1:37" x14ac:dyDescent="0.25">
      <c r="A47" s="60"/>
      <c r="B47" s="645"/>
      <c r="C47" s="645"/>
      <c r="D47" s="645"/>
      <c r="E47" s="645"/>
      <c r="F47" s="645"/>
      <c r="G47" s="645"/>
      <c r="H47" s="15"/>
      <c r="N47" s="278"/>
      <c r="O47" s="278"/>
      <c r="P47" s="278"/>
      <c r="Q47" s="278"/>
      <c r="R47" s="278"/>
      <c r="V47" s="167"/>
      <c r="W47" s="167"/>
      <c r="X47" s="167"/>
      <c r="Y47" s="167"/>
      <c r="Z47" s="167"/>
      <c r="AA47" s="167"/>
      <c r="AB47" s="167"/>
      <c r="AC47" s="167"/>
    </row>
    <row r="48" spans="1:37" ht="15" customHeight="1" x14ac:dyDescent="0.25">
      <c r="A48" s="60"/>
      <c r="B48" s="645"/>
      <c r="C48" s="645"/>
      <c r="D48" s="645"/>
      <c r="E48" s="645"/>
      <c r="F48" s="645"/>
      <c r="G48" s="645"/>
      <c r="H48" s="15"/>
      <c r="N48" s="278"/>
      <c r="O48" s="278"/>
      <c r="P48" s="278"/>
      <c r="Q48" s="278"/>
      <c r="R48" s="278"/>
      <c r="V48" s="167"/>
      <c r="W48" s="167"/>
      <c r="X48" s="167"/>
      <c r="Y48" s="167"/>
      <c r="Z48" s="167"/>
      <c r="AA48" s="167"/>
      <c r="AB48" s="167"/>
      <c r="AC48" s="167"/>
    </row>
    <row r="49" spans="1:29" x14ac:dyDescent="0.25">
      <c r="A49" s="60"/>
      <c r="B49" s="645"/>
      <c r="C49" s="645"/>
      <c r="D49" s="645"/>
      <c r="E49" s="645"/>
      <c r="F49" s="645"/>
      <c r="G49" s="645"/>
      <c r="H49" s="15"/>
      <c r="N49" s="278"/>
      <c r="O49" s="278"/>
      <c r="P49" s="278"/>
      <c r="Q49" s="278"/>
      <c r="R49" s="278"/>
      <c r="V49" s="167"/>
      <c r="W49" s="167"/>
      <c r="X49" s="167"/>
      <c r="Y49" s="167"/>
      <c r="Z49" s="167"/>
      <c r="AA49" s="167"/>
      <c r="AB49" s="167"/>
      <c r="AC49" s="167"/>
    </row>
    <row r="50" spans="1:29" ht="15" customHeight="1" x14ac:dyDescent="0.25">
      <c r="A50" s="60"/>
      <c r="B50" s="76"/>
      <c r="C50" s="76"/>
      <c r="D50" s="76"/>
      <c r="E50" s="76"/>
      <c r="F50" s="76"/>
      <c r="G50" s="543"/>
      <c r="N50" s="278"/>
      <c r="O50" s="278"/>
      <c r="P50" s="278"/>
      <c r="Q50" s="278"/>
      <c r="R50" s="278"/>
      <c r="V50" s="167"/>
      <c r="W50" s="167"/>
      <c r="X50" s="167"/>
      <c r="Y50" s="167"/>
      <c r="Z50" s="167"/>
      <c r="AA50" s="167"/>
      <c r="AB50" s="167"/>
      <c r="AC50" s="167"/>
    </row>
    <row r="51" spans="1:29" x14ac:dyDescent="0.25">
      <c r="A51" s="7" t="s">
        <v>58</v>
      </c>
      <c r="B51" s="645" t="s">
        <v>609</v>
      </c>
      <c r="C51" s="645"/>
      <c r="D51" s="645"/>
      <c r="E51" s="645"/>
      <c r="F51" s="645"/>
      <c r="G51" s="645"/>
      <c r="N51" s="278"/>
      <c r="O51" s="278"/>
      <c r="P51" s="278"/>
      <c r="Q51" s="278"/>
      <c r="R51" s="278"/>
      <c r="V51" s="167"/>
      <c r="W51" s="167"/>
      <c r="X51" s="167"/>
      <c r="Y51" s="167"/>
      <c r="Z51" s="167"/>
      <c r="AA51" s="167"/>
      <c r="AB51" s="167"/>
      <c r="AC51" s="167"/>
    </row>
    <row r="52" spans="1:29" x14ac:dyDescent="0.25">
      <c r="A52" s="7"/>
      <c r="B52" s="645"/>
      <c r="C52" s="645"/>
      <c r="D52" s="645"/>
      <c r="E52" s="645"/>
      <c r="F52" s="645"/>
      <c r="G52" s="645"/>
      <c r="N52" s="278"/>
      <c r="O52" s="278"/>
      <c r="P52" s="278"/>
      <c r="Q52" s="278"/>
      <c r="R52" s="278"/>
      <c r="V52" s="167"/>
      <c r="W52" s="167"/>
      <c r="X52" s="167"/>
      <c r="Y52" s="167"/>
      <c r="Z52" s="167"/>
      <c r="AA52" s="167"/>
      <c r="AB52" s="167"/>
      <c r="AC52" s="167"/>
    </row>
    <row r="53" spans="1:29" x14ac:dyDescent="0.25">
      <c r="A53" s="7"/>
      <c r="B53" s="645"/>
      <c r="C53" s="645"/>
      <c r="D53" s="645"/>
      <c r="E53" s="645"/>
      <c r="F53" s="645"/>
      <c r="G53" s="645"/>
      <c r="N53" s="278"/>
      <c r="O53" s="278"/>
      <c r="P53" s="278"/>
      <c r="Q53" s="278"/>
      <c r="R53" s="278"/>
      <c r="V53" s="167"/>
      <c r="W53" s="167"/>
      <c r="X53" s="167"/>
      <c r="Y53" s="167"/>
      <c r="Z53" s="167"/>
      <c r="AA53" s="167"/>
      <c r="AB53" s="167"/>
      <c r="AC53" s="167"/>
    </row>
    <row r="54" spans="1:29" ht="15" customHeight="1" x14ac:dyDescent="0.25">
      <c r="A54" s="7"/>
      <c r="B54" s="76"/>
      <c r="C54" s="76"/>
      <c r="D54" s="76"/>
      <c r="E54" s="76"/>
      <c r="F54" s="76"/>
      <c r="G54" s="76"/>
      <c r="V54" s="167"/>
      <c r="W54" s="167"/>
      <c r="X54" s="167"/>
      <c r="Y54" s="167"/>
      <c r="Z54" s="167"/>
      <c r="AA54" s="167"/>
      <c r="AB54" s="167"/>
      <c r="AC54" s="167"/>
    </row>
    <row r="55" spans="1:29" x14ac:dyDescent="0.25">
      <c r="A55" s="7" t="s">
        <v>60</v>
      </c>
      <c r="B55" s="645" t="s">
        <v>609</v>
      </c>
      <c r="C55" s="645"/>
      <c r="D55" s="645"/>
      <c r="E55" s="645"/>
      <c r="F55" s="645"/>
      <c r="G55" s="645"/>
      <c r="V55" s="167"/>
      <c r="W55" s="167"/>
      <c r="X55" s="167"/>
      <c r="Y55" s="167"/>
      <c r="Z55" s="167"/>
      <c r="AA55" s="167"/>
      <c r="AB55" s="167"/>
      <c r="AC55" s="167"/>
    </row>
    <row r="56" spans="1:29" x14ac:dyDescent="0.25">
      <c r="A56" s="7"/>
      <c r="B56" s="645"/>
      <c r="C56" s="645"/>
      <c r="D56" s="645"/>
      <c r="E56" s="645"/>
      <c r="F56" s="645"/>
      <c r="G56" s="645"/>
      <c r="V56" s="167"/>
      <c r="W56" s="167"/>
      <c r="X56" s="167"/>
      <c r="Y56" s="167"/>
      <c r="Z56" s="167"/>
      <c r="AA56" s="167"/>
      <c r="AB56" s="167"/>
      <c r="AC56" s="167"/>
    </row>
    <row r="57" spans="1:29" ht="15" customHeight="1" x14ac:dyDescent="0.25">
      <c r="A57" s="7"/>
      <c r="B57" s="76"/>
      <c r="C57" s="76"/>
      <c r="D57" s="76"/>
      <c r="E57" s="76"/>
      <c r="F57" s="76"/>
      <c r="G57" s="543"/>
      <c r="V57" s="167"/>
      <c r="W57" s="167"/>
      <c r="X57" s="167"/>
      <c r="Y57" s="167"/>
      <c r="Z57" s="167"/>
      <c r="AA57" s="167"/>
      <c r="AB57" s="167"/>
      <c r="AC57" s="167"/>
    </row>
    <row r="58" spans="1:29" x14ac:dyDescent="0.25">
      <c r="A58" s="7"/>
      <c r="B58" s="76"/>
      <c r="C58" s="76"/>
      <c r="D58" s="76"/>
      <c r="E58" s="76"/>
      <c r="F58" s="76"/>
      <c r="G58" s="76"/>
      <c r="V58" s="167"/>
      <c r="W58" s="167"/>
      <c r="X58" s="167"/>
      <c r="Y58" s="167"/>
      <c r="Z58" s="167"/>
      <c r="AA58" s="167"/>
      <c r="AB58" s="167"/>
      <c r="AC58" s="167"/>
    </row>
    <row r="59" spans="1:29" x14ac:dyDescent="0.25">
      <c r="A59" s="7" t="s">
        <v>610</v>
      </c>
      <c r="B59" s="645" t="s">
        <v>621</v>
      </c>
      <c r="C59" s="645"/>
      <c r="D59" s="645"/>
      <c r="E59" s="645"/>
      <c r="F59" s="645"/>
      <c r="G59" s="645"/>
      <c r="I59" s="9"/>
      <c r="J59" s="9"/>
      <c r="K59" s="9"/>
      <c r="L59" s="9"/>
      <c r="M59" s="9"/>
      <c r="N59" s="9"/>
      <c r="O59" s="9"/>
      <c r="P59" s="9"/>
      <c r="Q59" s="9"/>
      <c r="R59" s="9"/>
      <c r="S59" s="9"/>
      <c r="T59" s="9"/>
      <c r="U59" s="9"/>
      <c r="V59" s="167"/>
      <c r="W59" s="167"/>
      <c r="X59" s="167"/>
      <c r="Y59" s="167"/>
      <c r="Z59" s="167"/>
      <c r="AA59" s="167"/>
      <c r="AB59" s="167"/>
      <c r="AC59" s="167"/>
    </row>
    <row r="60" spans="1:29" ht="15" customHeight="1" x14ac:dyDescent="0.25">
      <c r="A60" s="7"/>
      <c r="B60" s="645"/>
      <c r="C60" s="645"/>
      <c r="D60" s="645"/>
      <c r="E60" s="645"/>
      <c r="F60" s="645"/>
      <c r="G60" s="645"/>
      <c r="I60" s="9"/>
      <c r="J60" s="9"/>
      <c r="K60" s="9"/>
      <c r="L60" s="9"/>
      <c r="M60" s="9"/>
      <c r="N60" s="9"/>
      <c r="O60" s="9"/>
      <c r="P60" s="9"/>
      <c r="Q60" s="9"/>
      <c r="R60" s="9"/>
      <c r="S60" s="9"/>
      <c r="T60" s="9"/>
      <c r="U60" s="9"/>
      <c r="V60" s="167"/>
      <c r="W60" s="167"/>
      <c r="X60" s="167"/>
      <c r="Y60" s="167"/>
      <c r="Z60" s="167"/>
      <c r="AA60" s="167"/>
      <c r="AB60" s="167"/>
      <c r="AC60" s="167"/>
    </row>
    <row r="61" spans="1:29" x14ac:dyDescent="0.25">
      <c r="A61" s="7"/>
      <c r="B61" s="76"/>
      <c r="C61" s="76"/>
      <c r="D61" s="76"/>
      <c r="E61" s="76"/>
      <c r="F61" s="76"/>
      <c r="G61" s="543"/>
      <c r="I61" s="9"/>
      <c r="J61" s="9"/>
      <c r="K61" s="9"/>
      <c r="L61" s="9"/>
      <c r="M61" s="9"/>
      <c r="N61" s="9"/>
      <c r="O61" s="9"/>
      <c r="P61" s="9"/>
      <c r="Q61" s="9"/>
      <c r="R61" s="9"/>
      <c r="S61" s="9"/>
      <c r="T61" s="9"/>
      <c r="U61" s="9"/>
      <c r="V61" s="167"/>
      <c r="W61" s="167"/>
      <c r="X61" s="167"/>
      <c r="Y61" s="167"/>
      <c r="Z61" s="167"/>
      <c r="AA61" s="167"/>
      <c r="AB61" s="167"/>
      <c r="AC61" s="167"/>
    </row>
    <row r="62" spans="1:29" x14ac:dyDescent="0.25">
      <c r="A62" s="7" t="s">
        <v>625</v>
      </c>
      <c r="B62" s="645" t="s">
        <v>622</v>
      </c>
      <c r="C62" s="645"/>
      <c r="D62" s="645"/>
      <c r="E62" s="645"/>
      <c r="F62" s="645"/>
      <c r="G62" s="645"/>
      <c r="H62" s="9"/>
      <c r="I62" s="9"/>
      <c r="J62" s="9"/>
      <c r="K62" s="9"/>
      <c r="L62" s="9"/>
      <c r="M62" s="9"/>
      <c r="N62" s="9"/>
      <c r="O62" s="9"/>
      <c r="P62" s="9"/>
      <c r="Q62" s="9"/>
      <c r="R62" s="9"/>
      <c r="S62" s="9"/>
      <c r="T62" s="9"/>
      <c r="U62" s="9"/>
      <c r="V62" s="167"/>
      <c r="W62" s="167"/>
      <c r="X62" s="167"/>
      <c r="Y62" s="167"/>
      <c r="Z62" s="167"/>
      <c r="AA62" s="167"/>
      <c r="AB62" s="167"/>
      <c r="AC62" s="167"/>
    </row>
    <row r="63" spans="1:29" ht="15" customHeight="1" x14ac:dyDescent="0.25">
      <c r="A63" s="7"/>
      <c r="B63" s="645"/>
      <c r="C63" s="645"/>
      <c r="D63" s="645"/>
      <c r="E63" s="645"/>
      <c r="F63" s="645"/>
      <c r="G63" s="645"/>
      <c r="H63" s="9"/>
      <c r="I63" s="9"/>
      <c r="J63" s="9"/>
      <c r="K63" s="9"/>
      <c r="L63" s="9"/>
      <c r="M63" s="9"/>
      <c r="N63" s="9"/>
      <c r="O63" s="9"/>
      <c r="P63" s="9"/>
      <c r="Q63" s="9"/>
      <c r="R63" s="9"/>
      <c r="S63" s="9"/>
      <c r="T63" s="9"/>
      <c r="U63" s="9"/>
      <c r="V63" s="167"/>
      <c r="W63" s="167"/>
      <c r="X63" s="167"/>
      <c r="Y63" s="167"/>
      <c r="Z63" s="167"/>
      <c r="AA63" s="167"/>
      <c r="AB63" s="167"/>
      <c r="AC63" s="167"/>
    </row>
    <row r="64" spans="1:29" x14ac:dyDescent="0.25">
      <c r="A64" s="7"/>
      <c r="B64" s="543"/>
      <c r="C64" s="543"/>
      <c r="D64" s="543"/>
      <c r="E64" s="543"/>
      <c r="F64" s="543"/>
      <c r="G64" s="543"/>
      <c r="H64" s="9"/>
      <c r="I64" s="9"/>
      <c r="J64" s="9"/>
      <c r="K64" s="9"/>
      <c r="L64" s="9"/>
      <c r="M64" s="9"/>
      <c r="N64" s="9"/>
      <c r="O64" s="9"/>
      <c r="P64" s="9"/>
      <c r="Q64" s="9"/>
      <c r="R64" s="9"/>
      <c r="S64" s="9"/>
      <c r="T64" s="9"/>
      <c r="U64" s="9"/>
      <c r="V64" s="167"/>
      <c r="W64" s="167"/>
      <c r="X64" s="167"/>
      <c r="Y64" s="167"/>
      <c r="Z64" s="167"/>
      <c r="AA64" s="167"/>
      <c r="AB64" s="167"/>
      <c r="AC64" s="167"/>
    </row>
    <row r="65" spans="1:29" x14ac:dyDescent="0.25">
      <c r="A65" s="7" t="s">
        <v>626</v>
      </c>
      <c r="B65" s="658" t="s">
        <v>623</v>
      </c>
      <c r="C65" s="658"/>
      <c r="D65" s="658"/>
      <c r="E65" s="658"/>
      <c r="F65" s="658"/>
      <c r="G65" s="658"/>
      <c r="H65" s="9"/>
      <c r="I65" s="9"/>
      <c r="J65" s="9"/>
      <c r="K65" s="9"/>
      <c r="L65" s="9"/>
      <c r="M65" s="9"/>
      <c r="N65" s="9"/>
      <c r="O65" s="9"/>
      <c r="P65" s="9"/>
      <c r="Q65" s="9"/>
      <c r="R65" s="9"/>
      <c r="S65" s="9"/>
      <c r="T65" s="9"/>
      <c r="U65" s="9"/>
      <c r="V65" s="167"/>
      <c r="W65" s="167"/>
      <c r="X65" s="167"/>
      <c r="Y65" s="167"/>
      <c r="Z65" s="167"/>
      <c r="AA65" s="167"/>
      <c r="AB65" s="167"/>
      <c r="AC65" s="167"/>
    </row>
    <row r="66" spans="1:29" x14ac:dyDescent="0.25">
      <c r="A66" s="7"/>
      <c r="B66" s="658"/>
      <c r="C66" s="658"/>
      <c r="D66" s="658"/>
      <c r="E66" s="658"/>
      <c r="F66" s="658"/>
      <c r="G66" s="658"/>
      <c r="H66" s="9"/>
      <c r="I66" s="9"/>
      <c r="J66" s="9"/>
      <c r="K66" s="9"/>
      <c r="L66" s="9"/>
      <c r="M66" s="9"/>
      <c r="N66" s="9"/>
      <c r="O66" s="9"/>
      <c r="P66" s="9"/>
      <c r="Q66" s="9"/>
      <c r="R66" s="9"/>
      <c r="S66" s="9"/>
      <c r="T66" s="9"/>
      <c r="U66" s="9"/>
      <c r="V66" s="167"/>
      <c r="W66" s="167"/>
      <c r="X66" s="167"/>
      <c r="Y66" s="167"/>
      <c r="Z66" s="167"/>
      <c r="AA66" s="167"/>
      <c r="AB66" s="167"/>
      <c r="AC66" s="167"/>
    </row>
    <row r="67" spans="1:29" x14ac:dyDescent="0.25">
      <c r="A67" s="7"/>
      <c r="B67" s="543"/>
      <c r="C67" s="543"/>
      <c r="D67" s="543"/>
      <c r="E67" s="543"/>
      <c r="F67" s="543"/>
      <c r="G67" s="543"/>
      <c r="H67" s="9"/>
      <c r="I67" s="9"/>
      <c r="J67" s="9"/>
      <c r="K67" s="9"/>
      <c r="L67" s="9"/>
      <c r="M67" s="9"/>
      <c r="N67" s="9"/>
      <c r="O67" s="9"/>
      <c r="P67" s="9"/>
      <c r="Q67" s="9"/>
      <c r="R67" s="9"/>
      <c r="S67" s="9"/>
      <c r="T67" s="9"/>
      <c r="U67" s="9"/>
      <c r="V67" s="167"/>
      <c r="W67" s="167"/>
      <c r="X67" s="167"/>
      <c r="Y67" s="167"/>
      <c r="Z67" s="167"/>
      <c r="AA67" s="167"/>
      <c r="AB67" s="167"/>
      <c r="AC67" s="167"/>
    </row>
    <row r="68" spans="1:29" x14ac:dyDescent="0.25">
      <c r="A68" s="7" t="s">
        <v>627</v>
      </c>
      <c r="B68" s="658" t="s">
        <v>624</v>
      </c>
      <c r="C68" s="658"/>
      <c r="D68" s="658"/>
      <c r="E68" s="658"/>
      <c r="F68" s="658"/>
      <c r="G68" s="658"/>
      <c r="H68" s="9"/>
      <c r="I68" s="9"/>
      <c r="J68" s="9"/>
      <c r="K68" s="9"/>
      <c r="L68" s="9"/>
      <c r="M68" s="9"/>
      <c r="N68" s="9"/>
      <c r="O68" s="9"/>
      <c r="P68" s="9"/>
      <c r="Q68" s="9"/>
      <c r="R68" s="9"/>
      <c r="S68" s="9"/>
      <c r="T68" s="9"/>
      <c r="U68" s="9"/>
      <c r="V68" s="167"/>
      <c r="W68" s="167"/>
      <c r="X68" s="167"/>
      <c r="Y68" s="167"/>
      <c r="Z68" s="167"/>
      <c r="AA68" s="167"/>
      <c r="AB68" s="167"/>
      <c r="AC68" s="167"/>
    </row>
    <row r="69" spans="1:29" x14ac:dyDescent="0.25">
      <c r="A69" s="7"/>
      <c r="B69" s="658"/>
      <c r="C69" s="658"/>
      <c r="D69" s="658"/>
      <c r="E69" s="658"/>
      <c r="F69" s="658"/>
      <c r="G69" s="658"/>
      <c r="H69" s="9"/>
      <c r="I69" s="9"/>
      <c r="J69" s="9"/>
      <c r="K69" s="9"/>
      <c r="L69" s="9"/>
      <c r="M69" s="9"/>
      <c r="N69" s="9"/>
      <c r="O69" s="9"/>
      <c r="P69" s="9"/>
      <c r="Q69" s="9"/>
      <c r="R69" s="9"/>
      <c r="S69" s="9"/>
      <c r="T69" s="9"/>
      <c r="U69" s="9"/>
      <c r="V69" s="167"/>
      <c r="W69" s="167"/>
      <c r="X69" s="167"/>
      <c r="Y69" s="167"/>
      <c r="Z69" s="167"/>
      <c r="AA69" s="167"/>
      <c r="AB69" s="167"/>
      <c r="AC69" s="167"/>
    </row>
    <row r="70" spans="1:29" x14ac:dyDescent="0.25">
      <c r="A70" s="543"/>
      <c r="B70" s="658"/>
      <c r="C70" s="658"/>
      <c r="D70" s="658"/>
      <c r="E70" s="658"/>
      <c r="F70" s="658"/>
      <c r="G70" s="658"/>
      <c r="H70" s="9"/>
      <c r="I70" s="9"/>
      <c r="J70" s="9"/>
      <c r="K70" s="9"/>
      <c r="L70" s="9"/>
      <c r="M70" s="9"/>
      <c r="N70" s="9"/>
      <c r="O70" s="9"/>
      <c r="P70" s="9"/>
      <c r="Q70" s="9"/>
      <c r="R70" s="9"/>
      <c r="S70" s="9"/>
      <c r="T70" s="9"/>
      <c r="U70" s="9"/>
      <c r="V70" s="167"/>
      <c r="W70" s="167"/>
      <c r="X70" s="167"/>
      <c r="Y70" s="167"/>
      <c r="Z70" s="167"/>
      <c r="AA70" s="167"/>
      <c r="AB70" s="167"/>
      <c r="AC70" s="167"/>
    </row>
    <row r="71" spans="1:29" x14ac:dyDescent="0.25">
      <c r="A71" s="543"/>
      <c r="B71" s="543"/>
      <c r="C71" s="543"/>
      <c r="D71" s="543"/>
      <c r="E71" s="543"/>
      <c r="F71" s="543"/>
      <c r="G71" s="543"/>
      <c r="H71" s="9"/>
      <c r="I71" s="9"/>
      <c r="J71" s="9"/>
      <c r="K71" s="9"/>
      <c r="L71" s="9"/>
      <c r="M71" s="9"/>
      <c r="N71" s="9"/>
      <c r="O71" s="9"/>
      <c r="P71" s="9"/>
      <c r="Q71" s="9"/>
      <c r="R71" s="9"/>
      <c r="S71" s="9"/>
      <c r="T71" s="9"/>
      <c r="U71" s="9"/>
      <c r="V71" s="167"/>
      <c r="W71" s="167"/>
      <c r="X71" s="167"/>
      <c r="Y71" s="167"/>
      <c r="Z71" s="167"/>
      <c r="AA71" s="167"/>
      <c r="AB71" s="167"/>
      <c r="AC71" s="167"/>
    </row>
    <row r="72" spans="1:29" x14ac:dyDescent="0.25">
      <c r="A72" s="543"/>
      <c r="B72" s="543"/>
      <c r="C72" s="543"/>
      <c r="D72" s="543"/>
      <c r="E72" s="543"/>
      <c r="F72" s="543"/>
      <c r="G72" s="543"/>
      <c r="H72" s="9"/>
      <c r="I72" s="9"/>
      <c r="J72" s="9"/>
      <c r="K72" s="9"/>
      <c r="L72" s="9"/>
      <c r="M72" s="9"/>
      <c r="N72" s="9"/>
      <c r="O72" s="9"/>
      <c r="P72" s="9"/>
      <c r="Q72" s="9"/>
      <c r="R72" s="9"/>
      <c r="S72" s="9"/>
      <c r="T72" s="9"/>
      <c r="U72" s="9"/>
      <c r="V72" s="167"/>
      <c r="W72" s="167"/>
      <c r="X72" s="167"/>
      <c r="Y72" s="167"/>
      <c r="Z72" s="167"/>
      <c r="AA72" s="167"/>
      <c r="AB72" s="167"/>
      <c r="AC72" s="167"/>
    </row>
    <row r="73" spans="1:29" x14ac:dyDescent="0.25">
      <c r="A73" s="543"/>
      <c r="B73" s="543"/>
      <c r="C73" s="543"/>
      <c r="D73" s="543"/>
      <c r="E73" s="543"/>
      <c r="F73" s="543"/>
      <c r="G73" s="543"/>
      <c r="H73" s="9"/>
      <c r="I73" s="9"/>
      <c r="J73" s="9"/>
      <c r="K73" s="9"/>
      <c r="L73" s="9"/>
      <c r="M73" s="9"/>
      <c r="N73" s="9"/>
      <c r="O73" s="9"/>
      <c r="P73" s="9"/>
      <c r="Q73" s="9"/>
      <c r="R73" s="9"/>
      <c r="S73" s="9"/>
      <c r="T73" s="9"/>
      <c r="U73" s="9"/>
      <c r="V73" s="167"/>
      <c r="W73" s="167"/>
      <c r="X73" s="167"/>
      <c r="Y73" s="167"/>
      <c r="Z73" s="167"/>
      <c r="AA73" s="167"/>
      <c r="AB73" s="167"/>
      <c r="AC73" s="167"/>
    </row>
    <row r="74" spans="1:29" x14ac:dyDescent="0.25">
      <c r="A74" s="543"/>
      <c r="B74" s="543"/>
      <c r="C74" s="543"/>
      <c r="D74" s="543"/>
      <c r="E74" s="543"/>
      <c r="F74" s="543"/>
      <c r="G74" s="543"/>
      <c r="H74" s="9"/>
      <c r="I74" s="9"/>
      <c r="J74" s="9"/>
      <c r="K74" s="9"/>
      <c r="L74" s="9"/>
      <c r="M74" s="9"/>
      <c r="N74" s="9"/>
      <c r="O74" s="9"/>
      <c r="P74" s="9"/>
      <c r="Q74" s="9"/>
      <c r="R74" s="9"/>
      <c r="S74" s="9"/>
      <c r="T74" s="9"/>
      <c r="U74" s="9"/>
      <c r="V74" s="167"/>
      <c r="W74" s="167"/>
      <c r="X74" s="167"/>
      <c r="Y74" s="167"/>
      <c r="Z74" s="167"/>
      <c r="AA74" s="167"/>
      <c r="AB74" s="167"/>
      <c r="AC74" s="167"/>
    </row>
    <row r="75" spans="1:29" x14ac:dyDescent="0.25">
      <c r="H75" s="9"/>
      <c r="I75" s="9"/>
      <c r="J75" s="9"/>
      <c r="K75" s="9"/>
      <c r="L75" s="9"/>
      <c r="M75" s="9"/>
      <c r="N75" s="9"/>
      <c r="O75" s="9"/>
      <c r="P75" s="9"/>
      <c r="Q75" s="9"/>
      <c r="R75" s="9"/>
      <c r="S75" s="9"/>
      <c r="T75" s="9"/>
      <c r="U75" s="9"/>
      <c r="V75" s="167"/>
      <c r="W75" s="167"/>
      <c r="X75" s="167"/>
      <c r="Y75" s="167"/>
      <c r="Z75" s="167"/>
      <c r="AA75" s="167"/>
      <c r="AB75" s="167"/>
      <c r="AC75" s="167"/>
    </row>
    <row r="76" spans="1:29" x14ac:dyDescent="0.25">
      <c r="H76" s="9"/>
      <c r="I76" s="9"/>
      <c r="J76" s="9"/>
      <c r="K76" s="9"/>
      <c r="L76" s="9"/>
      <c r="M76" s="9"/>
      <c r="N76" s="9"/>
      <c r="O76" s="9"/>
      <c r="P76" s="9"/>
      <c r="Q76" s="9"/>
      <c r="R76" s="9"/>
      <c r="S76" s="9"/>
      <c r="T76" s="9"/>
      <c r="U76" s="9"/>
      <c r="V76" s="167"/>
      <c r="W76" s="167"/>
      <c r="X76" s="167"/>
      <c r="Y76" s="167"/>
      <c r="Z76" s="167"/>
      <c r="AA76" s="167"/>
      <c r="AB76" s="167"/>
      <c r="AC76" s="167"/>
    </row>
    <row r="77" spans="1:29" x14ac:dyDescent="0.25">
      <c r="H77" s="9"/>
      <c r="I77" s="9"/>
      <c r="J77" s="9"/>
      <c r="K77" s="9"/>
      <c r="L77" s="9"/>
      <c r="M77" s="9"/>
      <c r="N77" s="9"/>
      <c r="O77" s="9"/>
      <c r="P77" s="9"/>
      <c r="Q77" s="9"/>
      <c r="R77" s="9"/>
      <c r="S77" s="9"/>
      <c r="T77" s="9"/>
      <c r="U77" s="9"/>
      <c r="V77" s="167"/>
      <c r="W77" s="167"/>
      <c r="X77" s="167"/>
      <c r="Y77" s="167"/>
      <c r="Z77" s="167"/>
      <c r="AA77" s="167"/>
      <c r="AB77" s="167"/>
      <c r="AC77" s="167"/>
    </row>
    <row r="78" spans="1:29" x14ac:dyDescent="0.25">
      <c r="H78" s="9"/>
      <c r="I78" s="9"/>
      <c r="J78" s="9"/>
      <c r="K78" s="9"/>
      <c r="L78" s="9"/>
      <c r="M78" s="9"/>
      <c r="N78" s="9"/>
      <c r="O78" s="9"/>
      <c r="P78" s="9"/>
      <c r="Q78" s="9"/>
      <c r="R78" s="9"/>
      <c r="S78" s="9"/>
      <c r="T78" s="9"/>
      <c r="U78" s="9"/>
      <c r="V78" s="167"/>
      <c r="W78" s="167"/>
      <c r="X78" s="167"/>
      <c r="Y78" s="167"/>
      <c r="Z78" s="167"/>
      <c r="AA78" s="167"/>
      <c r="AB78" s="167"/>
      <c r="AC78" s="167"/>
    </row>
    <row r="79" spans="1:29" x14ac:dyDescent="0.25">
      <c r="H79" s="9"/>
      <c r="I79" s="9"/>
      <c r="J79" s="9"/>
      <c r="K79" s="9"/>
      <c r="L79" s="9"/>
      <c r="M79" s="9"/>
      <c r="N79" s="9"/>
      <c r="O79" s="9"/>
      <c r="P79" s="9"/>
      <c r="Q79" s="9"/>
      <c r="R79" s="9"/>
      <c r="S79" s="9"/>
      <c r="T79" s="9"/>
      <c r="U79" s="9"/>
      <c r="V79" s="167"/>
      <c r="W79" s="167"/>
      <c r="X79" s="167"/>
      <c r="Y79" s="167"/>
      <c r="Z79" s="167"/>
      <c r="AA79" s="167"/>
      <c r="AB79" s="167"/>
      <c r="AC79" s="167"/>
    </row>
    <row r="80" spans="1:29" x14ac:dyDescent="0.25">
      <c r="H80" s="9"/>
      <c r="I80" s="9"/>
      <c r="J80" s="9"/>
      <c r="K80" s="9"/>
      <c r="L80" s="9"/>
      <c r="M80" s="9"/>
      <c r="N80" s="9"/>
      <c r="O80" s="9"/>
      <c r="P80" s="9"/>
      <c r="Q80" s="9"/>
      <c r="R80" s="9"/>
      <c r="S80" s="9"/>
      <c r="T80" s="9"/>
      <c r="U80" s="9"/>
      <c r="V80" s="167"/>
      <c r="W80" s="167"/>
      <c r="X80" s="167"/>
      <c r="Y80" s="167"/>
      <c r="Z80" s="167"/>
      <c r="AA80" s="167"/>
      <c r="AB80" s="167"/>
      <c r="AC80" s="167"/>
    </row>
    <row r="81" spans="8:29" x14ac:dyDescent="0.25">
      <c r="H81" s="9"/>
      <c r="I81" s="9"/>
      <c r="J81" s="9"/>
      <c r="K81" s="9"/>
      <c r="L81" s="9"/>
      <c r="M81" s="9"/>
      <c r="N81" s="9"/>
      <c r="O81" s="9"/>
      <c r="P81" s="9"/>
      <c r="Q81" s="9"/>
      <c r="R81" s="9"/>
      <c r="S81" s="9"/>
      <c r="T81" s="9"/>
      <c r="U81" s="9"/>
      <c r="V81" s="167"/>
      <c r="W81" s="167"/>
      <c r="X81" s="167"/>
      <c r="Y81" s="167"/>
      <c r="Z81" s="167"/>
      <c r="AA81" s="167"/>
      <c r="AB81" s="167"/>
      <c r="AC81" s="167"/>
    </row>
    <row r="82" spans="8:29" x14ac:dyDescent="0.25">
      <c r="H82" s="9"/>
      <c r="I82" s="9"/>
      <c r="J82" s="9"/>
      <c r="K82" s="9"/>
      <c r="L82" s="9"/>
      <c r="M82" s="9"/>
      <c r="N82" s="9"/>
      <c r="O82" s="9"/>
      <c r="P82" s="9"/>
      <c r="Q82" s="9"/>
      <c r="R82" s="9"/>
      <c r="S82" s="9"/>
      <c r="T82" s="9"/>
      <c r="U82" s="9"/>
      <c r="V82" s="167"/>
      <c r="W82" s="167"/>
      <c r="X82" s="167"/>
      <c r="Y82" s="167"/>
      <c r="Z82" s="167"/>
      <c r="AA82" s="167"/>
      <c r="AB82" s="167"/>
      <c r="AC82" s="167"/>
    </row>
    <row r="83" spans="8:29" x14ac:dyDescent="0.25">
      <c r="H83" s="9"/>
      <c r="I83" s="9"/>
      <c r="J83" s="9"/>
      <c r="K83" s="9"/>
      <c r="L83" s="9"/>
      <c r="M83" s="9"/>
      <c r="N83" s="9"/>
      <c r="O83" s="9"/>
      <c r="P83" s="9"/>
      <c r="Q83" s="9"/>
      <c r="R83" s="9"/>
      <c r="S83" s="9"/>
      <c r="T83" s="9"/>
      <c r="U83" s="9"/>
      <c r="V83" s="167"/>
      <c r="W83" s="167"/>
      <c r="X83" s="167"/>
      <c r="Y83" s="167"/>
      <c r="Z83" s="167"/>
      <c r="AA83" s="167"/>
      <c r="AB83" s="167"/>
      <c r="AC83" s="167"/>
    </row>
    <row r="84" spans="8:29" x14ac:dyDescent="0.25">
      <c r="H84" s="9"/>
      <c r="I84" s="9"/>
      <c r="J84" s="9"/>
      <c r="K84" s="9"/>
      <c r="L84" s="9"/>
      <c r="M84" s="9"/>
      <c r="N84" s="9"/>
      <c r="O84" s="9"/>
      <c r="P84" s="9"/>
      <c r="Q84" s="9"/>
      <c r="R84" s="9"/>
      <c r="S84" s="9"/>
      <c r="T84" s="9"/>
      <c r="U84" s="9"/>
      <c r="V84" s="167"/>
      <c r="W84" s="167"/>
      <c r="X84" s="167"/>
      <c r="Y84" s="167"/>
      <c r="Z84" s="167"/>
      <c r="AA84" s="167"/>
      <c r="AB84" s="167"/>
      <c r="AC84" s="167"/>
    </row>
    <row r="85" spans="8:29" x14ac:dyDescent="0.25">
      <c r="H85" s="9"/>
      <c r="I85" s="9"/>
      <c r="J85" s="9"/>
      <c r="K85" s="9"/>
      <c r="L85" s="9"/>
      <c r="M85" s="9"/>
      <c r="N85" s="9"/>
      <c r="O85" s="9"/>
      <c r="P85" s="9"/>
      <c r="Q85" s="9"/>
      <c r="R85" s="9"/>
      <c r="S85" s="9"/>
      <c r="T85" s="9"/>
      <c r="U85" s="9"/>
      <c r="V85" s="167"/>
      <c r="W85" s="167"/>
      <c r="X85" s="167"/>
      <c r="Y85" s="167"/>
      <c r="Z85" s="167"/>
      <c r="AA85" s="167"/>
      <c r="AB85" s="167"/>
      <c r="AC85" s="167"/>
    </row>
    <row r="86" spans="8:29" x14ac:dyDescent="0.25">
      <c r="H86" s="9"/>
      <c r="I86" s="9"/>
      <c r="J86" s="9"/>
      <c r="K86" s="9"/>
      <c r="L86" s="9"/>
      <c r="M86" s="9"/>
      <c r="N86" s="9"/>
      <c r="O86" s="9"/>
      <c r="P86" s="9"/>
      <c r="Q86" s="9"/>
      <c r="R86" s="9"/>
      <c r="S86" s="9"/>
      <c r="T86" s="9"/>
      <c r="U86" s="9"/>
      <c r="V86" s="167"/>
      <c r="W86" s="167"/>
      <c r="X86" s="167"/>
      <c r="Y86" s="167"/>
      <c r="Z86" s="167"/>
      <c r="AA86" s="167"/>
      <c r="AB86" s="167"/>
      <c r="AC86" s="167"/>
    </row>
    <row r="87" spans="8:29" x14ac:dyDescent="0.25">
      <c r="H87" s="9"/>
      <c r="I87" s="9"/>
      <c r="J87" s="9"/>
      <c r="K87" s="9"/>
      <c r="L87" s="9"/>
      <c r="M87" s="9"/>
      <c r="N87" s="9"/>
      <c r="O87" s="9"/>
      <c r="P87" s="9"/>
      <c r="Q87" s="9"/>
      <c r="R87" s="9"/>
      <c r="S87" s="9"/>
      <c r="T87" s="9"/>
      <c r="U87" s="9"/>
      <c r="V87" s="167"/>
      <c r="W87" s="167"/>
      <c r="X87" s="167"/>
      <c r="Y87" s="167"/>
      <c r="Z87" s="167"/>
      <c r="AA87" s="167"/>
      <c r="AB87" s="167"/>
      <c r="AC87" s="167"/>
    </row>
    <row r="88" spans="8:29" x14ac:dyDescent="0.25">
      <c r="H88" s="9"/>
      <c r="I88" s="9"/>
      <c r="J88" s="9"/>
      <c r="K88" s="9"/>
      <c r="L88" s="9"/>
      <c r="M88" s="9"/>
      <c r="N88" s="9"/>
      <c r="O88" s="9"/>
      <c r="P88" s="9"/>
      <c r="Q88" s="9"/>
      <c r="R88" s="9"/>
      <c r="S88" s="9"/>
      <c r="T88" s="9"/>
      <c r="U88" s="9"/>
      <c r="V88" s="167"/>
      <c r="W88" s="167"/>
      <c r="X88" s="167"/>
      <c r="Y88" s="167"/>
      <c r="Z88" s="167"/>
      <c r="AA88" s="167"/>
      <c r="AB88" s="167"/>
      <c r="AC88" s="167"/>
    </row>
    <row r="89" spans="8:29" x14ac:dyDescent="0.25">
      <c r="H89" s="9"/>
      <c r="I89" s="9"/>
      <c r="J89" s="9"/>
      <c r="K89" s="9"/>
      <c r="L89" s="9"/>
      <c r="M89" s="9"/>
      <c r="N89" s="9"/>
      <c r="O89" s="9"/>
      <c r="P89" s="9"/>
      <c r="Q89" s="9"/>
      <c r="R89" s="9"/>
      <c r="S89" s="9"/>
      <c r="T89" s="9"/>
      <c r="U89" s="9"/>
      <c r="V89" s="167"/>
      <c r="W89" s="167"/>
      <c r="X89" s="167"/>
      <c r="Y89" s="167"/>
      <c r="Z89" s="167"/>
      <c r="AA89" s="167"/>
      <c r="AB89" s="167"/>
      <c r="AC89" s="167"/>
    </row>
    <row r="90" spans="8:29" x14ac:dyDescent="0.25">
      <c r="H90" s="9"/>
      <c r="I90" s="9"/>
      <c r="J90" s="9"/>
      <c r="K90" s="9"/>
      <c r="L90" s="9"/>
      <c r="M90" s="9"/>
      <c r="N90" s="9"/>
      <c r="O90" s="9"/>
      <c r="P90" s="9"/>
      <c r="Q90" s="9"/>
      <c r="R90" s="9"/>
      <c r="S90" s="9"/>
      <c r="T90" s="9"/>
      <c r="U90" s="9"/>
      <c r="V90" s="167"/>
      <c r="W90" s="167"/>
      <c r="X90" s="167"/>
      <c r="Y90" s="167"/>
      <c r="Z90" s="167"/>
      <c r="AA90" s="167"/>
      <c r="AB90" s="167"/>
      <c r="AC90" s="167"/>
    </row>
    <row r="91" spans="8:29" x14ac:dyDescent="0.25">
      <c r="H91" s="9"/>
      <c r="I91" s="9"/>
      <c r="J91" s="9"/>
      <c r="K91" s="9"/>
      <c r="L91" s="9"/>
      <c r="M91" s="9"/>
      <c r="N91" s="9"/>
      <c r="O91" s="9"/>
      <c r="P91" s="9"/>
      <c r="Q91" s="9"/>
      <c r="R91" s="9"/>
      <c r="S91" s="9"/>
      <c r="T91" s="9"/>
      <c r="U91" s="9"/>
      <c r="V91" s="167"/>
      <c r="W91" s="167"/>
      <c r="X91" s="167"/>
      <c r="Y91" s="167"/>
      <c r="Z91" s="167"/>
      <c r="AA91" s="167"/>
      <c r="AB91" s="167"/>
      <c r="AC91" s="167"/>
    </row>
    <row r="92" spans="8:29" x14ac:dyDescent="0.25">
      <c r="H92" s="9"/>
      <c r="I92" s="9"/>
      <c r="J92" s="9"/>
      <c r="K92" s="9"/>
      <c r="L92" s="9"/>
      <c r="M92" s="9"/>
      <c r="N92" s="9"/>
      <c r="O92" s="9"/>
      <c r="P92" s="9"/>
      <c r="Q92" s="9"/>
      <c r="R92" s="9"/>
      <c r="S92" s="9"/>
      <c r="T92" s="9"/>
      <c r="U92" s="9"/>
      <c r="V92" s="167"/>
      <c r="W92" s="167"/>
      <c r="X92" s="167"/>
      <c r="Y92" s="167"/>
      <c r="Z92" s="167"/>
      <c r="AA92" s="167"/>
      <c r="AB92" s="167"/>
      <c r="AC92" s="167"/>
    </row>
    <row r="93" spans="8:29" x14ac:dyDescent="0.25">
      <c r="H93" s="9"/>
      <c r="I93" s="9"/>
      <c r="J93" s="9"/>
      <c r="K93" s="9"/>
      <c r="L93" s="9"/>
      <c r="M93" s="9"/>
      <c r="N93" s="9"/>
      <c r="O93" s="9"/>
      <c r="P93" s="9"/>
      <c r="Q93" s="9"/>
      <c r="R93" s="9"/>
      <c r="S93" s="9"/>
      <c r="T93" s="9"/>
      <c r="U93" s="9"/>
      <c r="V93" s="167"/>
      <c r="W93" s="167"/>
      <c r="X93" s="167"/>
      <c r="Y93" s="167"/>
      <c r="Z93" s="167"/>
      <c r="AA93" s="167"/>
      <c r="AB93" s="167"/>
      <c r="AC93" s="167"/>
    </row>
    <row r="94" spans="8:29" x14ac:dyDescent="0.25">
      <c r="H94" s="9"/>
      <c r="I94" s="9"/>
      <c r="J94" s="9"/>
      <c r="K94" s="9"/>
      <c r="L94" s="9"/>
      <c r="M94" s="9"/>
      <c r="N94" s="9"/>
      <c r="O94" s="9"/>
      <c r="P94" s="9"/>
      <c r="Q94" s="9"/>
      <c r="R94" s="9"/>
      <c r="S94" s="9"/>
      <c r="T94" s="9"/>
      <c r="U94" s="9"/>
      <c r="V94" s="167"/>
      <c r="W94" s="167"/>
      <c r="X94" s="167"/>
      <c r="Y94" s="167"/>
      <c r="Z94" s="167"/>
      <c r="AA94" s="167"/>
      <c r="AB94" s="167"/>
      <c r="AC94" s="167"/>
    </row>
    <row r="95" spans="8:29" x14ac:dyDescent="0.25">
      <c r="H95" s="9"/>
      <c r="I95" s="9"/>
      <c r="J95" s="9"/>
      <c r="K95" s="9"/>
      <c r="L95" s="9"/>
      <c r="M95" s="9"/>
      <c r="N95" s="9"/>
      <c r="O95" s="9"/>
      <c r="P95" s="9"/>
      <c r="Q95" s="9"/>
      <c r="R95" s="9"/>
      <c r="S95" s="9"/>
      <c r="T95" s="9"/>
      <c r="U95" s="9"/>
      <c r="V95" s="167"/>
      <c r="W95" s="167"/>
      <c r="X95" s="167"/>
      <c r="Y95" s="167"/>
      <c r="Z95" s="167"/>
      <c r="AA95" s="167"/>
      <c r="AB95" s="167"/>
      <c r="AC95" s="167"/>
    </row>
    <row r="96" spans="8:29" x14ac:dyDescent="0.25">
      <c r="H96" s="9"/>
      <c r="I96" s="9"/>
      <c r="J96" s="9"/>
      <c r="K96" s="9"/>
      <c r="L96" s="9"/>
      <c r="M96" s="9"/>
      <c r="N96" s="9"/>
      <c r="O96" s="9"/>
      <c r="P96" s="9"/>
      <c r="Q96" s="9"/>
      <c r="R96" s="9"/>
      <c r="S96" s="9"/>
      <c r="T96" s="9"/>
      <c r="U96" s="9"/>
      <c r="V96" s="167"/>
      <c r="W96" s="167"/>
      <c r="X96" s="167"/>
      <c r="Y96" s="167"/>
      <c r="Z96" s="167"/>
      <c r="AA96" s="167"/>
      <c r="AB96" s="167"/>
      <c r="AC96" s="167"/>
    </row>
    <row r="97" spans="8:29" x14ac:dyDescent="0.25">
      <c r="H97" s="9"/>
      <c r="I97" s="9"/>
      <c r="J97" s="9"/>
      <c r="K97" s="9"/>
      <c r="L97" s="9"/>
      <c r="M97" s="9"/>
      <c r="N97" s="9"/>
      <c r="O97" s="9"/>
      <c r="P97" s="9"/>
      <c r="Q97" s="9"/>
      <c r="R97" s="9"/>
      <c r="S97" s="9"/>
      <c r="T97" s="9"/>
      <c r="U97" s="9"/>
      <c r="V97" s="167"/>
      <c r="W97" s="167"/>
      <c r="X97" s="167"/>
      <c r="Y97" s="167"/>
      <c r="Z97" s="167"/>
      <c r="AA97" s="167"/>
      <c r="AB97" s="167"/>
      <c r="AC97" s="167"/>
    </row>
    <row r="98" spans="8:29" x14ac:dyDescent="0.25">
      <c r="H98" s="9"/>
      <c r="I98" s="9"/>
      <c r="J98" s="9"/>
      <c r="K98" s="9"/>
      <c r="L98" s="9"/>
      <c r="M98" s="9"/>
      <c r="N98" s="9"/>
      <c r="O98" s="9"/>
      <c r="P98" s="9"/>
      <c r="Q98" s="9"/>
      <c r="R98" s="9"/>
      <c r="S98" s="9"/>
      <c r="T98" s="9"/>
      <c r="U98" s="9"/>
      <c r="V98" s="167"/>
      <c r="W98" s="167"/>
      <c r="X98" s="167"/>
      <c r="Y98" s="167"/>
      <c r="Z98" s="167"/>
      <c r="AA98" s="167"/>
      <c r="AB98" s="167"/>
      <c r="AC98" s="167"/>
    </row>
    <row r="99" spans="8:29" x14ac:dyDescent="0.25">
      <c r="H99" s="9"/>
      <c r="I99" s="9"/>
      <c r="J99" s="9"/>
      <c r="K99" s="9"/>
      <c r="L99" s="9"/>
      <c r="M99" s="9"/>
      <c r="N99" s="9"/>
      <c r="O99" s="9"/>
      <c r="P99" s="9"/>
      <c r="Q99" s="9"/>
      <c r="R99" s="9"/>
      <c r="S99" s="9"/>
      <c r="T99" s="9"/>
      <c r="U99" s="9"/>
      <c r="V99" s="167"/>
      <c r="W99" s="167"/>
      <c r="X99" s="167"/>
      <c r="Y99" s="167"/>
      <c r="Z99" s="167"/>
      <c r="AA99" s="167"/>
      <c r="AB99" s="167"/>
      <c r="AC99" s="167"/>
    </row>
    <row r="100" spans="8:29" x14ac:dyDescent="0.25">
      <c r="H100" s="9"/>
      <c r="I100" s="9"/>
      <c r="J100" s="9"/>
      <c r="K100" s="9"/>
      <c r="L100" s="9"/>
      <c r="M100" s="9"/>
      <c r="N100" s="9"/>
      <c r="O100" s="9"/>
      <c r="P100" s="9"/>
      <c r="Q100" s="9"/>
      <c r="R100" s="9"/>
      <c r="S100" s="9"/>
      <c r="T100" s="9"/>
      <c r="U100" s="9"/>
      <c r="V100" s="167"/>
      <c r="W100" s="167"/>
      <c r="X100" s="167"/>
      <c r="Y100" s="167"/>
      <c r="Z100" s="167"/>
      <c r="AA100" s="167"/>
      <c r="AB100" s="167"/>
      <c r="AC100" s="167"/>
    </row>
    <row r="101" spans="8:29" x14ac:dyDescent="0.25">
      <c r="H101" s="9"/>
      <c r="I101" s="9"/>
      <c r="J101" s="9"/>
      <c r="K101" s="9"/>
      <c r="L101" s="9"/>
      <c r="M101" s="9"/>
      <c r="N101" s="9"/>
      <c r="O101" s="9"/>
      <c r="P101" s="9"/>
      <c r="Q101" s="9"/>
      <c r="R101" s="9"/>
      <c r="S101" s="9"/>
      <c r="T101" s="9"/>
      <c r="U101" s="9"/>
      <c r="V101" s="167"/>
      <c r="W101" s="167"/>
      <c r="X101" s="167"/>
      <c r="Y101" s="167"/>
      <c r="Z101" s="167"/>
      <c r="AA101" s="167"/>
      <c r="AB101" s="167"/>
      <c r="AC101" s="167"/>
    </row>
    <row r="102" spans="8:29" x14ac:dyDescent="0.25">
      <c r="H102" s="9"/>
      <c r="I102" s="9"/>
      <c r="J102" s="9"/>
      <c r="K102" s="9"/>
      <c r="L102" s="9"/>
      <c r="M102" s="9"/>
      <c r="N102" s="9"/>
      <c r="O102" s="9"/>
      <c r="P102" s="9"/>
      <c r="Q102" s="9"/>
      <c r="R102" s="9"/>
      <c r="S102" s="9"/>
      <c r="T102" s="9"/>
      <c r="U102" s="9"/>
      <c r="V102" s="167"/>
      <c r="W102" s="167"/>
      <c r="X102" s="167"/>
      <c r="Y102" s="167"/>
      <c r="Z102" s="167"/>
      <c r="AA102" s="167"/>
      <c r="AB102" s="167"/>
      <c r="AC102" s="167"/>
    </row>
    <row r="103" spans="8:29" x14ac:dyDescent="0.25">
      <c r="H103" s="9"/>
      <c r="I103" s="9"/>
      <c r="J103" s="9"/>
      <c r="K103" s="9"/>
      <c r="L103" s="9"/>
      <c r="M103" s="9"/>
      <c r="N103" s="9"/>
      <c r="O103" s="9"/>
      <c r="P103" s="9"/>
      <c r="Q103" s="9"/>
      <c r="R103" s="9"/>
      <c r="S103" s="9"/>
      <c r="T103" s="9"/>
      <c r="U103" s="9"/>
      <c r="V103" s="167"/>
      <c r="W103" s="167"/>
      <c r="X103" s="167"/>
      <c r="Y103" s="167"/>
      <c r="Z103" s="167"/>
      <c r="AA103" s="167"/>
      <c r="AB103" s="167"/>
      <c r="AC103" s="167"/>
    </row>
    <row r="104" spans="8:29" x14ac:dyDescent="0.25">
      <c r="H104" s="9"/>
      <c r="I104" s="9"/>
      <c r="J104" s="9"/>
      <c r="K104" s="9"/>
      <c r="L104" s="9"/>
      <c r="M104" s="9"/>
      <c r="N104" s="9"/>
      <c r="O104" s="9"/>
      <c r="P104" s="9"/>
      <c r="Q104" s="9"/>
      <c r="R104" s="9"/>
      <c r="S104" s="9"/>
      <c r="T104" s="9"/>
      <c r="U104" s="9"/>
      <c r="V104" s="167"/>
      <c r="W104" s="167"/>
      <c r="X104" s="167"/>
      <c r="Y104" s="167"/>
      <c r="Z104" s="167"/>
      <c r="AA104" s="167"/>
      <c r="AB104" s="167"/>
      <c r="AC104" s="167"/>
    </row>
    <row r="105" spans="8:29" x14ac:dyDescent="0.25">
      <c r="H105" s="9"/>
      <c r="I105" s="9"/>
      <c r="J105" s="9"/>
      <c r="K105" s="9"/>
      <c r="L105" s="9"/>
      <c r="M105" s="9"/>
      <c r="N105" s="9"/>
      <c r="O105" s="9"/>
      <c r="P105" s="9"/>
      <c r="Q105" s="9"/>
      <c r="R105" s="9"/>
      <c r="S105" s="9"/>
      <c r="T105" s="9"/>
      <c r="U105" s="9"/>
      <c r="V105" s="167"/>
      <c r="W105" s="167"/>
      <c r="X105" s="167"/>
      <c r="Y105" s="167"/>
      <c r="Z105" s="167"/>
      <c r="AA105" s="167"/>
      <c r="AB105" s="167"/>
      <c r="AC105" s="167"/>
    </row>
    <row r="106" spans="8:29" x14ac:dyDescent="0.25">
      <c r="H106" s="9"/>
      <c r="I106" s="9"/>
      <c r="J106" s="9"/>
      <c r="K106" s="9"/>
      <c r="L106" s="9"/>
      <c r="M106" s="9"/>
      <c r="N106" s="9"/>
      <c r="O106" s="9"/>
      <c r="P106" s="9"/>
      <c r="Q106" s="9"/>
      <c r="R106" s="9"/>
      <c r="S106" s="9"/>
      <c r="T106" s="9"/>
      <c r="U106" s="9"/>
      <c r="V106" s="167"/>
      <c r="W106" s="167"/>
      <c r="X106" s="167"/>
      <c r="Y106" s="167"/>
      <c r="Z106" s="167"/>
      <c r="AA106" s="167"/>
      <c r="AB106" s="167"/>
      <c r="AC106" s="167"/>
    </row>
    <row r="107" spans="8:29" x14ac:dyDescent="0.25">
      <c r="H107" s="9"/>
      <c r="I107" s="9"/>
      <c r="J107" s="9"/>
      <c r="K107" s="9"/>
      <c r="L107" s="9"/>
      <c r="M107" s="9"/>
      <c r="N107" s="9"/>
      <c r="O107" s="9"/>
      <c r="P107" s="9"/>
      <c r="Q107" s="9"/>
      <c r="R107" s="9"/>
      <c r="S107" s="9"/>
      <c r="T107" s="9"/>
      <c r="U107" s="9"/>
      <c r="V107" s="167"/>
      <c r="W107" s="167"/>
      <c r="X107" s="167"/>
      <c r="Y107" s="167"/>
      <c r="Z107" s="167"/>
      <c r="AA107" s="167"/>
      <c r="AB107" s="167"/>
      <c r="AC107" s="167"/>
    </row>
    <row r="108" spans="8:29" x14ac:dyDescent="0.25">
      <c r="H108" s="9"/>
      <c r="I108" s="9"/>
      <c r="J108" s="9"/>
      <c r="K108" s="9"/>
      <c r="L108" s="9"/>
      <c r="M108" s="9"/>
      <c r="N108" s="9"/>
      <c r="O108" s="9"/>
      <c r="P108" s="9"/>
      <c r="Q108" s="9"/>
      <c r="R108" s="9"/>
      <c r="S108" s="9"/>
      <c r="T108" s="9"/>
      <c r="U108" s="9"/>
      <c r="V108" s="167"/>
      <c r="W108" s="167"/>
      <c r="X108" s="167"/>
      <c r="Y108" s="167"/>
      <c r="Z108" s="167"/>
      <c r="AA108" s="167"/>
      <c r="AB108" s="167"/>
      <c r="AC108" s="167"/>
    </row>
    <row r="109" spans="8:29" x14ac:dyDescent="0.25">
      <c r="H109" s="9"/>
      <c r="I109" s="9"/>
      <c r="J109" s="9"/>
      <c r="K109" s="9"/>
      <c r="L109" s="9"/>
      <c r="M109" s="9"/>
      <c r="N109" s="9"/>
      <c r="O109" s="9"/>
      <c r="P109" s="9"/>
      <c r="Q109" s="9"/>
      <c r="R109" s="9"/>
      <c r="S109" s="9"/>
      <c r="T109" s="9"/>
      <c r="U109" s="9"/>
      <c r="V109" s="167"/>
      <c r="W109" s="167"/>
      <c r="X109" s="167"/>
      <c r="Y109" s="167"/>
      <c r="Z109" s="167"/>
      <c r="AA109" s="167"/>
      <c r="AB109" s="167"/>
      <c r="AC109" s="167"/>
    </row>
    <row r="110" spans="8:29" x14ac:dyDescent="0.25">
      <c r="H110" s="9"/>
      <c r="I110" s="9"/>
      <c r="J110" s="9"/>
      <c r="K110" s="9"/>
      <c r="L110" s="9"/>
      <c r="M110" s="9"/>
      <c r="N110" s="9"/>
      <c r="O110" s="9"/>
      <c r="P110" s="9"/>
      <c r="Q110" s="9"/>
      <c r="R110" s="9"/>
      <c r="S110" s="9"/>
      <c r="T110" s="9"/>
      <c r="U110" s="9"/>
      <c r="V110" s="167"/>
      <c r="W110" s="167"/>
      <c r="X110" s="167"/>
      <c r="Y110" s="167"/>
      <c r="Z110" s="167"/>
      <c r="AA110" s="167"/>
      <c r="AB110" s="167"/>
      <c r="AC110" s="167"/>
    </row>
    <row r="111" spans="8:29" x14ac:dyDescent="0.25">
      <c r="H111" s="9"/>
      <c r="I111" s="9"/>
      <c r="J111" s="9"/>
      <c r="K111" s="9"/>
      <c r="L111" s="9"/>
      <c r="M111" s="9"/>
      <c r="N111" s="9"/>
      <c r="O111" s="9"/>
      <c r="P111" s="9"/>
      <c r="Q111" s="9"/>
      <c r="R111" s="9"/>
      <c r="S111" s="9"/>
      <c r="T111" s="9"/>
      <c r="U111" s="9"/>
      <c r="V111" s="167"/>
      <c r="W111" s="167"/>
      <c r="X111" s="167"/>
      <c r="Y111" s="167"/>
      <c r="Z111" s="167"/>
      <c r="AA111" s="167"/>
      <c r="AB111" s="167"/>
      <c r="AC111" s="167"/>
    </row>
    <row r="112" spans="8:29" x14ac:dyDescent="0.25">
      <c r="H112" s="9"/>
      <c r="I112" s="9"/>
      <c r="J112" s="9"/>
      <c r="K112" s="9"/>
      <c r="L112" s="9"/>
      <c r="M112" s="9"/>
      <c r="N112" s="9"/>
      <c r="O112" s="9"/>
      <c r="P112" s="9"/>
      <c r="Q112" s="9"/>
      <c r="R112" s="9"/>
      <c r="S112" s="9"/>
      <c r="T112" s="9"/>
      <c r="U112" s="9"/>
      <c r="V112" s="167"/>
      <c r="W112" s="167"/>
      <c r="X112" s="167"/>
      <c r="Y112" s="167"/>
      <c r="Z112" s="167"/>
      <c r="AA112" s="167"/>
      <c r="AB112" s="167"/>
      <c r="AC112" s="167"/>
    </row>
    <row r="113" spans="8:29" x14ac:dyDescent="0.25">
      <c r="H113" s="9"/>
      <c r="I113" s="9"/>
      <c r="J113" s="9"/>
      <c r="K113" s="9"/>
      <c r="L113" s="9"/>
      <c r="M113" s="9"/>
      <c r="N113" s="9"/>
      <c r="O113" s="9"/>
      <c r="P113" s="9"/>
      <c r="Q113" s="9"/>
      <c r="R113" s="9"/>
      <c r="S113" s="9"/>
      <c r="T113" s="9"/>
      <c r="U113" s="9"/>
      <c r="V113" s="167"/>
      <c r="W113" s="167"/>
      <c r="X113" s="167"/>
      <c r="Y113" s="167"/>
      <c r="Z113" s="167"/>
      <c r="AA113" s="167"/>
      <c r="AB113" s="167"/>
      <c r="AC113" s="167"/>
    </row>
    <row r="114" spans="8:29" x14ac:dyDescent="0.25">
      <c r="H114" s="9"/>
      <c r="I114" s="9"/>
      <c r="J114" s="9"/>
      <c r="K114" s="9"/>
      <c r="L114" s="9"/>
      <c r="M114" s="9"/>
      <c r="N114" s="9"/>
      <c r="O114" s="9"/>
      <c r="P114" s="9"/>
      <c r="Q114" s="9"/>
      <c r="R114" s="9"/>
      <c r="S114" s="9"/>
      <c r="T114" s="9"/>
      <c r="U114" s="9"/>
      <c r="V114" s="167"/>
      <c r="W114" s="167"/>
      <c r="X114" s="167"/>
      <c r="Y114" s="167"/>
      <c r="Z114" s="167"/>
      <c r="AA114" s="167"/>
      <c r="AB114" s="167"/>
      <c r="AC114" s="167"/>
    </row>
    <row r="115" spans="8:29" x14ac:dyDescent="0.25">
      <c r="H115" s="9"/>
      <c r="V115" s="167"/>
      <c r="W115" s="167"/>
      <c r="X115" s="167"/>
      <c r="Y115" s="167"/>
      <c r="Z115" s="167"/>
      <c r="AA115" s="167"/>
      <c r="AB115" s="167"/>
      <c r="AC115" s="167"/>
    </row>
    <row r="116" spans="8:29" x14ac:dyDescent="0.25">
      <c r="H116" s="9"/>
      <c r="V116" s="167"/>
      <c r="W116" s="167"/>
      <c r="X116" s="167"/>
      <c r="Y116" s="167"/>
      <c r="Z116" s="167"/>
      <c r="AA116" s="167"/>
      <c r="AB116" s="167"/>
      <c r="AC116" s="167"/>
    </row>
    <row r="117" spans="8:29" x14ac:dyDescent="0.25">
      <c r="H117" s="9"/>
      <c r="V117" s="167"/>
      <c r="W117" s="167"/>
      <c r="X117" s="167"/>
      <c r="Y117" s="167"/>
      <c r="Z117" s="167"/>
      <c r="AA117" s="167"/>
      <c r="AB117" s="167"/>
      <c r="AC117" s="167"/>
    </row>
  </sheetData>
  <mergeCells count="22">
    <mergeCell ref="B68:G70"/>
    <mergeCell ref="B55:G56"/>
    <mergeCell ref="B59:G60"/>
    <mergeCell ref="B62:G63"/>
    <mergeCell ref="B65:G66"/>
    <mergeCell ref="K5:L5"/>
    <mergeCell ref="K25:L25"/>
    <mergeCell ref="M25:N25"/>
    <mergeCell ref="K20:L20"/>
    <mergeCell ref="M20:N20"/>
    <mergeCell ref="H4:H5"/>
    <mergeCell ref="G4:G5"/>
    <mergeCell ref="B4:B5"/>
    <mergeCell ref="E4:E5"/>
    <mergeCell ref="F4:F5"/>
    <mergeCell ref="C4:C5"/>
    <mergeCell ref="D4:D5"/>
    <mergeCell ref="B29:G34"/>
    <mergeCell ref="B44:G49"/>
    <mergeCell ref="B39:G42"/>
    <mergeCell ref="B36:G37"/>
    <mergeCell ref="B51:G53"/>
  </mergeCells>
  <pageMargins left="0.25" right="0.25" top="0.75" bottom="0.75" header="0.3" footer="0.3"/>
  <pageSetup scale="4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7EF47-38A5-448B-8469-0B240B6BFC9C}">
  <sheetPr>
    <tabColor rgb="FF00B050"/>
    <pageSetUpPr fitToPage="1"/>
  </sheetPr>
  <dimension ref="A1:AK117"/>
  <sheetViews>
    <sheetView zoomScale="85" zoomScaleNormal="85" zoomScaleSheetLayoutView="70" zoomScalePageLayoutView="55" workbookViewId="0">
      <selection activeCell="C6" sqref="C6"/>
    </sheetView>
  </sheetViews>
  <sheetFormatPr defaultRowHeight="15" x14ac:dyDescent="0.25"/>
  <cols>
    <col min="1" max="1" width="3.7109375" style="287" customWidth="1"/>
    <col min="2" max="8" width="20.7109375" style="287" customWidth="1"/>
    <col min="9" max="9" width="5.7109375" style="287" customWidth="1"/>
    <col min="10" max="10" width="3" style="287" customWidth="1"/>
    <col min="11" max="11" width="39.140625" style="287" customWidth="1"/>
    <col min="12" max="12" width="29.28515625" style="287" bestFit="1" customWidth="1"/>
    <col min="13" max="13" width="39.140625" style="287" customWidth="1"/>
    <col min="14" max="14" width="29.28515625" style="287" bestFit="1" customWidth="1"/>
    <col min="15" max="15" width="16.28515625" style="287" customWidth="1"/>
    <col min="16" max="16" width="11.42578125" style="287" bestFit="1" customWidth="1"/>
    <col min="17" max="17" width="36.140625" style="287" customWidth="1"/>
    <col min="18" max="18" width="16.28515625" style="287" customWidth="1"/>
    <col min="19" max="21" width="4.5703125" style="287" customWidth="1"/>
    <col min="22" max="22" width="18" style="287" bestFit="1" customWidth="1"/>
    <col min="23" max="23" width="22.85546875" style="287" bestFit="1" customWidth="1"/>
    <col min="24" max="25" width="50.85546875" style="287" customWidth="1"/>
    <col min="26" max="26" width="16.28515625" style="287" bestFit="1" customWidth="1"/>
    <col min="27" max="16384" width="9.140625" style="287"/>
  </cols>
  <sheetData>
    <row r="1" spans="1:13" ht="14.25" customHeight="1" x14ac:dyDescent="0.25">
      <c r="A1" s="15"/>
      <c r="B1" s="290">
        <v>1</v>
      </c>
      <c r="C1" s="522">
        <v>2</v>
      </c>
      <c r="D1" s="522">
        <v>3</v>
      </c>
      <c r="E1" s="522">
        <v>4</v>
      </c>
      <c r="F1" s="522">
        <v>5</v>
      </c>
      <c r="G1" s="522">
        <v>6</v>
      </c>
      <c r="H1" s="522">
        <v>7</v>
      </c>
    </row>
    <row r="2" spans="1:13" x14ac:dyDescent="0.25">
      <c r="B2" s="6" t="s">
        <v>225</v>
      </c>
      <c r="C2" s="6"/>
      <c r="D2" s="6"/>
    </row>
    <row r="3" spans="1:13" ht="15.75" thickBot="1" x14ac:dyDescent="0.3">
      <c r="B3" s="367" t="s">
        <v>491</v>
      </c>
      <c r="K3" s="55"/>
    </row>
    <row r="4" spans="1:13" ht="35.1" customHeight="1" x14ac:dyDescent="0.25">
      <c r="B4" s="651" t="s">
        <v>0</v>
      </c>
      <c r="C4" s="651" t="s">
        <v>646</v>
      </c>
      <c r="D4" s="653" t="s">
        <v>126</v>
      </c>
      <c r="E4" s="651" t="s">
        <v>179</v>
      </c>
      <c r="F4" s="651" t="s">
        <v>178</v>
      </c>
      <c r="G4" s="649" t="s">
        <v>180</v>
      </c>
      <c r="H4" s="647" t="s">
        <v>1</v>
      </c>
      <c r="K4" s="62"/>
      <c r="L4" s="15"/>
      <c r="M4" s="20"/>
    </row>
    <row r="5" spans="1:13" ht="43.5" customHeight="1" thickBot="1" x14ac:dyDescent="0.3">
      <c r="B5" s="652"/>
      <c r="C5" s="652"/>
      <c r="D5" s="654"/>
      <c r="E5" s="652"/>
      <c r="F5" s="652"/>
      <c r="G5" s="650"/>
      <c r="H5" s="648"/>
      <c r="K5" s="655" t="s">
        <v>647</v>
      </c>
      <c r="L5" s="655"/>
      <c r="M5" s="28"/>
    </row>
    <row r="6" spans="1:13" x14ac:dyDescent="0.25">
      <c r="B6" s="1">
        <f>Assumptions!$D$7</f>
        <v>2024</v>
      </c>
      <c r="C6" s="145">
        <v>0</v>
      </c>
      <c r="D6" s="145">
        <v>0</v>
      </c>
      <c r="E6" s="156">
        <f>C6*$L$6</f>
        <v>0</v>
      </c>
      <c r="F6" s="156">
        <f>D6*$L$6</f>
        <v>0</v>
      </c>
      <c r="G6" s="157">
        <f>(E6-F6)</f>
        <v>0</v>
      </c>
      <c r="H6" s="156">
        <f>G6*(1+0.07)^-(B6-Assumptions!$D$4)</f>
        <v>0</v>
      </c>
      <c r="I6" s="15"/>
      <c r="K6" s="65" t="s">
        <v>20</v>
      </c>
      <c r="L6" s="67">
        <f>Assumptions!D24</f>
        <v>0.94</v>
      </c>
      <c r="M6" s="15" t="s">
        <v>240</v>
      </c>
    </row>
    <row r="7" spans="1:13" x14ac:dyDescent="0.25">
      <c r="B7" s="2">
        <f>B6+1</f>
        <v>2025</v>
      </c>
      <c r="C7" s="145">
        <v>0</v>
      </c>
      <c r="D7" s="145">
        <v>0</v>
      </c>
      <c r="E7" s="147">
        <f t="shared" ref="E7:E25" si="0">C7*$L$6</f>
        <v>0</v>
      </c>
      <c r="F7" s="147">
        <f t="shared" ref="F7:F25" si="1">D7*$L$6</f>
        <v>0</v>
      </c>
      <c r="G7" s="148">
        <f t="shared" ref="G7:G25" si="2">(E7-F7)</f>
        <v>0</v>
      </c>
      <c r="H7" s="147">
        <f>G7*(1+0.07)^-(B7-Assumptions!$D$4)</f>
        <v>0</v>
      </c>
      <c r="I7" s="15"/>
      <c r="M7" s="19"/>
    </row>
    <row r="8" spans="1:13" x14ac:dyDescent="0.25">
      <c r="B8" s="2">
        <f t="shared" ref="B8:B25" si="3">B7+1</f>
        <v>2026</v>
      </c>
      <c r="C8" s="145">
        <v>0</v>
      </c>
      <c r="D8" s="145">
        <v>0</v>
      </c>
      <c r="E8" s="147">
        <f t="shared" si="0"/>
        <v>0</v>
      </c>
      <c r="F8" s="147">
        <f t="shared" si="1"/>
        <v>0</v>
      </c>
      <c r="G8" s="148">
        <f t="shared" si="2"/>
        <v>0</v>
      </c>
      <c r="H8" s="147">
        <f>G8*(1+0.07)^-(B8-Assumptions!$D$4)</f>
        <v>0</v>
      </c>
      <c r="J8" s="61"/>
      <c r="K8" s="283" t="s">
        <v>194</v>
      </c>
      <c r="L8" s="283"/>
      <c r="M8" s="18"/>
    </row>
    <row r="9" spans="1:13" ht="15" customHeight="1" x14ac:dyDescent="0.25">
      <c r="B9" s="2">
        <f t="shared" si="3"/>
        <v>2027</v>
      </c>
      <c r="C9" s="145">
        <v>0</v>
      </c>
      <c r="D9" s="145">
        <v>0</v>
      </c>
      <c r="E9" s="147">
        <f t="shared" si="0"/>
        <v>0</v>
      </c>
      <c r="F9" s="147">
        <f t="shared" si="1"/>
        <v>0</v>
      </c>
      <c r="G9" s="148">
        <f t="shared" si="2"/>
        <v>0</v>
      </c>
      <c r="H9" s="147">
        <f>G9*(1+0.07)^-(B9-Assumptions!$D$4)</f>
        <v>0</v>
      </c>
      <c r="K9" s="65" t="s">
        <v>22</v>
      </c>
      <c r="L9" s="64">
        <f>Assumptions!D15</f>
        <v>0.28063241106719367</v>
      </c>
      <c r="M9" s="18" t="s">
        <v>382</v>
      </c>
    </row>
    <row r="10" spans="1:13" x14ac:dyDescent="0.25">
      <c r="B10" s="2">
        <f t="shared" si="3"/>
        <v>2028</v>
      </c>
      <c r="C10" s="145">
        <f t="shared" ref="C10:C25" si="4">TREND($L$27:$L$28,$K$27:$K$28,B10)</f>
        <v>7190874.7381422818</v>
      </c>
      <c r="D10" s="145">
        <f t="shared" ref="D10:D25" si="5">TREND($N$27:$N$28,$M$27:$M$28,B10)</f>
        <v>5273308.1413043439</v>
      </c>
      <c r="E10" s="147">
        <f t="shared" si="0"/>
        <v>6759422.2538537448</v>
      </c>
      <c r="F10" s="147">
        <f t="shared" si="1"/>
        <v>4956909.6528260829</v>
      </c>
      <c r="G10" s="148">
        <f t="shared" si="2"/>
        <v>1802512.6010276619</v>
      </c>
      <c r="H10" s="147">
        <f>G10*(1+0.07)^-(B10-Assumptions!$D$4)</f>
        <v>1049078.7448913078</v>
      </c>
      <c r="M10" s="48"/>
    </row>
    <row r="11" spans="1:13" x14ac:dyDescent="0.25">
      <c r="B11" s="2">
        <f t="shared" si="3"/>
        <v>2029</v>
      </c>
      <c r="C11" s="145">
        <f t="shared" si="4"/>
        <v>7307415.4150197506</v>
      </c>
      <c r="D11" s="145">
        <f t="shared" si="5"/>
        <v>5358771.3043478131</v>
      </c>
      <c r="E11" s="147">
        <f t="shared" si="0"/>
        <v>6868970.490118565</v>
      </c>
      <c r="F11" s="147">
        <f t="shared" si="1"/>
        <v>5037245.0260869442</v>
      </c>
      <c r="G11" s="148">
        <f t="shared" si="2"/>
        <v>1831725.4640316209</v>
      </c>
      <c r="H11" s="147">
        <f>G11*(1+0.07)^-(B11-Assumptions!$D$4)</f>
        <v>996337.28703740484</v>
      </c>
      <c r="K11" s="283" t="s">
        <v>632</v>
      </c>
      <c r="L11" s="283"/>
      <c r="M11" s="18"/>
    </row>
    <row r="12" spans="1:13" x14ac:dyDescent="0.25">
      <c r="B12" s="2">
        <f t="shared" si="3"/>
        <v>2030</v>
      </c>
      <c r="C12" s="145">
        <f t="shared" si="4"/>
        <v>7423956.0918972194</v>
      </c>
      <c r="D12" s="145">
        <f t="shared" si="5"/>
        <v>5444234.4673913121</v>
      </c>
      <c r="E12" s="147">
        <f t="shared" si="0"/>
        <v>6978518.7263833862</v>
      </c>
      <c r="F12" s="147">
        <f t="shared" si="1"/>
        <v>5117580.3993478334</v>
      </c>
      <c r="G12" s="148">
        <f t="shared" si="2"/>
        <v>1860938.3270355528</v>
      </c>
      <c r="H12" s="147">
        <f>G12*(1+0.07)^-(B12-Assumptions!$D$4)</f>
        <v>946006.68125488923</v>
      </c>
      <c r="K12" s="65" t="s">
        <v>27</v>
      </c>
      <c r="L12" s="144">
        <f>Assumptions!D17</f>
        <v>1</v>
      </c>
      <c r="M12" s="15" t="s">
        <v>240</v>
      </c>
    </row>
    <row r="13" spans="1:13" ht="15" customHeight="1" x14ac:dyDescent="0.25">
      <c r="B13" s="2">
        <f t="shared" si="3"/>
        <v>2031</v>
      </c>
      <c r="C13" s="145">
        <f t="shared" si="4"/>
        <v>7540496.7687746882</v>
      </c>
      <c r="D13" s="145">
        <f t="shared" si="5"/>
        <v>5529697.6304347813</v>
      </c>
      <c r="E13" s="147">
        <f t="shared" si="0"/>
        <v>7088066.9626482064</v>
      </c>
      <c r="F13" s="147">
        <f t="shared" si="1"/>
        <v>5197915.7726086937</v>
      </c>
      <c r="G13" s="148">
        <f t="shared" si="2"/>
        <v>1890151.1900395127</v>
      </c>
      <c r="H13" s="147">
        <f>G13*(1+0.07)^-(B13-Assumptions!$D$4)</f>
        <v>897997.21447119687</v>
      </c>
      <c r="M13" s="52"/>
    </row>
    <row r="14" spans="1:13" x14ac:dyDescent="0.25">
      <c r="B14" s="2">
        <f t="shared" si="3"/>
        <v>2032</v>
      </c>
      <c r="C14" s="145">
        <f t="shared" si="4"/>
        <v>7657037.4456521571</v>
      </c>
      <c r="D14" s="145">
        <f t="shared" si="5"/>
        <v>5615160.7934782505</v>
      </c>
      <c r="E14" s="147">
        <f t="shared" si="0"/>
        <v>7197615.1989130275</v>
      </c>
      <c r="F14" s="147">
        <f t="shared" si="1"/>
        <v>5278251.145869555</v>
      </c>
      <c r="G14" s="148">
        <f t="shared" si="2"/>
        <v>1919364.0530434726</v>
      </c>
      <c r="H14" s="147">
        <f>G14*(1+0.07)^-(B14-Assumptions!$D$4)</f>
        <v>852220.59368807077</v>
      </c>
      <c r="K14" s="283" t="s">
        <v>633</v>
      </c>
      <c r="L14" s="283"/>
      <c r="M14" s="18"/>
    </row>
    <row r="15" spans="1:13" x14ac:dyDescent="0.25">
      <c r="B15" s="2">
        <f t="shared" si="3"/>
        <v>2033</v>
      </c>
      <c r="C15" s="145">
        <f t="shared" si="4"/>
        <v>7773578.1225296259</v>
      </c>
      <c r="D15" s="145">
        <f t="shared" si="5"/>
        <v>5700623.9565217197</v>
      </c>
      <c r="E15" s="147">
        <f t="shared" si="0"/>
        <v>7307163.4351778477</v>
      </c>
      <c r="F15" s="147">
        <f t="shared" si="1"/>
        <v>5358586.5191304162</v>
      </c>
      <c r="G15" s="148">
        <f t="shared" si="2"/>
        <v>1948576.9160474315</v>
      </c>
      <c r="H15" s="147">
        <f>G15*(1+0.07)^-(B15-Assumptions!$D$4)</f>
        <v>808590.14413597167</v>
      </c>
      <c r="K15" s="289" t="s">
        <v>125</v>
      </c>
      <c r="L15" s="289" t="s">
        <v>200</v>
      </c>
      <c r="M15" s="19"/>
    </row>
    <row r="16" spans="1:13" x14ac:dyDescent="0.25">
      <c r="B16" s="2">
        <f t="shared" si="3"/>
        <v>2034</v>
      </c>
      <c r="C16" s="145">
        <f t="shared" si="4"/>
        <v>7890118.7994070947</v>
      </c>
      <c r="D16" s="145">
        <f t="shared" si="5"/>
        <v>5786087.1195652187</v>
      </c>
      <c r="E16" s="147">
        <f t="shared" si="0"/>
        <v>7416711.6714426689</v>
      </c>
      <c r="F16" s="147">
        <f t="shared" si="1"/>
        <v>5438921.8923913054</v>
      </c>
      <c r="G16" s="148">
        <f t="shared" si="2"/>
        <v>1977789.7790513635</v>
      </c>
      <c r="H16" s="147">
        <f>G16*(1+0.07)^-(B16-Assumptions!$D$4)</f>
        <v>767020.97542396444</v>
      </c>
      <c r="K16" s="282">
        <v>2021</v>
      </c>
      <c r="L16" s="282">
        <v>506</v>
      </c>
      <c r="M16" s="18" t="s">
        <v>382</v>
      </c>
    </row>
    <row r="17" spans="1:20" x14ac:dyDescent="0.25">
      <c r="B17" s="2">
        <f t="shared" si="3"/>
        <v>2035</v>
      </c>
      <c r="C17" s="145">
        <f t="shared" si="4"/>
        <v>8006659.4762845635</v>
      </c>
      <c r="D17" s="145">
        <f t="shared" si="5"/>
        <v>5871550.2826086879</v>
      </c>
      <c r="E17" s="147">
        <f t="shared" si="0"/>
        <v>7526259.9077074891</v>
      </c>
      <c r="F17" s="147">
        <f t="shared" si="1"/>
        <v>5519257.2656521667</v>
      </c>
      <c r="G17" s="148">
        <f t="shared" si="2"/>
        <v>2007002.6420553224</v>
      </c>
      <c r="H17" s="147">
        <f>G17*(1+0.07)^-(B17-Assumptions!$D$4)</f>
        <v>727430.11902465113</v>
      </c>
      <c r="K17" s="282">
        <v>2041</v>
      </c>
      <c r="L17" s="282">
        <v>691</v>
      </c>
      <c r="M17" s="18" t="s">
        <v>382</v>
      </c>
    </row>
    <row r="18" spans="1:20" x14ac:dyDescent="0.25">
      <c r="B18" s="2">
        <f t="shared" si="3"/>
        <v>2036</v>
      </c>
      <c r="C18" s="145">
        <f t="shared" si="4"/>
        <v>8123200.1531620324</v>
      </c>
      <c r="D18" s="145">
        <f t="shared" si="5"/>
        <v>5957013.4456521571</v>
      </c>
      <c r="E18" s="147">
        <f t="shared" si="0"/>
        <v>7635808.1439723102</v>
      </c>
      <c r="F18" s="147">
        <f t="shared" si="1"/>
        <v>5599592.638913027</v>
      </c>
      <c r="G18" s="148">
        <f t="shared" si="2"/>
        <v>2036215.5050592832</v>
      </c>
      <c r="H18" s="147">
        <f>G18*(1+0.07)^-(B18-Assumptions!$D$4)</f>
        <v>689736.64013345272</v>
      </c>
    </row>
    <row r="19" spans="1:20" x14ac:dyDescent="0.25">
      <c r="B19" s="2">
        <f t="shared" si="3"/>
        <v>2037</v>
      </c>
      <c r="C19" s="145">
        <f t="shared" si="4"/>
        <v>8239740.8300395012</v>
      </c>
      <c r="D19" s="145">
        <f t="shared" si="5"/>
        <v>6042476.6086956561</v>
      </c>
      <c r="E19" s="147">
        <f t="shared" si="0"/>
        <v>7745356.3802371304</v>
      </c>
      <c r="F19" s="147">
        <f t="shared" si="1"/>
        <v>5679928.0121739162</v>
      </c>
      <c r="G19" s="148">
        <f t="shared" si="2"/>
        <v>2065428.3680632142</v>
      </c>
      <c r="H19" s="147">
        <f>G19*(1+0.07)^-(B19-Assumptions!$D$4)</f>
        <v>653861.72666689381</v>
      </c>
      <c r="K19" s="286" t="s">
        <v>247</v>
      </c>
      <c r="L19" s="15"/>
      <c r="Q19" s="48"/>
    </row>
    <row r="20" spans="1:20" ht="14.25" customHeight="1" x14ac:dyDescent="0.25">
      <c r="B20" s="2">
        <f t="shared" si="3"/>
        <v>2038</v>
      </c>
      <c r="C20" s="145">
        <f t="shared" si="4"/>
        <v>8356281.5069169998</v>
      </c>
      <c r="D20" s="145">
        <f t="shared" si="5"/>
        <v>6127939.7717391253</v>
      </c>
      <c r="E20" s="147">
        <f t="shared" si="0"/>
        <v>7854904.6165019795</v>
      </c>
      <c r="F20" s="147">
        <f t="shared" si="1"/>
        <v>5760263.3854347775</v>
      </c>
      <c r="G20" s="148">
        <f t="shared" si="2"/>
        <v>2094641.2310672021</v>
      </c>
      <c r="H20" s="147">
        <f>G20*(1+0.07)^-(B20-Assumptions!$D$4)</f>
        <v>619728.75791223627</v>
      </c>
      <c r="K20" s="656" t="s">
        <v>243</v>
      </c>
      <c r="L20" s="657"/>
      <c r="M20" s="656" t="s">
        <v>238</v>
      </c>
      <c r="N20" s="657"/>
    </row>
    <row r="21" spans="1:20" x14ac:dyDescent="0.25">
      <c r="B21" s="2">
        <f t="shared" si="3"/>
        <v>2039</v>
      </c>
      <c r="C21" s="145">
        <f t="shared" si="4"/>
        <v>8472822.1837944686</v>
      </c>
      <c r="D21" s="145">
        <f t="shared" si="5"/>
        <v>6213402.9347825944</v>
      </c>
      <c r="E21" s="147">
        <f t="shared" si="0"/>
        <v>7964452.8527667997</v>
      </c>
      <c r="F21" s="147">
        <f t="shared" si="1"/>
        <v>5840598.7586956387</v>
      </c>
      <c r="G21" s="148">
        <f t="shared" si="2"/>
        <v>2123854.094071161</v>
      </c>
      <c r="H21" s="147">
        <f>G21*(1+0.07)^-(B21-Assumptions!$D$4)</f>
        <v>587263.35510986345</v>
      </c>
      <c r="K21" s="282" t="s">
        <v>241</v>
      </c>
      <c r="L21" s="289">
        <v>123</v>
      </c>
      <c r="M21" s="282" t="s">
        <v>241</v>
      </c>
      <c r="N21" s="289">
        <v>90.2</v>
      </c>
      <c r="O21" s="369" t="s">
        <v>492</v>
      </c>
    </row>
    <row r="22" spans="1:20" x14ac:dyDescent="0.25">
      <c r="B22" s="2">
        <f t="shared" si="3"/>
        <v>2040</v>
      </c>
      <c r="C22" s="145">
        <f t="shared" si="4"/>
        <v>8589362.8606719375</v>
      </c>
      <c r="D22" s="145">
        <f t="shared" si="5"/>
        <v>6298866.0978260934</v>
      </c>
      <c r="E22" s="147">
        <f t="shared" si="0"/>
        <v>8074001.0890316209</v>
      </c>
      <c r="F22" s="147">
        <f t="shared" si="1"/>
        <v>5920934.1319565279</v>
      </c>
      <c r="G22" s="148">
        <f t="shared" si="2"/>
        <v>2153066.9570750929</v>
      </c>
      <c r="H22" s="147">
        <f>G22*(1+0.07)^-(B22-Assumptions!$D$4)</f>
        <v>556393.41603883612</v>
      </c>
      <c r="K22" s="282" t="s">
        <v>242</v>
      </c>
      <c r="L22" s="289">
        <v>114</v>
      </c>
      <c r="M22" s="282" t="s">
        <v>242</v>
      </c>
      <c r="N22" s="289">
        <v>85</v>
      </c>
      <c r="O22" s="369" t="s">
        <v>492</v>
      </c>
    </row>
    <row r="23" spans="1:20" x14ac:dyDescent="0.25">
      <c r="B23" s="2">
        <f t="shared" si="3"/>
        <v>2041</v>
      </c>
      <c r="C23" s="145">
        <f t="shared" si="4"/>
        <v>8705903.5375494063</v>
      </c>
      <c r="D23" s="145">
        <f t="shared" si="5"/>
        <v>6384329.2608695626</v>
      </c>
      <c r="E23" s="147">
        <f t="shared" si="0"/>
        <v>8183549.3252964411</v>
      </c>
      <c r="F23" s="147">
        <f t="shared" si="1"/>
        <v>6001269.5052173883</v>
      </c>
      <c r="G23" s="148">
        <f t="shared" si="2"/>
        <v>2182279.8200790528</v>
      </c>
      <c r="H23" s="147">
        <f>G23*(1+0.07)^-(B23-Assumptions!$D$4)</f>
        <v>527049.135481923</v>
      </c>
    </row>
    <row r="24" spans="1:20" x14ac:dyDescent="0.25">
      <c r="B24" s="2">
        <f t="shared" si="3"/>
        <v>2042</v>
      </c>
      <c r="C24" s="145">
        <f t="shared" si="4"/>
        <v>8822444.2144268751</v>
      </c>
      <c r="D24" s="145">
        <f t="shared" si="5"/>
        <v>6469792.4239130318</v>
      </c>
      <c r="E24" s="147">
        <f t="shared" si="0"/>
        <v>8293097.5615612622</v>
      </c>
      <c r="F24" s="147">
        <f t="shared" si="1"/>
        <v>6081604.8784782495</v>
      </c>
      <c r="G24" s="148">
        <f t="shared" si="2"/>
        <v>2211492.6830830127</v>
      </c>
      <c r="H24" s="147">
        <f>G24*(1+0.07)^-(B24-Assumptions!$D$4)</f>
        <v>499163.01326969964</v>
      </c>
      <c r="K24" s="286" t="s">
        <v>251</v>
      </c>
    </row>
    <row r="25" spans="1:20" ht="15" customHeight="1" thickBot="1" x14ac:dyDescent="0.3">
      <c r="B25" s="3">
        <f t="shared" si="3"/>
        <v>2043</v>
      </c>
      <c r="C25" s="175">
        <f t="shared" si="4"/>
        <v>8938984.8913043439</v>
      </c>
      <c r="D25" s="175">
        <f t="shared" si="5"/>
        <v>6555255.586956501</v>
      </c>
      <c r="E25" s="180">
        <f t="shared" si="0"/>
        <v>8402645.7978260834</v>
      </c>
      <c r="F25" s="180">
        <f t="shared" si="1"/>
        <v>6161940.2517391108</v>
      </c>
      <c r="G25" s="181">
        <f t="shared" si="2"/>
        <v>2240705.5460869726</v>
      </c>
      <c r="H25" s="180">
        <f>G25*(1+0.07)^-(B25-Assumptions!$D$4)</f>
        <v>472669.85144137841</v>
      </c>
      <c r="K25" s="656" t="s">
        <v>243</v>
      </c>
      <c r="L25" s="657"/>
      <c r="M25" s="656" t="s">
        <v>238</v>
      </c>
      <c r="N25" s="657"/>
    </row>
    <row r="26" spans="1:20" ht="15" customHeight="1" thickBot="1" x14ac:dyDescent="0.3">
      <c r="B26" s="4"/>
      <c r="C26" s="4"/>
      <c r="D26" s="4"/>
      <c r="E26" s="46"/>
      <c r="F26" s="46"/>
      <c r="G26" s="66" t="s">
        <v>2</v>
      </c>
      <c r="H26" s="243">
        <f>SUM(H6:H25)</f>
        <v>11650547.65598174</v>
      </c>
      <c r="K26" s="282" t="s">
        <v>125</v>
      </c>
      <c r="L26" s="282" t="s">
        <v>190</v>
      </c>
      <c r="M26" s="282" t="s">
        <v>125</v>
      </c>
      <c r="N26" s="282" t="s">
        <v>190</v>
      </c>
    </row>
    <row r="27" spans="1:20" x14ac:dyDescent="0.25">
      <c r="A27" s="543"/>
      <c r="B27" s="543"/>
      <c r="C27" s="570"/>
      <c r="D27" s="570"/>
      <c r="E27" s="570"/>
      <c r="F27" s="570"/>
      <c r="G27" s="570"/>
      <c r="H27" s="570"/>
      <c r="I27" s="24"/>
      <c r="K27" s="282">
        <v>2021</v>
      </c>
      <c r="L27" s="178">
        <f>$L$9*L16*$L$21*365</f>
        <v>6375090</v>
      </c>
      <c r="M27" s="282">
        <v>2021</v>
      </c>
      <c r="N27" s="178">
        <f>$L$9*L16*$N$21*365</f>
        <v>4675066</v>
      </c>
      <c r="O27" s="287" t="s">
        <v>246</v>
      </c>
      <c r="P27" s="360"/>
      <c r="Q27" s="361"/>
    </row>
    <row r="28" spans="1:20" x14ac:dyDescent="0.25">
      <c r="A28" s="15"/>
      <c r="B28" s="16" t="s">
        <v>3</v>
      </c>
      <c r="C28" s="16"/>
      <c r="D28" s="16"/>
      <c r="E28" s="15"/>
      <c r="F28" s="15"/>
      <c r="G28" s="543"/>
      <c r="H28" s="279"/>
      <c r="I28" s="20"/>
      <c r="K28" s="282">
        <v>2041</v>
      </c>
      <c r="L28" s="178">
        <f>$L$9*L17*$L$21*365</f>
        <v>8705903.5375494063</v>
      </c>
      <c r="M28" s="282">
        <v>2041</v>
      </c>
      <c r="N28" s="178">
        <f>$L$9*L17*$N$21*365</f>
        <v>6384329.2608695654</v>
      </c>
      <c r="O28" s="287" t="s">
        <v>246</v>
      </c>
      <c r="T28" s="20"/>
    </row>
    <row r="29" spans="1:20" ht="15" customHeight="1" x14ac:dyDescent="0.25">
      <c r="A29" s="60" t="s">
        <v>9</v>
      </c>
      <c r="B29" s="645" t="s">
        <v>608</v>
      </c>
      <c r="C29" s="645"/>
      <c r="D29" s="645"/>
      <c r="E29" s="645"/>
      <c r="F29" s="645"/>
      <c r="G29" s="645"/>
      <c r="I29" s="20"/>
    </row>
    <row r="30" spans="1:20" x14ac:dyDescent="0.25">
      <c r="A30" s="60"/>
      <c r="B30" s="645"/>
      <c r="C30" s="645"/>
      <c r="D30" s="645"/>
      <c r="E30" s="645"/>
      <c r="F30" s="645"/>
      <c r="G30" s="645"/>
      <c r="H30" s="15"/>
    </row>
    <row r="31" spans="1:20" x14ac:dyDescent="0.25">
      <c r="A31" s="60"/>
      <c r="B31" s="645"/>
      <c r="C31" s="645"/>
      <c r="D31" s="645"/>
      <c r="E31" s="645"/>
      <c r="F31" s="645"/>
      <c r="G31" s="645"/>
      <c r="H31" s="15"/>
    </row>
    <row r="32" spans="1:20" x14ac:dyDescent="0.25">
      <c r="A32" s="60"/>
      <c r="B32" s="645"/>
      <c r="C32" s="645"/>
      <c r="D32" s="645"/>
      <c r="E32" s="645"/>
      <c r="F32" s="645"/>
      <c r="G32" s="645"/>
      <c r="H32" s="15"/>
    </row>
    <row r="33" spans="1:37" ht="15" customHeight="1" x14ac:dyDescent="0.25">
      <c r="A33" s="60"/>
      <c r="B33" s="645"/>
      <c r="C33" s="645"/>
      <c r="D33" s="645"/>
      <c r="E33" s="645"/>
      <c r="F33" s="645"/>
      <c r="G33" s="645"/>
      <c r="H33" s="15"/>
      <c r="I33" s="20"/>
    </row>
    <row r="34" spans="1:37" ht="15" customHeight="1" x14ac:dyDescent="0.25">
      <c r="A34" s="60"/>
      <c r="B34" s="645"/>
      <c r="C34" s="645"/>
      <c r="D34" s="645"/>
      <c r="E34" s="645"/>
      <c r="F34" s="645"/>
      <c r="G34" s="645"/>
      <c r="H34" s="15"/>
      <c r="I34" s="20"/>
    </row>
    <row r="35" spans="1:37" ht="15" customHeight="1" x14ac:dyDescent="0.25">
      <c r="A35" s="60"/>
      <c r="B35" s="76"/>
      <c r="C35" s="76"/>
      <c r="D35" s="76"/>
      <c r="E35" s="76"/>
      <c r="F35" s="76"/>
      <c r="G35" s="543"/>
      <c r="I35" s="28"/>
    </row>
    <row r="36" spans="1:37" ht="15" customHeight="1" x14ac:dyDescent="0.25">
      <c r="A36" s="60" t="s">
        <v>8</v>
      </c>
      <c r="B36" s="645" t="s">
        <v>384</v>
      </c>
      <c r="C36" s="645"/>
      <c r="D36" s="645"/>
      <c r="E36" s="645"/>
      <c r="F36" s="645"/>
      <c r="G36" s="645"/>
      <c r="I36" s="33"/>
    </row>
    <row r="37" spans="1:37" x14ac:dyDescent="0.25">
      <c r="A37" s="60"/>
      <c r="B37" s="645"/>
      <c r="C37" s="645"/>
      <c r="D37" s="645"/>
      <c r="E37" s="645"/>
      <c r="F37" s="645"/>
      <c r="G37" s="645"/>
    </row>
    <row r="38" spans="1:37" x14ac:dyDescent="0.25">
      <c r="A38" s="60"/>
      <c r="B38" s="605"/>
      <c r="C38" s="605"/>
      <c r="D38" s="605"/>
      <c r="E38" s="605"/>
      <c r="F38" s="605"/>
      <c r="G38" s="605"/>
    </row>
    <row r="39" spans="1:37" ht="15" customHeight="1" x14ac:dyDescent="0.25">
      <c r="A39" s="60" t="s">
        <v>10</v>
      </c>
      <c r="B39" s="645" t="s">
        <v>628</v>
      </c>
      <c r="C39" s="645"/>
      <c r="D39" s="645"/>
      <c r="E39" s="645"/>
      <c r="F39" s="645"/>
      <c r="G39" s="645"/>
    </row>
    <row r="40" spans="1:37" ht="15" customHeight="1" x14ac:dyDescent="0.25">
      <c r="A40" s="60"/>
      <c r="B40" s="645"/>
      <c r="C40" s="645"/>
      <c r="D40" s="645"/>
      <c r="E40" s="645"/>
      <c r="F40" s="645"/>
      <c r="G40" s="645"/>
    </row>
    <row r="41" spans="1:37" ht="15" customHeight="1" x14ac:dyDescent="0.25">
      <c r="A41" s="60"/>
      <c r="B41" s="645"/>
      <c r="C41" s="645"/>
      <c r="D41" s="645"/>
      <c r="E41" s="645"/>
      <c r="F41" s="645"/>
      <c r="G41" s="645"/>
    </row>
    <row r="42" spans="1:37" ht="15" customHeight="1" x14ac:dyDescent="0.25">
      <c r="A42" s="60"/>
      <c r="B42" s="645"/>
      <c r="C42" s="645"/>
      <c r="D42" s="645"/>
      <c r="E42" s="645"/>
      <c r="F42" s="645"/>
      <c r="G42" s="645"/>
    </row>
    <row r="43" spans="1:37" x14ac:dyDescent="0.25">
      <c r="A43" s="60"/>
      <c r="B43" s="76"/>
      <c r="C43" s="76"/>
      <c r="D43" s="76"/>
      <c r="E43" s="76"/>
      <c r="F43" s="76"/>
      <c r="G43" s="543"/>
    </row>
    <row r="44" spans="1:37" ht="15" customHeight="1" x14ac:dyDescent="0.25">
      <c r="A44" s="60" t="s">
        <v>11</v>
      </c>
      <c r="B44" s="645" t="s">
        <v>381</v>
      </c>
      <c r="C44" s="645"/>
      <c r="D44" s="645"/>
      <c r="E44" s="645"/>
      <c r="F44" s="645"/>
      <c r="G44" s="645"/>
    </row>
    <row r="45" spans="1:37" x14ac:dyDescent="0.25">
      <c r="A45" s="60"/>
      <c r="B45" s="645"/>
      <c r="C45" s="645"/>
      <c r="D45" s="645"/>
      <c r="E45" s="645"/>
      <c r="F45" s="645"/>
      <c r="G45" s="645"/>
      <c r="V45" s="36" t="s">
        <v>617</v>
      </c>
      <c r="W45" s="543"/>
      <c r="X45" s="543"/>
      <c r="Y45" s="543"/>
      <c r="Z45" s="543"/>
      <c r="AA45" s="543"/>
      <c r="AB45" s="543"/>
      <c r="AC45" s="543"/>
      <c r="AD45" s="543"/>
      <c r="AE45" s="543"/>
      <c r="AF45" s="543"/>
      <c r="AG45" s="543"/>
      <c r="AH45" s="543"/>
      <c r="AI45" s="543"/>
      <c r="AJ45" s="543"/>
      <c r="AK45" s="36" t="s">
        <v>617</v>
      </c>
    </row>
    <row r="46" spans="1:37" x14ac:dyDescent="0.25">
      <c r="A46" s="60"/>
      <c r="B46" s="645"/>
      <c r="C46" s="645"/>
      <c r="D46" s="645"/>
      <c r="E46" s="645"/>
      <c r="F46" s="645"/>
      <c r="G46" s="645"/>
    </row>
    <row r="47" spans="1:37" x14ac:dyDescent="0.25">
      <c r="A47" s="60"/>
      <c r="B47" s="645"/>
      <c r="C47" s="645"/>
      <c r="D47" s="645"/>
      <c r="E47" s="645"/>
      <c r="F47" s="645"/>
      <c r="G47" s="645"/>
      <c r="H47" s="15"/>
    </row>
    <row r="48" spans="1:37" ht="15" customHeight="1" x14ac:dyDescent="0.25">
      <c r="A48" s="60"/>
      <c r="B48" s="645"/>
      <c r="C48" s="645"/>
      <c r="D48" s="645"/>
      <c r="E48" s="645"/>
      <c r="F48" s="645"/>
      <c r="G48" s="645"/>
      <c r="H48" s="15"/>
    </row>
    <row r="49" spans="1:21" x14ac:dyDescent="0.25">
      <c r="A49" s="60"/>
      <c r="B49" s="645"/>
      <c r="C49" s="645"/>
      <c r="D49" s="645"/>
      <c r="E49" s="645"/>
      <c r="F49" s="645"/>
      <c r="G49" s="645"/>
      <c r="H49" s="15"/>
    </row>
    <row r="50" spans="1:21" x14ac:dyDescent="0.25">
      <c r="A50" s="60"/>
      <c r="B50" s="76"/>
      <c r="C50" s="76"/>
      <c r="D50" s="76"/>
      <c r="E50" s="76"/>
      <c r="F50" s="76"/>
      <c r="G50" s="543"/>
    </row>
    <row r="51" spans="1:21" ht="15" customHeight="1" x14ac:dyDescent="0.25">
      <c r="A51" s="7" t="s">
        <v>58</v>
      </c>
      <c r="B51" s="645" t="s">
        <v>609</v>
      </c>
      <c r="C51" s="645"/>
      <c r="D51" s="645"/>
      <c r="E51" s="645"/>
      <c r="F51" s="645"/>
      <c r="G51" s="645"/>
    </row>
    <row r="52" spans="1:21" x14ac:dyDescent="0.25">
      <c r="A52" s="7"/>
      <c r="B52" s="645"/>
      <c r="C52" s="645"/>
      <c r="D52" s="645"/>
      <c r="E52" s="645"/>
      <c r="F52" s="645"/>
      <c r="G52" s="645"/>
    </row>
    <row r="53" spans="1:21" x14ac:dyDescent="0.25">
      <c r="A53" s="7"/>
      <c r="B53" s="645"/>
      <c r="C53" s="645"/>
      <c r="D53" s="645"/>
      <c r="E53" s="645"/>
      <c r="F53" s="645"/>
      <c r="G53" s="645"/>
    </row>
    <row r="54" spans="1:21" x14ac:dyDescent="0.25">
      <c r="A54" s="7"/>
      <c r="B54" s="76"/>
      <c r="C54" s="76"/>
      <c r="D54" s="76"/>
      <c r="E54" s="76"/>
      <c r="F54" s="76"/>
      <c r="G54" s="76"/>
    </row>
    <row r="55" spans="1:21" ht="15" customHeight="1" x14ac:dyDescent="0.25">
      <c r="A55" s="7" t="s">
        <v>60</v>
      </c>
      <c r="B55" s="645" t="s">
        <v>609</v>
      </c>
      <c r="C55" s="645"/>
      <c r="D55" s="645"/>
      <c r="E55" s="645"/>
      <c r="F55" s="645"/>
      <c r="G55" s="645"/>
    </row>
    <row r="56" spans="1:21" x14ac:dyDescent="0.25">
      <c r="A56" s="7"/>
      <c r="B56" s="645"/>
      <c r="C56" s="645"/>
      <c r="D56" s="645"/>
      <c r="E56" s="645"/>
      <c r="F56" s="645"/>
      <c r="G56" s="645"/>
    </row>
    <row r="57" spans="1:21" x14ac:dyDescent="0.25">
      <c r="A57" s="7"/>
      <c r="B57" s="76"/>
      <c r="C57" s="76"/>
      <c r="D57" s="76"/>
      <c r="E57" s="76"/>
      <c r="F57" s="76"/>
      <c r="G57" s="543"/>
    </row>
    <row r="58" spans="1:21" x14ac:dyDescent="0.25">
      <c r="A58" s="7"/>
      <c r="B58" s="76"/>
      <c r="C58" s="76"/>
      <c r="D58" s="76"/>
      <c r="E58" s="76"/>
      <c r="F58" s="76"/>
      <c r="G58" s="76"/>
    </row>
    <row r="59" spans="1:21" ht="15" customHeight="1" x14ac:dyDescent="0.25">
      <c r="A59" s="7" t="s">
        <v>610</v>
      </c>
      <c r="B59" s="645" t="s">
        <v>621</v>
      </c>
      <c r="C59" s="645"/>
      <c r="D59" s="645"/>
      <c r="E59" s="645"/>
      <c r="F59" s="645"/>
      <c r="G59" s="645"/>
      <c r="I59" s="9"/>
      <c r="J59" s="9"/>
      <c r="K59" s="9"/>
      <c r="L59" s="9"/>
      <c r="M59" s="9"/>
      <c r="N59" s="9"/>
      <c r="O59" s="9"/>
      <c r="P59" s="9"/>
      <c r="Q59" s="9"/>
      <c r="R59" s="9"/>
      <c r="S59" s="9"/>
      <c r="T59" s="9"/>
      <c r="U59" s="9"/>
    </row>
    <row r="60" spans="1:21" x14ac:dyDescent="0.25">
      <c r="A60" s="7"/>
      <c r="B60" s="645"/>
      <c r="C60" s="645"/>
      <c r="D60" s="645"/>
      <c r="E60" s="645"/>
      <c r="F60" s="645"/>
      <c r="G60" s="645"/>
      <c r="I60" s="9"/>
      <c r="J60" s="9"/>
      <c r="K60" s="9"/>
      <c r="L60" s="9"/>
      <c r="M60" s="9"/>
      <c r="N60" s="9"/>
      <c r="O60" s="9"/>
      <c r="P60" s="9"/>
      <c r="Q60" s="9"/>
      <c r="R60" s="9"/>
      <c r="S60" s="9"/>
      <c r="T60" s="9"/>
      <c r="U60" s="9"/>
    </row>
    <row r="61" spans="1:21" x14ac:dyDescent="0.25">
      <c r="A61" s="7"/>
      <c r="B61" s="76"/>
      <c r="C61" s="76"/>
      <c r="D61" s="76"/>
      <c r="E61" s="76"/>
      <c r="F61" s="76"/>
      <c r="G61" s="543"/>
      <c r="I61" s="9"/>
      <c r="J61" s="9"/>
      <c r="K61" s="9"/>
      <c r="L61" s="9"/>
      <c r="M61" s="9"/>
      <c r="N61" s="9"/>
      <c r="O61" s="9"/>
      <c r="P61" s="9"/>
      <c r="Q61" s="9"/>
      <c r="R61" s="9"/>
      <c r="S61" s="9"/>
      <c r="T61" s="9"/>
      <c r="U61" s="9"/>
    </row>
    <row r="62" spans="1:21" ht="15" customHeight="1" x14ac:dyDescent="0.25">
      <c r="A62" s="7" t="s">
        <v>625</v>
      </c>
      <c r="B62" s="645" t="s">
        <v>622</v>
      </c>
      <c r="C62" s="645"/>
      <c r="D62" s="645"/>
      <c r="E62" s="645"/>
      <c r="F62" s="645"/>
      <c r="G62" s="645"/>
      <c r="H62" s="9"/>
      <c r="I62" s="9"/>
      <c r="J62" s="9"/>
      <c r="K62" s="9"/>
      <c r="L62" s="9"/>
      <c r="M62" s="9"/>
      <c r="N62" s="9"/>
      <c r="O62" s="9"/>
      <c r="P62" s="9"/>
      <c r="Q62" s="9"/>
      <c r="R62" s="9"/>
      <c r="S62" s="9"/>
      <c r="T62" s="9"/>
      <c r="U62" s="9"/>
    </row>
    <row r="63" spans="1:21" x14ac:dyDescent="0.25">
      <c r="A63" s="7"/>
      <c r="B63" s="645"/>
      <c r="C63" s="645"/>
      <c r="D63" s="645"/>
      <c r="E63" s="645"/>
      <c r="F63" s="645"/>
      <c r="G63" s="645"/>
      <c r="H63" s="9"/>
      <c r="I63" s="9"/>
      <c r="J63" s="9"/>
      <c r="K63" s="9"/>
      <c r="L63" s="9"/>
      <c r="M63" s="9"/>
      <c r="N63" s="9"/>
      <c r="O63" s="9"/>
      <c r="P63" s="9"/>
      <c r="Q63" s="9"/>
      <c r="R63" s="9"/>
      <c r="S63" s="9"/>
      <c r="T63" s="9"/>
      <c r="U63" s="9"/>
    </row>
    <row r="64" spans="1:21" x14ac:dyDescent="0.25">
      <c r="A64" s="7"/>
      <c r="B64" s="543"/>
      <c r="C64" s="543"/>
      <c r="D64" s="543"/>
      <c r="E64" s="543"/>
      <c r="F64" s="543"/>
      <c r="G64" s="543"/>
      <c r="H64" s="9"/>
      <c r="I64" s="9"/>
      <c r="J64" s="9"/>
      <c r="K64" s="9"/>
      <c r="L64" s="9"/>
      <c r="M64" s="9"/>
      <c r="N64" s="9"/>
      <c r="O64" s="9"/>
      <c r="P64" s="9"/>
      <c r="Q64" s="9"/>
      <c r="R64" s="9"/>
      <c r="S64" s="9"/>
      <c r="T64" s="9"/>
      <c r="U64" s="9"/>
    </row>
    <row r="65" spans="1:21" ht="15" customHeight="1" x14ac:dyDescent="0.25">
      <c r="A65" s="7" t="s">
        <v>626</v>
      </c>
      <c r="B65" s="658" t="s">
        <v>623</v>
      </c>
      <c r="C65" s="658"/>
      <c r="D65" s="658"/>
      <c r="E65" s="658"/>
      <c r="F65" s="658"/>
      <c r="G65" s="658"/>
      <c r="H65" s="9"/>
      <c r="I65" s="9"/>
      <c r="J65" s="9"/>
      <c r="K65" s="9"/>
      <c r="L65" s="9"/>
      <c r="M65" s="9"/>
      <c r="N65" s="9"/>
      <c r="O65" s="9"/>
      <c r="P65" s="9"/>
      <c r="Q65" s="9"/>
      <c r="R65" s="9"/>
      <c r="S65" s="9"/>
      <c r="T65" s="9"/>
      <c r="U65" s="9"/>
    </row>
    <row r="66" spans="1:21" x14ac:dyDescent="0.25">
      <c r="A66" s="7"/>
      <c r="B66" s="658"/>
      <c r="C66" s="658"/>
      <c r="D66" s="658"/>
      <c r="E66" s="658"/>
      <c r="F66" s="658"/>
      <c r="G66" s="658"/>
      <c r="H66" s="9"/>
      <c r="I66" s="9"/>
      <c r="J66" s="9"/>
      <c r="K66" s="9"/>
      <c r="L66" s="9"/>
      <c r="M66" s="9"/>
      <c r="N66" s="9"/>
      <c r="O66" s="9"/>
      <c r="P66" s="9"/>
      <c r="Q66" s="9"/>
      <c r="R66" s="9"/>
      <c r="S66" s="9"/>
      <c r="T66" s="9"/>
      <c r="U66" s="9"/>
    </row>
    <row r="67" spans="1:21" x14ac:dyDescent="0.25">
      <c r="A67" s="7"/>
      <c r="B67" s="543"/>
      <c r="C67" s="543"/>
      <c r="D67" s="543"/>
      <c r="E67" s="543"/>
      <c r="F67" s="543"/>
      <c r="G67" s="543"/>
      <c r="H67" s="9"/>
      <c r="I67" s="9"/>
      <c r="J67" s="9"/>
      <c r="K67" s="9"/>
      <c r="L67" s="9"/>
      <c r="M67" s="9"/>
      <c r="N67" s="9"/>
      <c r="O67" s="9"/>
      <c r="P67" s="9"/>
      <c r="Q67" s="9"/>
      <c r="R67" s="9"/>
      <c r="S67" s="9"/>
      <c r="T67" s="9"/>
      <c r="U67" s="9"/>
    </row>
    <row r="68" spans="1:21" ht="15" customHeight="1" x14ac:dyDescent="0.25">
      <c r="A68" s="7" t="s">
        <v>627</v>
      </c>
      <c r="B68" s="658" t="s">
        <v>624</v>
      </c>
      <c r="C68" s="658"/>
      <c r="D68" s="658"/>
      <c r="E68" s="658"/>
      <c r="F68" s="658"/>
      <c r="G68" s="658"/>
      <c r="H68" s="9"/>
      <c r="I68" s="9"/>
      <c r="J68" s="9"/>
      <c r="K68" s="9"/>
      <c r="L68" s="9"/>
      <c r="M68" s="9"/>
      <c r="N68" s="9"/>
      <c r="O68" s="9"/>
      <c r="P68" s="9"/>
      <c r="Q68" s="9"/>
      <c r="R68" s="9"/>
      <c r="S68" s="9"/>
      <c r="T68" s="9"/>
      <c r="U68" s="9"/>
    </row>
    <row r="69" spans="1:21" x14ac:dyDescent="0.25">
      <c r="A69" s="7"/>
      <c r="B69" s="658"/>
      <c r="C69" s="658"/>
      <c r="D69" s="658"/>
      <c r="E69" s="658"/>
      <c r="F69" s="658"/>
      <c r="G69" s="658"/>
      <c r="H69" s="9"/>
      <c r="I69" s="9"/>
      <c r="J69" s="9"/>
      <c r="K69" s="9"/>
      <c r="L69" s="9"/>
      <c r="M69" s="9"/>
      <c r="N69" s="9"/>
      <c r="O69" s="9"/>
      <c r="P69" s="9"/>
      <c r="Q69" s="9"/>
      <c r="R69" s="9"/>
      <c r="S69" s="9"/>
      <c r="T69" s="9"/>
      <c r="U69" s="9"/>
    </row>
    <row r="70" spans="1:21" x14ac:dyDescent="0.25">
      <c r="A70" s="543"/>
      <c r="B70" s="658"/>
      <c r="C70" s="658"/>
      <c r="D70" s="658"/>
      <c r="E70" s="658"/>
      <c r="F70" s="658"/>
      <c r="G70" s="658"/>
      <c r="H70" s="9"/>
      <c r="I70" s="9"/>
      <c r="J70" s="9"/>
      <c r="K70" s="9"/>
      <c r="L70" s="9"/>
      <c r="M70" s="9"/>
      <c r="N70" s="9"/>
      <c r="O70" s="9"/>
      <c r="P70" s="9"/>
      <c r="Q70" s="9"/>
      <c r="R70" s="9"/>
      <c r="S70" s="9"/>
      <c r="T70" s="9"/>
      <c r="U70" s="9"/>
    </row>
    <row r="71" spans="1:21" x14ac:dyDescent="0.25">
      <c r="A71" s="543"/>
      <c r="B71" s="543"/>
      <c r="C71" s="543"/>
      <c r="D71" s="543"/>
      <c r="E71" s="543"/>
      <c r="F71" s="543"/>
      <c r="G71" s="543"/>
      <c r="H71" s="9"/>
      <c r="I71" s="9"/>
      <c r="J71" s="9"/>
      <c r="K71" s="9"/>
      <c r="L71" s="9"/>
      <c r="M71" s="9"/>
      <c r="N71" s="9"/>
      <c r="O71" s="9"/>
      <c r="P71" s="9"/>
      <c r="Q71" s="9"/>
      <c r="R71" s="9"/>
      <c r="S71" s="9"/>
      <c r="T71" s="9"/>
      <c r="U71" s="9"/>
    </row>
    <row r="72" spans="1:21" x14ac:dyDescent="0.25">
      <c r="A72" s="543"/>
      <c r="B72" s="543"/>
      <c r="C72" s="543"/>
      <c r="D72" s="543"/>
      <c r="E72" s="543"/>
      <c r="F72" s="543"/>
      <c r="G72" s="543"/>
      <c r="H72" s="9"/>
      <c r="I72" s="9"/>
      <c r="J72" s="9"/>
      <c r="K72" s="9"/>
      <c r="L72" s="9"/>
      <c r="M72" s="9"/>
      <c r="N72" s="9"/>
      <c r="O72" s="9"/>
      <c r="P72" s="9"/>
      <c r="Q72" s="9"/>
      <c r="R72" s="9"/>
      <c r="S72" s="9"/>
      <c r="T72" s="9"/>
      <c r="U72" s="9"/>
    </row>
    <row r="73" spans="1:21" x14ac:dyDescent="0.25">
      <c r="A73" s="543"/>
      <c r="B73" s="543"/>
      <c r="C73" s="543"/>
      <c r="D73" s="543"/>
      <c r="E73" s="543"/>
      <c r="F73" s="543"/>
      <c r="G73" s="543"/>
      <c r="H73" s="9"/>
      <c r="I73" s="9"/>
      <c r="J73" s="9"/>
      <c r="K73" s="9"/>
      <c r="L73" s="9"/>
      <c r="M73" s="9"/>
      <c r="N73" s="9"/>
      <c r="O73" s="9"/>
      <c r="P73" s="9"/>
      <c r="Q73" s="9"/>
      <c r="R73" s="9"/>
      <c r="S73" s="9"/>
      <c r="T73" s="9"/>
      <c r="U73" s="9"/>
    </row>
    <row r="74" spans="1:21" x14ac:dyDescent="0.25">
      <c r="A74" s="543"/>
      <c r="B74" s="543"/>
      <c r="C74" s="543"/>
      <c r="D74" s="543"/>
      <c r="E74" s="543"/>
      <c r="F74" s="543"/>
      <c r="G74" s="543"/>
      <c r="H74" s="9"/>
      <c r="I74" s="9"/>
      <c r="J74" s="9"/>
      <c r="K74" s="9"/>
      <c r="L74" s="9"/>
      <c r="M74" s="9"/>
      <c r="N74" s="9"/>
      <c r="O74" s="9"/>
      <c r="P74" s="9"/>
      <c r="Q74" s="9"/>
      <c r="R74" s="9"/>
      <c r="S74" s="9"/>
      <c r="T74" s="9"/>
      <c r="U74" s="9"/>
    </row>
    <row r="75" spans="1:21" x14ac:dyDescent="0.25">
      <c r="H75" s="9"/>
      <c r="I75" s="9"/>
      <c r="J75" s="9"/>
      <c r="K75" s="9"/>
      <c r="L75" s="9"/>
      <c r="M75" s="9"/>
      <c r="N75" s="9"/>
      <c r="O75" s="9"/>
      <c r="P75" s="9"/>
      <c r="Q75" s="9"/>
      <c r="R75" s="9"/>
      <c r="S75" s="9"/>
      <c r="T75" s="9"/>
      <c r="U75" s="9"/>
    </row>
    <row r="76" spans="1:21" x14ac:dyDescent="0.25">
      <c r="H76" s="9"/>
      <c r="I76" s="9"/>
      <c r="J76" s="9"/>
      <c r="K76" s="9"/>
      <c r="L76" s="9"/>
      <c r="M76" s="9"/>
      <c r="N76" s="9"/>
      <c r="O76" s="9"/>
      <c r="P76" s="9"/>
      <c r="Q76" s="9"/>
      <c r="R76" s="9"/>
      <c r="S76" s="9"/>
      <c r="T76" s="9"/>
      <c r="U76" s="9"/>
    </row>
    <row r="77" spans="1:21" x14ac:dyDescent="0.25">
      <c r="H77" s="9"/>
      <c r="I77" s="9"/>
      <c r="J77" s="9"/>
      <c r="K77" s="9"/>
      <c r="L77" s="9"/>
      <c r="M77" s="9"/>
      <c r="N77" s="9"/>
      <c r="O77" s="9"/>
      <c r="P77" s="9"/>
      <c r="Q77" s="9"/>
      <c r="R77" s="9"/>
      <c r="S77" s="9"/>
      <c r="T77" s="9"/>
      <c r="U77" s="9"/>
    </row>
    <row r="78" spans="1:21" x14ac:dyDescent="0.25">
      <c r="H78" s="9"/>
      <c r="I78" s="9"/>
      <c r="J78" s="9"/>
      <c r="K78" s="9"/>
      <c r="L78" s="9"/>
      <c r="M78" s="9"/>
      <c r="N78" s="9"/>
      <c r="O78" s="9"/>
      <c r="P78" s="9"/>
      <c r="Q78" s="9"/>
      <c r="R78" s="9"/>
      <c r="S78" s="9"/>
      <c r="T78" s="9"/>
      <c r="U78" s="9"/>
    </row>
    <row r="79" spans="1:21" x14ac:dyDescent="0.25">
      <c r="H79" s="9"/>
      <c r="I79" s="9"/>
      <c r="J79" s="9"/>
      <c r="K79" s="9"/>
      <c r="L79" s="9"/>
      <c r="M79" s="9"/>
      <c r="N79" s="9"/>
      <c r="O79" s="9"/>
      <c r="P79" s="9"/>
      <c r="Q79" s="9"/>
      <c r="R79" s="9"/>
      <c r="S79" s="9"/>
      <c r="T79" s="9"/>
      <c r="U79" s="9"/>
    </row>
    <row r="80" spans="1:21" x14ac:dyDescent="0.25">
      <c r="H80" s="9"/>
      <c r="I80" s="9"/>
      <c r="J80" s="9"/>
      <c r="K80" s="9"/>
      <c r="L80" s="9"/>
      <c r="M80" s="9"/>
      <c r="N80" s="9"/>
      <c r="O80" s="9"/>
      <c r="P80" s="9"/>
      <c r="Q80" s="9"/>
      <c r="R80" s="9"/>
      <c r="S80" s="9"/>
      <c r="T80" s="9"/>
      <c r="U80" s="9"/>
    </row>
    <row r="81" spans="8:21" x14ac:dyDescent="0.25">
      <c r="H81" s="9"/>
      <c r="I81" s="9"/>
      <c r="J81" s="9"/>
      <c r="K81" s="9"/>
      <c r="L81" s="9"/>
      <c r="M81" s="9"/>
      <c r="N81" s="9"/>
      <c r="O81" s="9"/>
      <c r="P81" s="9"/>
      <c r="Q81" s="9"/>
      <c r="R81" s="9"/>
      <c r="S81" s="9"/>
      <c r="T81" s="9"/>
      <c r="U81" s="9"/>
    </row>
    <row r="82" spans="8:21" x14ac:dyDescent="0.25">
      <c r="H82" s="9"/>
      <c r="I82" s="9"/>
      <c r="J82" s="9"/>
      <c r="K82" s="9"/>
      <c r="L82" s="9"/>
      <c r="M82" s="9"/>
      <c r="N82" s="9"/>
      <c r="O82" s="9"/>
      <c r="P82" s="9"/>
      <c r="Q82" s="9"/>
      <c r="R82" s="9"/>
      <c r="S82" s="9"/>
      <c r="T82" s="9"/>
      <c r="U82" s="9"/>
    </row>
    <row r="83" spans="8:21" x14ac:dyDescent="0.25">
      <c r="H83" s="9"/>
      <c r="I83" s="9"/>
      <c r="J83" s="9"/>
      <c r="K83" s="9"/>
      <c r="L83" s="9"/>
      <c r="M83" s="9"/>
      <c r="N83" s="9"/>
      <c r="O83" s="9"/>
      <c r="P83" s="9"/>
      <c r="Q83" s="9"/>
      <c r="R83" s="9"/>
      <c r="S83" s="9"/>
      <c r="T83" s="9"/>
      <c r="U83" s="9"/>
    </row>
    <row r="84" spans="8:21" x14ac:dyDescent="0.25">
      <c r="H84" s="9"/>
      <c r="I84" s="9"/>
      <c r="J84" s="9"/>
      <c r="K84" s="9"/>
      <c r="L84" s="9"/>
      <c r="M84" s="9"/>
      <c r="N84" s="9"/>
      <c r="O84" s="9"/>
      <c r="P84" s="9"/>
      <c r="Q84" s="9"/>
      <c r="R84" s="9"/>
      <c r="S84" s="9"/>
      <c r="T84" s="9"/>
      <c r="U84" s="9"/>
    </row>
    <row r="85" spans="8:21" x14ac:dyDescent="0.25">
      <c r="H85" s="9"/>
      <c r="I85" s="9"/>
      <c r="J85" s="9"/>
      <c r="K85" s="9"/>
      <c r="L85" s="9"/>
      <c r="M85" s="9"/>
      <c r="N85" s="9"/>
      <c r="O85" s="9"/>
      <c r="P85" s="9"/>
      <c r="Q85" s="9"/>
      <c r="R85" s="9"/>
      <c r="S85" s="9"/>
      <c r="T85" s="9"/>
      <c r="U85" s="9"/>
    </row>
    <row r="86" spans="8:21" x14ac:dyDescent="0.25">
      <c r="H86" s="9"/>
      <c r="I86" s="9"/>
      <c r="J86" s="9"/>
      <c r="K86" s="9"/>
      <c r="L86" s="9"/>
      <c r="M86" s="9"/>
      <c r="N86" s="9"/>
      <c r="O86" s="9"/>
      <c r="P86" s="9"/>
      <c r="Q86" s="9"/>
      <c r="R86" s="9"/>
      <c r="S86" s="9"/>
      <c r="T86" s="9"/>
      <c r="U86" s="9"/>
    </row>
    <row r="87" spans="8:21" x14ac:dyDescent="0.25">
      <c r="H87" s="9"/>
      <c r="I87" s="9"/>
      <c r="J87" s="9"/>
      <c r="K87" s="9"/>
      <c r="L87" s="9"/>
      <c r="M87" s="9"/>
      <c r="N87" s="9"/>
      <c r="O87" s="9"/>
      <c r="P87" s="9"/>
      <c r="Q87" s="9"/>
      <c r="R87" s="9"/>
      <c r="S87" s="9"/>
      <c r="T87" s="9"/>
      <c r="U87" s="9"/>
    </row>
    <row r="88" spans="8:21" x14ac:dyDescent="0.25">
      <c r="H88" s="9"/>
      <c r="I88" s="9"/>
      <c r="J88" s="9"/>
      <c r="K88" s="9"/>
      <c r="L88" s="9"/>
      <c r="M88" s="9"/>
      <c r="N88" s="9"/>
      <c r="O88" s="9"/>
      <c r="P88" s="9"/>
      <c r="Q88" s="9"/>
      <c r="R88" s="9"/>
      <c r="S88" s="9"/>
      <c r="T88" s="9"/>
      <c r="U88" s="9"/>
    </row>
    <row r="89" spans="8:21" x14ac:dyDescent="0.25">
      <c r="H89" s="9"/>
      <c r="I89" s="9"/>
      <c r="J89" s="9"/>
      <c r="K89" s="9"/>
      <c r="L89" s="9"/>
      <c r="M89" s="9"/>
      <c r="N89" s="9"/>
      <c r="O89" s="9"/>
      <c r="P89" s="9"/>
      <c r="Q89" s="9"/>
      <c r="R89" s="9"/>
      <c r="S89" s="9"/>
      <c r="T89" s="9"/>
      <c r="U89" s="9"/>
    </row>
    <row r="90" spans="8:21" x14ac:dyDescent="0.25">
      <c r="H90" s="9"/>
      <c r="I90" s="9"/>
      <c r="J90" s="9"/>
      <c r="K90" s="9"/>
      <c r="L90" s="9"/>
      <c r="M90" s="9"/>
      <c r="N90" s="9"/>
      <c r="O90" s="9"/>
      <c r="P90" s="9"/>
      <c r="Q90" s="9"/>
      <c r="R90" s="9"/>
      <c r="S90" s="9"/>
      <c r="T90" s="9"/>
      <c r="U90" s="9"/>
    </row>
    <row r="91" spans="8:21" x14ac:dyDescent="0.25">
      <c r="H91" s="9"/>
      <c r="I91" s="9"/>
      <c r="J91" s="9"/>
      <c r="K91" s="9"/>
      <c r="L91" s="9"/>
      <c r="M91" s="9"/>
      <c r="N91" s="9"/>
      <c r="O91" s="9"/>
      <c r="P91" s="9"/>
      <c r="Q91" s="9"/>
      <c r="R91" s="9"/>
      <c r="S91" s="9"/>
      <c r="T91" s="9"/>
      <c r="U91" s="9"/>
    </row>
    <row r="92" spans="8:21" x14ac:dyDescent="0.25">
      <c r="H92" s="9"/>
      <c r="I92" s="9"/>
      <c r="J92" s="9"/>
      <c r="K92" s="9"/>
      <c r="L92" s="9"/>
      <c r="M92" s="9"/>
      <c r="N92" s="9"/>
      <c r="O92" s="9"/>
      <c r="P92" s="9"/>
      <c r="Q92" s="9"/>
      <c r="R92" s="9"/>
      <c r="S92" s="9"/>
      <c r="T92" s="9"/>
      <c r="U92" s="9"/>
    </row>
    <row r="93" spans="8:21" x14ac:dyDescent="0.25">
      <c r="H93" s="9"/>
      <c r="I93" s="9"/>
      <c r="J93" s="9"/>
      <c r="K93" s="9"/>
      <c r="L93" s="9"/>
      <c r="M93" s="9"/>
      <c r="N93" s="9"/>
      <c r="O93" s="9"/>
      <c r="P93" s="9"/>
      <c r="Q93" s="9"/>
      <c r="R93" s="9"/>
      <c r="S93" s="9"/>
      <c r="T93" s="9"/>
      <c r="U93" s="9"/>
    </row>
    <row r="94" spans="8:21" x14ac:dyDescent="0.25">
      <c r="H94" s="9"/>
      <c r="I94" s="9"/>
      <c r="J94" s="9"/>
      <c r="K94" s="9"/>
      <c r="L94" s="9"/>
      <c r="M94" s="9"/>
      <c r="N94" s="9"/>
      <c r="O94" s="9"/>
      <c r="P94" s="9"/>
      <c r="Q94" s="9"/>
      <c r="R94" s="9"/>
      <c r="S94" s="9"/>
      <c r="T94" s="9"/>
      <c r="U94" s="9"/>
    </row>
    <row r="95" spans="8:21" x14ac:dyDescent="0.25">
      <c r="H95" s="9"/>
      <c r="I95" s="9"/>
      <c r="J95" s="9"/>
      <c r="K95" s="9"/>
      <c r="L95" s="9"/>
      <c r="M95" s="9"/>
      <c r="N95" s="9"/>
      <c r="O95" s="9"/>
      <c r="P95" s="9"/>
      <c r="Q95" s="9"/>
      <c r="R95" s="9"/>
      <c r="S95" s="9"/>
      <c r="T95" s="9"/>
      <c r="U95" s="9"/>
    </row>
    <row r="96" spans="8:21" x14ac:dyDescent="0.25">
      <c r="H96" s="9"/>
      <c r="I96" s="9"/>
      <c r="J96" s="9"/>
      <c r="K96" s="9"/>
      <c r="L96" s="9"/>
      <c r="M96" s="9"/>
      <c r="N96" s="9"/>
      <c r="O96" s="9"/>
      <c r="P96" s="9"/>
      <c r="Q96" s="9"/>
      <c r="R96" s="9"/>
      <c r="S96" s="9"/>
      <c r="T96" s="9"/>
      <c r="U96" s="9"/>
    </row>
    <row r="97" spans="8:21" x14ac:dyDescent="0.25">
      <c r="H97" s="9"/>
      <c r="I97" s="9"/>
      <c r="J97" s="9"/>
      <c r="K97" s="9"/>
      <c r="L97" s="9"/>
      <c r="M97" s="9"/>
      <c r="N97" s="9"/>
      <c r="O97" s="9"/>
      <c r="P97" s="9"/>
      <c r="Q97" s="9"/>
      <c r="R97" s="9"/>
      <c r="S97" s="9"/>
      <c r="T97" s="9"/>
      <c r="U97" s="9"/>
    </row>
    <row r="98" spans="8:21" x14ac:dyDescent="0.25">
      <c r="H98" s="9"/>
      <c r="I98" s="9"/>
      <c r="J98" s="9"/>
      <c r="K98" s="9"/>
      <c r="L98" s="9"/>
      <c r="M98" s="9"/>
      <c r="N98" s="9"/>
      <c r="O98" s="9"/>
      <c r="P98" s="9"/>
      <c r="Q98" s="9"/>
      <c r="R98" s="9"/>
      <c r="S98" s="9"/>
      <c r="T98" s="9"/>
      <c r="U98" s="9"/>
    </row>
    <row r="99" spans="8:21" x14ac:dyDescent="0.25">
      <c r="H99" s="9"/>
      <c r="I99" s="9"/>
      <c r="J99" s="9"/>
      <c r="K99" s="9"/>
      <c r="L99" s="9"/>
      <c r="M99" s="9"/>
      <c r="N99" s="9"/>
      <c r="O99" s="9"/>
      <c r="P99" s="9"/>
      <c r="Q99" s="9"/>
      <c r="R99" s="9"/>
      <c r="S99" s="9"/>
      <c r="T99" s="9"/>
      <c r="U99" s="9"/>
    </row>
    <row r="100" spans="8:21" x14ac:dyDescent="0.25">
      <c r="H100" s="9"/>
      <c r="I100" s="9"/>
      <c r="J100" s="9"/>
      <c r="K100" s="9"/>
      <c r="L100" s="9"/>
      <c r="M100" s="9"/>
      <c r="N100" s="9"/>
      <c r="O100" s="9"/>
      <c r="P100" s="9"/>
      <c r="Q100" s="9"/>
      <c r="R100" s="9"/>
      <c r="S100" s="9"/>
      <c r="T100" s="9"/>
      <c r="U100" s="9"/>
    </row>
    <row r="101" spans="8:21" x14ac:dyDescent="0.25">
      <c r="H101" s="9"/>
      <c r="I101" s="9"/>
      <c r="J101" s="9"/>
      <c r="K101" s="9"/>
      <c r="L101" s="9"/>
      <c r="M101" s="9"/>
      <c r="N101" s="9"/>
      <c r="O101" s="9"/>
      <c r="P101" s="9"/>
      <c r="Q101" s="9"/>
      <c r="R101" s="9"/>
      <c r="S101" s="9"/>
      <c r="T101" s="9"/>
      <c r="U101" s="9"/>
    </row>
    <row r="102" spans="8:21" x14ac:dyDescent="0.25">
      <c r="H102" s="9"/>
      <c r="I102" s="9"/>
      <c r="J102" s="9"/>
      <c r="K102" s="9"/>
      <c r="L102" s="9"/>
      <c r="M102" s="9"/>
      <c r="N102" s="9"/>
      <c r="O102" s="9"/>
      <c r="P102" s="9"/>
      <c r="Q102" s="9"/>
      <c r="R102" s="9"/>
      <c r="S102" s="9"/>
      <c r="T102" s="9"/>
      <c r="U102" s="9"/>
    </row>
    <row r="103" spans="8:21" x14ac:dyDescent="0.25">
      <c r="H103" s="9"/>
      <c r="I103" s="9"/>
      <c r="J103" s="9"/>
      <c r="K103" s="9"/>
      <c r="L103" s="9"/>
      <c r="M103" s="9"/>
      <c r="N103" s="9"/>
      <c r="O103" s="9"/>
      <c r="P103" s="9"/>
      <c r="Q103" s="9"/>
      <c r="R103" s="9"/>
      <c r="S103" s="9"/>
      <c r="T103" s="9"/>
      <c r="U103" s="9"/>
    </row>
    <row r="104" spans="8:21" x14ac:dyDescent="0.25">
      <c r="H104" s="9"/>
      <c r="I104" s="9"/>
      <c r="J104" s="9"/>
      <c r="K104" s="9"/>
      <c r="L104" s="9"/>
      <c r="M104" s="9"/>
      <c r="N104" s="9"/>
      <c r="O104" s="9"/>
      <c r="P104" s="9"/>
      <c r="Q104" s="9"/>
      <c r="R104" s="9"/>
      <c r="S104" s="9"/>
      <c r="T104" s="9"/>
      <c r="U104" s="9"/>
    </row>
    <row r="105" spans="8:21" x14ac:dyDescent="0.25">
      <c r="H105" s="9"/>
      <c r="I105" s="9"/>
      <c r="J105" s="9"/>
      <c r="K105" s="9"/>
      <c r="L105" s="9"/>
      <c r="M105" s="9"/>
      <c r="N105" s="9"/>
      <c r="O105" s="9"/>
      <c r="P105" s="9"/>
      <c r="Q105" s="9"/>
      <c r="R105" s="9"/>
      <c r="S105" s="9"/>
      <c r="T105" s="9"/>
      <c r="U105" s="9"/>
    </row>
    <row r="106" spans="8:21" x14ac:dyDescent="0.25">
      <c r="H106" s="9"/>
      <c r="I106" s="9"/>
      <c r="J106" s="9"/>
      <c r="K106" s="9"/>
      <c r="L106" s="9"/>
      <c r="M106" s="9"/>
      <c r="N106" s="9"/>
      <c r="O106" s="9"/>
      <c r="P106" s="9"/>
      <c r="Q106" s="9"/>
      <c r="R106" s="9"/>
      <c r="S106" s="9"/>
      <c r="T106" s="9"/>
      <c r="U106" s="9"/>
    </row>
    <row r="107" spans="8:21" x14ac:dyDescent="0.25">
      <c r="H107" s="9"/>
      <c r="I107" s="9"/>
      <c r="J107" s="9"/>
      <c r="K107" s="9"/>
      <c r="L107" s="9"/>
      <c r="M107" s="9"/>
      <c r="N107" s="9"/>
      <c r="O107" s="9"/>
      <c r="P107" s="9"/>
      <c r="Q107" s="9"/>
      <c r="R107" s="9"/>
      <c r="S107" s="9"/>
      <c r="T107" s="9"/>
      <c r="U107" s="9"/>
    </row>
    <row r="108" spans="8:21" x14ac:dyDescent="0.25">
      <c r="H108" s="9"/>
      <c r="I108" s="9"/>
      <c r="J108" s="9"/>
      <c r="K108" s="9"/>
      <c r="L108" s="9"/>
      <c r="M108" s="9"/>
      <c r="N108" s="9"/>
      <c r="O108" s="9"/>
      <c r="P108" s="9"/>
      <c r="Q108" s="9"/>
      <c r="R108" s="9"/>
      <c r="S108" s="9"/>
      <c r="T108" s="9"/>
      <c r="U108" s="9"/>
    </row>
    <row r="109" spans="8:21" x14ac:dyDescent="0.25">
      <c r="H109" s="9"/>
      <c r="I109" s="9"/>
      <c r="J109" s="9"/>
      <c r="K109" s="9"/>
      <c r="L109" s="9"/>
      <c r="M109" s="9"/>
      <c r="N109" s="9"/>
      <c r="O109" s="9"/>
      <c r="P109" s="9"/>
      <c r="Q109" s="9"/>
      <c r="R109" s="9"/>
      <c r="S109" s="9"/>
      <c r="T109" s="9"/>
      <c r="U109" s="9"/>
    </row>
    <row r="110" spans="8:21" x14ac:dyDescent="0.25">
      <c r="H110" s="9"/>
      <c r="I110" s="9"/>
      <c r="J110" s="9"/>
      <c r="K110" s="9"/>
      <c r="L110" s="9"/>
      <c r="M110" s="9"/>
      <c r="N110" s="9"/>
      <c r="O110" s="9"/>
      <c r="P110" s="9"/>
      <c r="Q110" s="9"/>
      <c r="R110" s="9"/>
      <c r="S110" s="9"/>
      <c r="T110" s="9"/>
      <c r="U110" s="9"/>
    </row>
    <row r="111" spans="8:21" x14ac:dyDescent="0.25">
      <c r="H111" s="9"/>
      <c r="I111" s="9"/>
      <c r="J111" s="9"/>
      <c r="K111" s="9"/>
      <c r="L111" s="9"/>
      <c r="M111" s="9"/>
      <c r="N111" s="9"/>
      <c r="O111" s="9"/>
      <c r="P111" s="9"/>
      <c r="Q111" s="9"/>
      <c r="R111" s="9"/>
      <c r="S111" s="9"/>
      <c r="T111" s="9"/>
      <c r="U111" s="9"/>
    </row>
    <row r="112" spans="8:21" x14ac:dyDescent="0.25">
      <c r="H112" s="9"/>
      <c r="I112" s="9"/>
      <c r="J112" s="9"/>
      <c r="K112" s="9"/>
      <c r="L112" s="9"/>
      <c r="M112" s="9"/>
      <c r="N112" s="9"/>
      <c r="O112" s="9"/>
      <c r="P112" s="9"/>
      <c r="Q112" s="9"/>
      <c r="R112" s="9"/>
      <c r="S112" s="9"/>
      <c r="T112" s="9"/>
      <c r="U112" s="9"/>
    </row>
    <row r="113" spans="8:21" x14ac:dyDescent="0.25">
      <c r="H113" s="9"/>
      <c r="I113" s="9"/>
      <c r="J113" s="9"/>
      <c r="K113" s="9"/>
      <c r="L113" s="9"/>
      <c r="M113" s="9"/>
      <c r="N113" s="9"/>
      <c r="O113" s="9"/>
      <c r="P113" s="9"/>
      <c r="Q113" s="9"/>
      <c r="R113" s="9"/>
      <c r="S113" s="9"/>
      <c r="T113" s="9"/>
      <c r="U113" s="9"/>
    </row>
    <row r="114" spans="8:21" x14ac:dyDescent="0.25">
      <c r="H114" s="9"/>
      <c r="I114" s="9"/>
      <c r="J114" s="9"/>
      <c r="K114" s="9"/>
      <c r="L114" s="9"/>
      <c r="M114" s="9"/>
      <c r="N114" s="9"/>
      <c r="O114" s="9"/>
      <c r="P114" s="9"/>
      <c r="Q114" s="9"/>
      <c r="R114" s="9"/>
      <c r="S114" s="9"/>
      <c r="T114" s="9"/>
      <c r="U114" s="9"/>
    </row>
    <row r="115" spans="8:21" x14ac:dyDescent="0.25">
      <c r="H115" s="9"/>
    </row>
    <row r="116" spans="8:21" x14ac:dyDescent="0.25">
      <c r="H116" s="9"/>
    </row>
    <row r="117" spans="8:21" x14ac:dyDescent="0.25">
      <c r="H117" s="9"/>
    </row>
  </sheetData>
  <mergeCells count="22">
    <mergeCell ref="B55:G56"/>
    <mergeCell ref="B59:G60"/>
    <mergeCell ref="B62:G63"/>
    <mergeCell ref="B65:G66"/>
    <mergeCell ref="B68:G70"/>
    <mergeCell ref="M20:N20"/>
    <mergeCell ref="K25:L25"/>
    <mergeCell ref="M25:N25"/>
    <mergeCell ref="B29:G34"/>
    <mergeCell ref="B36:G37"/>
    <mergeCell ref="B51:G53"/>
    <mergeCell ref="B39:G42"/>
    <mergeCell ref="B44:G49"/>
    <mergeCell ref="K20:L20"/>
    <mergeCell ref="H4:H5"/>
    <mergeCell ref="K5:L5"/>
    <mergeCell ref="B4:B5"/>
    <mergeCell ref="C4:C5"/>
    <mergeCell ref="D4:D5"/>
    <mergeCell ref="E4:E5"/>
    <mergeCell ref="F4:F5"/>
    <mergeCell ref="G4:G5"/>
  </mergeCells>
  <pageMargins left="0.25" right="0.25" top="0.75" bottom="0.75" header="0.3" footer="0.3"/>
  <pageSetup scale="43"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EDD80-B4B1-4DEA-9D36-BB145D6D5FE7}">
  <sheetPr>
    <tabColor rgb="FF00B050"/>
    <pageSetUpPr fitToPage="1"/>
  </sheetPr>
  <dimension ref="A1:V117"/>
  <sheetViews>
    <sheetView zoomScale="70" zoomScaleNormal="70" zoomScaleSheetLayoutView="85" zoomScalePageLayoutView="55" workbookViewId="0">
      <selection activeCell="G7" sqref="G7"/>
    </sheetView>
  </sheetViews>
  <sheetFormatPr defaultRowHeight="15" x14ac:dyDescent="0.25"/>
  <cols>
    <col min="1" max="1" width="3.7109375" style="287" customWidth="1"/>
    <col min="2" max="8" width="20.7109375" style="287" customWidth="1"/>
    <col min="9" max="9" width="5.7109375" style="287" customWidth="1"/>
    <col min="10" max="10" width="3" style="287" customWidth="1"/>
    <col min="11" max="11" width="39.140625" style="287" customWidth="1"/>
    <col min="12" max="12" width="29.28515625" style="287" bestFit="1" customWidth="1"/>
    <col min="13" max="13" width="39.140625" style="287" customWidth="1"/>
    <col min="14" max="14" width="29.28515625" style="287" bestFit="1" customWidth="1"/>
    <col min="15" max="15" width="16.28515625" style="287" customWidth="1"/>
    <col min="16" max="16" width="5.7109375" style="287" customWidth="1"/>
    <col min="17" max="17" width="36.140625" style="287" customWidth="1"/>
    <col min="18" max="18" width="16.28515625" style="287" customWidth="1"/>
    <col min="19" max="21" width="4.5703125" style="287" customWidth="1"/>
    <col min="22" max="22" width="18" style="287" bestFit="1" customWidth="1"/>
    <col min="23" max="23" width="22.85546875" style="287" bestFit="1" customWidth="1"/>
    <col min="24" max="25" width="50.85546875" style="287" customWidth="1"/>
    <col min="26" max="26" width="16.28515625" style="287" bestFit="1" customWidth="1"/>
    <col min="27" max="16384" width="9.140625" style="287"/>
  </cols>
  <sheetData>
    <row r="1" spans="1:13" ht="14.25" customHeight="1" x14ac:dyDescent="0.25">
      <c r="A1" s="15"/>
      <c r="B1" s="290">
        <v>1</v>
      </c>
      <c r="C1" s="522">
        <v>2</v>
      </c>
      <c r="D1" s="522">
        <v>3</v>
      </c>
      <c r="E1" s="522">
        <v>4</v>
      </c>
      <c r="F1" s="522">
        <v>5</v>
      </c>
      <c r="G1" s="522">
        <v>6</v>
      </c>
      <c r="H1" s="522">
        <v>7</v>
      </c>
    </row>
    <row r="2" spans="1:13" x14ac:dyDescent="0.25">
      <c r="B2" s="6" t="s">
        <v>191</v>
      </c>
      <c r="C2" s="6"/>
      <c r="D2" s="6"/>
    </row>
    <row r="3" spans="1:13" ht="15.75" thickBot="1" x14ac:dyDescent="0.3">
      <c r="B3" s="287" t="s">
        <v>494</v>
      </c>
      <c r="K3" s="55"/>
    </row>
    <row r="4" spans="1:13" ht="35.1" customHeight="1" x14ac:dyDescent="0.25">
      <c r="B4" s="651" t="s">
        <v>0</v>
      </c>
      <c r="C4" s="651" t="s">
        <v>648</v>
      </c>
      <c r="D4" s="651" t="s">
        <v>649</v>
      </c>
      <c r="E4" s="651" t="s">
        <v>23</v>
      </c>
      <c r="F4" s="651" t="s">
        <v>24</v>
      </c>
      <c r="G4" s="651" t="s">
        <v>28</v>
      </c>
      <c r="H4" s="647" t="s">
        <v>1</v>
      </c>
      <c r="K4" s="62"/>
      <c r="L4" s="15"/>
      <c r="M4" s="20"/>
    </row>
    <row r="5" spans="1:13" ht="43.5" customHeight="1" thickBot="1" x14ac:dyDescent="0.3">
      <c r="B5" s="652"/>
      <c r="C5" s="652"/>
      <c r="D5" s="652"/>
      <c r="E5" s="652"/>
      <c r="F5" s="652"/>
      <c r="G5" s="652"/>
      <c r="H5" s="648"/>
      <c r="K5" s="655" t="s">
        <v>592</v>
      </c>
      <c r="L5" s="655"/>
      <c r="M5" s="28"/>
    </row>
    <row r="6" spans="1:13" x14ac:dyDescent="0.25">
      <c r="B6" s="1">
        <f>Assumptions!$D$7</f>
        <v>2024</v>
      </c>
      <c r="C6" s="145">
        <v>0</v>
      </c>
      <c r="D6" s="145">
        <v>0</v>
      </c>
      <c r="E6" s="156">
        <f>C6*$L$6</f>
        <v>0</v>
      </c>
      <c r="F6" s="156">
        <f>D6*$L$6</f>
        <v>0</v>
      </c>
      <c r="G6" s="157">
        <f>(E6-F6)</f>
        <v>0</v>
      </c>
      <c r="H6" s="156">
        <f>G6*(1+0.07)^-(B6-Assumptions!$D$4)</f>
        <v>0</v>
      </c>
      <c r="I6" s="15"/>
      <c r="K6" s="65" t="s">
        <v>244</v>
      </c>
      <c r="L6" s="67">
        <f>Assumptions!D21</f>
        <v>17.8</v>
      </c>
      <c r="M6" s="15" t="s">
        <v>240</v>
      </c>
    </row>
    <row r="7" spans="1:13" x14ac:dyDescent="0.25">
      <c r="B7" s="2">
        <f>B6+1</f>
        <v>2025</v>
      </c>
      <c r="C7" s="145">
        <v>0</v>
      </c>
      <c r="D7" s="145">
        <v>0</v>
      </c>
      <c r="E7" s="147">
        <f t="shared" ref="E7:F25" si="0">C7*$L$6</f>
        <v>0</v>
      </c>
      <c r="F7" s="147">
        <f t="shared" si="0"/>
        <v>0</v>
      </c>
      <c r="G7" s="148">
        <f t="shared" ref="G7:G25" si="1">(E7-F7)</f>
        <v>0</v>
      </c>
      <c r="H7" s="147">
        <f>G7*(1+0.07)^-(B7-Assumptions!$D$4)</f>
        <v>0</v>
      </c>
      <c r="I7" s="15"/>
      <c r="M7" s="19"/>
    </row>
    <row r="8" spans="1:13" x14ac:dyDescent="0.25">
      <c r="B8" s="2">
        <f t="shared" ref="B8:B25" si="2">B7+1</f>
        <v>2026</v>
      </c>
      <c r="C8" s="145">
        <v>0</v>
      </c>
      <c r="D8" s="145">
        <v>0</v>
      </c>
      <c r="E8" s="147">
        <f t="shared" si="0"/>
        <v>0</v>
      </c>
      <c r="F8" s="147">
        <f t="shared" si="0"/>
        <v>0</v>
      </c>
      <c r="G8" s="148">
        <f t="shared" si="1"/>
        <v>0</v>
      </c>
      <c r="H8" s="147">
        <f>G8*(1+0.07)^-(B8-Assumptions!$D$4)</f>
        <v>0</v>
      </c>
      <c r="J8" s="61"/>
      <c r="K8" s="283" t="s">
        <v>194</v>
      </c>
      <c r="L8" s="283"/>
      <c r="M8" s="18"/>
    </row>
    <row r="9" spans="1:13" ht="15" customHeight="1" x14ac:dyDescent="0.25">
      <c r="B9" s="2">
        <f t="shared" si="2"/>
        <v>2027</v>
      </c>
      <c r="C9" s="145">
        <v>0</v>
      </c>
      <c r="D9" s="145">
        <v>0</v>
      </c>
      <c r="E9" s="147">
        <f t="shared" si="0"/>
        <v>0</v>
      </c>
      <c r="F9" s="147">
        <f t="shared" si="0"/>
        <v>0</v>
      </c>
      <c r="G9" s="148">
        <f t="shared" si="1"/>
        <v>0</v>
      </c>
      <c r="H9" s="147">
        <f>G9*(1+0.07)^-(B9-Assumptions!$D$4)</f>
        <v>0</v>
      </c>
      <c r="K9" s="65" t="s">
        <v>21</v>
      </c>
      <c r="L9" s="64">
        <f>Assumptions!D14</f>
        <v>0.71936758893280639</v>
      </c>
      <c r="M9" s="18" t="s">
        <v>245</v>
      </c>
    </row>
    <row r="10" spans="1:13" x14ac:dyDescent="0.25">
      <c r="B10" s="2">
        <f t="shared" si="2"/>
        <v>2028</v>
      </c>
      <c r="C10" s="145">
        <f t="shared" ref="C10:C14" si="3">TREND($L$27:$L$28,$K$27:$K$28,B10)</f>
        <v>83422.820256916806</v>
      </c>
      <c r="D10" s="145">
        <f t="shared" ref="D10:D14" si="4">TREND($N$27:$N$28,$M$27:$M$28,B10)</f>
        <v>15401.13604743086</v>
      </c>
      <c r="E10" s="147">
        <f t="shared" si="0"/>
        <v>1484926.2005731191</v>
      </c>
      <c r="F10" s="147">
        <f t="shared" si="0"/>
        <v>274140.2216442693</v>
      </c>
      <c r="G10" s="148">
        <f t="shared" si="1"/>
        <v>1210785.9789288498</v>
      </c>
      <c r="H10" s="147">
        <f>G10*(1+0.07)^-(B10-Assumptions!$D$4)</f>
        <v>704688.46341628337</v>
      </c>
      <c r="M10" s="48"/>
    </row>
    <row r="11" spans="1:13" x14ac:dyDescent="0.25">
      <c r="B11" s="2">
        <f t="shared" si="2"/>
        <v>2029</v>
      </c>
      <c r="C11" s="145">
        <f t="shared" si="3"/>
        <v>84774.832674571779</v>
      </c>
      <c r="D11" s="145">
        <f t="shared" si="4"/>
        <v>15650.738339920994</v>
      </c>
      <c r="E11" s="147">
        <f t="shared" si="0"/>
        <v>1508992.0216073778</v>
      </c>
      <c r="F11" s="147">
        <f t="shared" si="0"/>
        <v>278583.1424505937</v>
      </c>
      <c r="G11" s="148">
        <f t="shared" si="1"/>
        <v>1230408.8791567842</v>
      </c>
      <c r="H11" s="147">
        <f>G11*(1+0.07)^-(B11-Assumptions!$D$4)</f>
        <v>669260.90654851636</v>
      </c>
      <c r="K11" s="283" t="s">
        <v>632</v>
      </c>
      <c r="L11" s="283"/>
      <c r="M11" s="18"/>
    </row>
    <row r="12" spans="1:13" x14ac:dyDescent="0.25">
      <c r="B12" s="2">
        <f t="shared" si="2"/>
        <v>2030</v>
      </c>
      <c r="C12" s="145">
        <f t="shared" si="3"/>
        <v>86126.845092226285</v>
      </c>
      <c r="D12" s="145">
        <f t="shared" si="4"/>
        <v>15900.340632411127</v>
      </c>
      <c r="E12" s="147">
        <f t="shared" si="0"/>
        <v>1533057.8426416279</v>
      </c>
      <c r="F12" s="147">
        <f t="shared" si="0"/>
        <v>283026.0632569181</v>
      </c>
      <c r="G12" s="148">
        <f t="shared" si="1"/>
        <v>1250031.7793847099</v>
      </c>
      <c r="H12" s="147">
        <f>G12*(1+0.07)^-(B12-Assumptions!$D$4)</f>
        <v>635452.77019611897</v>
      </c>
      <c r="K12" s="65" t="s">
        <v>26</v>
      </c>
      <c r="L12" s="144">
        <v>1.67</v>
      </c>
      <c r="M12" s="15" t="s">
        <v>240</v>
      </c>
    </row>
    <row r="13" spans="1:13" ht="15" customHeight="1" x14ac:dyDescent="0.25">
      <c r="B13" s="2">
        <f t="shared" si="2"/>
        <v>2031</v>
      </c>
      <c r="C13" s="145">
        <f t="shared" si="3"/>
        <v>87478.857509881258</v>
      </c>
      <c r="D13" s="145">
        <f t="shared" si="4"/>
        <v>16149.942924901203</v>
      </c>
      <c r="E13" s="147">
        <f t="shared" si="0"/>
        <v>1557123.6636758863</v>
      </c>
      <c r="F13" s="147">
        <f t="shared" si="0"/>
        <v>287468.9840632414</v>
      </c>
      <c r="G13" s="148">
        <f t="shared" si="1"/>
        <v>1269654.6796126449</v>
      </c>
      <c r="H13" s="147">
        <f>G13*(1+0.07)^-(B13-Assumptions!$D$4)</f>
        <v>603203.79218375694</v>
      </c>
      <c r="M13" s="52"/>
    </row>
    <row r="14" spans="1:13" x14ac:dyDescent="0.25">
      <c r="B14" s="2">
        <f t="shared" si="2"/>
        <v>2032</v>
      </c>
      <c r="C14" s="145">
        <f t="shared" si="3"/>
        <v>88830.869927536231</v>
      </c>
      <c r="D14" s="145">
        <f t="shared" si="4"/>
        <v>16399.545217391336</v>
      </c>
      <c r="E14" s="147">
        <f t="shared" si="0"/>
        <v>1581189.484710145</v>
      </c>
      <c r="F14" s="147">
        <f t="shared" si="0"/>
        <v>291911.9048695658</v>
      </c>
      <c r="G14" s="148">
        <f t="shared" si="1"/>
        <v>1289277.5798405793</v>
      </c>
      <c r="H14" s="147">
        <f>G14*(1+0.07)^-(B14-Assumptions!$D$4)</f>
        <v>572454.66423016915</v>
      </c>
      <c r="K14" s="283" t="s">
        <v>633</v>
      </c>
      <c r="L14" s="283"/>
      <c r="M14" s="18"/>
    </row>
    <row r="15" spans="1:13" x14ac:dyDescent="0.25">
      <c r="B15" s="2">
        <f t="shared" si="2"/>
        <v>2033</v>
      </c>
      <c r="C15" s="145">
        <v>0</v>
      </c>
      <c r="D15" s="145">
        <v>0</v>
      </c>
      <c r="E15" s="147">
        <f t="shared" si="0"/>
        <v>0</v>
      </c>
      <c r="F15" s="147">
        <f t="shared" si="0"/>
        <v>0</v>
      </c>
      <c r="G15" s="148">
        <f t="shared" si="1"/>
        <v>0</v>
      </c>
      <c r="H15" s="147">
        <f>G15*(1+0.07)^-(B15-Assumptions!$D$4)</f>
        <v>0</v>
      </c>
      <c r="K15" s="289" t="s">
        <v>125</v>
      </c>
      <c r="L15" s="289" t="s">
        <v>200</v>
      </c>
      <c r="M15" s="19"/>
    </row>
    <row r="16" spans="1:13" x14ac:dyDescent="0.25">
      <c r="B16" s="2">
        <f t="shared" si="2"/>
        <v>2034</v>
      </c>
      <c r="C16" s="145">
        <v>0</v>
      </c>
      <c r="D16" s="145">
        <v>0</v>
      </c>
      <c r="E16" s="147">
        <f t="shared" si="0"/>
        <v>0</v>
      </c>
      <c r="F16" s="147">
        <f t="shared" si="0"/>
        <v>0</v>
      </c>
      <c r="G16" s="148">
        <f t="shared" si="1"/>
        <v>0</v>
      </c>
      <c r="H16" s="147">
        <f>G16*(1+0.07)^-(B16-Assumptions!$D$4)</f>
        <v>0</v>
      </c>
      <c r="K16" s="282">
        <v>2021</v>
      </c>
      <c r="L16" s="282">
        <v>506</v>
      </c>
      <c r="M16" s="18" t="s">
        <v>245</v>
      </c>
    </row>
    <row r="17" spans="1:20" x14ac:dyDescent="0.25">
      <c r="B17" s="2">
        <f t="shared" si="2"/>
        <v>2035</v>
      </c>
      <c r="C17" s="145">
        <v>0</v>
      </c>
      <c r="D17" s="145">
        <v>0</v>
      </c>
      <c r="E17" s="147">
        <f t="shared" si="0"/>
        <v>0</v>
      </c>
      <c r="F17" s="147">
        <f t="shared" si="0"/>
        <v>0</v>
      </c>
      <c r="G17" s="148">
        <f t="shared" si="1"/>
        <v>0</v>
      </c>
      <c r="H17" s="147">
        <f>G17*(1+0.07)^-(B17-Assumptions!$D$4)</f>
        <v>0</v>
      </c>
      <c r="K17" s="282">
        <v>2041</v>
      </c>
      <c r="L17" s="282">
        <v>691</v>
      </c>
      <c r="M17" s="18" t="s">
        <v>245</v>
      </c>
    </row>
    <row r="18" spans="1:20" x14ac:dyDescent="0.25">
      <c r="B18" s="2">
        <f t="shared" si="2"/>
        <v>2036</v>
      </c>
      <c r="C18" s="145">
        <v>0</v>
      </c>
      <c r="D18" s="145">
        <v>0</v>
      </c>
      <c r="E18" s="147">
        <f t="shared" si="0"/>
        <v>0</v>
      </c>
      <c r="F18" s="147">
        <f t="shared" si="0"/>
        <v>0</v>
      </c>
      <c r="G18" s="148">
        <f t="shared" si="1"/>
        <v>0</v>
      </c>
      <c r="H18" s="147">
        <f>G18*(1+0.07)^-(B18-Assumptions!$D$4)</f>
        <v>0</v>
      </c>
    </row>
    <row r="19" spans="1:20" x14ac:dyDescent="0.25">
      <c r="B19" s="2">
        <f t="shared" si="2"/>
        <v>2037</v>
      </c>
      <c r="C19" s="145">
        <v>0</v>
      </c>
      <c r="D19" s="145">
        <v>0</v>
      </c>
      <c r="E19" s="147">
        <f t="shared" si="0"/>
        <v>0</v>
      </c>
      <c r="F19" s="147">
        <f t="shared" si="0"/>
        <v>0</v>
      </c>
      <c r="G19" s="148">
        <f t="shared" si="1"/>
        <v>0</v>
      </c>
      <c r="H19" s="147">
        <f>G19*(1+0.07)^-(B19-Assumptions!$D$4)</f>
        <v>0</v>
      </c>
      <c r="K19" s="286" t="s">
        <v>247</v>
      </c>
      <c r="L19" s="15"/>
      <c r="Q19" s="48"/>
    </row>
    <row r="20" spans="1:20" ht="14.25" customHeight="1" x14ac:dyDescent="0.25">
      <c r="B20" s="2">
        <f t="shared" si="2"/>
        <v>2038</v>
      </c>
      <c r="C20" s="145">
        <v>0</v>
      </c>
      <c r="D20" s="145">
        <v>0</v>
      </c>
      <c r="E20" s="147">
        <f t="shared" si="0"/>
        <v>0</v>
      </c>
      <c r="F20" s="147">
        <f t="shared" si="0"/>
        <v>0</v>
      </c>
      <c r="G20" s="148">
        <f t="shared" si="1"/>
        <v>0</v>
      </c>
      <c r="H20" s="147">
        <f>G20*(1+0.07)^-(B20-Assumptions!$D$4)</f>
        <v>0</v>
      </c>
      <c r="K20" s="656" t="s">
        <v>243</v>
      </c>
      <c r="L20" s="657"/>
      <c r="M20" s="656" t="s">
        <v>238</v>
      </c>
      <c r="N20" s="657"/>
    </row>
    <row r="21" spans="1:20" x14ac:dyDescent="0.25">
      <c r="B21" s="2">
        <f t="shared" si="2"/>
        <v>2039</v>
      </c>
      <c r="C21" s="145">
        <v>0</v>
      </c>
      <c r="D21" s="145">
        <v>0</v>
      </c>
      <c r="E21" s="147">
        <f t="shared" si="0"/>
        <v>0</v>
      </c>
      <c r="F21" s="147">
        <f t="shared" si="0"/>
        <v>0</v>
      </c>
      <c r="G21" s="148">
        <f t="shared" si="1"/>
        <v>0</v>
      </c>
      <c r="H21" s="147">
        <f>G21*(1+0.07)^-(B21-Assumptions!$D$4)</f>
        <v>0</v>
      </c>
      <c r="K21" s="282" t="s">
        <v>241</v>
      </c>
      <c r="L21" s="289">
        <v>9.3000000000000007</v>
      </c>
      <c r="M21" s="282" t="s">
        <v>241</v>
      </c>
      <c r="N21" s="289">
        <v>4</v>
      </c>
      <c r="O21" s="287" t="s">
        <v>492</v>
      </c>
    </row>
    <row r="22" spans="1:20" x14ac:dyDescent="0.25">
      <c r="B22" s="2">
        <f t="shared" si="2"/>
        <v>2040</v>
      </c>
      <c r="C22" s="145">
        <v>0</v>
      </c>
      <c r="D22" s="145">
        <v>0</v>
      </c>
      <c r="E22" s="147">
        <f t="shared" si="0"/>
        <v>0</v>
      </c>
      <c r="F22" s="147">
        <f t="shared" si="0"/>
        <v>0</v>
      </c>
      <c r="G22" s="148">
        <f t="shared" si="1"/>
        <v>0</v>
      </c>
      <c r="H22" s="147">
        <f>G22*(1+0.07)^-(B22-Assumptions!$D$4)</f>
        <v>0</v>
      </c>
      <c r="K22" s="282" t="s">
        <v>242</v>
      </c>
      <c r="L22" s="289">
        <v>20</v>
      </c>
      <c r="M22" s="282" t="s">
        <v>242</v>
      </c>
      <c r="N22" s="132">
        <f>4/65*60</f>
        <v>3.6923076923076925</v>
      </c>
      <c r="O22" s="287" t="s">
        <v>492</v>
      </c>
    </row>
    <row r="23" spans="1:20" x14ac:dyDescent="0.25">
      <c r="B23" s="2">
        <f t="shared" si="2"/>
        <v>2041</v>
      </c>
      <c r="C23" s="145">
        <v>0</v>
      </c>
      <c r="D23" s="145">
        <v>0</v>
      </c>
      <c r="E23" s="147">
        <f t="shared" si="0"/>
        <v>0</v>
      </c>
      <c r="F23" s="147">
        <f t="shared" si="0"/>
        <v>0</v>
      </c>
      <c r="G23" s="148">
        <f t="shared" si="1"/>
        <v>0</v>
      </c>
      <c r="H23" s="147">
        <f>G23*(1+0.07)^-(B23-Assumptions!$D$4)</f>
        <v>0</v>
      </c>
    </row>
    <row r="24" spans="1:20" x14ac:dyDescent="0.25">
      <c r="B24" s="2">
        <f t="shared" si="2"/>
        <v>2042</v>
      </c>
      <c r="C24" s="145">
        <v>0</v>
      </c>
      <c r="D24" s="145">
        <v>0</v>
      </c>
      <c r="E24" s="147">
        <f t="shared" si="0"/>
        <v>0</v>
      </c>
      <c r="F24" s="147">
        <f t="shared" si="0"/>
        <v>0</v>
      </c>
      <c r="G24" s="148">
        <f t="shared" si="1"/>
        <v>0</v>
      </c>
      <c r="H24" s="147">
        <f>G24*(1+0.07)^-(B24-Assumptions!$D$4)</f>
        <v>0</v>
      </c>
      <c r="K24" s="286" t="s">
        <v>248</v>
      </c>
    </row>
    <row r="25" spans="1:20" ht="15" customHeight="1" thickBot="1" x14ac:dyDescent="0.3">
      <c r="B25" s="3">
        <f t="shared" si="2"/>
        <v>2043</v>
      </c>
      <c r="C25" s="175">
        <v>0</v>
      </c>
      <c r="D25" s="175">
        <v>0</v>
      </c>
      <c r="E25" s="180">
        <f t="shared" si="0"/>
        <v>0</v>
      </c>
      <c r="F25" s="180">
        <f t="shared" si="0"/>
        <v>0</v>
      </c>
      <c r="G25" s="181">
        <f t="shared" si="1"/>
        <v>0</v>
      </c>
      <c r="H25" s="180">
        <f>G25*(1+0.07)^-(B25-Assumptions!$D$4)</f>
        <v>0</v>
      </c>
      <c r="K25" s="656" t="s">
        <v>243</v>
      </c>
      <c r="L25" s="657"/>
      <c r="M25" s="656" t="s">
        <v>238</v>
      </c>
      <c r="N25" s="657"/>
    </row>
    <row r="26" spans="1:20" ht="15" customHeight="1" thickBot="1" x14ac:dyDescent="0.3">
      <c r="B26" s="4"/>
      <c r="C26" s="4"/>
      <c r="D26" s="4"/>
      <c r="E26" s="46"/>
      <c r="F26" s="46"/>
      <c r="G26" s="66" t="s">
        <v>2</v>
      </c>
      <c r="H26" s="243">
        <f>SUM(H6:H25)</f>
        <v>3185060.5965748448</v>
      </c>
      <c r="K26" s="282" t="s">
        <v>125</v>
      </c>
      <c r="L26" s="116" t="s">
        <v>189</v>
      </c>
      <c r="M26" s="282" t="s">
        <v>125</v>
      </c>
      <c r="N26" s="116" t="s">
        <v>189</v>
      </c>
    </row>
    <row r="27" spans="1:20" x14ac:dyDescent="0.25">
      <c r="A27" s="543"/>
      <c r="B27" s="543"/>
      <c r="C27" s="570"/>
      <c r="D27" s="570"/>
      <c r="E27" s="570"/>
      <c r="F27" s="570"/>
      <c r="G27" s="570"/>
      <c r="H27" s="570"/>
      <c r="I27" s="24"/>
      <c r="K27" s="282">
        <v>2021</v>
      </c>
      <c r="L27" s="178">
        <f>$L$9*$L$12*L16*($L$22/60)*365</f>
        <v>73958.733333333337</v>
      </c>
      <c r="M27" s="282">
        <v>2021</v>
      </c>
      <c r="N27" s="178">
        <f>$L$9*$L$12*L16*($N$22/60)*365</f>
        <v>13653.92</v>
      </c>
      <c r="O27" s="287" t="s">
        <v>246</v>
      </c>
    </row>
    <row r="28" spans="1:20" x14ac:dyDescent="0.25">
      <c r="A28" s="15"/>
      <c r="B28" s="16" t="s">
        <v>3</v>
      </c>
      <c r="C28" s="16"/>
      <c r="D28" s="16"/>
      <c r="E28" s="15"/>
      <c r="F28" s="15"/>
      <c r="G28" s="543"/>
      <c r="H28" s="279"/>
      <c r="I28" s="20"/>
      <c r="K28" s="282">
        <v>2041</v>
      </c>
      <c r="L28" s="178">
        <f>$L$9*$L$12*L17*($L$22/60)*365</f>
        <v>100998.98168642951</v>
      </c>
      <c r="M28" s="282">
        <v>2041</v>
      </c>
      <c r="N28" s="178">
        <f>$L$9*$L$12*L17*($N$22/60)*365</f>
        <v>18645.965849802375</v>
      </c>
      <c r="O28" s="287" t="s">
        <v>246</v>
      </c>
      <c r="T28" s="20"/>
    </row>
    <row r="29" spans="1:20" ht="15" customHeight="1" x14ac:dyDescent="0.25">
      <c r="A29" s="60" t="s">
        <v>9</v>
      </c>
      <c r="B29" s="645" t="s">
        <v>608</v>
      </c>
      <c r="C29" s="645"/>
      <c r="D29" s="645"/>
      <c r="E29" s="645"/>
      <c r="F29" s="645"/>
      <c r="G29" s="645"/>
      <c r="I29" s="20"/>
    </row>
    <row r="30" spans="1:20" ht="15" customHeight="1" x14ac:dyDescent="0.25">
      <c r="A30" s="60"/>
      <c r="B30" s="645"/>
      <c r="C30" s="645"/>
      <c r="D30" s="645"/>
      <c r="E30" s="645"/>
      <c r="F30" s="645"/>
      <c r="G30" s="645"/>
      <c r="H30" s="15"/>
    </row>
    <row r="31" spans="1:20" ht="15" customHeight="1" x14ac:dyDescent="0.25">
      <c r="A31" s="60"/>
      <c r="B31" s="645"/>
      <c r="C31" s="645"/>
      <c r="D31" s="645"/>
      <c r="E31" s="645"/>
      <c r="F31" s="645"/>
      <c r="G31" s="645"/>
      <c r="H31" s="15"/>
    </row>
    <row r="32" spans="1:20" x14ac:dyDescent="0.25">
      <c r="A32" s="60"/>
      <c r="B32" s="645"/>
      <c r="C32" s="645"/>
      <c r="D32" s="645"/>
      <c r="E32" s="645"/>
      <c r="F32" s="645"/>
      <c r="G32" s="645"/>
      <c r="H32" s="15"/>
    </row>
    <row r="33" spans="1:9" ht="15" customHeight="1" x14ac:dyDescent="0.25">
      <c r="A33" s="60"/>
      <c r="B33" s="645"/>
      <c r="C33" s="645"/>
      <c r="D33" s="645"/>
      <c r="E33" s="645"/>
      <c r="F33" s="645"/>
      <c r="G33" s="645"/>
      <c r="H33" s="15"/>
      <c r="I33" s="20"/>
    </row>
    <row r="34" spans="1:9" ht="15" customHeight="1" x14ac:dyDescent="0.25">
      <c r="A34" s="60"/>
      <c r="B34" s="645"/>
      <c r="C34" s="645"/>
      <c r="D34" s="645"/>
      <c r="E34" s="645"/>
      <c r="F34" s="645"/>
      <c r="G34" s="645"/>
      <c r="H34" s="15"/>
      <c r="I34" s="20"/>
    </row>
    <row r="35" spans="1:9" ht="15" customHeight="1" x14ac:dyDescent="0.25">
      <c r="A35" s="60"/>
      <c r="B35" s="76"/>
      <c r="C35" s="76"/>
      <c r="D35" s="76"/>
      <c r="E35" s="76"/>
      <c r="F35" s="76"/>
      <c r="G35" s="543"/>
      <c r="I35" s="28"/>
    </row>
    <row r="36" spans="1:9" ht="15" customHeight="1" x14ac:dyDescent="0.25">
      <c r="A36" s="60" t="s">
        <v>8</v>
      </c>
      <c r="B36" s="645" t="s">
        <v>384</v>
      </c>
      <c r="C36" s="645"/>
      <c r="D36" s="645"/>
      <c r="E36" s="645"/>
      <c r="F36" s="645"/>
      <c r="G36" s="645"/>
      <c r="I36" s="33"/>
    </row>
    <row r="37" spans="1:9" ht="15" customHeight="1" x14ac:dyDescent="0.25">
      <c r="A37" s="60"/>
      <c r="B37" s="645"/>
      <c r="C37" s="645"/>
      <c r="D37" s="645"/>
      <c r="E37" s="645"/>
      <c r="F37" s="645"/>
      <c r="G37" s="645"/>
    </row>
    <row r="38" spans="1:9" ht="15" customHeight="1" x14ac:dyDescent="0.25">
      <c r="A38" s="60"/>
      <c r="B38" s="605"/>
      <c r="C38" s="605"/>
      <c r="D38" s="605"/>
      <c r="E38" s="605"/>
      <c r="F38" s="605"/>
      <c r="G38" s="605"/>
    </row>
    <row r="39" spans="1:9" ht="15" customHeight="1" x14ac:dyDescent="0.25">
      <c r="A39" s="60" t="s">
        <v>10</v>
      </c>
      <c r="B39" s="645" t="s">
        <v>628</v>
      </c>
      <c r="C39" s="645"/>
      <c r="D39" s="645"/>
      <c r="E39" s="645"/>
      <c r="F39" s="645"/>
      <c r="G39" s="645"/>
    </row>
    <row r="40" spans="1:9" ht="15" customHeight="1" x14ac:dyDescent="0.25">
      <c r="A40" s="60"/>
      <c r="B40" s="645"/>
      <c r="C40" s="645"/>
      <c r="D40" s="645"/>
      <c r="E40" s="645"/>
      <c r="F40" s="645"/>
      <c r="G40" s="645"/>
    </row>
    <row r="41" spans="1:9" ht="15" customHeight="1" x14ac:dyDescent="0.25">
      <c r="A41" s="60"/>
      <c r="B41" s="645"/>
      <c r="C41" s="645"/>
      <c r="D41" s="645"/>
      <c r="E41" s="645"/>
      <c r="F41" s="645"/>
      <c r="G41" s="645"/>
    </row>
    <row r="42" spans="1:9" ht="15" customHeight="1" x14ac:dyDescent="0.25">
      <c r="A42" s="60"/>
      <c r="B42" s="645"/>
      <c r="C42" s="645"/>
      <c r="D42" s="645"/>
      <c r="E42" s="645"/>
      <c r="F42" s="645"/>
      <c r="G42" s="645"/>
    </row>
    <row r="43" spans="1:9" x14ac:dyDescent="0.25">
      <c r="A43" s="60"/>
      <c r="B43" s="76"/>
      <c r="C43" s="76"/>
      <c r="D43" s="76"/>
      <c r="E43" s="76"/>
      <c r="F43" s="76"/>
      <c r="G43" s="543"/>
    </row>
    <row r="44" spans="1:9" ht="15" customHeight="1" x14ac:dyDescent="0.25">
      <c r="A44" s="60" t="s">
        <v>11</v>
      </c>
      <c r="B44" s="645" t="s">
        <v>381</v>
      </c>
      <c r="C44" s="645"/>
      <c r="D44" s="645"/>
      <c r="E44" s="645"/>
      <c r="F44" s="645"/>
      <c r="G44" s="645"/>
    </row>
    <row r="45" spans="1:9" ht="15" customHeight="1" x14ac:dyDescent="0.25">
      <c r="A45" s="60"/>
      <c r="B45" s="645"/>
      <c r="C45" s="645"/>
      <c r="D45" s="645"/>
      <c r="E45" s="645"/>
      <c r="F45" s="645"/>
      <c r="G45" s="645"/>
    </row>
    <row r="46" spans="1:9" ht="15" customHeight="1" x14ac:dyDescent="0.25">
      <c r="A46" s="60"/>
      <c r="B46" s="645"/>
      <c r="C46" s="645"/>
      <c r="D46" s="645"/>
      <c r="E46" s="645"/>
      <c r="F46" s="645"/>
      <c r="G46" s="645"/>
    </row>
    <row r="47" spans="1:9" x14ac:dyDescent="0.25">
      <c r="A47" s="60"/>
      <c r="B47" s="645"/>
      <c r="C47" s="645"/>
      <c r="D47" s="645"/>
      <c r="E47" s="645"/>
      <c r="F47" s="645"/>
      <c r="G47" s="645"/>
      <c r="H47" s="15"/>
    </row>
    <row r="48" spans="1:9" ht="15" customHeight="1" x14ac:dyDescent="0.25">
      <c r="A48" s="60"/>
      <c r="B48" s="645"/>
      <c r="C48" s="645"/>
      <c r="D48" s="645"/>
      <c r="E48" s="645"/>
      <c r="F48" s="645"/>
      <c r="G48" s="645"/>
      <c r="H48" s="15"/>
    </row>
    <row r="49" spans="1:22" x14ac:dyDescent="0.25">
      <c r="A49" s="60"/>
      <c r="B49" s="645"/>
      <c r="C49" s="645"/>
      <c r="D49" s="645"/>
      <c r="E49" s="645"/>
      <c r="F49" s="645"/>
      <c r="G49" s="645"/>
      <c r="H49" s="15"/>
      <c r="V49" s="36" t="s">
        <v>618</v>
      </c>
    </row>
    <row r="50" spans="1:22" x14ac:dyDescent="0.25">
      <c r="A50" s="7" t="s">
        <v>58</v>
      </c>
      <c r="B50" s="645" t="s">
        <v>609</v>
      </c>
      <c r="C50" s="645"/>
      <c r="D50" s="645"/>
      <c r="E50" s="645"/>
      <c r="F50" s="645"/>
      <c r="G50" s="645"/>
    </row>
    <row r="51" spans="1:22" ht="15" customHeight="1" x14ac:dyDescent="0.25">
      <c r="A51" s="7"/>
      <c r="B51" s="645"/>
      <c r="C51" s="645"/>
      <c r="D51" s="645"/>
      <c r="E51" s="645"/>
      <c r="F51" s="645"/>
      <c r="G51" s="645"/>
    </row>
    <row r="52" spans="1:22" ht="15" customHeight="1" x14ac:dyDescent="0.25">
      <c r="A52" s="7"/>
      <c r="B52" s="76"/>
      <c r="C52" s="76"/>
      <c r="D52" s="76"/>
      <c r="E52" s="76"/>
      <c r="F52" s="76"/>
      <c r="G52" s="543"/>
    </row>
    <row r="53" spans="1:22" ht="15" customHeight="1" x14ac:dyDescent="0.25">
      <c r="A53" s="7"/>
      <c r="B53" s="76"/>
      <c r="C53" s="76"/>
      <c r="D53" s="76"/>
      <c r="E53" s="76"/>
      <c r="F53" s="76"/>
      <c r="G53" s="76"/>
    </row>
    <row r="54" spans="1:22" x14ac:dyDescent="0.25">
      <c r="A54" s="7" t="s">
        <v>60</v>
      </c>
      <c r="B54" s="645" t="s">
        <v>621</v>
      </c>
      <c r="C54" s="645"/>
      <c r="D54" s="645"/>
      <c r="E54" s="645"/>
      <c r="F54" s="645"/>
      <c r="G54" s="645"/>
    </row>
    <row r="55" spans="1:22" x14ac:dyDescent="0.25">
      <c r="A55" s="7"/>
      <c r="B55" s="645"/>
      <c r="C55" s="645"/>
      <c r="D55" s="645"/>
      <c r="E55" s="645"/>
      <c r="F55" s="645"/>
      <c r="G55" s="645"/>
    </row>
    <row r="56" spans="1:22" ht="15" customHeight="1" x14ac:dyDescent="0.25">
      <c r="A56" s="7"/>
      <c r="B56" s="76"/>
      <c r="C56" s="76"/>
      <c r="D56" s="76"/>
      <c r="E56" s="76"/>
      <c r="F56" s="76"/>
      <c r="G56" s="543"/>
    </row>
    <row r="57" spans="1:22" ht="15" customHeight="1" x14ac:dyDescent="0.25">
      <c r="A57" s="7" t="s">
        <v>610</v>
      </c>
      <c r="B57" s="645" t="s">
        <v>622</v>
      </c>
      <c r="C57" s="645"/>
      <c r="D57" s="645"/>
      <c r="E57" s="645"/>
      <c r="F57" s="645"/>
      <c r="G57" s="645"/>
    </row>
    <row r="58" spans="1:22" x14ac:dyDescent="0.25">
      <c r="A58" s="7"/>
      <c r="B58" s="645"/>
      <c r="C58" s="645"/>
      <c r="D58" s="645"/>
      <c r="E58" s="645"/>
      <c r="F58" s="645"/>
      <c r="G58" s="645"/>
    </row>
    <row r="59" spans="1:22" x14ac:dyDescent="0.25">
      <c r="A59" s="7"/>
      <c r="B59" s="543"/>
      <c r="C59" s="543"/>
      <c r="D59" s="543"/>
      <c r="E59" s="543"/>
      <c r="F59" s="543"/>
      <c r="G59" s="543"/>
      <c r="I59" s="9"/>
      <c r="J59" s="9"/>
      <c r="K59" s="9"/>
      <c r="L59" s="9"/>
      <c r="M59" s="9"/>
      <c r="N59" s="9"/>
      <c r="O59" s="9"/>
      <c r="P59" s="9"/>
      <c r="Q59" s="9"/>
      <c r="R59" s="9"/>
      <c r="S59" s="9"/>
      <c r="T59" s="9"/>
      <c r="U59" s="9"/>
    </row>
    <row r="60" spans="1:22" ht="15" customHeight="1" x14ac:dyDescent="0.25">
      <c r="A60" s="7" t="s">
        <v>625</v>
      </c>
      <c r="B60" s="658" t="s">
        <v>623</v>
      </c>
      <c r="C60" s="658"/>
      <c r="D60" s="658"/>
      <c r="E60" s="658"/>
      <c r="F60" s="658"/>
      <c r="G60" s="658"/>
      <c r="I60" s="9"/>
      <c r="J60" s="9"/>
      <c r="K60" s="9"/>
      <c r="L60" s="9"/>
      <c r="M60" s="9"/>
      <c r="N60" s="9"/>
      <c r="O60" s="9"/>
      <c r="P60" s="9"/>
      <c r="Q60" s="9"/>
      <c r="R60" s="9"/>
      <c r="S60" s="9"/>
      <c r="T60" s="9"/>
      <c r="U60" s="9"/>
    </row>
    <row r="61" spans="1:22" ht="15" customHeight="1" x14ac:dyDescent="0.25">
      <c r="A61" s="7"/>
      <c r="B61" s="658"/>
      <c r="C61" s="658"/>
      <c r="D61" s="658"/>
      <c r="E61" s="658"/>
      <c r="F61" s="658"/>
      <c r="G61" s="658"/>
      <c r="I61" s="9"/>
      <c r="J61" s="9"/>
      <c r="K61" s="9"/>
      <c r="L61" s="9"/>
      <c r="M61" s="9"/>
      <c r="N61" s="9"/>
      <c r="O61" s="9"/>
      <c r="P61" s="9"/>
      <c r="Q61" s="9"/>
      <c r="R61" s="9"/>
      <c r="S61" s="9"/>
      <c r="T61" s="9"/>
      <c r="U61" s="9"/>
    </row>
    <row r="62" spans="1:22" x14ac:dyDescent="0.25">
      <c r="A62" s="7"/>
      <c r="B62" s="543"/>
      <c r="C62" s="543"/>
      <c r="D62" s="543"/>
      <c r="E62" s="543"/>
      <c r="F62" s="543"/>
      <c r="G62" s="543"/>
      <c r="H62" s="9"/>
      <c r="I62" s="9"/>
      <c r="J62" s="9"/>
      <c r="K62" s="9"/>
      <c r="L62" s="9"/>
      <c r="M62" s="9"/>
      <c r="N62" s="9"/>
      <c r="O62" s="9"/>
      <c r="P62" s="9"/>
      <c r="Q62" s="9"/>
      <c r="R62" s="9"/>
      <c r="S62" s="9"/>
      <c r="T62" s="9"/>
      <c r="U62" s="9"/>
    </row>
    <row r="63" spans="1:22" ht="15" customHeight="1" x14ac:dyDescent="0.25">
      <c r="A63" s="7" t="s">
        <v>626</v>
      </c>
      <c r="B63" s="658" t="s">
        <v>624</v>
      </c>
      <c r="C63" s="658"/>
      <c r="D63" s="658"/>
      <c r="E63" s="658"/>
      <c r="F63" s="658"/>
      <c r="G63" s="658"/>
      <c r="H63" s="9"/>
      <c r="I63" s="9"/>
      <c r="J63" s="9"/>
      <c r="K63" s="9"/>
      <c r="L63" s="9"/>
      <c r="M63" s="9"/>
      <c r="N63" s="9"/>
      <c r="O63" s="9"/>
      <c r="P63" s="9"/>
      <c r="Q63" s="9"/>
      <c r="R63" s="9"/>
      <c r="S63" s="9"/>
      <c r="T63" s="9"/>
      <c r="U63" s="9"/>
    </row>
    <row r="64" spans="1:22" ht="15" customHeight="1" x14ac:dyDescent="0.25">
      <c r="A64" s="7"/>
      <c r="B64" s="658"/>
      <c r="C64" s="658"/>
      <c r="D64" s="658"/>
      <c r="E64" s="658"/>
      <c r="F64" s="658"/>
      <c r="G64" s="658"/>
      <c r="H64" s="9"/>
      <c r="I64" s="9"/>
      <c r="J64" s="9"/>
      <c r="K64" s="9"/>
      <c r="L64" s="9"/>
      <c r="M64" s="9"/>
      <c r="N64" s="9"/>
      <c r="O64" s="9"/>
      <c r="P64" s="9"/>
      <c r="Q64" s="9"/>
      <c r="R64" s="9"/>
      <c r="S64" s="9"/>
      <c r="T64" s="9"/>
      <c r="U64" s="9"/>
    </row>
    <row r="65" spans="1:21" x14ac:dyDescent="0.25">
      <c r="A65" s="7"/>
      <c r="B65" s="658"/>
      <c r="C65" s="658"/>
      <c r="D65" s="658"/>
      <c r="E65" s="658"/>
      <c r="F65" s="658"/>
      <c r="G65" s="658"/>
      <c r="H65" s="9"/>
      <c r="I65" s="9"/>
      <c r="J65" s="9"/>
      <c r="K65" s="9"/>
      <c r="L65" s="9"/>
      <c r="M65" s="9"/>
      <c r="N65" s="9"/>
      <c r="O65" s="9"/>
      <c r="P65" s="9"/>
      <c r="Q65" s="9"/>
      <c r="R65" s="9"/>
      <c r="S65" s="9"/>
      <c r="T65" s="9"/>
      <c r="U65" s="9"/>
    </row>
    <row r="66" spans="1:21" ht="15" customHeight="1" x14ac:dyDescent="0.25">
      <c r="A66" s="60"/>
      <c r="B66" s="76"/>
      <c r="C66" s="76"/>
      <c r="D66" s="76"/>
      <c r="E66" s="76"/>
      <c r="F66" s="76"/>
      <c r="G66" s="543"/>
      <c r="H66" s="9"/>
      <c r="I66" s="9"/>
      <c r="J66" s="9"/>
      <c r="K66" s="9"/>
      <c r="L66" s="9"/>
      <c r="M66" s="9"/>
      <c r="N66" s="9"/>
      <c r="O66" s="9"/>
      <c r="P66" s="9"/>
      <c r="Q66" s="9"/>
      <c r="R66" s="9"/>
      <c r="S66" s="9"/>
      <c r="T66" s="9"/>
      <c r="U66" s="9"/>
    </row>
    <row r="67" spans="1:21" ht="15" customHeight="1" x14ac:dyDescent="0.25">
      <c r="A67" s="7"/>
      <c r="B67" s="76"/>
      <c r="C67" s="76"/>
      <c r="D67" s="76"/>
      <c r="E67" s="76"/>
      <c r="F67" s="76"/>
      <c r="G67" s="76"/>
      <c r="H67" s="9"/>
      <c r="I67" s="9"/>
      <c r="J67" s="9"/>
      <c r="K67" s="9"/>
      <c r="L67" s="9"/>
      <c r="M67" s="9"/>
      <c r="N67" s="9"/>
      <c r="O67" s="9"/>
      <c r="P67" s="9"/>
      <c r="Q67" s="9"/>
      <c r="R67" s="9"/>
      <c r="S67" s="9"/>
      <c r="T67" s="9"/>
      <c r="U67" s="9"/>
    </row>
    <row r="68" spans="1:21" x14ac:dyDescent="0.25">
      <c r="A68" s="7"/>
      <c r="B68" s="76"/>
      <c r="C68" s="76"/>
      <c r="D68" s="76"/>
      <c r="E68" s="76"/>
      <c r="F68" s="76"/>
      <c r="G68" s="76"/>
      <c r="H68" s="9"/>
      <c r="I68" s="9"/>
      <c r="J68" s="9"/>
      <c r="K68" s="9"/>
      <c r="L68" s="9"/>
      <c r="M68" s="9"/>
      <c r="N68" s="9"/>
      <c r="O68" s="9"/>
      <c r="P68" s="9"/>
      <c r="Q68" s="9"/>
      <c r="R68" s="9"/>
      <c r="S68" s="9"/>
      <c r="T68" s="9"/>
      <c r="U68" s="9"/>
    </row>
    <row r="69" spans="1:21" ht="15" customHeight="1" x14ac:dyDescent="0.25">
      <c r="A69" s="7"/>
      <c r="B69" s="76"/>
      <c r="C69" s="76"/>
      <c r="D69" s="76"/>
      <c r="E69" s="76"/>
      <c r="F69" s="76"/>
      <c r="G69" s="76"/>
      <c r="H69" s="9"/>
      <c r="I69" s="9"/>
      <c r="J69" s="9"/>
      <c r="K69" s="9"/>
      <c r="L69" s="9"/>
      <c r="M69" s="9"/>
      <c r="N69" s="9"/>
      <c r="O69" s="9"/>
      <c r="P69" s="9"/>
      <c r="Q69" s="9"/>
      <c r="R69" s="9"/>
      <c r="S69" s="9"/>
      <c r="T69" s="9"/>
      <c r="U69" s="9"/>
    </row>
    <row r="70" spans="1:21" ht="15" customHeight="1" x14ac:dyDescent="0.25">
      <c r="A70" s="543"/>
      <c r="B70" s="76"/>
      <c r="C70" s="76"/>
      <c r="D70" s="76"/>
      <c r="E70" s="76"/>
      <c r="F70" s="76"/>
      <c r="G70" s="76"/>
      <c r="H70" s="9"/>
      <c r="I70" s="9"/>
      <c r="J70" s="9"/>
      <c r="K70" s="9"/>
      <c r="L70" s="9"/>
      <c r="M70" s="9"/>
      <c r="N70" s="9"/>
      <c r="O70" s="9"/>
      <c r="P70" s="9"/>
      <c r="Q70" s="9"/>
      <c r="R70" s="9"/>
      <c r="S70" s="9"/>
      <c r="T70" s="9"/>
      <c r="U70" s="9"/>
    </row>
    <row r="71" spans="1:21" x14ac:dyDescent="0.25">
      <c r="A71" s="543"/>
      <c r="B71" s="543"/>
      <c r="C71" s="543"/>
      <c r="D71" s="543"/>
      <c r="E71" s="543"/>
      <c r="F71" s="543"/>
      <c r="G71" s="543"/>
      <c r="H71" s="9"/>
      <c r="I71" s="9"/>
      <c r="J71" s="9"/>
      <c r="K71" s="9"/>
      <c r="L71" s="9"/>
      <c r="M71" s="9"/>
      <c r="N71" s="9"/>
      <c r="O71" s="9"/>
      <c r="P71" s="9"/>
      <c r="Q71" s="9"/>
      <c r="R71" s="9"/>
      <c r="S71" s="9"/>
      <c r="T71" s="9"/>
      <c r="U71" s="9"/>
    </row>
    <row r="72" spans="1:21" x14ac:dyDescent="0.25">
      <c r="A72" s="543"/>
      <c r="B72" s="543"/>
      <c r="C72" s="543"/>
      <c r="D72" s="543"/>
      <c r="E72" s="543"/>
      <c r="F72" s="543"/>
      <c r="G72" s="543"/>
      <c r="H72" s="9"/>
      <c r="I72" s="9"/>
      <c r="J72" s="9"/>
      <c r="K72" s="9"/>
      <c r="L72" s="9"/>
      <c r="M72" s="9"/>
      <c r="N72" s="9"/>
      <c r="O72" s="9"/>
      <c r="P72" s="9"/>
      <c r="Q72" s="9"/>
      <c r="R72" s="9"/>
      <c r="S72" s="9"/>
      <c r="T72" s="9"/>
      <c r="U72" s="9"/>
    </row>
    <row r="73" spans="1:21" x14ac:dyDescent="0.25">
      <c r="A73" s="543"/>
      <c r="B73" s="543"/>
      <c r="C73" s="543"/>
      <c r="D73" s="543"/>
      <c r="E73" s="543"/>
      <c r="F73" s="543"/>
      <c r="G73" s="543"/>
      <c r="H73" s="9"/>
      <c r="I73" s="9"/>
      <c r="J73" s="9"/>
      <c r="K73" s="9"/>
      <c r="L73" s="9"/>
      <c r="M73" s="9"/>
      <c r="N73" s="9"/>
      <c r="O73" s="9"/>
      <c r="P73" s="9"/>
      <c r="Q73" s="9"/>
      <c r="R73" s="9"/>
      <c r="S73" s="9"/>
      <c r="T73" s="9"/>
      <c r="U73" s="9"/>
    </row>
    <row r="74" spans="1:21" x14ac:dyDescent="0.25">
      <c r="A74" s="543"/>
      <c r="B74" s="543"/>
      <c r="C74" s="543"/>
      <c r="D74" s="543"/>
      <c r="E74" s="543"/>
      <c r="F74" s="543"/>
      <c r="G74" s="543"/>
      <c r="H74" s="9"/>
      <c r="I74" s="9"/>
      <c r="J74" s="9"/>
      <c r="K74" s="9"/>
      <c r="L74" s="9"/>
      <c r="M74" s="9"/>
      <c r="N74" s="9"/>
      <c r="O74" s="9"/>
      <c r="P74" s="9"/>
      <c r="Q74" s="9"/>
      <c r="R74" s="9"/>
      <c r="S74" s="9"/>
      <c r="T74" s="9"/>
      <c r="U74" s="9"/>
    </row>
    <row r="75" spans="1:21" x14ac:dyDescent="0.25">
      <c r="H75" s="9"/>
      <c r="I75" s="9"/>
      <c r="J75" s="9"/>
      <c r="K75" s="9"/>
      <c r="L75" s="9"/>
      <c r="M75" s="9"/>
      <c r="N75" s="9"/>
      <c r="O75" s="9"/>
      <c r="P75" s="9"/>
      <c r="Q75" s="9"/>
      <c r="R75" s="9"/>
      <c r="S75" s="9"/>
      <c r="T75" s="9"/>
      <c r="U75" s="9"/>
    </row>
    <row r="76" spans="1:21" x14ac:dyDescent="0.25">
      <c r="H76" s="9"/>
      <c r="I76" s="9"/>
      <c r="J76" s="9"/>
      <c r="K76" s="9"/>
      <c r="L76" s="9"/>
      <c r="M76" s="9"/>
      <c r="N76" s="9"/>
      <c r="O76" s="9"/>
      <c r="P76" s="9"/>
      <c r="Q76" s="9"/>
      <c r="R76" s="9"/>
      <c r="S76" s="9"/>
      <c r="T76" s="9"/>
      <c r="U76" s="9"/>
    </row>
    <row r="77" spans="1:21" x14ac:dyDescent="0.25">
      <c r="H77" s="9"/>
      <c r="I77" s="9"/>
      <c r="J77" s="9"/>
      <c r="K77" s="9"/>
      <c r="L77" s="9"/>
      <c r="M77" s="9"/>
      <c r="N77" s="9"/>
      <c r="O77" s="9"/>
      <c r="P77" s="9"/>
      <c r="Q77" s="9"/>
      <c r="R77" s="9"/>
      <c r="S77" s="9"/>
      <c r="T77" s="9"/>
      <c r="U77" s="9"/>
    </row>
    <row r="78" spans="1:21" x14ac:dyDescent="0.25">
      <c r="H78" s="9"/>
      <c r="I78" s="9"/>
      <c r="J78" s="9"/>
      <c r="K78" s="9"/>
      <c r="L78" s="9"/>
      <c r="M78" s="9"/>
      <c r="N78" s="9"/>
      <c r="O78" s="9"/>
      <c r="P78" s="9"/>
      <c r="Q78" s="9"/>
      <c r="R78" s="9"/>
      <c r="S78" s="9"/>
      <c r="T78" s="9"/>
      <c r="U78" s="9"/>
    </row>
    <row r="79" spans="1:21" x14ac:dyDescent="0.25">
      <c r="H79" s="9"/>
      <c r="I79" s="9"/>
      <c r="J79" s="9"/>
      <c r="K79" s="9"/>
      <c r="L79" s="9"/>
      <c r="M79" s="9"/>
      <c r="N79" s="9"/>
      <c r="O79" s="9"/>
      <c r="P79" s="9"/>
      <c r="Q79" s="9"/>
      <c r="R79" s="9"/>
      <c r="S79" s="9"/>
      <c r="T79" s="9"/>
      <c r="U79" s="9"/>
    </row>
    <row r="80" spans="1:21" x14ac:dyDescent="0.25">
      <c r="H80" s="9"/>
      <c r="I80" s="9"/>
      <c r="J80" s="9"/>
      <c r="K80" s="9"/>
      <c r="L80" s="9"/>
      <c r="M80" s="9"/>
      <c r="N80" s="9"/>
      <c r="O80" s="9"/>
      <c r="P80" s="9"/>
      <c r="Q80" s="9"/>
      <c r="R80" s="9"/>
      <c r="S80" s="9"/>
      <c r="T80" s="9"/>
      <c r="U80" s="9"/>
    </row>
    <row r="81" spans="8:21" x14ac:dyDescent="0.25">
      <c r="H81" s="9"/>
      <c r="I81" s="9"/>
      <c r="J81" s="9"/>
      <c r="K81" s="9"/>
      <c r="L81" s="9"/>
      <c r="M81" s="9"/>
      <c r="N81" s="9"/>
      <c r="O81" s="9"/>
      <c r="P81" s="9"/>
      <c r="Q81" s="9"/>
      <c r="R81" s="9"/>
      <c r="S81" s="9"/>
      <c r="T81" s="9"/>
      <c r="U81" s="9"/>
    </row>
    <row r="82" spans="8:21" x14ac:dyDescent="0.25">
      <c r="H82" s="9"/>
      <c r="I82" s="9"/>
      <c r="J82" s="9"/>
      <c r="K82" s="9"/>
      <c r="L82" s="9"/>
      <c r="M82" s="9"/>
      <c r="N82" s="9"/>
      <c r="O82" s="9"/>
      <c r="P82" s="9"/>
      <c r="Q82" s="9"/>
      <c r="R82" s="9"/>
      <c r="S82" s="9"/>
      <c r="T82" s="9"/>
      <c r="U82" s="9"/>
    </row>
    <row r="83" spans="8:21" x14ac:dyDescent="0.25">
      <c r="H83" s="9"/>
      <c r="I83" s="9"/>
      <c r="J83" s="9"/>
      <c r="K83" s="9"/>
      <c r="L83" s="9"/>
      <c r="M83" s="9"/>
      <c r="N83" s="9"/>
      <c r="O83" s="9"/>
      <c r="P83" s="9"/>
      <c r="Q83" s="9"/>
      <c r="R83" s="9"/>
      <c r="S83" s="9"/>
      <c r="T83" s="9"/>
      <c r="U83" s="9"/>
    </row>
    <row r="84" spans="8:21" x14ac:dyDescent="0.25">
      <c r="H84" s="9"/>
      <c r="I84" s="9"/>
      <c r="J84" s="9"/>
      <c r="K84" s="9"/>
      <c r="L84" s="9"/>
      <c r="M84" s="9"/>
      <c r="N84" s="9"/>
      <c r="O84" s="9"/>
      <c r="P84" s="9"/>
      <c r="Q84" s="9"/>
      <c r="R84" s="9"/>
      <c r="S84" s="9"/>
      <c r="T84" s="9"/>
      <c r="U84" s="9"/>
    </row>
    <row r="85" spans="8:21" x14ac:dyDescent="0.25">
      <c r="H85" s="9"/>
      <c r="I85" s="9"/>
      <c r="J85" s="9"/>
      <c r="K85" s="9"/>
      <c r="L85" s="9"/>
      <c r="M85" s="9"/>
      <c r="N85" s="9"/>
      <c r="O85" s="9"/>
      <c r="P85" s="9"/>
      <c r="Q85" s="9"/>
      <c r="R85" s="9"/>
      <c r="S85" s="9"/>
      <c r="T85" s="9"/>
      <c r="U85" s="9"/>
    </row>
    <row r="86" spans="8:21" x14ac:dyDescent="0.25">
      <c r="H86" s="9"/>
      <c r="I86" s="9"/>
      <c r="J86" s="9"/>
      <c r="K86" s="9"/>
      <c r="L86" s="9"/>
      <c r="M86" s="9"/>
      <c r="N86" s="9"/>
      <c r="O86" s="9"/>
      <c r="P86" s="9"/>
      <c r="Q86" s="9"/>
      <c r="R86" s="9"/>
      <c r="S86" s="9"/>
      <c r="T86" s="9"/>
      <c r="U86" s="9"/>
    </row>
    <row r="87" spans="8:21" x14ac:dyDescent="0.25">
      <c r="H87" s="9"/>
      <c r="I87" s="9"/>
      <c r="J87" s="9"/>
      <c r="K87" s="9"/>
      <c r="L87" s="9"/>
      <c r="M87" s="9"/>
      <c r="N87" s="9"/>
      <c r="O87" s="9"/>
      <c r="P87" s="9"/>
      <c r="Q87" s="9"/>
      <c r="R87" s="9"/>
      <c r="S87" s="9"/>
      <c r="T87" s="9"/>
      <c r="U87" s="9"/>
    </row>
    <row r="88" spans="8:21" x14ac:dyDescent="0.25">
      <c r="H88" s="9"/>
      <c r="I88" s="9"/>
      <c r="J88" s="9"/>
      <c r="K88" s="9"/>
      <c r="L88" s="9"/>
      <c r="M88" s="9"/>
      <c r="N88" s="9"/>
      <c r="O88" s="9"/>
      <c r="P88" s="9"/>
      <c r="Q88" s="9"/>
      <c r="R88" s="9"/>
      <c r="S88" s="9"/>
      <c r="T88" s="9"/>
      <c r="U88" s="9"/>
    </row>
    <row r="89" spans="8:21" x14ac:dyDescent="0.25">
      <c r="H89" s="9"/>
      <c r="I89" s="9"/>
      <c r="J89" s="9"/>
      <c r="K89" s="9"/>
      <c r="L89" s="9"/>
      <c r="M89" s="9"/>
      <c r="N89" s="9"/>
      <c r="O89" s="9"/>
      <c r="P89" s="9"/>
      <c r="Q89" s="9"/>
      <c r="R89" s="9"/>
      <c r="S89" s="9"/>
      <c r="T89" s="9"/>
      <c r="U89" s="9"/>
    </row>
    <row r="90" spans="8:21" x14ac:dyDescent="0.25">
      <c r="H90" s="9"/>
      <c r="I90" s="9"/>
      <c r="J90" s="9"/>
      <c r="K90" s="9"/>
      <c r="L90" s="9"/>
      <c r="M90" s="9"/>
      <c r="N90" s="9"/>
      <c r="O90" s="9"/>
      <c r="P90" s="9"/>
      <c r="Q90" s="9"/>
      <c r="R90" s="9"/>
      <c r="S90" s="9"/>
      <c r="T90" s="9"/>
      <c r="U90" s="9"/>
    </row>
    <row r="91" spans="8:21" x14ac:dyDescent="0.25">
      <c r="H91" s="9"/>
      <c r="I91" s="9"/>
      <c r="J91" s="9"/>
      <c r="K91" s="9"/>
      <c r="L91" s="9"/>
      <c r="M91" s="9"/>
      <c r="N91" s="9"/>
      <c r="O91" s="9"/>
      <c r="P91" s="9"/>
      <c r="Q91" s="9"/>
      <c r="R91" s="9"/>
      <c r="S91" s="9"/>
      <c r="T91" s="9"/>
      <c r="U91" s="9"/>
    </row>
    <row r="92" spans="8:21" x14ac:dyDescent="0.25">
      <c r="H92" s="9"/>
      <c r="I92" s="9"/>
      <c r="J92" s="9"/>
      <c r="K92" s="9"/>
      <c r="L92" s="9"/>
      <c r="M92" s="9"/>
      <c r="N92" s="9"/>
      <c r="O92" s="9"/>
      <c r="P92" s="9"/>
      <c r="Q92" s="9"/>
      <c r="R92" s="9"/>
      <c r="S92" s="9"/>
      <c r="T92" s="9"/>
      <c r="U92" s="9"/>
    </row>
    <row r="93" spans="8:21" x14ac:dyDescent="0.25">
      <c r="H93" s="9"/>
      <c r="I93" s="9"/>
      <c r="J93" s="9"/>
      <c r="K93" s="9"/>
      <c r="L93" s="9"/>
      <c r="M93" s="9"/>
      <c r="N93" s="9"/>
      <c r="O93" s="9"/>
      <c r="P93" s="9"/>
      <c r="Q93" s="9"/>
      <c r="R93" s="9"/>
      <c r="S93" s="9"/>
      <c r="T93" s="9"/>
      <c r="U93" s="9"/>
    </row>
    <row r="94" spans="8:21" x14ac:dyDescent="0.25">
      <c r="H94" s="9"/>
      <c r="I94" s="9"/>
      <c r="J94" s="9"/>
      <c r="K94" s="9"/>
      <c r="L94" s="9"/>
      <c r="M94" s="9"/>
      <c r="N94" s="9"/>
      <c r="O94" s="9"/>
      <c r="P94" s="9"/>
      <c r="Q94" s="9"/>
      <c r="R94" s="9"/>
      <c r="S94" s="9"/>
      <c r="T94" s="9"/>
      <c r="U94" s="9"/>
    </row>
    <row r="95" spans="8:21" x14ac:dyDescent="0.25">
      <c r="H95" s="9"/>
      <c r="I95" s="9"/>
      <c r="J95" s="9"/>
      <c r="K95" s="9"/>
      <c r="L95" s="9"/>
      <c r="M95" s="9"/>
      <c r="N95" s="9"/>
      <c r="O95" s="9"/>
      <c r="P95" s="9"/>
      <c r="Q95" s="9"/>
      <c r="R95" s="9"/>
      <c r="S95" s="9"/>
      <c r="T95" s="9"/>
      <c r="U95" s="9"/>
    </row>
    <row r="96" spans="8:21" x14ac:dyDescent="0.25">
      <c r="H96" s="9"/>
      <c r="I96" s="9"/>
      <c r="J96" s="9"/>
      <c r="K96" s="9"/>
      <c r="L96" s="9"/>
      <c r="M96" s="9"/>
      <c r="N96" s="9"/>
      <c r="O96" s="9"/>
      <c r="P96" s="9"/>
      <c r="Q96" s="9"/>
      <c r="R96" s="9"/>
      <c r="S96" s="9"/>
      <c r="T96" s="9"/>
      <c r="U96" s="9"/>
    </row>
    <row r="97" spans="8:22" x14ac:dyDescent="0.25">
      <c r="H97" s="9"/>
      <c r="I97" s="9"/>
      <c r="J97" s="9"/>
      <c r="K97" s="9"/>
      <c r="L97" s="9"/>
      <c r="M97" s="9"/>
      <c r="N97" s="9"/>
      <c r="O97" s="9"/>
      <c r="P97" s="9"/>
      <c r="Q97" s="9"/>
      <c r="R97" s="9"/>
      <c r="S97" s="9"/>
      <c r="T97" s="9"/>
      <c r="U97" s="9"/>
    </row>
    <row r="98" spans="8:22" x14ac:dyDescent="0.25">
      <c r="H98" s="9"/>
      <c r="I98" s="9"/>
      <c r="J98" s="9"/>
      <c r="K98" s="9"/>
      <c r="L98" s="9"/>
      <c r="M98" s="9"/>
      <c r="N98" s="9"/>
      <c r="O98" s="9"/>
      <c r="P98" s="9"/>
      <c r="Q98" s="9"/>
      <c r="R98" s="9"/>
      <c r="S98" s="9"/>
      <c r="T98" s="9"/>
      <c r="U98" s="9"/>
    </row>
    <row r="99" spans="8:22" x14ac:dyDescent="0.25">
      <c r="H99" s="9"/>
      <c r="I99" s="9"/>
      <c r="J99" s="9"/>
      <c r="K99" s="9"/>
      <c r="L99" s="9"/>
      <c r="M99" s="9"/>
      <c r="N99" s="9"/>
      <c r="O99" s="9"/>
      <c r="P99" s="9"/>
      <c r="Q99" s="9"/>
      <c r="R99" s="9"/>
      <c r="S99" s="9"/>
      <c r="T99" s="9"/>
      <c r="U99" s="9"/>
    </row>
    <row r="100" spans="8:22" x14ac:dyDescent="0.25">
      <c r="H100" s="9"/>
      <c r="I100" s="9"/>
      <c r="J100" s="9"/>
      <c r="K100" s="9"/>
      <c r="L100" s="9"/>
      <c r="M100" s="9"/>
      <c r="N100" s="9"/>
      <c r="O100" s="9"/>
      <c r="P100" s="9"/>
      <c r="Q100" s="9"/>
      <c r="R100" s="9"/>
      <c r="S100" s="9"/>
      <c r="T100" s="9"/>
      <c r="U100" s="9"/>
    </row>
    <row r="101" spans="8:22" x14ac:dyDescent="0.25">
      <c r="H101" s="9"/>
      <c r="I101" s="9"/>
      <c r="J101" s="9"/>
      <c r="K101" s="9"/>
      <c r="L101" s="9"/>
      <c r="M101" s="9"/>
      <c r="N101" s="9"/>
      <c r="O101" s="9"/>
      <c r="P101" s="9"/>
      <c r="Q101" s="9"/>
      <c r="R101" s="9"/>
      <c r="S101" s="9"/>
      <c r="T101" s="9"/>
      <c r="U101" s="9"/>
    </row>
    <row r="102" spans="8:22" x14ac:dyDescent="0.25">
      <c r="H102" s="9"/>
      <c r="I102" s="9"/>
      <c r="J102" s="9"/>
      <c r="K102" s="9"/>
      <c r="L102" s="9"/>
      <c r="M102" s="9"/>
      <c r="N102" s="9"/>
      <c r="O102" s="9"/>
      <c r="P102" s="9"/>
      <c r="Q102" s="9"/>
      <c r="R102" s="9"/>
      <c r="S102" s="9"/>
      <c r="T102" s="9"/>
      <c r="U102" s="9"/>
    </row>
    <row r="103" spans="8:22" x14ac:dyDescent="0.25">
      <c r="H103" s="9"/>
      <c r="I103" s="9"/>
      <c r="J103" s="9"/>
      <c r="K103" s="9"/>
      <c r="L103" s="9"/>
      <c r="M103" s="9"/>
      <c r="N103" s="9"/>
      <c r="O103" s="9"/>
      <c r="P103" s="9"/>
      <c r="Q103" s="9"/>
      <c r="R103" s="9"/>
      <c r="S103" s="9"/>
      <c r="T103" s="9"/>
      <c r="U103" s="9"/>
      <c r="V103" s="36" t="s">
        <v>618</v>
      </c>
    </row>
    <row r="104" spans="8:22" x14ac:dyDescent="0.25">
      <c r="H104" s="9"/>
      <c r="I104" s="9"/>
      <c r="J104" s="9"/>
      <c r="K104" s="9"/>
      <c r="L104" s="9"/>
      <c r="M104" s="9"/>
      <c r="N104" s="9"/>
      <c r="O104" s="9"/>
      <c r="P104" s="9"/>
      <c r="Q104" s="9"/>
      <c r="R104" s="9"/>
      <c r="S104" s="9"/>
      <c r="T104" s="9"/>
      <c r="U104" s="9"/>
    </row>
    <row r="105" spans="8:22" x14ac:dyDescent="0.25">
      <c r="H105" s="9"/>
      <c r="I105" s="9"/>
      <c r="J105" s="9"/>
      <c r="K105" s="9"/>
      <c r="L105" s="9"/>
      <c r="M105" s="9"/>
      <c r="N105" s="9"/>
      <c r="O105" s="9"/>
      <c r="P105" s="9"/>
      <c r="Q105" s="9"/>
      <c r="R105" s="9"/>
      <c r="S105" s="9"/>
      <c r="T105" s="9"/>
      <c r="U105" s="9"/>
    </row>
    <row r="106" spans="8:22" x14ac:dyDescent="0.25">
      <c r="H106" s="9"/>
      <c r="I106" s="9"/>
      <c r="J106" s="9"/>
      <c r="K106" s="9"/>
      <c r="L106" s="9"/>
      <c r="M106" s="9"/>
      <c r="N106" s="9"/>
      <c r="O106" s="9"/>
      <c r="P106" s="9"/>
      <c r="Q106" s="9"/>
      <c r="R106" s="9"/>
      <c r="S106" s="9"/>
      <c r="T106" s="9"/>
      <c r="U106" s="9"/>
    </row>
    <row r="107" spans="8:22" x14ac:dyDescent="0.25">
      <c r="H107" s="9"/>
      <c r="I107" s="9"/>
      <c r="J107" s="9"/>
      <c r="K107" s="9"/>
      <c r="L107" s="9"/>
      <c r="M107" s="9"/>
      <c r="N107" s="9"/>
      <c r="O107" s="9"/>
      <c r="P107" s="9"/>
      <c r="Q107" s="9"/>
      <c r="R107" s="9"/>
      <c r="S107" s="9"/>
      <c r="T107" s="9"/>
      <c r="U107" s="9"/>
    </row>
    <row r="108" spans="8:22" x14ac:dyDescent="0.25">
      <c r="H108" s="9"/>
      <c r="I108" s="9"/>
      <c r="J108" s="9"/>
      <c r="K108" s="9"/>
      <c r="L108" s="9"/>
      <c r="M108" s="9"/>
      <c r="N108" s="9"/>
      <c r="O108" s="9"/>
      <c r="P108" s="9"/>
      <c r="Q108" s="9"/>
      <c r="R108" s="9"/>
      <c r="S108" s="9"/>
      <c r="T108" s="9"/>
      <c r="U108" s="9"/>
    </row>
    <row r="109" spans="8:22" x14ac:dyDescent="0.25">
      <c r="H109" s="9"/>
      <c r="I109" s="9"/>
      <c r="J109" s="9"/>
      <c r="K109" s="9"/>
      <c r="L109" s="9"/>
      <c r="M109" s="9"/>
      <c r="N109" s="9"/>
      <c r="O109" s="9"/>
      <c r="P109" s="9"/>
      <c r="Q109" s="9"/>
      <c r="R109" s="9"/>
      <c r="S109" s="9"/>
      <c r="T109" s="9"/>
      <c r="U109" s="9"/>
    </row>
    <row r="110" spans="8:22" x14ac:dyDescent="0.25">
      <c r="H110" s="9"/>
      <c r="I110" s="9"/>
      <c r="J110" s="9"/>
      <c r="K110" s="9"/>
      <c r="L110" s="9"/>
      <c r="M110" s="9"/>
      <c r="N110" s="9"/>
      <c r="O110" s="9"/>
      <c r="P110" s="9"/>
      <c r="Q110" s="9"/>
      <c r="R110" s="9"/>
      <c r="S110" s="9"/>
      <c r="T110" s="9"/>
      <c r="U110" s="9"/>
    </row>
    <row r="111" spans="8:22" x14ac:dyDescent="0.25">
      <c r="H111" s="9"/>
      <c r="I111" s="9"/>
      <c r="J111" s="9"/>
      <c r="K111" s="9"/>
      <c r="L111" s="9"/>
      <c r="M111" s="9"/>
      <c r="N111" s="9"/>
      <c r="O111" s="9"/>
      <c r="P111" s="9"/>
      <c r="Q111" s="9"/>
      <c r="R111" s="9"/>
      <c r="S111" s="9"/>
      <c r="T111" s="9"/>
      <c r="U111" s="9"/>
    </row>
    <row r="112" spans="8:22" x14ac:dyDescent="0.25">
      <c r="H112" s="9"/>
      <c r="I112" s="9"/>
      <c r="J112" s="9"/>
      <c r="K112" s="9"/>
      <c r="L112" s="9"/>
      <c r="M112" s="9"/>
      <c r="N112" s="9"/>
      <c r="O112" s="9"/>
      <c r="P112" s="9"/>
      <c r="Q112" s="9"/>
      <c r="R112" s="9"/>
      <c r="S112" s="9"/>
      <c r="T112" s="9"/>
      <c r="U112" s="9"/>
    </row>
    <row r="113" spans="8:21" x14ac:dyDescent="0.25">
      <c r="H113" s="9"/>
      <c r="I113" s="9"/>
      <c r="J113" s="9"/>
      <c r="K113" s="9"/>
      <c r="L113" s="9"/>
      <c r="M113" s="9"/>
      <c r="N113" s="9"/>
      <c r="O113" s="9"/>
      <c r="P113" s="9"/>
      <c r="Q113" s="9"/>
      <c r="R113" s="9"/>
      <c r="S113" s="9"/>
      <c r="T113" s="9"/>
      <c r="U113" s="9"/>
    </row>
    <row r="114" spans="8:21" x14ac:dyDescent="0.25">
      <c r="H114" s="9"/>
      <c r="I114" s="9"/>
      <c r="J114" s="9"/>
      <c r="K114" s="9"/>
      <c r="L114" s="9"/>
      <c r="M114" s="9"/>
      <c r="N114" s="9"/>
      <c r="O114" s="9"/>
      <c r="P114" s="9"/>
      <c r="Q114" s="9"/>
      <c r="R114" s="9"/>
      <c r="S114" s="9"/>
      <c r="T114" s="9"/>
      <c r="U114" s="9"/>
    </row>
    <row r="115" spans="8:21" x14ac:dyDescent="0.25">
      <c r="H115" s="9"/>
    </row>
    <row r="116" spans="8:21" x14ac:dyDescent="0.25">
      <c r="H116" s="9"/>
    </row>
    <row r="117" spans="8:21" x14ac:dyDescent="0.25">
      <c r="H117" s="9"/>
    </row>
  </sheetData>
  <mergeCells count="21">
    <mergeCell ref="B54:G55"/>
    <mergeCell ref="B57:G58"/>
    <mergeCell ref="B60:G61"/>
    <mergeCell ref="B63:G65"/>
    <mergeCell ref="M20:N20"/>
    <mergeCell ref="K25:L25"/>
    <mergeCell ref="M25:N25"/>
    <mergeCell ref="B29:G34"/>
    <mergeCell ref="B50:G51"/>
    <mergeCell ref="B36:G37"/>
    <mergeCell ref="B39:G42"/>
    <mergeCell ref="B44:G49"/>
    <mergeCell ref="H4:H5"/>
    <mergeCell ref="K5:L5"/>
    <mergeCell ref="B4:B5"/>
    <mergeCell ref="C4:C5"/>
    <mergeCell ref="D4:D5"/>
    <mergeCell ref="E4:E5"/>
    <mergeCell ref="F4:F5"/>
    <mergeCell ref="G4:G5"/>
    <mergeCell ref="K20:L20"/>
  </mergeCells>
  <pageMargins left="0.25" right="0.25" top="0.75" bottom="0.75" header="0.3" footer="0.3"/>
  <pageSetup scale="3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43BB-7ECD-4BFA-B2F9-644ABA117CED}">
  <sheetPr>
    <tabColor rgb="FF00B050"/>
    <pageSetUpPr fitToPage="1"/>
  </sheetPr>
  <dimension ref="A1:V113"/>
  <sheetViews>
    <sheetView zoomScale="70" zoomScaleNormal="70" zoomScaleSheetLayoutView="70" zoomScalePageLayoutView="55" workbookViewId="0">
      <selection activeCell="K15" sqref="K15"/>
    </sheetView>
  </sheetViews>
  <sheetFormatPr defaultRowHeight="15" x14ac:dyDescent="0.25"/>
  <cols>
    <col min="1" max="1" width="3.7109375" style="287" customWidth="1"/>
    <col min="2" max="8" width="20.7109375" style="287" customWidth="1"/>
    <col min="9" max="9" width="5.7109375" style="287" customWidth="1"/>
    <col min="10" max="10" width="3" style="287" customWidth="1"/>
    <col min="11" max="11" width="39.140625" style="287" customWidth="1"/>
    <col min="12" max="12" width="29.28515625" style="287" bestFit="1" customWidth="1"/>
    <col min="13" max="13" width="39.140625" style="287" customWidth="1"/>
    <col min="14" max="14" width="29.28515625" style="287" bestFit="1" customWidth="1"/>
    <col min="15" max="15" width="16.28515625" style="287" customWidth="1"/>
    <col min="16" max="16" width="5.7109375" style="287" customWidth="1"/>
    <col min="17" max="17" width="37.85546875" style="287" customWidth="1"/>
    <col min="18" max="18" width="16.28515625" style="287" customWidth="1"/>
    <col min="19" max="21" width="4.5703125" style="287" customWidth="1"/>
    <col min="22" max="22" width="18" style="287" bestFit="1" customWidth="1"/>
    <col min="23" max="23" width="22.85546875" style="287" bestFit="1" customWidth="1"/>
    <col min="24" max="25" width="50.85546875" style="287" customWidth="1"/>
    <col min="26" max="26" width="16.28515625" style="287" bestFit="1" customWidth="1"/>
    <col min="27" max="16384" width="9.140625" style="287"/>
  </cols>
  <sheetData>
    <row r="1" spans="1:13" ht="14.25" customHeight="1" x14ac:dyDescent="0.25">
      <c r="A1" s="15"/>
      <c r="B1" s="290">
        <v>1</v>
      </c>
      <c r="C1" s="522">
        <v>2</v>
      </c>
      <c r="D1" s="522">
        <v>3</v>
      </c>
      <c r="E1" s="522">
        <v>4</v>
      </c>
      <c r="F1" s="522">
        <v>5</v>
      </c>
      <c r="G1" s="522">
        <v>6</v>
      </c>
      <c r="H1" s="522">
        <v>7</v>
      </c>
    </row>
    <row r="2" spans="1:13" x14ac:dyDescent="0.25">
      <c r="B2" s="6" t="s">
        <v>225</v>
      </c>
      <c r="C2" s="6"/>
      <c r="D2" s="6"/>
    </row>
    <row r="3" spans="1:13" ht="15.75" thickBot="1" x14ac:dyDescent="0.3">
      <c r="B3" s="367" t="s">
        <v>494</v>
      </c>
      <c r="K3" s="55"/>
    </row>
    <row r="4" spans="1:13" ht="35.1" customHeight="1" x14ac:dyDescent="0.25">
      <c r="B4" s="651" t="s">
        <v>0</v>
      </c>
      <c r="C4" s="651" t="s">
        <v>646</v>
      </c>
      <c r="D4" s="653" t="s">
        <v>126</v>
      </c>
      <c r="E4" s="651" t="s">
        <v>179</v>
      </c>
      <c r="F4" s="651" t="s">
        <v>178</v>
      </c>
      <c r="G4" s="649" t="s">
        <v>180</v>
      </c>
      <c r="H4" s="647" t="s">
        <v>1</v>
      </c>
      <c r="K4" s="62"/>
      <c r="L4" s="15"/>
      <c r="M4" s="20"/>
    </row>
    <row r="5" spans="1:13" ht="43.5" customHeight="1" thickBot="1" x14ac:dyDescent="0.3">
      <c r="B5" s="652"/>
      <c r="C5" s="652"/>
      <c r="D5" s="654"/>
      <c r="E5" s="652"/>
      <c r="F5" s="652"/>
      <c r="G5" s="650"/>
      <c r="H5" s="648"/>
      <c r="K5" s="655" t="s">
        <v>647</v>
      </c>
      <c r="L5" s="655"/>
      <c r="M5" s="28"/>
    </row>
    <row r="6" spans="1:13" x14ac:dyDescent="0.25">
      <c r="B6" s="1">
        <f>Assumptions!$D$7</f>
        <v>2024</v>
      </c>
      <c r="C6" s="145">
        <v>0</v>
      </c>
      <c r="D6" s="145">
        <v>0</v>
      </c>
      <c r="E6" s="156">
        <f>C6*$L$6</f>
        <v>0</v>
      </c>
      <c r="F6" s="156">
        <f>D6*$L$6</f>
        <v>0</v>
      </c>
      <c r="G6" s="157">
        <f>(E6-F6)</f>
        <v>0</v>
      </c>
      <c r="H6" s="156">
        <f>G6*(1+0.07)^-(B6-Assumptions!$D$4)</f>
        <v>0</v>
      </c>
      <c r="I6" s="15"/>
      <c r="K6" s="65" t="s">
        <v>19</v>
      </c>
      <c r="L6" s="67">
        <f>Assumptions!D23</f>
        <v>0.45</v>
      </c>
      <c r="M6" s="15" t="s">
        <v>240</v>
      </c>
    </row>
    <row r="7" spans="1:13" x14ac:dyDescent="0.25">
      <c r="B7" s="2">
        <f>B6+1</f>
        <v>2025</v>
      </c>
      <c r="C7" s="145">
        <v>0</v>
      </c>
      <c r="D7" s="145">
        <v>0</v>
      </c>
      <c r="E7" s="147">
        <f t="shared" ref="E7:F25" si="0">C7*$L$6</f>
        <v>0</v>
      </c>
      <c r="F7" s="147">
        <f t="shared" si="0"/>
        <v>0</v>
      </c>
      <c r="G7" s="148">
        <f t="shared" ref="G7:G25" si="1">(E7-F7)</f>
        <v>0</v>
      </c>
      <c r="H7" s="147">
        <f>G7*(1+0.07)^-(B7-Assumptions!$D$4)</f>
        <v>0</v>
      </c>
      <c r="I7" s="15"/>
      <c r="M7" s="19"/>
    </row>
    <row r="8" spans="1:13" x14ac:dyDescent="0.25">
      <c r="B8" s="2">
        <f t="shared" ref="B8:B25" si="2">B7+1</f>
        <v>2026</v>
      </c>
      <c r="C8" s="145">
        <v>0</v>
      </c>
      <c r="D8" s="145">
        <v>0</v>
      </c>
      <c r="E8" s="147">
        <f t="shared" si="0"/>
        <v>0</v>
      </c>
      <c r="F8" s="147">
        <f t="shared" si="0"/>
        <v>0</v>
      </c>
      <c r="G8" s="148">
        <f t="shared" si="1"/>
        <v>0</v>
      </c>
      <c r="H8" s="147">
        <f>G8*(1+0.07)^-(B8-Assumptions!$D$4)</f>
        <v>0</v>
      </c>
      <c r="J8" s="61"/>
      <c r="K8" s="283" t="s">
        <v>194</v>
      </c>
      <c r="L8" s="283"/>
      <c r="M8" s="18"/>
    </row>
    <row r="9" spans="1:13" ht="15" customHeight="1" x14ac:dyDescent="0.25">
      <c r="B9" s="2">
        <f t="shared" si="2"/>
        <v>2027</v>
      </c>
      <c r="C9" s="145">
        <v>0</v>
      </c>
      <c r="D9" s="145">
        <v>0</v>
      </c>
      <c r="E9" s="147">
        <f t="shared" si="0"/>
        <v>0</v>
      </c>
      <c r="F9" s="147">
        <f t="shared" si="0"/>
        <v>0</v>
      </c>
      <c r="G9" s="148">
        <f t="shared" si="1"/>
        <v>0</v>
      </c>
      <c r="H9" s="147">
        <f>G9*(1+0.07)^-(B9-Assumptions!$D$4)</f>
        <v>0</v>
      </c>
      <c r="K9" s="65" t="s">
        <v>21</v>
      </c>
      <c r="L9" s="64">
        <f>Assumptions!D14</f>
        <v>0.71936758893280639</v>
      </c>
      <c r="M9" s="18" t="s">
        <v>245</v>
      </c>
    </row>
    <row r="10" spans="1:13" x14ac:dyDescent="0.25">
      <c r="B10" s="2">
        <f t="shared" si="2"/>
        <v>2028</v>
      </c>
      <c r="C10" s="145">
        <f t="shared" ref="C10:C14" si="3">TREND($L$27:$L$28,$K$27:$K$28,B10)</f>
        <v>1393710.5899209455</v>
      </c>
      <c r="D10" s="145">
        <f t="shared" ref="D10:D14" si="4">TREND($N$27:$N$28,$M$27:$M$28,B10)</f>
        <v>599445.41501976177</v>
      </c>
      <c r="E10" s="147">
        <f t="shared" si="0"/>
        <v>627169.76546442544</v>
      </c>
      <c r="F10" s="147">
        <f t="shared" si="0"/>
        <v>269750.43675889279</v>
      </c>
      <c r="G10" s="148">
        <f t="shared" si="1"/>
        <v>357419.32870553265</v>
      </c>
      <c r="H10" s="147">
        <f>G10*(1+0.07)^-(B10-Assumptions!$D$4)</f>
        <v>208021.30345414419</v>
      </c>
      <c r="M10" s="48"/>
    </row>
    <row r="11" spans="1:13" x14ac:dyDescent="0.25">
      <c r="B11" s="2">
        <f t="shared" si="2"/>
        <v>2029</v>
      </c>
      <c r="C11" s="145">
        <f t="shared" si="3"/>
        <v>1416298.1027667969</v>
      </c>
      <c r="D11" s="145">
        <f t="shared" si="4"/>
        <v>609160.47430829704</v>
      </c>
      <c r="E11" s="147">
        <f t="shared" si="0"/>
        <v>637334.14624505863</v>
      </c>
      <c r="F11" s="147">
        <f t="shared" si="0"/>
        <v>274122.21343873366</v>
      </c>
      <c r="G11" s="148">
        <f t="shared" si="1"/>
        <v>363211.93280632497</v>
      </c>
      <c r="H11" s="147">
        <f>G11*(1+0.07)^-(B11-Assumptions!$D$4)</f>
        <v>197563.22596256644</v>
      </c>
      <c r="K11" s="283" t="s">
        <v>632</v>
      </c>
      <c r="L11" s="283"/>
      <c r="M11" s="18"/>
    </row>
    <row r="12" spans="1:13" x14ac:dyDescent="0.25">
      <c r="B12" s="2">
        <f t="shared" si="2"/>
        <v>2030</v>
      </c>
      <c r="C12" s="145">
        <f t="shared" si="3"/>
        <v>1438885.6156126484</v>
      </c>
      <c r="D12" s="145">
        <f t="shared" si="4"/>
        <v>618875.53359683603</v>
      </c>
      <c r="E12" s="147">
        <f t="shared" si="0"/>
        <v>647498.52702569182</v>
      </c>
      <c r="F12" s="147">
        <f t="shared" si="0"/>
        <v>278493.99011857621</v>
      </c>
      <c r="G12" s="148">
        <f t="shared" si="1"/>
        <v>369004.5369071156</v>
      </c>
      <c r="H12" s="147">
        <f>G12*(1+0.07)^-(B12-Assumptions!$D$4)</f>
        <v>187583.19513123157</v>
      </c>
      <c r="K12" s="65" t="s">
        <v>26</v>
      </c>
      <c r="L12" s="144">
        <v>1.67</v>
      </c>
      <c r="M12" s="15" t="s">
        <v>240</v>
      </c>
    </row>
    <row r="13" spans="1:13" ht="15" customHeight="1" x14ac:dyDescent="0.25">
      <c r="B13" s="2">
        <f t="shared" si="2"/>
        <v>2031</v>
      </c>
      <c r="C13" s="145">
        <f t="shared" si="3"/>
        <v>1461473.1284584999</v>
      </c>
      <c r="D13" s="145">
        <f t="shared" si="4"/>
        <v>628590.59288537502</v>
      </c>
      <c r="E13" s="147">
        <f t="shared" si="0"/>
        <v>657662.90780632501</v>
      </c>
      <c r="F13" s="147">
        <f t="shared" si="0"/>
        <v>282865.76679841877</v>
      </c>
      <c r="G13" s="148">
        <f t="shared" si="1"/>
        <v>374797.14100790623</v>
      </c>
      <c r="H13" s="147">
        <f>G13*(1+0.07)^-(B13-Assumptions!$D$4)</f>
        <v>178063.42179951881</v>
      </c>
      <c r="M13" s="52"/>
    </row>
    <row r="14" spans="1:13" x14ac:dyDescent="0.25">
      <c r="B14" s="2">
        <f t="shared" si="2"/>
        <v>2032</v>
      </c>
      <c r="C14" s="145">
        <f t="shared" si="3"/>
        <v>1484060.6413043514</v>
      </c>
      <c r="D14" s="145">
        <f t="shared" si="4"/>
        <v>638305.65217391029</v>
      </c>
      <c r="E14" s="147">
        <f t="shared" si="0"/>
        <v>667827.2885869582</v>
      </c>
      <c r="F14" s="147">
        <f t="shared" si="0"/>
        <v>287237.54347825964</v>
      </c>
      <c r="G14" s="148">
        <f t="shared" si="1"/>
        <v>380589.74510869855</v>
      </c>
      <c r="H14" s="147">
        <f>G14*(1+0.07)^-(B14-Assumptions!$D$4)</f>
        <v>168986.39839264529</v>
      </c>
      <c r="K14" s="283" t="s">
        <v>633</v>
      </c>
      <c r="L14" s="283"/>
      <c r="M14" s="18"/>
    </row>
    <row r="15" spans="1:13" x14ac:dyDescent="0.25">
      <c r="B15" s="2">
        <f t="shared" si="2"/>
        <v>2033</v>
      </c>
      <c r="C15" s="145">
        <v>0</v>
      </c>
      <c r="D15" s="145">
        <v>0</v>
      </c>
      <c r="E15" s="147">
        <f t="shared" si="0"/>
        <v>0</v>
      </c>
      <c r="F15" s="147">
        <f t="shared" si="0"/>
        <v>0</v>
      </c>
      <c r="G15" s="148">
        <f t="shared" si="1"/>
        <v>0</v>
      </c>
      <c r="H15" s="147">
        <f>G15*(1+0.07)^-(B15-Assumptions!$D$4)</f>
        <v>0</v>
      </c>
      <c r="K15" s="289" t="s">
        <v>125</v>
      </c>
      <c r="L15" s="289" t="s">
        <v>200</v>
      </c>
      <c r="M15" s="19"/>
    </row>
    <row r="16" spans="1:13" x14ac:dyDescent="0.25">
      <c r="B16" s="2">
        <f t="shared" si="2"/>
        <v>2034</v>
      </c>
      <c r="C16" s="145">
        <v>0</v>
      </c>
      <c r="D16" s="145">
        <v>0</v>
      </c>
      <c r="E16" s="147">
        <f t="shared" si="0"/>
        <v>0</v>
      </c>
      <c r="F16" s="147">
        <f t="shared" si="0"/>
        <v>0</v>
      </c>
      <c r="G16" s="148">
        <f t="shared" si="1"/>
        <v>0</v>
      </c>
      <c r="H16" s="147">
        <f>G16*(1+0.07)^-(B16-Assumptions!$D$4)</f>
        <v>0</v>
      </c>
      <c r="K16" s="282">
        <v>2021</v>
      </c>
      <c r="L16" s="282">
        <v>506</v>
      </c>
      <c r="M16" s="18" t="s">
        <v>245</v>
      </c>
    </row>
    <row r="17" spans="1:20" x14ac:dyDescent="0.25">
      <c r="B17" s="2">
        <f t="shared" si="2"/>
        <v>2035</v>
      </c>
      <c r="C17" s="145">
        <v>0</v>
      </c>
      <c r="D17" s="145">
        <v>0</v>
      </c>
      <c r="E17" s="147">
        <f t="shared" si="0"/>
        <v>0</v>
      </c>
      <c r="F17" s="147">
        <f t="shared" si="0"/>
        <v>0</v>
      </c>
      <c r="G17" s="148">
        <f t="shared" si="1"/>
        <v>0</v>
      </c>
      <c r="H17" s="147">
        <f>G17*(1+0.07)^-(B17-Assumptions!$D$4)</f>
        <v>0</v>
      </c>
      <c r="K17" s="282">
        <v>2041</v>
      </c>
      <c r="L17" s="282">
        <v>691</v>
      </c>
      <c r="M17" s="18" t="s">
        <v>245</v>
      </c>
    </row>
    <row r="18" spans="1:20" x14ac:dyDescent="0.25">
      <c r="B18" s="2">
        <f t="shared" si="2"/>
        <v>2036</v>
      </c>
      <c r="C18" s="145">
        <v>0</v>
      </c>
      <c r="D18" s="145">
        <v>0</v>
      </c>
      <c r="E18" s="147">
        <f t="shared" si="0"/>
        <v>0</v>
      </c>
      <c r="F18" s="147">
        <f t="shared" si="0"/>
        <v>0</v>
      </c>
      <c r="G18" s="148">
        <f t="shared" si="1"/>
        <v>0</v>
      </c>
      <c r="H18" s="147">
        <f>G18*(1+0.07)^-(B18-Assumptions!$D$4)</f>
        <v>0</v>
      </c>
    </row>
    <row r="19" spans="1:20" x14ac:dyDescent="0.25">
      <c r="B19" s="2">
        <f t="shared" si="2"/>
        <v>2037</v>
      </c>
      <c r="C19" s="145">
        <v>0</v>
      </c>
      <c r="D19" s="145">
        <v>0</v>
      </c>
      <c r="E19" s="147">
        <f t="shared" si="0"/>
        <v>0</v>
      </c>
      <c r="F19" s="147">
        <f t="shared" si="0"/>
        <v>0</v>
      </c>
      <c r="G19" s="148">
        <f t="shared" si="1"/>
        <v>0</v>
      </c>
      <c r="H19" s="147">
        <f>G19*(1+0.07)^-(B19-Assumptions!$D$4)</f>
        <v>0</v>
      </c>
      <c r="K19" s="286" t="s">
        <v>247</v>
      </c>
      <c r="L19" s="15"/>
      <c r="Q19" s="48"/>
    </row>
    <row r="20" spans="1:20" ht="14.25" customHeight="1" x14ac:dyDescent="0.25">
      <c r="B20" s="2">
        <f t="shared" si="2"/>
        <v>2038</v>
      </c>
      <c r="C20" s="145">
        <v>0</v>
      </c>
      <c r="D20" s="145">
        <v>0</v>
      </c>
      <c r="E20" s="147">
        <f t="shared" si="0"/>
        <v>0</v>
      </c>
      <c r="F20" s="147">
        <f t="shared" si="0"/>
        <v>0</v>
      </c>
      <c r="G20" s="148">
        <f t="shared" si="1"/>
        <v>0</v>
      </c>
      <c r="H20" s="147">
        <f>G20*(1+0.07)^-(B20-Assumptions!$D$4)</f>
        <v>0</v>
      </c>
      <c r="K20" s="656" t="s">
        <v>243</v>
      </c>
      <c r="L20" s="657"/>
      <c r="M20" s="656" t="s">
        <v>238</v>
      </c>
      <c r="N20" s="657"/>
    </row>
    <row r="21" spans="1:20" x14ac:dyDescent="0.25">
      <c r="B21" s="2">
        <f t="shared" si="2"/>
        <v>2039</v>
      </c>
      <c r="C21" s="145">
        <v>0</v>
      </c>
      <c r="D21" s="145">
        <v>0</v>
      </c>
      <c r="E21" s="147">
        <f t="shared" si="0"/>
        <v>0</v>
      </c>
      <c r="F21" s="147">
        <f t="shared" si="0"/>
        <v>0</v>
      </c>
      <c r="G21" s="148">
        <f t="shared" si="1"/>
        <v>0</v>
      </c>
      <c r="H21" s="147">
        <f>G21*(1+0.07)^-(B21-Assumptions!$D$4)</f>
        <v>0</v>
      </c>
      <c r="K21" s="282" t="s">
        <v>241</v>
      </c>
      <c r="L21" s="289">
        <v>9.3000000000000007</v>
      </c>
      <c r="M21" s="282" t="s">
        <v>241</v>
      </c>
      <c r="N21" s="289">
        <v>4</v>
      </c>
      <c r="O21" s="369" t="s">
        <v>492</v>
      </c>
    </row>
    <row r="22" spans="1:20" x14ac:dyDescent="0.25">
      <c r="B22" s="2">
        <f t="shared" si="2"/>
        <v>2040</v>
      </c>
      <c r="C22" s="145">
        <v>0</v>
      </c>
      <c r="D22" s="145">
        <v>0</v>
      </c>
      <c r="E22" s="147">
        <f t="shared" si="0"/>
        <v>0</v>
      </c>
      <c r="F22" s="147">
        <f t="shared" si="0"/>
        <v>0</v>
      </c>
      <c r="G22" s="148">
        <f t="shared" si="1"/>
        <v>0</v>
      </c>
      <c r="H22" s="147">
        <f>G22*(1+0.07)^-(B22-Assumptions!$D$4)</f>
        <v>0</v>
      </c>
      <c r="K22" s="282" t="s">
        <v>242</v>
      </c>
      <c r="L22" s="289">
        <v>20</v>
      </c>
      <c r="M22" s="282" t="s">
        <v>242</v>
      </c>
      <c r="N22" s="132">
        <f>4/65*60</f>
        <v>3.6923076923076925</v>
      </c>
      <c r="O22" s="658" t="s">
        <v>569</v>
      </c>
      <c r="P22" s="658"/>
      <c r="Q22" s="658"/>
    </row>
    <row r="23" spans="1:20" x14ac:dyDescent="0.25">
      <c r="B23" s="2">
        <f t="shared" si="2"/>
        <v>2041</v>
      </c>
      <c r="C23" s="145">
        <v>0</v>
      </c>
      <c r="D23" s="145">
        <v>0</v>
      </c>
      <c r="E23" s="147">
        <f t="shared" si="0"/>
        <v>0</v>
      </c>
      <c r="F23" s="147">
        <f t="shared" si="0"/>
        <v>0</v>
      </c>
      <c r="G23" s="148">
        <f t="shared" si="1"/>
        <v>0</v>
      </c>
      <c r="H23" s="147">
        <f>G23*(1+0.07)^-(B23-Assumptions!$D$4)</f>
        <v>0</v>
      </c>
      <c r="O23" s="658"/>
      <c r="P23" s="658"/>
      <c r="Q23" s="658"/>
    </row>
    <row r="24" spans="1:20" x14ac:dyDescent="0.25">
      <c r="B24" s="2">
        <f t="shared" si="2"/>
        <v>2042</v>
      </c>
      <c r="C24" s="145">
        <v>0</v>
      </c>
      <c r="D24" s="145">
        <v>0</v>
      </c>
      <c r="E24" s="147">
        <f t="shared" si="0"/>
        <v>0</v>
      </c>
      <c r="F24" s="147">
        <f t="shared" si="0"/>
        <v>0</v>
      </c>
      <c r="G24" s="148">
        <f t="shared" si="1"/>
        <v>0</v>
      </c>
      <c r="H24" s="147">
        <f>G24*(1+0.07)^-(B24-Assumptions!$D$4)</f>
        <v>0</v>
      </c>
      <c r="K24" s="286" t="s">
        <v>251</v>
      </c>
    </row>
    <row r="25" spans="1:20" ht="15" customHeight="1" thickBot="1" x14ac:dyDescent="0.3">
      <c r="B25" s="3">
        <f t="shared" si="2"/>
        <v>2043</v>
      </c>
      <c r="C25" s="175">
        <v>0</v>
      </c>
      <c r="D25" s="175">
        <v>0</v>
      </c>
      <c r="E25" s="180">
        <f t="shared" si="0"/>
        <v>0</v>
      </c>
      <c r="F25" s="180">
        <f t="shared" si="0"/>
        <v>0</v>
      </c>
      <c r="G25" s="181">
        <f t="shared" si="1"/>
        <v>0</v>
      </c>
      <c r="H25" s="180">
        <f>G25*(1+0.07)^-(B25-Assumptions!$D$4)</f>
        <v>0</v>
      </c>
      <c r="K25" s="656" t="s">
        <v>243</v>
      </c>
      <c r="L25" s="657"/>
      <c r="M25" s="656" t="s">
        <v>238</v>
      </c>
      <c r="N25" s="657"/>
    </row>
    <row r="26" spans="1:20" ht="15" customHeight="1" thickBot="1" x14ac:dyDescent="0.3">
      <c r="B26" s="4"/>
      <c r="C26" s="4"/>
      <c r="D26" s="4"/>
      <c r="E26" s="46"/>
      <c r="F26" s="46"/>
      <c r="G26" s="66" t="s">
        <v>2</v>
      </c>
      <c r="H26" s="243">
        <f>SUM(H6:H25)</f>
        <v>940217.54474010633</v>
      </c>
      <c r="K26" s="282" t="s">
        <v>125</v>
      </c>
      <c r="L26" s="282" t="s">
        <v>190</v>
      </c>
      <c r="M26" s="282" t="s">
        <v>125</v>
      </c>
      <c r="N26" s="282" t="s">
        <v>190</v>
      </c>
    </row>
    <row r="27" spans="1:20" x14ac:dyDescent="0.25">
      <c r="C27" s="570"/>
      <c r="D27" s="570"/>
      <c r="E27" s="570"/>
      <c r="F27" s="570"/>
      <c r="G27" s="570"/>
      <c r="H27" s="570"/>
      <c r="I27" s="24"/>
      <c r="K27" s="282">
        <v>2021</v>
      </c>
      <c r="L27" s="178">
        <f>$L$9*L16*$L$21*365</f>
        <v>1235598.0000000002</v>
      </c>
      <c r="M27" s="282">
        <v>2021</v>
      </c>
      <c r="N27" s="178">
        <f>$L$9*L16*$N$21*365</f>
        <v>531440.00000000012</v>
      </c>
      <c r="O27" s="287" t="s">
        <v>246</v>
      </c>
    </row>
    <row r="28" spans="1:20" x14ac:dyDescent="0.25">
      <c r="A28" s="543"/>
      <c r="B28" s="543"/>
      <c r="C28" s="570"/>
      <c r="D28" s="570"/>
      <c r="E28" s="570"/>
      <c r="F28" s="570"/>
      <c r="G28" s="570"/>
      <c r="H28" s="279"/>
      <c r="I28" s="20"/>
      <c r="K28" s="282">
        <v>2041</v>
      </c>
      <c r="L28" s="178">
        <f>$L$9*L17*$L$21*365</f>
        <v>1687348.2569169966</v>
      </c>
      <c r="M28" s="282">
        <v>2041</v>
      </c>
      <c r="N28" s="178">
        <f>$L$9*L17*$N$21*365</f>
        <v>725741.18577075109</v>
      </c>
      <c r="O28" s="287" t="s">
        <v>246</v>
      </c>
      <c r="T28" s="20"/>
    </row>
    <row r="29" spans="1:20" ht="15" customHeight="1" x14ac:dyDescent="0.25">
      <c r="A29" s="60"/>
      <c r="B29" s="16" t="s">
        <v>3</v>
      </c>
      <c r="C29" s="16"/>
      <c r="D29" s="16"/>
      <c r="E29" s="15"/>
      <c r="F29" s="15"/>
      <c r="G29" s="543"/>
      <c r="I29" s="20"/>
    </row>
    <row r="30" spans="1:20" x14ac:dyDescent="0.25">
      <c r="A30" s="60" t="s">
        <v>9</v>
      </c>
      <c r="B30" s="645" t="s">
        <v>608</v>
      </c>
      <c r="C30" s="645"/>
      <c r="D30" s="645"/>
      <c r="E30" s="645"/>
      <c r="F30" s="645"/>
      <c r="G30" s="645"/>
      <c r="H30" s="15"/>
    </row>
    <row r="31" spans="1:20" x14ac:dyDescent="0.25">
      <c r="A31" s="60"/>
      <c r="B31" s="645"/>
      <c r="C31" s="645"/>
      <c r="D31" s="645"/>
      <c r="E31" s="645"/>
      <c r="F31" s="645"/>
      <c r="G31" s="645"/>
      <c r="H31" s="15"/>
    </row>
    <row r="32" spans="1:20" x14ac:dyDescent="0.25">
      <c r="A32" s="60"/>
      <c r="B32" s="645"/>
      <c r="C32" s="645"/>
      <c r="D32" s="645"/>
      <c r="E32" s="645"/>
      <c r="F32" s="645"/>
      <c r="G32" s="645"/>
      <c r="H32" s="15"/>
    </row>
    <row r="33" spans="1:9" ht="15" customHeight="1" x14ac:dyDescent="0.25">
      <c r="A33" s="60"/>
      <c r="B33" s="645"/>
      <c r="C33" s="645"/>
      <c r="D33" s="645"/>
      <c r="E33" s="645"/>
      <c r="F33" s="645"/>
      <c r="G33" s="645"/>
      <c r="H33" s="15"/>
      <c r="I33" s="20"/>
    </row>
    <row r="34" spans="1:9" ht="15" customHeight="1" x14ac:dyDescent="0.25">
      <c r="A34" s="60"/>
      <c r="B34" s="645"/>
      <c r="C34" s="645"/>
      <c r="D34" s="645"/>
      <c r="E34" s="645"/>
      <c r="F34" s="645"/>
      <c r="G34" s="645"/>
      <c r="H34" s="15"/>
      <c r="I34" s="20"/>
    </row>
    <row r="35" spans="1:9" ht="15" customHeight="1" x14ac:dyDescent="0.25">
      <c r="A35" s="60"/>
      <c r="B35" s="645"/>
      <c r="C35" s="645"/>
      <c r="D35" s="645"/>
      <c r="E35" s="645"/>
      <c r="F35" s="645"/>
      <c r="G35" s="645"/>
      <c r="I35" s="28"/>
    </row>
    <row r="36" spans="1:9" ht="15" customHeight="1" x14ac:dyDescent="0.25">
      <c r="A36" s="60"/>
      <c r="B36" s="76"/>
      <c r="C36" s="76"/>
      <c r="D36" s="76"/>
      <c r="E36" s="76"/>
      <c r="F36" s="76"/>
      <c r="G36" s="543"/>
      <c r="I36" s="33"/>
    </row>
    <row r="37" spans="1:9" x14ac:dyDescent="0.25">
      <c r="A37" s="60" t="s">
        <v>8</v>
      </c>
      <c r="B37" s="645" t="s">
        <v>384</v>
      </c>
      <c r="C37" s="645"/>
      <c r="D37" s="645"/>
      <c r="E37" s="645"/>
      <c r="F37" s="645"/>
      <c r="G37" s="645"/>
    </row>
    <row r="38" spans="1:9" x14ac:dyDescent="0.25">
      <c r="A38" s="60"/>
      <c r="B38" s="645"/>
      <c r="C38" s="645"/>
      <c r="D38" s="645"/>
      <c r="E38" s="645"/>
      <c r="F38" s="645"/>
      <c r="G38" s="645"/>
    </row>
    <row r="39" spans="1:9" ht="15" customHeight="1" x14ac:dyDescent="0.25">
      <c r="A39" s="60"/>
      <c r="B39" s="605"/>
      <c r="C39" s="605"/>
      <c r="D39" s="605"/>
      <c r="E39" s="605"/>
      <c r="F39" s="605"/>
      <c r="G39" s="605"/>
    </row>
    <row r="40" spans="1:9" ht="15" customHeight="1" x14ac:dyDescent="0.25">
      <c r="A40" s="60" t="s">
        <v>10</v>
      </c>
      <c r="B40" s="645" t="s">
        <v>628</v>
      </c>
      <c r="C40" s="645"/>
      <c r="D40" s="645"/>
      <c r="E40" s="645"/>
      <c r="F40" s="645"/>
      <c r="G40" s="645"/>
    </row>
    <row r="41" spans="1:9" ht="15" customHeight="1" x14ac:dyDescent="0.25">
      <c r="A41" s="60"/>
      <c r="B41" s="645"/>
      <c r="C41" s="645"/>
      <c r="D41" s="645"/>
      <c r="E41" s="645"/>
      <c r="F41" s="645"/>
      <c r="G41" s="645"/>
    </row>
    <row r="42" spans="1:9" ht="15" customHeight="1" x14ac:dyDescent="0.25">
      <c r="A42" s="60"/>
      <c r="B42" s="645"/>
      <c r="C42" s="645"/>
      <c r="D42" s="645"/>
      <c r="E42" s="645"/>
      <c r="F42" s="645"/>
      <c r="G42" s="645"/>
    </row>
    <row r="43" spans="1:9" x14ac:dyDescent="0.25">
      <c r="A43" s="60"/>
      <c r="B43" s="645"/>
      <c r="C43" s="645"/>
      <c r="D43" s="645"/>
      <c r="E43" s="645"/>
      <c r="F43" s="645"/>
      <c r="G43" s="645"/>
    </row>
    <row r="44" spans="1:9" ht="15" customHeight="1" x14ac:dyDescent="0.25">
      <c r="A44" s="60"/>
      <c r="B44" s="76"/>
      <c r="C44" s="76"/>
      <c r="D44" s="76"/>
      <c r="E44" s="76"/>
      <c r="F44" s="76"/>
      <c r="G44" s="543"/>
    </row>
    <row r="45" spans="1:9" x14ac:dyDescent="0.25">
      <c r="A45" s="60" t="s">
        <v>11</v>
      </c>
      <c r="B45" s="645" t="s">
        <v>381</v>
      </c>
      <c r="C45" s="645"/>
      <c r="D45" s="645"/>
      <c r="E45" s="645"/>
      <c r="F45" s="645"/>
      <c r="G45" s="645"/>
    </row>
    <row r="46" spans="1:9" x14ac:dyDescent="0.25">
      <c r="A46" s="60"/>
      <c r="B46" s="645"/>
      <c r="C46" s="645"/>
      <c r="D46" s="645"/>
      <c r="E46" s="645"/>
      <c r="F46" s="645"/>
      <c r="G46" s="645"/>
    </row>
    <row r="47" spans="1:9" x14ac:dyDescent="0.25">
      <c r="A47" s="60"/>
      <c r="B47" s="645"/>
      <c r="C47" s="645"/>
      <c r="D47" s="645"/>
      <c r="E47" s="645"/>
      <c r="F47" s="645"/>
      <c r="G47" s="645"/>
      <c r="H47" s="15"/>
    </row>
    <row r="48" spans="1:9" ht="15" customHeight="1" x14ac:dyDescent="0.25">
      <c r="A48" s="60"/>
      <c r="B48" s="645"/>
      <c r="C48" s="645"/>
      <c r="D48" s="645"/>
      <c r="E48" s="645"/>
      <c r="F48" s="645"/>
      <c r="G48" s="645"/>
      <c r="H48" s="15"/>
    </row>
    <row r="49" spans="1:22" x14ac:dyDescent="0.25">
      <c r="A49" s="60"/>
      <c r="B49" s="645"/>
      <c r="C49" s="645"/>
      <c r="D49" s="645"/>
      <c r="E49" s="645"/>
      <c r="F49" s="645"/>
      <c r="G49" s="645"/>
      <c r="H49" s="15"/>
      <c r="V49" s="36" t="s">
        <v>618</v>
      </c>
    </row>
    <row r="50" spans="1:22" x14ac:dyDescent="0.25">
      <c r="A50" s="60"/>
      <c r="B50" s="645"/>
      <c r="C50" s="645"/>
      <c r="D50" s="645"/>
      <c r="E50" s="645"/>
      <c r="F50" s="645"/>
      <c r="G50" s="645"/>
    </row>
    <row r="51" spans="1:22" ht="15" customHeight="1" x14ac:dyDescent="0.25">
      <c r="A51" s="7" t="s">
        <v>58</v>
      </c>
      <c r="B51" s="645" t="s">
        <v>609</v>
      </c>
      <c r="C51" s="645"/>
      <c r="D51" s="645"/>
      <c r="E51" s="645"/>
      <c r="F51" s="645"/>
      <c r="G51" s="645"/>
    </row>
    <row r="52" spans="1:22" x14ac:dyDescent="0.25">
      <c r="A52" s="7"/>
      <c r="B52" s="645"/>
      <c r="C52" s="645"/>
      <c r="D52" s="645"/>
      <c r="E52" s="645"/>
      <c r="F52" s="645"/>
      <c r="G52" s="645"/>
    </row>
    <row r="53" spans="1:22" x14ac:dyDescent="0.25">
      <c r="A53" s="7"/>
      <c r="B53" s="76"/>
      <c r="C53" s="76"/>
      <c r="D53" s="76"/>
      <c r="E53" s="76"/>
      <c r="F53" s="76"/>
      <c r="G53" s="543"/>
    </row>
    <row r="54" spans="1:22" x14ac:dyDescent="0.25">
      <c r="A54" s="7"/>
      <c r="B54" s="76"/>
      <c r="C54" s="76"/>
      <c r="D54" s="76"/>
      <c r="E54" s="76"/>
      <c r="F54" s="76"/>
      <c r="G54" s="76"/>
    </row>
    <row r="55" spans="1:22" x14ac:dyDescent="0.25">
      <c r="A55" s="7" t="s">
        <v>60</v>
      </c>
      <c r="B55" s="645" t="s">
        <v>621</v>
      </c>
      <c r="C55" s="645"/>
      <c r="D55" s="645"/>
      <c r="E55" s="645"/>
      <c r="F55" s="645"/>
      <c r="G55" s="645"/>
    </row>
    <row r="56" spans="1:22" x14ac:dyDescent="0.25">
      <c r="A56" s="7"/>
      <c r="B56" s="645"/>
      <c r="C56" s="645"/>
      <c r="D56" s="645"/>
      <c r="E56" s="645"/>
      <c r="F56" s="645"/>
      <c r="G56" s="645"/>
    </row>
    <row r="57" spans="1:22" x14ac:dyDescent="0.25">
      <c r="A57" s="7"/>
      <c r="B57" s="76"/>
      <c r="C57" s="76"/>
      <c r="D57" s="76"/>
      <c r="E57" s="76"/>
      <c r="F57" s="76"/>
      <c r="G57" s="543"/>
    </row>
    <row r="58" spans="1:22" x14ac:dyDescent="0.25">
      <c r="A58" s="7" t="s">
        <v>610</v>
      </c>
      <c r="B58" s="645" t="s">
        <v>622</v>
      </c>
      <c r="C58" s="645"/>
      <c r="D58" s="645"/>
      <c r="E58" s="645"/>
      <c r="F58" s="645"/>
      <c r="G58" s="645"/>
      <c r="H58" s="9"/>
      <c r="I58" s="9"/>
      <c r="J58" s="9"/>
      <c r="K58" s="9"/>
      <c r="L58" s="9"/>
      <c r="M58" s="9"/>
      <c r="N58" s="9"/>
      <c r="O58" s="9"/>
      <c r="P58" s="9"/>
      <c r="Q58" s="9"/>
      <c r="R58" s="9"/>
      <c r="S58" s="9"/>
      <c r="T58" s="9"/>
      <c r="U58" s="9"/>
    </row>
    <row r="59" spans="1:22" x14ac:dyDescent="0.25">
      <c r="A59" s="7"/>
      <c r="B59" s="645"/>
      <c r="C59" s="645"/>
      <c r="D59" s="645"/>
      <c r="E59" s="645"/>
      <c r="F59" s="645"/>
      <c r="G59" s="645"/>
      <c r="H59" s="9"/>
      <c r="I59" s="9"/>
      <c r="J59" s="9"/>
      <c r="K59" s="9"/>
      <c r="L59" s="9"/>
      <c r="M59" s="9"/>
      <c r="N59" s="9"/>
      <c r="O59" s="9"/>
      <c r="P59" s="9"/>
      <c r="Q59" s="9"/>
      <c r="R59" s="9"/>
      <c r="S59" s="9"/>
      <c r="T59" s="9"/>
      <c r="U59" s="9"/>
    </row>
    <row r="60" spans="1:22" x14ac:dyDescent="0.25">
      <c r="A60" s="7"/>
      <c r="B60" s="543"/>
      <c r="C60" s="543"/>
      <c r="D60" s="543"/>
      <c r="E60" s="543"/>
      <c r="F60" s="543"/>
      <c r="G60" s="543"/>
      <c r="H60" s="9"/>
      <c r="I60" s="9"/>
      <c r="J60" s="9"/>
      <c r="K60" s="9"/>
      <c r="L60" s="9"/>
      <c r="M60" s="9"/>
      <c r="N60" s="9"/>
      <c r="O60" s="9"/>
      <c r="P60" s="9"/>
      <c r="Q60" s="9"/>
      <c r="R60" s="9"/>
      <c r="S60" s="9"/>
      <c r="T60" s="9"/>
      <c r="U60" s="9"/>
    </row>
    <row r="61" spans="1:22" x14ac:dyDescent="0.25">
      <c r="A61" s="7" t="s">
        <v>625</v>
      </c>
      <c r="B61" s="658" t="s">
        <v>623</v>
      </c>
      <c r="C61" s="658"/>
      <c r="D61" s="658"/>
      <c r="E61" s="658"/>
      <c r="F61" s="658"/>
      <c r="G61" s="658"/>
      <c r="H61" s="9"/>
      <c r="I61" s="9"/>
      <c r="J61" s="9"/>
      <c r="K61" s="9"/>
      <c r="L61" s="9"/>
      <c r="M61" s="9"/>
      <c r="N61" s="9"/>
      <c r="O61" s="9"/>
      <c r="P61" s="9"/>
      <c r="Q61" s="9"/>
      <c r="R61" s="9"/>
      <c r="S61" s="9"/>
      <c r="T61" s="9"/>
      <c r="U61" s="9"/>
    </row>
    <row r="62" spans="1:22" x14ac:dyDescent="0.25">
      <c r="A62" s="7"/>
      <c r="B62" s="658"/>
      <c r="C62" s="658"/>
      <c r="D62" s="658"/>
      <c r="E62" s="658"/>
      <c r="F62" s="658"/>
      <c r="G62" s="658"/>
      <c r="H62" s="9"/>
      <c r="I62" s="9"/>
      <c r="J62" s="9"/>
      <c r="K62" s="9"/>
      <c r="L62" s="9"/>
      <c r="M62" s="9"/>
      <c r="N62" s="9"/>
      <c r="O62" s="9"/>
      <c r="P62" s="9"/>
      <c r="Q62" s="9"/>
      <c r="R62" s="9"/>
      <c r="S62" s="9"/>
      <c r="T62" s="9"/>
      <c r="U62" s="9"/>
    </row>
    <row r="63" spans="1:22" x14ac:dyDescent="0.25">
      <c r="A63" s="7"/>
      <c r="B63" s="543"/>
      <c r="C63" s="543"/>
      <c r="D63" s="543"/>
      <c r="E63" s="543"/>
      <c r="F63" s="543"/>
      <c r="G63" s="543"/>
      <c r="H63" s="9"/>
      <c r="I63" s="9"/>
      <c r="J63" s="9"/>
      <c r="K63" s="9"/>
      <c r="L63" s="9"/>
      <c r="M63" s="9"/>
      <c r="N63" s="9"/>
      <c r="O63" s="9"/>
      <c r="P63" s="9"/>
      <c r="Q63" s="9"/>
      <c r="R63" s="9"/>
      <c r="S63" s="9"/>
      <c r="T63" s="9"/>
      <c r="U63" s="9"/>
    </row>
    <row r="64" spans="1:22" x14ac:dyDescent="0.25">
      <c r="A64" s="7" t="s">
        <v>626</v>
      </c>
      <c r="B64" s="658" t="s">
        <v>624</v>
      </c>
      <c r="C64" s="658"/>
      <c r="D64" s="658"/>
      <c r="E64" s="658"/>
      <c r="F64" s="658"/>
      <c r="G64" s="658"/>
      <c r="H64" s="9"/>
      <c r="I64" s="9"/>
      <c r="J64" s="9"/>
      <c r="K64" s="9"/>
      <c r="L64" s="9"/>
      <c r="M64" s="9"/>
      <c r="N64" s="9"/>
      <c r="O64" s="9"/>
      <c r="P64" s="9"/>
      <c r="Q64" s="9"/>
      <c r="R64" s="9"/>
      <c r="S64" s="9"/>
      <c r="T64" s="9"/>
      <c r="U64" s="9"/>
    </row>
    <row r="65" spans="1:21" x14ac:dyDescent="0.25">
      <c r="A65" s="7"/>
      <c r="B65" s="658"/>
      <c r="C65" s="658"/>
      <c r="D65" s="658"/>
      <c r="E65" s="658"/>
      <c r="F65" s="658"/>
      <c r="G65" s="658"/>
      <c r="H65" s="9"/>
      <c r="I65" s="9"/>
      <c r="J65" s="9"/>
      <c r="K65" s="9"/>
      <c r="L65" s="9"/>
      <c r="M65" s="9"/>
      <c r="N65" s="9"/>
      <c r="O65" s="9"/>
      <c r="P65" s="9"/>
      <c r="Q65" s="9"/>
      <c r="R65" s="9"/>
      <c r="S65" s="9"/>
      <c r="T65" s="9"/>
      <c r="U65" s="9"/>
    </row>
    <row r="66" spans="1:21" x14ac:dyDescent="0.25">
      <c r="A66" s="7"/>
      <c r="B66" s="658"/>
      <c r="C66" s="658"/>
      <c r="D66" s="658"/>
      <c r="E66" s="658"/>
      <c r="F66" s="658"/>
      <c r="G66" s="658"/>
      <c r="H66" s="9"/>
      <c r="I66" s="9"/>
      <c r="J66" s="9"/>
      <c r="K66" s="9"/>
      <c r="L66" s="9"/>
      <c r="M66" s="9"/>
      <c r="N66" s="9"/>
      <c r="O66" s="9"/>
      <c r="P66" s="9"/>
      <c r="Q66" s="9"/>
      <c r="R66" s="9"/>
      <c r="S66" s="9"/>
      <c r="T66" s="9"/>
      <c r="U66" s="9"/>
    </row>
    <row r="67" spans="1:21" x14ac:dyDescent="0.25">
      <c r="A67" s="60"/>
      <c r="B67" s="606"/>
      <c r="C67" s="606"/>
      <c r="D67" s="606"/>
      <c r="E67" s="606"/>
      <c r="F67" s="606"/>
      <c r="G67" s="606"/>
      <c r="H67" s="9"/>
      <c r="I67" s="9"/>
      <c r="J67" s="9"/>
      <c r="K67" s="9"/>
      <c r="L67" s="9"/>
      <c r="M67" s="9"/>
      <c r="N67" s="9"/>
      <c r="O67" s="9"/>
      <c r="P67" s="9"/>
      <c r="Q67" s="9"/>
      <c r="R67" s="9"/>
      <c r="S67" s="9"/>
      <c r="T67" s="9"/>
      <c r="U67" s="9"/>
    </row>
    <row r="68" spans="1:21" x14ac:dyDescent="0.25">
      <c r="A68" s="7"/>
      <c r="H68" s="9"/>
      <c r="I68" s="9"/>
      <c r="J68" s="9"/>
      <c r="K68" s="9"/>
      <c r="L68" s="9"/>
      <c r="M68" s="9"/>
      <c r="N68" s="9"/>
      <c r="O68" s="9"/>
      <c r="P68" s="9"/>
      <c r="Q68" s="9"/>
      <c r="R68" s="9"/>
      <c r="S68" s="9"/>
      <c r="T68" s="9"/>
      <c r="U68" s="9"/>
    </row>
    <row r="69" spans="1:21" x14ac:dyDescent="0.25">
      <c r="A69" s="7"/>
      <c r="H69" s="9"/>
      <c r="I69" s="9"/>
      <c r="J69" s="9"/>
      <c r="K69" s="9"/>
      <c r="L69" s="9"/>
      <c r="M69" s="9"/>
      <c r="N69" s="9"/>
      <c r="O69" s="9"/>
      <c r="P69" s="9"/>
      <c r="Q69" s="9"/>
      <c r="R69" s="9"/>
      <c r="S69" s="9"/>
      <c r="T69" s="9"/>
      <c r="U69" s="9"/>
    </row>
    <row r="70" spans="1:21" x14ac:dyDescent="0.25">
      <c r="H70" s="9"/>
      <c r="I70" s="9"/>
      <c r="J70" s="9"/>
      <c r="K70" s="9"/>
      <c r="L70" s="9"/>
      <c r="M70" s="9"/>
      <c r="N70" s="9"/>
      <c r="O70" s="9"/>
      <c r="P70" s="9"/>
      <c r="Q70" s="9"/>
      <c r="R70" s="9"/>
      <c r="S70" s="9"/>
      <c r="T70" s="9"/>
      <c r="U70" s="9"/>
    </row>
    <row r="71" spans="1:21" x14ac:dyDescent="0.25">
      <c r="H71" s="9"/>
      <c r="I71" s="9"/>
      <c r="J71" s="9"/>
      <c r="K71" s="9"/>
      <c r="L71" s="9"/>
      <c r="M71" s="9"/>
      <c r="N71" s="9"/>
      <c r="O71" s="9"/>
      <c r="P71" s="9"/>
      <c r="Q71" s="9"/>
      <c r="R71" s="9"/>
      <c r="S71" s="9"/>
      <c r="T71" s="9"/>
      <c r="U71" s="9"/>
    </row>
    <row r="72" spans="1:21" x14ac:dyDescent="0.25">
      <c r="H72" s="9"/>
      <c r="I72" s="9"/>
      <c r="J72" s="9"/>
      <c r="K72" s="9"/>
      <c r="L72" s="9"/>
      <c r="M72" s="9"/>
      <c r="N72" s="9"/>
      <c r="O72" s="9"/>
      <c r="P72" s="9"/>
      <c r="Q72" s="9"/>
      <c r="R72" s="9"/>
      <c r="S72" s="9"/>
      <c r="T72" s="9"/>
      <c r="U72" s="9"/>
    </row>
    <row r="73" spans="1:21" x14ac:dyDescent="0.25">
      <c r="H73" s="9"/>
      <c r="I73" s="9"/>
      <c r="J73" s="9"/>
      <c r="K73" s="9"/>
      <c r="L73" s="9"/>
      <c r="M73" s="9"/>
      <c r="N73" s="9"/>
      <c r="O73" s="9"/>
      <c r="P73" s="9"/>
      <c r="Q73" s="9"/>
      <c r="R73" s="9"/>
      <c r="S73" s="9"/>
      <c r="T73" s="9"/>
      <c r="U73" s="9"/>
    </row>
    <row r="74" spans="1:21" x14ac:dyDescent="0.25">
      <c r="H74" s="9"/>
      <c r="I74" s="9"/>
      <c r="J74" s="9"/>
      <c r="K74" s="9"/>
      <c r="L74" s="9"/>
      <c r="M74" s="9"/>
      <c r="N74" s="9"/>
      <c r="O74" s="9"/>
      <c r="P74" s="9"/>
      <c r="Q74" s="9"/>
      <c r="R74" s="9"/>
      <c r="S74" s="9"/>
      <c r="T74" s="9"/>
      <c r="U74" s="9"/>
    </row>
    <row r="75" spans="1:21" x14ac:dyDescent="0.25">
      <c r="H75" s="9"/>
      <c r="I75" s="9"/>
      <c r="J75" s="9"/>
      <c r="K75" s="9"/>
      <c r="L75" s="9"/>
      <c r="M75" s="9"/>
      <c r="N75" s="9"/>
      <c r="O75" s="9"/>
      <c r="P75" s="9"/>
      <c r="Q75" s="9"/>
      <c r="R75" s="9"/>
      <c r="S75" s="9"/>
      <c r="T75" s="9"/>
      <c r="U75" s="9"/>
    </row>
    <row r="76" spans="1:21" x14ac:dyDescent="0.25">
      <c r="H76" s="9"/>
      <c r="I76" s="9"/>
      <c r="J76" s="9"/>
      <c r="K76" s="9"/>
      <c r="L76" s="9"/>
      <c r="M76" s="9"/>
      <c r="N76" s="9"/>
      <c r="O76" s="9"/>
      <c r="P76" s="9"/>
      <c r="Q76" s="9"/>
      <c r="R76" s="9"/>
      <c r="S76" s="9"/>
      <c r="T76" s="9"/>
      <c r="U76" s="9"/>
    </row>
    <row r="77" spans="1:21" x14ac:dyDescent="0.25">
      <c r="H77" s="9"/>
      <c r="I77" s="9"/>
      <c r="J77" s="9"/>
      <c r="K77" s="9"/>
      <c r="L77" s="9"/>
      <c r="M77" s="9"/>
      <c r="N77" s="9"/>
      <c r="O77" s="9"/>
      <c r="P77" s="9"/>
      <c r="Q77" s="9"/>
      <c r="R77" s="9"/>
      <c r="S77" s="9"/>
      <c r="T77" s="9"/>
      <c r="U77" s="9"/>
    </row>
    <row r="78" spans="1:21" x14ac:dyDescent="0.25">
      <c r="H78" s="9"/>
      <c r="I78" s="9"/>
      <c r="J78" s="9"/>
      <c r="K78" s="9"/>
      <c r="L78" s="9"/>
      <c r="M78" s="9"/>
      <c r="N78" s="9"/>
      <c r="O78" s="9"/>
      <c r="P78" s="9"/>
      <c r="Q78" s="9"/>
      <c r="R78" s="9"/>
      <c r="S78" s="9"/>
      <c r="T78" s="9"/>
      <c r="U78" s="9"/>
    </row>
    <row r="79" spans="1:21" x14ac:dyDescent="0.25">
      <c r="H79" s="9"/>
      <c r="I79" s="9"/>
      <c r="J79" s="9"/>
      <c r="K79" s="9"/>
      <c r="L79" s="9"/>
      <c r="M79" s="9"/>
      <c r="N79" s="9"/>
      <c r="O79" s="9"/>
      <c r="P79" s="9"/>
      <c r="Q79" s="9"/>
      <c r="R79" s="9"/>
      <c r="S79" s="9"/>
      <c r="T79" s="9"/>
      <c r="U79" s="9"/>
    </row>
    <row r="80" spans="1:21" x14ac:dyDescent="0.25">
      <c r="H80" s="9"/>
      <c r="I80" s="9"/>
      <c r="J80" s="9"/>
      <c r="K80" s="9"/>
      <c r="L80" s="9"/>
      <c r="M80" s="9"/>
      <c r="N80" s="9"/>
      <c r="O80" s="9"/>
      <c r="P80" s="9"/>
      <c r="Q80" s="9"/>
      <c r="R80" s="9"/>
      <c r="S80" s="9"/>
      <c r="T80" s="9"/>
      <c r="U80" s="9"/>
    </row>
    <row r="81" spans="8:21" x14ac:dyDescent="0.25">
      <c r="H81" s="9"/>
      <c r="I81" s="9"/>
      <c r="J81" s="9"/>
      <c r="K81" s="9"/>
      <c r="L81" s="9"/>
      <c r="M81" s="9"/>
      <c r="N81" s="9"/>
      <c r="O81" s="9"/>
      <c r="P81" s="9"/>
      <c r="Q81" s="9"/>
      <c r="R81" s="9"/>
      <c r="S81" s="9"/>
      <c r="T81" s="9"/>
      <c r="U81" s="9"/>
    </row>
    <row r="82" spans="8:21" x14ac:dyDescent="0.25">
      <c r="H82" s="9"/>
      <c r="I82" s="9"/>
      <c r="J82" s="9"/>
      <c r="K82" s="9"/>
      <c r="L82" s="9"/>
      <c r="M82" s="9"/>
      <c r="N82" s="9"/>
      <c r="O82" s="9"/>
      <c r="P82" s="9"/>
      <c r="Q82" s="9"/>
      <c r="R82" s="9"/>
      <c r="S82" s="9"/>
      <c r="T82" s="9"/>
      <c r="U82" s="9"/>
    </row>
    <row r="83" spans="8:21" x14ac:dyDescent="0.25">
      <c r="H83" s="9"/>
      <c r="I83" s="9"/>
      <c r="J83" s="9"/>
      <c r="K83" s="9"/>
      <c r="L83" s="9"/>
      <c r="M83" s="9"/>
      <c r="N83" s="9"/>
      <c r="O83" s="9"/>
      <c r="P83" s="9"/>
      <c r="Q83" s="9"/>
      <c r="R83" s="9"/>
      <c r="S83" s="9"/>
      <c r="T83" s="9"/>
      <c r="U83" s="9"/>
    </row>
    <row r="84" spans="8:21" x14ac:dyDescent="0.25">
      <c r="H84" s="9"/>
      <c r="I84" s="9"/>
      <c r="J84" s="9"/>
      <c r="K84" s="9"/>
      <c r="L84" s="9"/>
      <c r="M84" s="9"/>
      <c r="N84" s="9"/>
      <c r="O84" s="9"/>
      <c r="P84" s="9"/>
      <c r="Q84" s="9"/>
      <c r="R84" s="9"/>
      <c r="S84" s="9"/>
      <c r="T84" s="9"/>
      <c r="U84" s="9"/>
    </row>
    <row r="85" spans="8:21" x14ac:dyDescent="0.25">
      <c r="H85" s="9"/>
      <c r="I85" s="9"/>
      <c r="J85" s="9"/>
      <c r="K85" s="9"/>
      <c r="L85" s="9"/>
      <c r="M85" s="9"/>
      <c r="N85" s="9"/>
      <c r="O85" s="9"/>
      <c r="P85" s="9"/>
      <c r="Q85" s="9"/>
      <c r="R85" s="9"/>
      <c r="S85" s="9"/>
      <c r="T85" s="9"/>
      <c r="U85" s="9"/>
    </row>
    <row r="86" spans="8:21" x14ac:dyDescent="0.25">
      <c r="H86" s="9"/>
      <c r="I86" s="9"/>
      <c r="J86" s="9"/>
      <c r="K86" s="9"/>
      <c r="L86" s="9"/>
      <c r="M86" s="9"/>
      <c r="N86" s="9"/>
      <c r="O86" s="9"/>
      <c r="P86" s="9"/>
      <c r="Q86" s="9"/>
      <c r="R86" s="9"/>
      <c r="S86" s="9"/>
      <c r="T86" s="9"/>
      <c r="U86" s="9"/>
    </row>
    <row r="87" spans="8:21" x14ac:dyDescent="0.25">
      <c r="H87" s="9"/>
      <c r="I87" s="9"/>
      <c r="J87" s="9"/>
      <c r="K87" s="9"/>
      <c r="L87" s="9"/>
      <c r="M87" s="9"/>
      <c r="N87" s="9"/>
      <c r="O87" s="9"/>
      <c r="P87" s="9"/>
      <c r="Q87" s="9"/>
      <c r="R87" s="9"/>
      <c r="S87" s="9"/>
      <c r="T87" s="9"/>
      <c r="U87" s="9"/>
    </row>
    <row r="88" spans="8:21" x14ac:dyDescent="0.25">
      <c r="H88" s="9"/>
      <c r="I88" s="9"/>
      <c r="J88" s="9"/>
      <c r="K88" s="9"/>
      <c r="L88" s="9"/>
      <c r="M88" s="9"/>
      <c r="N88" s="9"/>
      <c r="O88" s="9"/>
      <c r="P88" s="9"/>
      <c r="Q88" s="9"/>
      <c r="R88" s="9"/>
      <c r="S88" s="9"/>
      <c r="T88" s="9"/>
      <c r="U88" s="9"/>
    </row>
    <row r="89" spans="8:21" x14ac:dyDescent="0.25">
      <c r="H89" s="9"/>
      <c r="I89" s="9"/>
      <c r="J89" s="9"/>
      <c r="K89" s="9"/>
      <c r="L89" s="9"/>
      <c r="M89" s="9"/>
      <c r="N89" s="9"/>
      <c r="O89" s="9"/>
      <c r="P89" s="9"/>
      <c r="Q89" s="9"/>
      <c r="R89" s="9"/>
      <c r="S89" s="9"/>
      <c r="T89" s="9"/>
      <c r="U89" s="9"/>
    </row>
    <row r="90" spans="8:21" x14ac:dyDescent="0.25">
      <c r="H90" s="9"/>
      <c r="I90" s="9"/>
      <c r="J90" s="9"/>
      <c r="K90" s="9"/>
      <c r="L90" s="9"/>
      <c r="M90" s="9"/>
      <c r="N90" s="9"/>
      <c r="O90" s="9"/>
      <c r="P90" s="9"/>
      <c r="Q90" s="9"/>
      <c r="R90" s="9"/>
      <c r="S90" s="9"/>
      <c r="T90" s="9"/>
      <c r="U90" s="9"/>
    </row>
    <row r="91" spans="8:21" x14ac:dyDescent="0.25">
      <c r="H91" s="9"/>
      <c r="I91" s="9"/>
      <c r="J91" s="9"/>
      <c r="K91" s="9"/>
      <c r="L91" s="9"/>
      <c r="M91" s="9"/>
      <c r="N91" s="9"/>
      <c r="O91" s="9"/>
      <c r="P91" s="9"/>
      <c r="Q91" s="9"/>
      <c r="R91" s="9"/>
      <c r="S91" s="9"/>
      <c r="T91" s="9"/>
      <c r="U91" s="9"/>
    </row>
    <row r="92" spans="8:21" x14ac:dyDescent="0.25">
      <c r="H92" s="9"/>
      <c r="I92" s="9"/>
      <c r="J92" s="9"/>
      <c r="K92" s="9"/>
      <c r="L92" s="9"/>
      <c r="M92" s="9"/>
      <c r="N92" s="9"/>
      <c r="O92" s="9"/>
      <c r="P92" s="9"/>
      <c r="Q92" s="9"/>
      <c r="R92" s="9"/>
      <c r="S92" s="9"/>
      <c r="T92" s="9"/>
      <c r="U92" s="9"/>
    </row>
    <row r="93" spans="8:21" x14ac:dyDescent="0.25">
      <c r="H93" s="9"/>
      <c r="I93" s="9"/>
      <c r="J93" s="9"/>
      <c r="K93" s="9"/>
      <c r="L93" s="9"/>
      <c r="M93" s="9"/>
      <c r="N93" s="9"/>
      <c r="O93" s="9"/>
      <c r="P93" s="9"/>
      <c r="Q93" s="9"/>
      <c r="R93" s="9"/>
      <c r="S93" s="9"/>
      <c r="T93" s="9"/>
      <c r="U93" s="9"/>
    </row>
    <row r="94" spans="8:21" x14ac:dyDescent="0.25">
      <c r="H94" s="9"/>
      <c r="I94" s="9"/>
      <c r="J94" s="9"/>
      <c r="K94" s="9"/>
      <c r="L94" s="9"/>
      <c r="M94" s="9"/>
      <c r="N94" s="9"/>
      <c r="O94" s="9"/>
      <c r="P94" s="9"/>
      <c r="Q94" s="9"/>
      <c r="R94" s="9"/>
      <c r="S94" s="9"/>
      <c r="T94" s="9"/>
      <c r="U94" s="9"/>
    </row>
    <row r="95" spans="8:21" x14ac:dyDescent="0.25">
      <c r="H95" s="9"/>
      <c r="I95" s="9"/>
      <c r="J95" s="9"/>
      <c r="K95" s="9"/>
      <c r="L95" s="9"/>
      <c r="M95" s="9"/>
      <c r="N95" s="9"/>
      <c r="O95" s="9"/>
      <c r="P95" s="9"/>
      <c r="Q95" s="9"/>
      <c r="R95" s="9"/>
      <c r="S95" s="9"/>
      <c r="T95" s="9"/>
      <c r="U95" s="9"/>
    </row>
    <row r="96" spans="8:21" x14ac:dyDescent="0.25">
      <c r="H96" s="9"/>
      <c r="I96" s="9"/>
      <c r="J96" s="9"/>
      <c r="K96" s="9"/>
      <c r="L96" s="9"/>
      <c r="M96" s="9"/>
      <c r="N96" s="9"/>
      <c r="O96" s="9"/>
      <c r="P96" s="9"/>
      <c r="Q96" s="9"/>
      <c r="R96" s="9"/>
      <c r="S96" s="9"/>
      <c r="T96" s="9"/>
      <c r="U96" s="9"/>
    </row>
    <row r="97" spans="8:22" x14ac:dyDescent="0.25">
      <c r="H97" s="9"/>
      <c r="I97" s="9"/>
      <c r="J97" s="9"/>
      <c r="K97" s="9"/>
      <c r="L97" s="9"/>
      <c r="M97" s="9"/>
      <c r="N97" s="9"/>
      <c r="O97" s="9"/>
      <c r="P97" s="9"/>
      <c r="Q97" s="9"/>
      <c r="R97" s="9"/>
      <c r="S97" s="9"/>
      <c r="T97" s="9"/>
      <c r="U97" s="9"/>
    </row>
    <row r="98" spans="8:22" x14ac:dyDescent="0.25">
      <c r="H98" s="9"/>
      <c r="I98" s="9"/>
      <c r="J98" s="9"/>
      <c r="K98" s="9"/>
      <c r="L98" s="9"/>
      <c r="M98" s="9"/>
      <c r="N98" s="9"/>
      <c r="O98" s="9"/>
      <c r="P98" s="9"/>
      <c r="Q98" s="9"/>
      <c r="R98" s="9"/>
      <c r="S98" s="9"/>
      <c r="T98" s="9"/>
      <c r="U98" s="9"/>
    </row>
    <row r="99" spans="8:22" x14ac:dyDescent="0.25">
      <c r="H99" s="9"/>
      <c r="I99" s="9"/>
      <c r="J99" s="9"/>
      <c r="K99" s="9"/>
      <c r="L99" s="9"/>
      <c r="M99" s="9"/>
      <c r="N99" s="9"/>
      <c r="O99" s="9"/>
      <c r="P99" s="9"/>
      <c r="Q99" s="9"/>
      <c r="R99" s="9"/>
      <c r="S99" s="9"/>
      <c r="T99" s="9"/>
      <c r="U99" s="9"/>
    </row>
    <row r="100" spans="8:22" x14ac:dyDescent="0.25">
      <c r="H100" s="9"/>
      <c r="I100" s="9"/>
      <c r="J100" s="9"/>
      <c r="K100" s="9"/>
      <c r="L100" s="9"/>
      <c r="M100" s="9"/>
      <c r="N100" s="9"/>
      <c r="O100" s="9"/>
      <c r="P100" s="9"/>
      <c r="Q100" s="9"/>
      <c r="R100" s="9"/>
      <c r="S100" s="9"/>
      <c r="T100" s="9"/>
      <c r="U100" s="9"/>
      <c r="V100" s="36" t="s">
        <v>618</v>
      </c>
    </row>
    <row r="101" spans="8:22" x14ac:dyDescent="0.25">
      <c r="H101" s="9"/>
      <c r="I101" s="9"/>
      <c r="J101" s="9"/>
      <c r="K101" s="9"/>
      <c r="L101" s="9"/>
      <c r="M101" s="9"/>
      <c r="N101" s="9"/>
      <c r="O101" s="9"/>
      <c r="P101" s="9"/>
      <c r="Q101" s="9"/>
      <c r="R101" s="9"/>
      <c r="S101" s="9"/>
      <c r="T101" s="9"/>
      <c r="U101" s="9"/>
    </row>
    <row r="102" spans="8:22" x14ac:dyDescent="0.25">
      <c r="H102" s="9"/>
      <c r="I102" s="9"/>
      <c r="J102" s="9"/>
      <c r="K102" s="9"/>
      <c r="L102" s="9"/>
      <c r="M102" s="9"/>
      <c r="N102" s="9"/>
      <c r="O102" s="9"/>
      <c r="P102" s="9"/>
      <c r="Q102" s="9"/>
      <c r="R102" s="9"/>
      <c r="S102" s="9"/>
      <c r="T102" s="9"/>
      <c r="U102" s="9"/>
    </row>
    <row r="103" spans="8:22" x14ac:dyDescent="0.25">
      <c r="H103" s="9"/>
      <c r="I103" s="9"/>
      <c r="J103" s="9"/>
      <c r="K103" s="9"/>
      <c r="L103" s="9"/>
      <c r="M103" s="9"/>
      <c r="N103" s="9"/>
      <c r="O103" s="9"/>
      <c r="P103" s="9"/>
      <c r="Q103" s="9"/>
      <c r="R103" s="9"/>
      <c r="S103" s="9"/>
      <c r="T103" s="9"/>
      <c r="U103" s="9"/>
    </row>
    <row r="104" spans="8:22" x14ac:dyDescent="0.25">
      <c r="H104" s="9"/>
      <c r="I104" s="9"/>
      <c r="J104" s="9"/>
      <c r="K104" s="9"/>
      <c r="L104" s="9"/>
      <c r="M104" s="9"/>
      <c r="N104" s="9"/>
      <c r="O104" s="9"/>
      <c r="P104" s="9"/>
      <c r="Q104" s="9"/>
      <c r="R104" s="9"/>
      <c r="S104" s="9"/>
      <c r="T104" s="9"/>
      <c r="U104" s="9"/>
    </row>
    <row r="105" spans="8:22" x14ac:dyDescent="0.25">
      <c r="H105" s="9"/>
      <c r="I105" s="9"/>
      <c r="J105" s="9"/>
      <c r="K105" s="9"/>
      <c r="L105" s="9"/>
      <c r="M105" s="9"/>
      <c r="N105" s="9"/>
      <c r="O105" s="9"/>
      <c r="P105" s="9"/>
      <c r="Q105" s="9"/>
      <c r="R105" s="9"/>
      <c r="S105" s="9"/>
      <c r="T105" s="9"/>
      <c r="U105" s="9"/>
    </row>
    <row r="106" spans="8:22" x14ac:dyDescent="0.25">
      <c r="H106" s="9"/>
      <c r="I106" s="9"/>
      <c r="J106" s="9"/>
      <c r="K106" s="9"/>
      <c r="L106" s="9"/>
      <c r="M106" s="9"/>
      <c r="N106" s="9"/>
      <c r="O106" s="9"/>
      <c r="P106" s="9"/>
      <c r="Q106" s="9"/>
      <c r="R106" s="9"/>
      <c r="S106" s="9"/>
      <c r="T106" s="9"/>
      <c r="U106" s="9"/>
    </row>
    <row r="107" spans="8:22" x14ac:dyDescent="0.25">
      <c r="H107" s="9"/>
      <c r="I107" s="9"/>
      <c r="J107" s="9"/>
      <c r="K107" s="9"/>
      <c r="L107" s="9"/>
      <c r="M107" s="9"/>
      <c r="N107" s="9"/>
      <c r="O107" s="9"/>
      <c r="P107" s="9"/>
      <c r="Q107" s="9"/>
      <c r="R107" s="9"/>
      <c r="S107" s="9"/>
      <c r="T107" s="9"/>
      <c r="U107" s="9"/>
    </row>
    <row r="108" spans="8:22" x14ac:dyDescent="0.25">
      <c r="H108" s="9"/>
      <c r="I108" s="9"/>
      <c r="J108" s="9"/>
      <c r="K108" s="9"/>
      <c r="L108" s="9"/>
      <c r="M108" s="9"/>
      <c r="N108" s="9"/>
      <c r="O108" s="9"/>
      <c r="P108" s="9"/>
      <c r="Q108" s="9"/>
      <c r="R108" s="9"/>
      <c r="S108" s="9"/>
      <c r="T108" s="9"/>
      <c r="U108" s="9"/>
    </row>
    <row r="109" spans="8:22" x14ac:dyDescent="0.25">
      <c r="H109" s="9"/>
      <c r="I109" s="9"/>
      <c r="J109" s="9"/>
      <c r="K109" s="9"/>
      <c r="L109" s="9"/>
      <c r="M109" s="9"/>
      <c r="N109" s="9"/>
      <c r="O109" s="9"/>
      <c r="P109" s="9"/>
      <c r="Q109" s="9"/>
      <c r="R109" s="9"/>
      <c r="S109" s="9"/>
      <c r="T109" s="9"/>
      <c r="U109" s="9"/>
    </row>
    <row r="110" spans="8:22" x14ac:dyDescent="0.25">
      <c r="H110" s="9"/>
      <c r="I110" s="9"/>
      <c r="J110" s="9"/>
      <c r="K110" s="9"/>
      <c r="L110" s="9"/>
      <c r="M110" s="9"/>
      <c r="N110" s="9"/>
      <c r="O110" s="9"/>
      <c r="P110" s="9"/>
      <c r="Q110" s="9"/>
      <c r="R110" s="9"/>
      <c r="S110" s="9"/>
      <c r="T110" s="9"/>
      <c r="U110" s="9"/>
    </row>
    <row r="111" spans="8:22" x14ac:dyDescent="0.25">
      <c r="H111" s="9"/>
    </row>
    <row r="112" spans="8:22" x14ac:dyDescent="0.25">
      <c r="H112" s="9"/>
    </row>
    <row r="113" spans="8:8" x14ac:dyDescent="0.25">
      <c r="H113" s="9"/>
    </row>
  </sheetData>
  <mergeCells count="22">
    <mergeCell ref="B55:G56"/>
    <mergeCell ref="B58:G59"/>
    <mergeCell ref="B61:G62"/>
    <mergeCell ref="B64:G66"/>
    <mergeCell ref="O22:Q23"/>
    <mergeCell ref="B30:G35"/>
    <mergeCell ref="B37:G38"/>
    <mergeCell ref="B40:G43"/>
    <mergeCell ref="B45:G50"/>
    <mergeCell ref="B51:G52"/>
    <mergeCell ref="H4:H5"/>
    <mergeCell ref="K5:L5"/>
    <mergeCell ref="K20:L20"/>
    <mergeCell ref="M20:N20"/>
    <mergeCell ref="K25:L25"/>
    <mergeCell ref="M25:N25"/>
    <mergeCell ref="G4:G5"/>
    <mergeCell ref="B4:B5"/>
    <mergeCell ref="C4:C5"/>
    <mergeCell ref="D4:D5"/>
    <mergeCell ref="E4:E5"/>
    <mergeCell ref="F4:F5"/>
  </mergeCells>
  <pageMargins left="0.25" right="0.25" top="0.75" bottom="0.75" header="0.3" footer="0.3"/>
  <pageSetup scale="4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B4BF-A5D8-4E30-A331-28DB09F0BC91}">
  <sheetPr>
    <tabColor rgb="FF00B050"/>
    <pageSetUpPr fitToPage="1"/>
  </sheetPr>
  <dimension ref="A1:AK117"/>
  <sheetViews>
    <sheetView zoomScale="70" zoomScaleNormal="70" zoomScaleSheetLayoutView="70" zoomScalePageLayoutView="55" workbookViewId="0">
      <selection activeCell="K15" sqref="K15"/>
    </sheetView>
  </sheetViews>
  <sheetFormatPr defaultRowHeight="15" x14ac:dyDescent="0.25"/>
  <cols>
    <col min="1" max="1" width="3.7109375" style="287" customWidth="1"/>
    <col min="2" max="8" width="20.7109375" style="287" customWidth="1"/>
    <col min="9" max="9" width="5.7109375" style="287" customWidth="1"/>
    <col min="10" max="10" width="3" style="287" customWidth="1"/>
    <col min="11" max="11" width="39.140625" style="287" customWidth="1"/>
    <col min="12" max="12" width="29.28515625" style="287" bestFit="1" customWidth="1"/>
    <col min="13" max="13" width="39.140625" style="287" customWidth="1"/>
    <col min="14" max="14" width="29.28515625" style="287" bestFit="1" customWidth="1"/>
    <col min="15" max="15" width="16.28515625" style="287" customWidth="1"/>
    <col min="16" max="16" width="5.7109375" style="287" customWidth="1"/>
    <col min="17" max="17" width="36.140625" style="287" customWidth="1"/>
    <col min="18" max="18" width="16.28515625" style="287" customWidth="1"/>
    <col min="19" max="21" width="4.5703125" style="287" customWidth="1"/>
    <col min="22" max="22" width="18" style="287" bestFit="1" customWidth="1"/>
    <col min="23" max="23" width="22.85546875" style="287" bestFit="1" customWidth="1"/>
    <col min="24" max="25" width="50.85546875" style="287" customWidth="1"/>
    <col min="26" max="26" width="16.28515625" style="287" bestFit="1" customWidth="1"/>
    <col min="27" max="16384" width="9.140625" style="287"/>
  </cols>
  <sheetData>
    <row r="1" spans="1:13" ht="14.25" customHeight="1" x14ac:dyDescent="0.25">
      <c r="A1" s="15"/>
      <c r="B1" s="290">
        <v>1</v>
      </c>
      <c r="C1" s="522">
        <v>2</v>
      </c>
      <c r="D1" s="522">
        <v>3</v>
      </c>
      <c r="E1" s="522">
        <v>4</v>
      </c>
      <c r="F1" s="522">
        <v>5</v>
      </c>
      <c r="G1" s="522">
        <v>6</v>
      </c>
      <c r="H1" s="522">
        <v>7</v>
      </c>
    </row>
    <row r="2" spans="1:13" x14ac:dyDescent="0.25">
      <c r="B2" s="6" t="s">
        <v>191</v>
      </c>
      <c r="C2" s="6"/>
      <c r="D2" s="6"/>
    </row>
    <row r="3" spans="1:13" ht="15.75" thickBot="1" x14ac:dyDescent="0.3">
      <c r="B3" s="367" t="s">
        <v>467</v>
      </c>
      <c r="K3" s="55"/>
    </row>
    <row r="4" spans="1:13" ht="35.1" customHeight="1" x14ac:dyDescent="0.25">
      <c r="B4" s="651" t="s">
        <v>0</v>
      </c>
      <c r="C4" s="651" t="s">
        <v>648</v>
      </c>
      <c r="D4" s="651" t="s">
        <v>649</v>
      </c>
      <c r="E4" s="651" t="s">
        <v>23</v>
      </c>
      <c r="F4" s="651" t="s">
        <v>24</v>
      </c>
      <c r="G4" s="651" t="s">
        <v>28</v>
      </c>
      <c r="H4" s="647" t="s">
        <v>1</v>
      </c>
      <c r="K4" s="62"/>
      <c r="L4" s="15"/>
      <c r="M4" s="20"/>
    </row>
    <row r="5" spans="1:13" ht="43.5" customHeight="1" thickBot="1" x14ac:dyDescent="0.3">
      <c r="B5" s="652"/>
      <c r="C5" s="652"/>
      <c r="D5" s="652"/>
      <c r="E5" s="652"/>
      <c r="F5" s="652"/>
      <c r="G5" s="652"/>
      <c r="H5" s="648"/>
      <c r="K5" s="655" t="s">
        <v>592</v>
      </c>
      <c r="L5" s="655"/>
      <c r="M5" s="28"/>
    </row>
    <row r="6" spans="1:13" x14ac:dyDescent="0.25">
      <c r="B6" s="1">
        <f>Assumptions!$D$7</f>
        <v>2024</v>
      </c>
      <c r="C6" s="145">
        <v>0</v>
      </c>
      <c r="D6" s="145">
        <v>0</v>
      </c>
      <c r="E6" s="156">
        <f>C6*$L$6</f>
        <v>0</v>
      </c>
      <c r="F6" s="156">
        <f>D6*$L$6</f>
        <v>0</v>
      </c>
      <c r="G6" s="157">
        <f>(E6-F6)</f>
        <v>0</v>
      </c>
      <c r="H6" s="156">
        <f>G6*(1+0.07)^-(B6-Assumptions!$D$4)</f>
        <v>0</v>
      </c>
      <c r="I6" s="15"/>
      <c r="K6" s="65" t="s">
        <v>244</v>
      </c>
      <c r="L6" s="67">
        <f>Assumptions!D21</f>
        <v>17.8</v>
      </c>
      <c r="M6" s="15" t="s">
        <v>240</v>
      </c>
    </row>
    <row r="7" spans="1:13" x14ac:dyDescent="0.25">
      <c r="B7" s="2">
        <f>B6+1</f>
        <v>2025</v>
      </c>
      <c r="C7" s="145">
        <v>0</v>
      </c>
      <c r="D7" s="145">
        <v>0</v>
      </c>
      <c r="E7" s="147">
        <f t="shared" ref="E7:F25" si="0">C7*$L$6</f>
        <v>0</v>
      </c>
      <c r="F7" s="147">
        <f t="shared" si="0"/>
        <v>0</v>
      </c>
      <c r="G7" s="148">
        <f t="shared" ref="G7:G25" si="1">(E7-F7)</f>
        <v>0</v>
      </c>
      <c r="H7" s="147">
        <f>G7*(1+0.07)^-(B7-Assumptions!$D$4)</f>
        <v>0</v>
      </c>
      <c r="I7" s="15"/>
      <c r="M7" s="19"/>
    </row>
    <row r="8" spans="1:13" x14ac:dyDescent="0.25">
      <c r="B8" s="2">
        <f t="shared" ref="B8:B25" si="2">B7+1</f>
        <v>2026</v>
      </c>
      <c r="C8" s="145">
        <v>0</v>
      </c>
      <c r="D8" s="145">
        <v>0</v>
      </c>
      <c r="E8" s="147">
        <f t="shared" si="0"/>
        <v>0</v>
      </c>
      <c r="F8" s="147">
        <f t="shared" si="0"/>
        <v>0</v>
      </c>
      <c r="G8" s="148">
        <f t="shared" si="1"/>
        <v>0</v>
      </c>
      <c r="H8" s="147">
        <f>G8*(1+0.07)^-(B8-Assumptions!$D$4)</f>
        <v>0</v>
      </c>
      <c r="J8" s="61"/>
      <c r="K8" s="283" t="s">
        <v>194</v>
      </c>
      <c r="L8" s="283"/>
      <c r="M8" s="18"/>
    </row>
    <row r="9" spans="1:13" ht="15" customHeight="1" x14ac:dyDescent="0.25">
      <c r="B9" s="2">
        <f t="shared" si="2"/>
        <v>2027</v>
      </c>
      <c r="C9" s="145">
        <v>0</v>
      </c>
      <c r="D9" s="145">
        <v>0</v>
      </c>
      <c r="E9" s="147">
        <f t="shared" si="0"/>
        <v>0</v>
      </c>
      <c r="F9" s="147">
        <f t="shared" si="0"/>
        <v>0</v>
      </c>
      <c r="G9" s="148">
        <f t="shared" si="1"/>
        <v>0</v>
      </c>
      <c r="H9" s="147">
        <f>G9*(1+0.07)^-(B9-Assumptions!$D$4)</f>
        <v>0</v>
      </c>
      <c r="K9" s="65" t="s">
        <v>21</v>
      </c>
      <c r="L9" s="64">
        <f>Assumptions!D14</f>
        <v>0.71936758893280639</v>
      </c>
      <c r="M9" s="18" t="s">
        <v>245</v>
      </c>
    </row>
    <row r="10" spans="1:13" x14ac:dyDescent="0.25">
      <c r="B10" s="2">
        <f t="shared" si="2"/>
        <v>2028</v>
      </c>
      <c r="C10" s="145">
        <v>0</v>
      </c>
      <c r="D10" s="145">
        <v>0</v>
      </c>
      <c r="E10" s="147">
        <f t="shared" si="0"/>
        <v>0</v>
      </c>
      <c r="F10" s="147">
        <f t="shared" si="0"/>
        <v>0</v>
      </c>
      <c r="G10" s="148">
        <f t="shared" si="1"/>
        <v>0</v>
      </c>
      <c r="H10" s="147">
        <f>G10*(1+0.07)^-(B10-Assumptions!$D$4)</f>
        <v>0</v>
      </c>
      <c r="M10" s="48"/>
    </row>
    <row r="11" spans="1:13" x14ac:dyDescent="0.25">
      <c r="B11" s="2">
        <f t="shared" si="2"/>
        <v>2029</v>
      </c>
      <c r="C11" s="145">
        <v>0</v>
      </c>
      <c r="D11" s="145">
        <v>0</v>
      </c>
      <c r="E11" s="147">
        <f t="shared" si="0"/>
        <v>0</v>
      </c>
      <c r="F11" s="147">
        <f t="shared" si="0"/>
        <v>0</v>
      </c>
      <c r="G11" s="148">
        <f t="shared" si="1"/>
        <v>0</v>
      </c>
      <c r="H11" s="147">
        <f>G11*(1+0.07)^-(B11-Assumptions!$D$4)</f>
        <v>0</v>
      </c>
      <c r="K11" s="283" t="s">
        <v>632</v>
      </c>
      <c r="L11" s="283"/>
      <c r="M11" s="18"/>
    </row>
    <row r="12" spans="1:13" x14ac:dyDescent="0.25">
      <c r="B12" s="2">
        <f t="shared" si="2"/>
        <v>2030</v>
      </c>
      <c r="C12" s="145">
        <v>0</v>
      </c>
      <c r="D12" s="145">
        <v>0</v>
      </c>
      <c r="E12" s="147">
        <f t="shared" si="0"/>
        <v>0</v>
      </c>
      <c r="F12" s="147">
        <f t="shared" si="0"/>
        <v>0</v>
      </c>
      <c r="G12" s="148">
        <f t="shared" si="1"/>
        <v>0</v>
      </c>
      <c r="H12" s="147">
        <f>G12*(1+0.07)^-(B12-Assumptions!$D$4)</f>
        <v>0</v>
      </c>
      <c r="K12" s="65" t="s">
        <v>26</v>
      </c>
      <c r="L12" s="144">
        <v>1.67</v>
      </c>
      <c r="M12" s="15" t="s">
        <v>240</v>
      </c>
    </row>
    <row r="13" spans="1:13" ht="15" customHeight="1" x14ac:dyDescent="0.25">
      <c r="B13" s="2">
        <f t="shared" si="2"/>
        <v>2031</v>
      </c>
      <c r="C13" s="145">
        <v>0</v>
      </c>
      <c r="D13" s="145">
        <v>0</v>
      </c>
      <c r="E13" s="147">
        <f t="shared" si="0"/>
        <v>0</v>
      </c>
      <c r="F13" s="147">
        <f t="shared" si="0"/>
        <v>0</v>
      </c>
      <c r="G13" s="148">
        <f t="shared" si="1"/>
        <v>0</v>
      </c>
      <c r="H13" s="147">
        <f>G13*(1+0.07)^-(B13-Assumptions!$D$4)</f>
        <v>0</v>
      </c>
      <c r="M13" s="52"/>
    </row>
    <row r="14" spans="1:13" x14ac:dyDescent="0.25">
      <c r="B14" s="2">
        <f t="shared" si="2"/>
        <v>2032</v>
      </c>
      <c r="C14" s="145">
        <v>0</v>
      </c>
      <c r="D14" s="145">
        <v>0</v>
      </c>
      <c r="E14" s="147">
        <f t="shared" si="0"/>
        <v>0</v>
      </c>
      <c r="F14" s="147">
        <f t="shared" si="0"/>
        <v>0</v>
      </c>
      <c r="G14" s="148">
        <f t="shared" si="1"/>
        <v>0</v>
      </c>
      <c r="H14" s="147">
        <f>G14*(1+0.07)^-(B14-Assumptions!$D$4)</f>
        <v>0</v>
      </c>
      <c r="K14" s="283" t="s">
        <v>633</v>
      </c>
      <c r="L14" s="283"/>
      <c r="M14" s="18"/>
    </row>
    <row r="15" spans="1:13" x14ac:dyDescent="0.25">
      <c r="B15" s="2">
        <f t="shared" si="2"/>
        <v>2033</v>
      </c>
      <c r="C15" s="145">
        <f t="shared" ref="C15:C25" si="3">TREND($L$27:$L$28,$K$27:$K$28,B15)</f>
        <v>514042.42936758883</v>
      </c>
      <c r="D15" s="145">
        <f t="shared" ref="D15:D25" si="4">TREND($N$27:$N$28,$M$27:$M$28,B15)</f>
        <v>383277.24996706098</v>
      </c>
      <c r="E15" s="147">
        <f t="shared" si="0"/>
        <v>9149955.2427430823</v>
      </c>
      <c r="F15" s="147">
        <f t="shared" si="0"/>
        <v>6822335.0494136857</v>
      </c>
      <c r="G15" s="148">
        <f t="shared" si="1"/>
        <v>2327620.1933293967</v>
      </c>
      <c r="H15" s="147">
        <f>G15*(1+0.07)^-(B15-Assumptions!$D$4)</f>
        <v>965879.6284191442</v>
      </c>
      <c r="K15" s="289" t="s">
        <v>125</v>
      </c>
      <c r="L15" s="289" t="s">
        <v>200</v>
      </c>
      <c r="M15" s="19"/>
    </row>
    <row r="16" spans="1:13" x14ac:dyDescent="0.25">
      <c r="B16" s="2">
        <f t="shared" si="2"/>
        <v>2034</v>
      </c>
      <c r="C16" s="145">
        <f t="shared" si="3"/>
        <v>521748.90014822036</v>
      </c>
      <c r="D16" s="145">
        <f t="shared" si="4"/>
        <v>389023.3027420938</v>
      </c>
      <c r="E16" s="147">
        <f t="shared" si="0"/>
        <v>9287130.4226383232</v>
      </c>
      <c r="F16" s="147">
        <f t="shared" si="0"/>
        <v>6924614.7888092697</v>
      </c>
      <c r="G16" s="148">
        <f t="shared" si="1"/>
        <v>2362515.6338290535</v>
      </c>
      <c r="H16" s="147">
        <f>G16*(1+0.07)^-(B16-Assumptions!$D$4)</f>
        <v>916224.29497188015</v>
      </c>
      <c r="K16" s="282">
        <v>2021</v>
      </c>
      <c r="L16" s="282">
        <v>506</v>
      </c>
      <c r="M16" s="18" t="s">
        <v>245</v>
      </c>
    </row>
    <row r="17" spans="1:20" x14ac:dyDescent="0.25">
      <c r="B17" s="2">
        <f t="shared" si="2"/>
        <v>2035</v>
      </c>
      <c r="C17" s="145">
        <f t="shared" si="3"/>
        <v>529455.37092885375</v>
      </c>
      <c r="D17" s="145">
        <f t="shared" si="4"/>
        <v>394769.35551712662</v>
      </c>
      <c r="E17" s="147">
        <f t="shared" si="0"/>
        <v>9424305.6025335975</v>
      </c>
      <c r="F17" s="147">
        <f t="shared" si="0"/>
        <v>7026894.5282048546</v>
      </c>
      <c r="G17" s="148">
        <f t="shared" si="1"/>
        <v>2397411.0743287429</v>
      </c>
      <c r="H17" s="147">
        <f>G17*(1+0.07)^-(B17-Assumptions!$D$4)</f>
        <v>868932.10133696615</v>
      </c>
      <c r="K17" s="282">
        <v>2041</v>
      </c>
      <c r="L17" s="282">
        <v>691</v>
      </c>
      <c r="M17" s="18" t="s">
        <v>245</v>
      </c>
    </row>
    <row r="18" spans="1:20" x14ac:dyDescent="0.25">
      <c r="B18" s="2">
        <f t="shared" si="2"/>
        <v>2036</v>
      </c>
      <c r="C18" s="145">
        <f t="shared" si="3"/>
        <v>537161.84170948528</v>
      </c>
      <c r="D18" s="145">
        <f t="shared" si="4"/>
        <v>400515.40829215944</v>
      </c>
      <c r="E18" s="147">
        <f t="shared" si="0"/>
        <v>9561480.7824288383</v>
      </c>
      <c r="F18" s="147">
        <f t="shared" si="0"/>
        <v>7129174.2676004386</v>
      </c>
      <c r="G18" s="148">
        <f t="shared" si="1"/>
        <v>2432306.5148283998</v>
      </c>
      <c r="H18" s="147">
        <f>G18*(1+0.07)^-(B18-Assumptions!$D$4)</f>
        <v>823906.3690184427</v>
      </c>
    </row>
    <row r="19" spans="1:20" x14ac:dyDescent="0.25">
      <c r="B19" s="2">
        <f t="shared" si="2"/>
        <v>2037</v>
      </c>
      <c r="C19" s="145">
        <f t="shared" si="3"/>
        <v>544868.31249011867</v>
      </c>
      <c r="D19" s="145">
        <f t="shared" si="4"/>
        <v>406261.46106719226</v>
      </c>
      <c r="E19" s="147">
        <f t="shared" si="0"/>
        <v>9698655.9623241127</v>
      </c>
      <c r="F19" s="147">
        <f t="shared" si="0"/>
        <v>7231454.0069960225</v>
      </c>
      <c r="G19" s="148">
        <f t="shared" si="1"/>
        <v>2467201.9553280901</v>
      </c>
      <c r="H19" s="147">
        <f>G19*(1+0.07)^-(B19-Assumptions!$D$4)</f>
        <v>781052.95515985088</v>
      </c>
      <c r="K19" s="286" t="s">
        <v>247</v>
      </c>
      <c r="L19" s="15"/>
      <c r="Q19" s="48"/>
    </row>
    <row r="20" spans="1:20" ht="14.25" customHeight="1" x14ac:dyDescent="0.25">
      <c r="B20" s="2">
        <f t="shared" si="2"/>
        <v>2038</v>
      </c>
      <c r="C20" s="145">
        <f t="shared" si="3"/>
        <v>552574.78327075019</v>
      </c>
      <c r="D20" s="145">
        <f t="shared" si="4"/>
        <v>412007.51384222507</v>
      </c>
      <c r="E20" s="147">
        <f t="shared" si="0"/>
        <v>9835831.1422193535</v>
      </c>
      <c r="F20" s="147">
        <f t="shared" si="0"/>
        <v>7333733.7463916065</v>
      </c>
      <c r="G20" s="148">
        <f t="shared" si="1"/>
        <v>2502097.395827747</v>
      </c>
      <c r="H20" s="147">
        <f>G20*(1+0.07)^-(B20-Assumptions!$D$4)</f>
        <v>740280.33454766939</v>
      </c>
      <c r="K20" s="656" t="s">
        <v>243</v>
      </c>
      <c r="L20" s="657"/>
      <c r="M20" s="656" t="s">
        <v>238</v>
      </c>
      <c r="N20" s="657"/>
    </row>
    <row r="21" spans="1:20" x14ac:dyDescent="0.25">
      <c r="B21" s="2">
        <f t="shared" si="2"/>
        <v>2039</v>
      </c>
      <c r="C21" s="145">
        <f t="shared" si="3"/>
        <v>560281.25405138358</v>
      </c>
      <c r="D21" s="145">
        <f t="shared" si="4"/>
        <v>417753.56661725789</v>
      </c>
      <c r="E21" s="147">
        <f t="shared" si="0"/>
        <v>9973006.3221146278</v>
      </c>
      <c r="F21" s="147">
        <f t="shared" si="0"/>
        <v>7436013.4857871905</v>
      </c>
      <c r="G21" s="148">
        <f t="shared" si="1"/>
        <v>2536992.8363274373</v>
      </c>
      <c r="H21" s="147">
        <f>G21*(1+0.07)^-(B21-Assumptions!$D$4)</f>
        <v>701499.66003334126</v>
      </c>
      <c r="K21" s="282" t="s">
        <v>241</v>
      </c>
      <c r="L21" s="289">
        <v>123</v>
      </c>
      <c r="M21" s="282" t="s">
        <v>241</v>
      </c>
      <c r="N21" s="289">
        <v>90.2</v>
      </c>
      <c r="O21" s="369" t="s">
        <v>492</v>
      </c>
    </row>
    <row r="22" spans="1:20" x14ac:dyDescent="0.25">
      <c r="B22" s="2">
        <f t="shared" si="2"/>
        <v>2040</v>
      </c>
      <c r="C22" s="145">
        <f t="shared" si="3"/>
        <v>567987.72483201511</v>
      </c>
      <c r="D22" s="145">
        <f t="shared" si="4"/>
        <v>423499.61939229071</v>
      </c>
      <c r="E22" s="147">
        <f t="shared" si="0"/>
        <v>10110181.502009869</v>
      </c>
      <c r="F22" s="147">
        <f t="shared" si="0"/>
        <v>7538293.2251827754</v>
      </c>
      <c r="G22" s="148">
        <f t="shared" si="1"/>
        <v>2571888.2768270932</v>
      </c>
      <c r="H22" s="147">
        <f>G22*(1+0.07)^-(B22-Assumptions!$D$4)</f>
        <v>664624.80384633655</v>
      </c>
      <c r="K22" s="282" t="s">
        <v>242</v>
      </c>
      <c r="L22" s="289">
        <v>114</v>
      </c>
      <c r="M22" s="282" t="s">
        <v>242</v>
      </c>
      <c r="N22" s="289">
        <v>85</v>
      </c>
      <c r="O22" s="369" t="s">
        <v>492</v>
      </c>
    </row>
    <row r="23" spans="1:20" x14ac:dyDescent="0.25">
      <c r="B23" s="2">
        <f t="shared" si="2"/>
        <v>2041</v>
      </c>
      <c r="C23" s="145">
        <f t="shared" si="3"/>
        <v>575694.1956126485</v>
      </c>
      <c r="D23" s="145">
        <f t="shared" si="4"/>
        <v>429245.67216732539</v>
      </c>
      <c r="E23" s="147">
        <f t="shared" si="0"/>
        <v>10247356.681905143</v>
      </c>
      <c r="F23" s="147">
        <f t="shared" si="0"/>
        <v>7640572.964578392</v>
      </c>
      <c r="G23" s="148">
        <f t="shared" si="1"/>
        <v>2606783.717326751</v>
      </c>
      <c r="H23" s="147">
        <f>G23*(1+0.07)^-(B23-Assumptions!$D$4)</f>
        <v>629572.38204019517</v>
      </c>
    </row>
    <row r="24" spans="1:20" x14ac:dyDescent="0.25">
      <c r="B24" s="2">
        <f t="shared" si="2"/>
        <v>2042</v>
      </c>
      <c r="C24" s="145">
        <f t="shared" si="3"/>
        <v>583400.66639328003</v>
      </c>
      <c r="D24" s="145">
        <f t="shared" si="4"/>
        <v>434991.72494235821</v>
      </c>
      <c r="E24" s="147">
        <f t="shared" si="0"/>
        <v>10384531.861800386</v>
      </c>
      <c r="F24" s="147">
        <f t="shared" si="0"/>
        <v>7742852.7039739769</v>
      </c>
      <c r="G24" s="148">
        <f t="shared" si="1"/>
        <v>2641679.1578264087</v>
      </c>
      <c r="H24" s="147">
        <f>G24*(1+0.07)^-(B24-Assumptions!$D$4)</f>
        <v>596261.76410138968</v>
      </c>
      <c r="K24" s="286" t="s">
        <v>248</v>
      </c>
    </row>
    <row r="25" spans="1:20" ht="15" customHeight="1" thickBot="1" x14ac:dyDescent="0.3">
      <c r="B25" s="3">
        <f t="shared" si="2"/>
        <v>2043</v>
      </c>
      <c r="C25" s="175">
        <f t="shared" si="3"/>
        <v>591107.13717391342</v>
      </c>
      <c r="D25" s="175">
        <f t="shared" si="4"/>
        <v>440737.77771739103</v>
      </c>
      <c r="E25" s="180">
        <f t="shared" si="0"/>
        <v>10521707.04169566</v>
      </c>
      <c r="F25" s="180">
        <f t="shared" si="0"/>
        <v>7845132.4433695609</v>
      </c>
      <c r="G25" s="181">
        <f t="shared" si="1"/>
        <v>2676574.5983260991</v>
      </c>
      <c r="H25" s="180">
        <f>G25*(1+0.07)^-(B25-Assumptions!$D$4)</f>
        <v>564615.06955785363</v>
      </c>
      <c r="K25" s="656" t="s">
        <v>243</v>
      </c>
      <c r="L25" s="657"/>
      <c r="M25" s="656" t="s">
        <v>238</v>
      </c>
      <c r="N25" s="657"/>
    </row>
    <row r="26" spans="1:20" ht="15" customHeight="1" thickBot="1" x14ac:dyDescent="0.3">
      <c r="B26" s="4"/>
      <c r="C26" s="4"/>
      <c r="D26" s="4"/>
      <c r="E26" s="46"/>
      <c r="F26" s="46"/>
      <c r="G26" s="66" t="s">
        <v>2</v>
      </c>
      <c r="H26" s="243">
        <f>SUM(H6:H25)</f>
        <v>8252849.3630330712</v>
      </c>
      <c r="K26" s="282" t="s">
        <v>125</v>
      </c>
      <c r="L26" s="116" t="s">
        <v>189</v>
      </c>
      <c r="M26" s="282" t="s">
        <v>125</v>
      </c>
      <c r="N26" s="116" t="s">
        <v>189</v>
      </c>
    </row>
    <row r="27" spans="1:20" x14ac:dyDescent="0.25">
      <c r="C27" s="570"/>
      <c r="D27" s="570"/>
      <c r="E27" s="570"/>
      <c r="F27" s="570"/>
      <c r="G27" s="570"/>
      <c r="H27" s="570"/>
      <c r="I27" s="24"/>
      <c r="K27" s="282">
        <v>2021</v>
      </c>
      <c r="L27" s="178">
        <f>$L$9*$L$12*L16*($L$22/60)*365</f>
        <v>421564.77999999997</v>
      </c>
      <c r="M27" s="282">
        <v>2021</v>
      </c>
      <c r="N27" s="178">
        <f>$L$9*$L$12*L16*($N$22/60)*365</f>
        <v>314324.6166666667</v>
      </c>
      <c r="O27" s="287" t="s">
        <v>246</v>
      </c>
    </row>
    <row r="28" spans="1:20" x14ac:dyDescent="0.25">
      <c r="A28" s="543"/>
      <c r="B28" s="543"/>
      <c r="C28" s="570"/>
      <c r="D28" s="570"/>
      <c r="E28" s="570"/>
      <c r="F28" s="570"/>
      <c r="G28" s="570"/>
      <c r="H28" s="279"/>
      <c r="I28" s="20"/>
      <c r="K28" s="282">
        <v>2041</v>
      </c>
      <c r="L28" s="178">
        <f>$L$9*$L$12*L17*($L$22/60)*365</f>
        <v>575694.19561264827</v>
      </c>
      <c r="M28" s="282">
        <v>2041</v>
      </c>
      <c r="N28" s="178">
        <f>$L$9*$L$12*L17*($N$22/60)*365</f>
        <v>429245.67216732545</v>
      </c>
      <c r="O28" s="287" t="s">
        <v>246</v>
      </c>
      <c r="T28" s="20"/>
    </row>
    <row r="29" spans="1:20" ht="15" customHeight="1" x14ac:dyDescent="0.25">
      <c r="A29" s="60"/>
      <c r="B29" s="16" t="s">
        <v>3</v>
      </c>
      <c r="C29" s="16"/>
      <c r="D29" s="16"/>
      <c r="E29" s="15"/>
      <c r="F29" s="15"/>
      <c r="G29" s="543"/>
      <c r="I29" s="20"/>
    </row>
    <row r="30" spans="1:20" x14ac:dyDescent="0.25">
      <c r="A30" s="60" t="s">
        <v>9</v>
      </c>
      <c r="B30" s="645" t="s">
        <v>608</v>
      </c>
      <c r="C30" s="645"/>
      <c r="D30" s="645"/>
      <c r="E30" s="645"/>
      <c r="F30" s="645"/>
      <c r="G30" s="645"/>
      <c r="H30" s="15"/>
    </row>
    <row r="31" spans="1:20" x14ac:dyDescent="0.25">
      <c r="A31" s="60"/>
      <c r="B31" s="645"/>
      <c r="C31" s="645"/>
      <c r="D31" s="645"/>
      <c r="E31" s="645"/>
      <c r="F31" s="645"/>
      <c r="G31" s="645"/>
      <c r="H31" s="15"/>
    </row>
    <row r="32" spans="1:20" x14ac:dyDescent="0.25">
      <c r="A32" s="60"/>
      <c r="B32" s="645"/>
      <c r="C32" s="645"/>
      <c r="D32" s="645"/>
      <c r="E32" s="645"/>
      <c r="F32" s="645"/>
      <c r="G32" s="645"/>
      <c r="H32" s="15"/>
    </row>
    <row r="33" spans="1:37" ht="15" customHeight="1" x14ac:dyDescent="0.25">
      <c r="A33" s="60"/>
      <c r="B33" s="645"/>
      <c r="C33" s="645"/>
      <c r="D33" s="645"/>
      <c r="E33" s="645"/>
      <c r="F33" s="645"/>
      <c r="G33" s="645"/>
      <c r="H33" s="15"/>
      <c r="I33" s="20"/>
    </row>
    <row r="34" spans="1:37" ht="15" customHeight="1" x14ac:dyDescent="0.25">
      <c r="A34" s="60"/>
      <c r="B34" s="645"/>
      <c r="C34" s="645"/>
      <c r="D34" s="645"/>
      <c r="E34" s="645"/>
      <c r="F34" s="645"/>
      <c r="G34" s="645"/>
      <c r="H34" s="15"/>
      <c r="I34" s="20"/>
    </row>
    <row r="35" spans="1:37" ht="15" customHeight="1" x14ac:dyDescent="0.25">
      <c r="A35" s="60"/>
      <c r="B35" s="645"/>
      <c r="C35" s="645"/>
      <c r="D35" s="645"/>
      <c r="E35" s="645"/>
      <c r="F35" s="645"/>
      <c r="G35" s="645"/>
      <c r="I35" s="28"/>
    </row>
    <row r="36" spans="1:37" ht="15" customHeight="1" x14ac:dyDescent="0.25">
      <c r="A36" s="60"/>
      <c r="B36" s="76"/>
      <c r="C36" s="76"/>
      <c r="D36" s="76"/>
      <c r="E36" s="76"/>
      <c r="F36" s="76"/>
      <c r="G36" s="543"/>
      <c r="I36" s="33"/>
    </row>
    <row r="37" spans="1:37" x14ac:dyDescent="0.25">
      <c r="A37" s="60" t="s">
        <v>8</v>
      </c>
      <c r="B37" s="645" t="s">
        <v>384</v>
      </c>
      <c r="C37" s="645"/>
      <c r="D37" s="645"/>
      <c r="E37" s="645"/>
      <c r="F37" s="645"/>
      <c r="G37" s="645"/>
    </row>
    <row r="38" spans="1:37" x14ac:dyDescent="0.25">
      <c r="A38" s="60"/>
      <c r="B38" s="645"/>
      <c r="C38" s="645"/>
      <c r="D38" s="645"/>
      <c r="E38" s="645"/>
      <c r="F38" s="645"/>
      <c r="G38" s="645"/>
    </row>
    <row r="39" spans="1:37" ht="15" customHeight="1" x14ac:dyDescent="0.25">
      <c r="A39" s="60"/>
      <c r="B39" s="605"/>
      <c r="C39" s="605"/>
      <c r="D39" s="605"/>
      <c r="E39" s="605"/>
      <c r="F39" s="605"/>
      <c r="G39" s="605"/>
    </row>
    <row r="40" spans="1:37" ht="15" customHeight="1" x14ac:dyDescent="0.25">
      <c r="A40" s="60" t="s">
        <v>10</v>
      </c>
      <c r="B40" s="645" t="s">
        <v>628</v>
      </c>
      <c r="C40" s="645"/>
      <c r="D40" s="645"/>
      <c r="E40" s="645"/>
      <c r="F40" s="645"/>
      <c r="G40" s="645"/>
    </row>
    <row r="41" spans="1:37" ht="15" customHeight="1" x14ac:dyDescent="0.25">
      <c r="A41" s="60"/>
      <c r="B41" s="645"/>
      <c r="C41" s="645"/>
      <c r="D41" s="645"/>
      <c r="E41" s="645"/>
      <c r="F41" s="645"/>
      <c r="G41" s="645"/>
    </row>
    <row r="42" spans="1:37" ht="15" customHeight="1" x14ac:dyDescent="0.25">
      <c r="A42" s="60"/>
      <c r="B42" s="645"/>
      <c r="C42" s="645"/>
      <c r="D42" s="645"/>
      <c r="E42" s="645"/>
      <c r="F42" s="645"/>
      <c r="G42" s="645"/>
    </row>
    <row r="43" spans="1:37" x14ac:dyDescent="0.25">
      <c r="A43" s="60"/>
      <c r="B43" s="645"/>
      <c r="C43" s="645"/>
      <c r="D43" s="645"/>
      <c r="E43" s="645"/>
      <c r="F43" s="645"/>
      <c r="G43" s="645"/>
    </row>
    <row r="44" spans="1:37" ht="15" customHeight="1" x14ac:dyDescent="0.25">
      <c r="A44" s="60"/>
      <c r="B44" s="76"/>
      <c r="C44" s="76"/>
      <c r="D44" s="76"/>
      <c r="E44" s="76"/>
      <c r="F44" s="76"/>
      <c r="G44" s="543"/>
    </row>
    <row r="45" spans="1:37" x14ac:dyDescent="0.25">
      <c r="A45" s="60" t="s">
        <v>11</v>
      </c>
      <c r="B45" s="645" t="s">
        <v>381</v>
      </c>
      <c r="C45" s="645"/>
      <c r="D45" s="645"/>
      <c r="E45" s="645"/>
      <c r="F45" s="645"/>
      <c r="G45" s="645"/>
      <c r="V45" s="36" t="s">
        <v>619</v>
      </c>
      <c r="AK45" s="36" t="s">
        <v>619</v>
      </c>
    </row>
    <row r="46" spans="1:37" x14ac:dyDescent="0.25">
      <c r="A46" s="60"/>
      <c r="B46" s="645"/>
      <c r="C46" s="645"/>
      <c r="D46" s="645"/>
      <c r="E46" s="645"/>
      <c r="F46" s="645"/>
      <c r="G46" s="645"/>
    </row>
    <row r="47" spans="1:37" x14ac:dyDescent="0.25">
      <c r="A47" s="60"/>
      <c r="B47" s="645"/>
      <c r="C47" s="645"/>
      <c r="D47" s="645"/>
      <c r="E47" s="645"/>
      <c r="F47" s="645"/>
      <c r="G47" s="645"/>
      <c r="H47" s="15"/>
    </row>
    <row r="48" spans="1:37" ht="15" customHeight="1" x14ac:dyDescent="0.25">
      <c r="A48" s="60"/>
      <c r="B48" s="645"/>
      <c r="C48" s="645"/>
      <c r="D48" s="645"/>
      <c r="E48" s="645"/>
      <c r="F48" s="645"/>
      <c r="G48" s="645"/>
      <c r="H48" s="15"/>
    </row>
    <row r="49" spans="1:21" x14ac:dyDescent="0.25">
      <c r="A49" s="60"/>
      <c r="B49" s="645"/>
      <c r="C49" s="645"/>
      <c r="D49" s="645"/>
      <c r="E49" s="645"/>
      <c r="F49" s="645"/>
      <c r="G49" s="645"/>
      <c r="H49" s="15"/>
    </row>
    <row r="50" spans="1:21" x14ac:dyDescent="0.25">
      <c r="A50" s="60"/>
      <c r="B50" s="645"/>
      <c r="C50" s="645"/>
      <c r="D50" s="645"/>
      <c r="E50" s="645"/>
      <c r="F50" s="645"/>
      <c r="G50" s="645"/>
    </row>
    <row r="51" spans="1:21" ht="15" customHeight="1" x14ac:dyDescent="0.25">
      <c r="A51" s="7" t="s">
        <v>58</v>
      </c>
      <c r="B51" s="645" t="s">
        <v>609</v>
      </c>
      <c r="C51" s="645"/>
      <c r="D51" s="645"/>
      <c r="E51" s="645"/>
      <c r="F51" s="645"/>
      <c r="G51" s="645"/>
    </row>
    <row r="52" spans="1:21" x14ac:dyDescent="0.25">
      <c r="A52" s="7"/>
      <c r="B52" s="645"/>
      <c r="C52" s="645"/>
      <c r="D52" s="645"/>
      <c r="E52" s="645"/>
      <c r="F52" s="645"/>
      <c r="G52" s="645"/>
    </row>
    <row r="53" spans="1:21" x14ac:dyDescent="0.25">
      <c r="A53" s="7"/>
      <c r="B53" s="76"/>
      <c r="C53" s="76"/>
      <c r="D53" s="76"/>
      <c r="E53" s="76"/>
      <c r="F53" s="76"/>
      <c r="G53" s="543"/>
    </row>
    <row r="54" spans="1:21" x14ac:dyDescent="0.25">
      <c r="A54" s="7"/>
      <c r="B54" s="76"/>
      <c r="C54" s="76"/>
      <c r="D54" s="76"/>
      <c r="E54" s="76"/>
      <c r="F54" s="76"/>
      <c r="G54" s="76"/>
    </row>
    <row r="55" spans="1:21" x14ac:dyDescent="0.25">
      <c r="A55" s="7" t="s">
        <v>60</v>
      </c>
      <c r="B55" s="645" t="s">
        <v>621</v>
      </c>
      <c r="C55" s="645"/>
      <c r="D55" s="645"/>
      <c r="E55" s="645"/>
      <c r="F55" s="645"/>
      <c r="G55" s="645"/>
    </row>
    <row r="56" spans="1:21" x14ac:dyDescent="0.25">
      <c r="A56" s="7"/>
      <c r="B56" s="645"/>
      <c r="C56" s="645"/>
      <c r="D56" s="645"/>
      <c r="E56" s="645"/>
      <c r="F56" s="645"/>
      <c r="G56" s="645"/>
    </row>
    <row r="57" spans="1:21" x14ac:dyDescent="0.25">
      <c r="A57" s="7"/>
      <c r="B57" s="76"/>
      <c r="C57" s="76"/>
      <c r="D57" s="76"/>
      <c r="E57" s="76"/>
      <c r="F57" s="76"/>
      <c r="G57" s="543"/>
    </row>
    <row r="58" spans="1:21" x14ac:dyDescent="0.25">
      <c r="A58" s="7" t="s">
        <v>610</v>
      </c>
      <c r="B58" s="645" t="s">
        <v>622</v>
      </c>
      <c r="C58" s="645"/>
      <c r="D58" s="645"/>
      <c r="E58" s="645"/>
      <c r="F58" s="645"/>
      <c r="G58" s="645"/>
    </row>
    <row r="59" spans="1:21" x14ac:dyDescent="0.25">
      <c r="A59" s="7"/>
      <c r="B59" s="645"/>
      <c r="C59" s="645"/>
      <c r="D59" s="645"/>
      <c r="E59" s="645"/>
      <c r="F59" s="645"/>
      <c r="G59" s="645"/>
      <c r="I59" s="9"/>
      <c r="J59" s="9"/>
      <c r="K59" s="9"/>
      <c r="L59" s="9"/>
      <c r="M59" s="9"/>
      <c r="N59" s="9"/>
      <c r="O59" s="9"/>
      <c r="P59" s="9"/>
      <c r="Q59" s="9"/>
      <c r="R59" s="9"/>
      <c r="S59" s="9"/>
      <c r="T59" s="9"/>
      <c r="U59" s="9"/>
    </row>
    <row r="60" spans="1:21" x14ac:dyDescent="0.25">
      <c r="A60" s="7"/>
      <c r="B60" s="543"/>
      <c r="C60" s="543"/>
      <c r="D60" s="543"/>
      <c r="E60" s="543"/>
      <c r="F60" s="543"/>
      <c r="G60" s="543"/>
      <c r="I60" s="9"/>
      <c r="J60" s="9"/>
      <c r="K60" s="9"/>
      <c r="L60" s="9"/>
      <c r="M60" s="9"/>
      <c r="N60" s="9"/>
      <c r="O60" s="9"/>
      <c r="P60" s="9"/>
      <c r="Q60" s="9"/>
      <c r="R60" s="9"/>
      <c r="S60" s="9"/>
      <c r="T60" s="9"/>
      <c r="U60" s="9"/>
    </row>
    <row r="61" spans="1:21" x14ac:dyDescent="0.25">
      <c r="A61" s="7" t="s">
        <v>625</v>
      </c>
      <c r="B61" s="658" t="s">
        <v>623</v>
      </c>
      <c r="C61" s="658"/>
      <c r="D61" s="658"/>
      <c r="E61" s="658"/>
      <c r="F61" s="658"/>
      <c r="G61" s="658"/>
      <c r="I61" s="9"/>
      <c r="J61" s="9"/>
      <c r="K61" s="9"/>
      <c r="L61" s="9"/>
      <c r="M61" s="9"/>
      <c r="N61" s="9"/>
      <c r="O61" s="9"/>
      <c r="P61" s="9"/>
      <c r="Q61" s="9"/>
      <c r="R61" s="9"/>
      <c r="S61" s="9"/>
      <c r="T61" s="9"/>
      <c r="U61" s="9"/>
    </row>
    <row r="62" spans="1:21" x14ac:dyDescent="0.25">
      <c r="A62" s="7"/>
      <c r="B62" s="658"/>
      <c r="C62" s="658"/>
      <c r="D62" s="658"/>
      <c r="E62" s="658"/>
      <c r="F62" s="658"/>
      <c r="G62" s="658"/>
      <c r="H62" s="9"/>
      <c r="I62" s="9"/>
      <c r="J62" s="9"/>
      <c r="K62" s="9"/>
      <c r="L62" s="9"/>
      <c r="M62" s="9"/>
      <c r="N62" s="9"/>
      <c r="O62" s="9"/>
      <c r="P62" s="9"/>
      <c r="Q62" s="9"/>
      <c r="R62" s="9"/>
      <c r="S62" s="9"/>
      <c r="T62" s="9"/>
      <c r="U62" s="9"/>
    </row>
    <row r="63" spans="1:21" x14ac:dyDescent="0.25">
      <c r="A63" s="7"/>
      <c r="B63" s="543"/>
      <c r="C63" s="543"/>
      <c r="D63" s="543"/>
      <c r="E63" s="543"/>
      <c r="F63" s="543"/>
      <c r="G63" s="543"/>
      <c r="H63" s="9"/>
      <c r="I63" s="9"/>
      <c r="J63" s="9"/>
      <c r="K63" s="9"/>
      <c r="L63" s="9"/>
      <c r="M63" s="9"/>
      <c r="N63" s="9"/>
      <c r="O63" s="9"/>
      <c r="P63" s="9"/>
      <c r="Q63" s="9"/>
      <c r="R63" s="9"/>
      <c r="S63" s="9"/>
      <c r="T63" s="9"/>
      <c r="U63" s="9"/>
    </row>
    <row r="64" spans="1:21" x14ac:dyDescent="0.25">
      <c r="A64" s="7" t="s">
        <v>626</v>
      </c>
      <c r="B64" s="658" t="s">
        <v>624</v>
      </c>
      <c r="C64" s="658"/>
      <c r="D64" s="658"/>
      <c r="E64" s="658"/>
      <c r="F64" s="658"/>
      <c r="G64" s="658"/>
      <c r="H64" s="9"/>
      <c r="I64" s="9"/>
      <c r="J64" s="9"/>
      <c r="K64" s="9"/>
      <c r="L64" s="9"/>
      <c r="M64" s="9"/>
      <c r="N64" s="9"/>
      <c r="O64" s="9"/>
      <c r="P64" s="9"/>
      <c r="Q64" s="9"/>
      <c r="R64" s="9"/>
      <c r="S64" s="9"/>
      <c r="T64" s="9"/>
      <c r="U64" s="9"/>
    </row>
    <row r="65" spans="1:21" x14ac:dyDescent="0.25">
      <c r="A65" s="7"/>
      <c r="B65" s="658"/>
      <c r="C65" s="658"/>
      <c r="D65" s="658"/>
      <c r="E65" s="658"/>
      <c r="F65" s="658"/>
      <c r="G65" s="658"/>
      <c r="H65" s="9"/>
      <c r="I65" s="9"/>
      <c r="J65" s="9"/>
      <c r="K65" s="9"/>
      <c r="L65" s="9"/>
      <c r="M65" s="9"/>
      <c r="N65" s="9"/>
      <c r="O65" s="9"/>
      <c r="P65" s="9"/>
      <c r="Q65" s="9"/>
      <c r="R65" s="9"/>
      <c r="S65" s="9"/>
      <c r="T65" s="9"/>
      <c r="U65" s="9"/>
    </row>
    <row r="66" spans="1:21" x14ac:dyDescent="0.25">
      <c r="A66" s="7"/>
      <c r="B66" s="658"/>
      <c r="C66" s="658"/>
      <c r="D66" s="658"/>
      <c r="E66" s="658"/>
      <c r="F66" s="658"/>
      <c r="G66" s="658"/>
      <c r="H66" s="9"/>
      <c r="I66" s="9"/>
      <c r="J66" s="9"/>
      <c r="K66" s="9"/>
      <c r="L66" s="9"/>
      <c r="M66" s="9"/>
      <c r="N66" s="9"/>
      <c r="O66" s="9"/>
      <c r="P66" s="9"/>
      <c r="Q66" s="9"/>
      <c r="R66" s="9"/>
      <c r="S66" s="9"/>
      <c r="T66" s="9"/>
      <c r="U66" s="9"/>
    </row>
    <row r="67" spans="1:21" x14ac:dyDescent="0.25">
      <c r="A67" s="7"/>
      <c r="H67" s="9"/>
      <c r="I67" s="9"/>
      <c r="J67" s="9"/>
      <c r="K67" s="9"/>
      <c r="L67" s="9"/>
      <c r="M67" s="9"/>
      <c r="N67" s="9"/>
      <c r="O67" s="9"/>
      <c r="P67" s="9"/>
      <c r="Q67" s="9"/>
      <c r="R67" s="9"/>
      <c r="S67" s="9"/>
      <c r="T67" s="9"/>
      <c r="U67" s="9"/>
    </row>
    <row r="68" spans="1:21" x14ac:dyDescent="0.25">
      <c r="A68" s="7"/>
      <c r="H68" s="9"/>
      <c r="I68" s="9"/>
      <c r="J68" s="9"/>
      <c r="K68" s="9"/>
      <c r="L68" s="9"/>
      <c r="M68" s="9"/>
      <c r="N68" s="9"/>
      <c r="O68" s="9"/>
      <c r="P68" s="9"/>
      <c r="Q68" s="9"/>
      <c r="R68" s="9"/>
      <c r="S68" s="9"/>
      <c r="T68" s="9"/>
      <c r="U68" s="9"/>
    </row>
    <row r="69" spans="1:21" x14ac:dyDescent="0.25">
      <c r="A69" s="7"/>
      <c r="H69" s="9"/>
      <c r="I69" s="9"/>
      <c r="J69" s="9"/>
      <c r="K69" s="9"/>
      <c r="L69" s="9"/>
      <c r="M69" s="9"/>
      <c r="N69" s="9"/>
      <c r="O69" s="9"/>
      <c r="P69" s="9"/>
      <c r="Q69" s="9"/>
      <c r="R69" s="9"/>
      <c r="S69" s="9"/>
      <c r="T69" s="9"/>
      <c r="U69" s="9"/>
    </row>
    <row r="70" spans="1:21" x14ac:dyDescent="0.25">
      <c r="H70" s="9"/>
      <c r="I70" s="9"/>
      <c r="J70" s="9"/>
      <c r="K70" s="9"/>
      <c r="L70" s="9"/>
      <c r="M70" s="9"/>
      <c r="N70" s="9"/>
      <c r="O70" s="9"/>
      <c r="P70" s="9"/>
      <c r="Q70" s="9"/>
      <c r="R70" s="9"/>
      <c r="S70" s="9"/>
      <c r="T70" s="9"/>
      <c r="U70" s="9"/>
    </row>
    <row r="71" spans="1:21" x14ac:dyDescent="0.25">
      <c r="H71" s="9"/>
      <c r="I71" s="9"/>
      <c r="J71" s="9"/>
      <c r="K71" s="9"/>
      <c r="L71" s="9"/>
      <c r="M71" s="9"/>
      <c r="N71" s="9"/>
      <c r="O71" s="9"/>
      <c r="P71" s="9"/>
      <c r="Q71" s="9"/>
      <c r="R71" s="9"/>
      <c r="S71" s="9"/>
      <c r="T71" s="9"/>
      <c r="U71" s="9"/>
    </row>
    <row r="72" spans="1:21" x14ac:dyDescent="0.25">
      <c r="H72" s="9"/>
      <c r="I72" s="9"/>
      <c r="J72" s="9"/>
      <c r="K72" s="9"/>
      <c r="L72" s="9"/>
      <c r="M72" s="9"/>
      <c r="N72" s="9"/>
      <c r="O72" s="9"/>
      <c r="P72" s="9"/>
      <c r="Q72" s="9"/>
      <c r="R72" s="9"/>
      <c r="S72" s="9"/>
      <c r="T72" s="9"/>
      <c r="U72" s="9"/>
    </row>
    <row r="73" spans="1:21" x14ac:dyDescent="0.25">
      <c r="H73" s="9"/>
      <c r="I73" s="9"/>
      <c r="J73" s="9"/>
      <c r="K73" s="9"/>
      <c r="L73" s="9"/>
      <c r="M73" s="9"/>
      <c r="N73" s="9"/>
      <c r="O73" s="9"/>
      <c r="P73" s="9"/>
      <c r="Q73" s="9"/>
      <c r="R73" s="9"/>
      <c r="S73" s="9"/>
      <c r="T73" s="9"/>
      <c r="U73" s="9"/>
    </row>
    <row r="74" spans="1:21" x14ac:dyDescent="0.25">
      <c r="H74" s="9"/>
      <c r="I74" s="9"/>
      <c r="J74" s="9"/>
      <c r="K74" s="9"/>
      <c r="L74" s="9"/>
      <c r="M74" s="9"/>
      <c r="N74" s="9"/>
      <c r="O74" s="9"/>
      <c r="P74" s="9"/>
      <c r="Q74" s="9"/>
      <c r="R74" s="9"/>
      <c r="S74" s="9"/>
      <c r="T74" s="9"/>
      <c r="U74" s="9"/>
    </row>
    <row r="75" spans="1:21" x14ac:dyDescent="0.25">
      <c r="H75" s="9"/>
      <c r="I75" s="9"/>
      <c r="J75" s="9"/>
      <c r="K75" s="9"/>
      <c r="L75" s="9"/>
      <c r="M75" s="9"/>
      <c r="N75" s="9"/>
      <c r="O75" s="9"/>
      <c r="P75" s="9"/>
      <c r="Q75" s="9"/>
      <c r="R75" s="9"/>
      <c r="S75" s="9"/>
      <c r="T75" s="9"/>
      <c r="U75" s="9"/>
    </row>
    <row r="76" spans="1:21" x14ac:dyDescent="0.25">
      <c r="H76" s="9"/>
      <c r="I76" s="9"/>
      <c r="J76" s="9"/>
      <c r="K76" s="9"/>
      <c r="L76" s="9"/>
      <c r="M76" s="9"/>
      <c r="N76" s="9"/>
      <c r="O76" s="9"/>
      <c r="P76" s="9"/>
      <c r="Q76" s="9"/>
      <c r="R76" s="9"/>
      <c r="S76" s="9"/>
      <c r="T76" s="9"/>
      <c r="U76" s="9"/>
    </row>
    <row r="77" spans="1:21" x14ac:dyDescent="0.25">
      <c r="H77" s="9"/>
      <c r="I77" s="9"/>
      <c r="J77" s="9"/>
      <c r="K77" s="9"/>
      <c r="L77" s="9"/>
      <c r="M77" s="9"/>
      <c r="N77" s="9"/>
      <c r="O77" s="9"/>
      <c r="P77" s="9"/>
      <c r="Q77" s="9"/>
      <c r="R77" s="9"/>
      <c r="S77" s="9"/>
      <c r="T77" s="9"/>
      <c r="U77" s="9"/>
    </row>
    <row r="78" spans="1:21" x14ac:dyDescent="0.25">
      <c r="H78" s="9"/>
      <c r="I78" s="9"/>
      <c r="J78" s="9"/>
      <c r="K78" s="9"/>
      <c r="L78" s="9"/>
      <c r="M78" s="9"/>
      <c r="N78" s="9"/>
      <c r="O78" s="9"/>
      <c r="P78" s="9"/>
      <c r="Q78" s="9"/>
      <c r="R78" s="9"/>
      <c r="S78" s="9"/>
      <c r="T78" s="9"/>
      <c r="U78" s="9"/>
    </row>
    <row r="79" spans="1:21" x14ac:dyDescent="0.25">
      <c r="H79" s="9"/>
      <c r="I79" s="9"/>
      <c r="J79" s="9"/>
      <c r="K79" s="9"/>
      <c r="L79" s="9"/>
      <c r="M79" s="9"/>
      <c r="N79" s="9"/>
      <c r="O79" s="9"/>
      <c r="P79" s="9"/>
      <c r="Q79" s="9"/>
      <c r="R79" s="9"/>
      <c r="S79" s="9"/>
      <c r="T79" s="9"/>
      <c r="U79" s="9"/>
    </row>
    <row r="80" spans="1:21" x14ac:dyDescent="0.25">
      <c r="H80" s="9"/>
      <c r="I80" s="9"/>
      <c r="J80" s="9"/>
      <c r="K80" s="9"/>
      <c r="L80" s="9"/>
      <c r="M80" s="9"/>
      <c r="N80" s="9"/>
      <c r="O80" s="9"/>
      <c r="P80" s="9"/>
      <c r="Q80" s="9"/>
      <c r="R80" s="9"/>
      <c r="S80" s="9"/>
      <c r="T80" s="9"/>
      <c r="U80" s="9"/>
    </row>
    <row r="81" spans="8:21" x14ac:dyDescent="0.25">
      <c r="H81" s="9"/>
      <c r="I81" s="9"/>
      <c r="J81" s="9"/>
      <c r="K81" s="9"/>
      <c r="L81" s="9"/>
      <c r="M81" s="9"/>
      <c r="N81" s="9"/>
      <c r="O81" s="9"/>
      <c r="P81" s="9"/>
      <c r="Q81" s="9"/>
      <c r="R81" s="9"/>
      <c r="S81" s="9"/>
      <c r="T81" s="9"/>
      <c r="U81" s="9"/>
    </row>
    <row r="82" spans="8:21" x14ac:dyDescent="0.25">
      <c r="H82" s="9"/>
      <c r="I82" s="9"/>
      <c r="J82" s="9"/>
      <c r="K82" s="9"/>
      <c r="L82" s="9"/>
      <c r="M82" s="9"/>
      <c r="N82" s="9"/>
      <c r="O82" s="9"/>
      <c r="P82" s="9"/>
      <c r="Q82" s="9"/>
      <c r="R82" s="9"/>
      <c r="S82" s="9"/>
      <c r="T82" s="9"/>
      <c r="U82" s="9"/>
    </row>
    <row r="83" spans="8:21" x14ac:dyDescent="0.25">
      <c r="H83" s="9"/>
      <c r="I83" s="9"/>
      <c r="J83" s="9"/>
      <c r="K83" s="9"/>
      <c r="L83" s="9"/>
      <c r="M83" s="9"/>
      <c r="N83" s="9"/>
      <c r="O83" s="9"/>
      <c r="P83" s="9"/>
      <c r="Q83" s="9"/>
      <c r="R83" s="9"/>
      <c r="S83" s="9"/>
      <c r="T83" s="9"/>
      <c r="U83" s="9"/>
    </row>
    <row r="84" spans="8:21" x14ac:dyDescent="0.25">
      <c r="H84" s="9"/>
      <c r="I84" s="9"/>
      <c r="J84" s="9"/>
      <c r="K84" s="9"/>
      <c r="L84" s="9"/>
      <c r="M84" s="9"/>
      <c r="N84" s="9"/>
      <c r="O84" s="9"/>
      <c r="P84" s="9"/>
      <c r="Q84" s="9"/>
      <c r="R84" s="9"/>
      <c r="S84" s="9"/>
      <c r="T84" s="9"/>
      <c r="U84" s="9"/>
    </row>
    <row r="85" spans="8:21" x14ac:dyDescent="0.25">
      <c r="H85" s="9"/>
      <c r="I85" s="9"/>
      <c r="J85" s="9"/>
      <c r="K85" s="9"/>
      <c r="L85" s="9"/>
      <c r="M85" s="9"/>
      <c r="N85" s="9"/>
      <c r="O85" s="9"/>
      <c r="P85" s="9"/>
      <c r="Q85" s="9"/>
      <c r="R85" s="9"/>
      <c r="S85" s="9"/>
      <c r="T85" s="9"/>
      <c r="U85" s="9"/>
    </row>
    <row r="86" spans="8:21" x14ac:dyDescent="0.25">
      <c r="H86" s="9"/>
      <c r="I86" s="9"/>
      <c r="J86" s="9"/>
      <c r="K86" s="9"/>
      <c r="L86" s="9"/>
      <c r="M86" s="9"/>
      <c r="N86" s="9"/>
      <c r="O86" s="9"/>
      <c r="P86" s="9"/>
      <c r="Q86" s="9"/>
      <c r="R86" s="9"/>
      <c r="S86" s="9"/>
      <c r="T86" s="9"/>
      <c r="U86" s="9"/>
    </row>
    <row r="87" spans="8:21" x14ac:dyDescent="0.25">
      <c r="H87" s="9"/>
      <c r="I87" s="9"/>
      <c r="J87" s="9"/>
      <c r="K87" s="9"/>
      <c r="L87" s="9"/>
      <c r="M87" s="9"/>
      <c r="N87" s="9"/>
      <c r="O87" s="9"/>
      <c r="P87" s="9"/>
      <c r="Q87" s="9"/>
      <c r="R87" s="9"/>
      <c r="S87" s="9"/>
      <c r="T87" s="9"/>
      <c r="U87" s="9"/>
    </row>
    <row r="88" spans="8:21" x14ac:dyDescent="0.25">
      <c r="H88" s="9"/>
      <c r="I88" s="9"/>
      <c r="J88" s="9"/>
      <c r="K88" s="9"/>
      <c r="L88" s="9"/>
      <c r="M88" s="9"/>
      <c r="N88" s="9"/>
      <c r="O88" s="9"/>
      <c r="P88" s="9"/>
      <c r="Q88" s="9"/>
      <c r="R88" s="9"/>
      <c r="S88" s="9"/>
      <c r="T88" s="9"/>
      <c r="U88" s="9"/>
    </row>
    <row r="89" spans="8:21" x14ac:dyDescent="0.25">
      <c r="H89" s="9"/>
      <c r="I89" s="9"/>
      <c r="J89" s="9"/>
      <c r="K89" s="9"/>
      <c r="L89" s="9"/>
      <c r="M89" s="9"/>
      <c r="N89" s="9"/>
      <c r="O89" s="9"/>
      <c r="P89" s="9"/>
      <c r="Q89" s="9"/>
      <c r="R89" s="9"/>
      <c r="S89" s="9"/>
      <c r="T89" s="9"/>
      <c r="U89" s="9"/>
    </row>
    <row r="90" spans="8:21" x14ac:dyDescent="0.25">
      <c r="H90" s="9"/>
      <c r="I90" s="9"/>
      <c r="J90" s="9"/>
      <c r="K90" s="9"/>
      <c r="L90" s="9"/>
      <c r="M90" s="9"/>
      <c r="N90" s="9"/>
      <c r="O90" s="9"/>
      <c r="P90" s="9"/>
      <c r="Q90" s="9"/>
      <c r="R90" s="9"/>
      <c r="S90" s="9"/>
      <c r="T90" s="9"/>
      <c r="U90" s="9"/>
    </row>
    <row r="91" spans="8:21" x14ac:dyDescent="0.25">
      <c r="H91" s="9"/>
      <c r="I91" s="9"/>
      <c r="J91" s="9"/>
      <c r="K91" s="9"/>
      <c r="L91" s="9"/>
      <c r="M91" s="9"/>
      <c r="N91" s="9"/>
      <c r="O91" s="9"/>
      <c r="P91" s="9"/>
      <c r="Q91" s="9"/>
      <c r="R91" s="9"/>
      <c r="S91" s="9"/>
      <c r="T91" s="9"/>
      <c r="U91" s="9"/>
    </row>
    <row r="92" spans="8:21" x14ac:dyDescent="0.25">
      <c r="H92" s="9"/>
      <c r="I92" s="9"/>
      <c r="J92" s="9"/>
      <c r="K92" s="9"/>
      <c r="L92" s="9"/>
      <c r="M92" s="9"/>
      <c r="N92" s="9"/>
      <c r="O92" s="9"/>
      <c r="P92" s="9"/>
      <c r="Q92" s="9"/>
      <c r="R92" s="9"/>
      <c r="S92" s="9"/>
      <c r="T92" s="9"/>
      <c r="U92" s="9"/>
    </row>
    <row r="93" spans="8:21" x14ac:dyDescent="0.25">
      <c r="H93" s="9"/>
      <c r="I93" s="9"/>
      <c r="J93" s="9"/>
      <c r="K93" s="9"/>
      <c r="L93" s="9"/>
      <c r="M93" s="9"/>
      <c r="N93" s="9"/>
      <c r="O93" s="9"/>
      <c r="P93" s="9"/>
      <c r="Q93" s="9"/>
      <c r="R93" s="9"/>
      <c r="S93" s="9"/>
      <c r="T93" s="9"/>
      <c r="U93" s="9"/>
    </row>
    <row r="94" spans="8:21" x14ac:dyDescent="0.25">
      <c r="H94" s="9"/>
      <c r="I94" s="9"/>
      <c r="J94" s="9"/>
      <c r="K94" s="9"/>
      <c r="L94" s="9"/>
      <c r="M94" s="9"/>
      <c r="N94" s="9"/>
      <c r="O94" s="9"/>
      <c r="P94" s="9"/>
      <c r="Q94" s="9"/>
      <c r="R94" s="9"/>
      <c r="S94" s="9"/>
      <c r="T94" s="9"/>
      <c r="U94" s="9"/>
    </row>
    <row r="95" spans="8:21" x14ac:dyDescent="0.25">
      <c r="H95" s="9"/>
      <c r="I95" s="9"/>
      <c r="J95" s="9"/>
      <c r="K95" s="9"/>
      <c r="L95" s="9"/>
      <c r="M95" s="9"/>
      <c r="N95" s="9"/>
      <c r="O95" s="9"/>
      <c r="P95" s="9"/>
      <c r="Q95" s="9"/>
      <c r="R95" s="9"/>
      <c r="S95" s="9"/>
      <c r="T95" s="9"/>
      <c r="U95" s="9"/>
    </row>
    <row r="96" spans="8:21" x14ac:dyDescent="0.25">
      <c r="H96" s="9"/>
      <c r="I96" s="9"/>
      <c r="J96" s="9"/>
      <c r="K96" s="9"/>
      <c r="L96" s="9"/>
      <c r="M96" s="9"/>
      <c r="N96" s="9"/>
      <c r="O96" s="9"/>
      <c r="P96" s="9"/>
      <c r="Q96" s="9"/>
      <c r="R96" s="9"/>
      <c r="S96" s="9"/>
      <c r="T96" s="9"/>
      <c r="U96" s="9"/>
    </row>
    <row r="97" spans="8:21" x14ac:dyDescent="0.25">
      <c r="H97" s="9"/>
      <c r="I97" s="9"/>
      <c r="J97" s="9"/>
      <c r="K97" s="9"/>
      <c r="L97" s="9"/>
      <c r="M97" s="9"/>
      <c r="N97" s="9"/>
      <c r="O97" s="9"/>
      <c r="P97" s="9"/>
      <c r="Q97" s="9"/>
      <c r="R97" s="9"/>
      <c r="S97" s="9"/>
      <c r="T97" s="9"/>
      <c r="U97" s="9"/>
    </row>
    <row r="98" spans="8:21" x14ac:dyDescent="0.25">
      <c r="H98" s="9"/>
      <c r="I98" s="9"/>
      <c r="J98" s="9"/>
      <c r="K98" s="9"/>
      <c r="L98" s="9"/>
      <c r="M98" s="9"/>
      <c r="N98" s="9"/>
      <c r="O98" s="9"/>
      <c r="P98" s="9"/>
      <c r="Q98" s="9"/>
      <c r="R98" s="9"/>
      <c r="S98" s="9"/>
      <c r="T98" s="9"/>
      <c r="U98" s="9"/>
    </row>
    <row r="99" spans="8:21" x14ac:dyDescent="0.25">
      <c r="H99" s="9"/>
      <c r="I99" s="9"/>
      <c r="J99" s="9"/>
      <c r="K99" s="9"/>
      <c r="L99" s="9"/>
      <c r="M99" s="9"/>
      <c r="N99" s="9"/>
      <c r="O99" s="9"/>
      <c r="P99" s="9"/>
      <c r="Q99" s="9"/>
      <c r="R99" s="9"/>
      <c r="S99" s="9"/>
      <c r="T99" s="9"/>
      <c r="U99" s="9"/>
    </row>
    <row r="100" spans="8:21" x14ac:dyDescent="0.25">
      <c r="H100" s="9"/>
      <c r="I100" s="9"/>
      <c r="J100" s="9"/>
      <c r="K100" s="9"/>
      <c r="L100" s="9"/>
      <c r="M100" s="9"/>
      <c r="N100" s="9"/>
      <c r="O100" s="9"/>
      <c r="P100" s="9"/>
      <c r="Q100" s="9"/>
      <c r="R100" s="9"/>
      <c r="S100" s="9"/>
      <c r="T100" s="9"/>
      <c r="U100" s="9"/>
    </row>
    <row r="101" spans="8:21" x14ac:dyDescent="0.25">
      <c r="H101" s="9"/>
      <c r="I101" s="9"/>
      <c r="J101" s="9"/>
      <c r="K101" s="9"/>
      <c r="L101" s="9"/>
      <c r="M101" s="9"/>
      <c r="N101" s="9"/>
      <c r="O101" s="9"/>
      <c r="P101" s="9"/>
      <c r="Q101" s="9"/>
      <c r="R101" s="9"/>
      <c r="S101" s="9"/>
      <c r="T101" s="9"/>
      <c r="U101" s="9"/>
    </row>
    <row r="102" spans="8:21" x14ac:dyDescent="0.25">
      <c r="H102" s="9"/>
      <c r="I102" s="9"/>
      <c r="J102" s="9"/>
      <c r="K102" s="9"/>
      <c r="L102" s="9"/>
      <c r="M102" s="9"/>
      <c r="N102" s="9"/>
      <c r="O102" s="9"/>
      <c r="P102" s="9"/>
      <c r="Q102" s="9"/>
      <c r="R102" s="9"/>
      <c r="S102" s="9"/>
      <c r="T102" s="9"/>
      <c r="U102" s="9"/>
    </row>
    <row r="103" spans="8:21" x14ac:dyDescent="0.25">
      <c r="H103" s="9"/>
      <c r="I103" s="9"/>
      <c r="J103" s="9"/>
      <c r="K103" s="9"/>
      <c r="L103" s="9"/>
      <c r="M103" s="9"/>
      <c r="N103" s="9"/>
      <c r="O103" s="9"/>
      <c r="P103" s="9"/>
      <c r="Q103" s="9"/>
      <c r="R103" s="9"/>
      <c r="S103" s="9"/>
      <c r="T103" s="9"/>
      <c r="U103" s="9"/>
    </row>
    <row r="104" spans="8:21" x14ac:dyDescent="0.25">
      <c r="H104" s="9"/>
      <c r="I104" s="9"/>
      <c r="J104" s="9"/>
      <c r="K104" s="9"/>
      <c r="L104" s="9"/>
      <c r="M104" s="9"/>
      <c r="N104" s="9"/>
      <c r="O104" s="9"/>
      <c r="P104" s="9"/>
      <c r="Q104" s="9"/>
      <c r="R104" s="9"/>
      <c r="S104" s="9"/>
      <c r="T104" s="9"/>
      <c r="U104" s="9"/>
    </row>
    <row r="105" spans="8:21" x14ac:dyDescent="0.25">
      <c r="H105" s="9"/>
      <c r="I105" s="9"/>
      <c r="J105" s="9"/>
      <c r="K105" s="9"/>
      <c r="L105" s="9"/>
      <c r="M105" s="9"/>
      <c r="N105" s="9"/>
      <c r="O105" s="9"/>
      <c r="P105" s="9"/>
      <c r="Q105" s="9"/>
      <c r="R105" s="9"/>
      <c r="S105" s="9"/>
      <c r="T105" s="9"/>
      <c r="U105" s="9"/>
    </row>
    <row r="106" spans="8:21" x14ac:dyDescent="0.25">
      <c r="H106" s="9"/>
      <c r="I106" s="9"/>
      <c r="J106" s="9"/>
      <c r="K106" s="9"/>
      <c r="L106" s="9"/>
      <c r="M106" s="9"/>
      <c r="N106" s="9"/>
      <c r="O106" s="9"/>
      <c r="P106" s="9"/>
      <c r="Q106" s="9"/>
      <c r="R106" s="9"/>
      <c r="S106" s="9"/>
      <c r="T106" s="9"/>
      <c r="U106" s="9"/>
    </row>
    <row r="107" spans="8:21" x14ac:dyDescent="0.25">
      <c r="H107" s="9"/>
      <c r="I107" s="9"/>
      <c r="J107" s="9"/>
      <c r="K107" s="9"/>
      <c r="L107" s="9"/>
      <c r="M107" s="9"/>
      <c r="N107" s="9"/>
      <c r="O107" s="9"/>
      <c r="P107" s="9"/>
      <c r="Q107" s="9"/>
      <c r="R107" s="9"/>
      <c r="S107" s="9"/>
      <c r="T107" s="9"/>
      <c r="U107" s="9"/>
    </row>
    <row r="108" spans="8:21" x14ac:dyDescent="0.25">
      <c r="H108" s="9"/>
      <c r="I108" s="9"/>
      <c r="J108" s="9"/>
      <c r="K108" s="9"/>
      <c r="L108" s="9"/>
      <c r="M108" s="9"/>
      <c r="N108" s="9"/>
      <c r="O108" s="9"/>
      <c r="P108" s="9"/>
      <c r="Q108" s="9"/>
      <c r="R108" s="9"/>
      <c r="S108" s="9"/>
      <c r="T108" s="9"/>
      <c r="U108" s="9"/>
    </row>
    <row r="109" spans="8:21" x14ac:dyDescent="0.25">
      <c r="H109" s="9"/>
      <c r="I109" s="9"/>
      <c r="J109" s="9"/>
      <c r="K109" s="9"/>
      <c r="L109" s="9"/>
      <c r="M109" s="9"/>
      <c r="N109" s="9"/>
      <c r="O109" s="9"/>
      <c r="P109" s="9"/>
      <c r="Q109" s="9"/>
      <c r="R109" s="9"/>
      <c r="S109" s="9"/>
      <c r="T109" s="9"/>
      <c r="U109" s="9"/>
    </row>
    <row r="110" spans="8:21" x14ac:dyDescent="0.25">
      <c r="H110" s="9"/>
      <c r="I110" s="9"/>
      <c r="J110" s="9"/>
      <c r="K110" s="9"/>
      <c r="L110" s="9"/>
      <c r="M110" s="9"/>
      <c r="N110" s="9"/>
      <c r="O110" s="9"/>
      <c r="P110" s="9"/>
      <c r="Q110" s="9"/>
      <c r="R110" s="9"/>
      <c r="S110" s="9"/>
      <c r="T110" s="9"/>
      <c r="U110" s="9"/>
    </row>
    <row r="111" spans="8:21" x14ac:dyDescent="0.25">
      <c r="H111" s="9"/>
      <c r="I111" s="9"/>
      <c r="J111" s="9"/>
      <c r="K111" s="9"/>
      <c r="L111" s="9"/>
      <c r="M111" s="9"/>
      <c r="N111" s="9"/>
      <c r="O111" s="9"/>
      <c r="P111" s="9"/>
      <c r="Q111" s="9"/>
      <c r="R111" s="9"/>
      <c r="S111" s="9"/>
      <c r="T111" s="9"/>
      <c r="U111" s="9"/>
    </row>
    <row r="112" spans="8:21" x14ac:dyDescent="0.25">
      <c r="H112" s="9"/>
      <c r="I112" s="9"/>
      <c r="J112" s="9"/>
      <c r="K112" s="9"/>
      <c r="L112" s="9"/>
      <c r="M112" s="9"/>
      <c r="N112" s="9"/>
      <c r="O112" s="9"/>
      <c r="P112" s="9"/>
      <c r="Q112" s="9"/>
      <c r="R112" s="9"/>
      <c r="S112" s="9"/>
      <c r="T112" s="9"/>
      <c r="U112" s="9"/>
    </row>
    <row r="113" spans="8:21" x14ac:dyDescent="0.25">
      <c r="H113" s="9"/>
      <c r="I113" s="9"/>
      <c r="J113" s="9"/>
      <c r="K113" s="9"/>
      <c r="L113" s="9"/>
      <c r="M113" s="9"/>
      <c r="N113" s="9"/>
      <c r="O113" s="9"/>
      <c r="P113" s="9"/>
      <c r="Q113" s="9"/>
      <c r="R113" s="9"/>
      <c r="S113" s="9"/>
      <c r="T113" s="9"/>
      <c r="U113" s="9"/>
    </row>
    <row r="114" spans="8:21" x14ac:dyDescent="0.25">
      <c r="H114" s="9"/>
      <c r="I114" s="9"/>
      <c r="J114" s="9"/>
      <c r="K114" s="9"/>
      <c r="L114" s="9"/>
      <c r="M114" s="9"/>
      <c r="N114" s="9"/>
      <c r="O114" s="9"/>
      <c r="P114" s="9"/>
      <c r="Q114" s="9"/>
      <c r="R114" s="9"/>
      <c r="S114" s="9"/>
      <c r="T114" s="9"/>
      <c r="U114" s="9"/>
    </row>
    <row r="115" spans="8:21" x14ac:dyDescent="0.25">
      <c r="H115" s="9"/>
    </row>
    <row r="116" spans="8:21" x14ac:dyDescent="0.25">
      <c r="H116" s="9"/>
    </row>
    <row r="117" spans="8:21" x14ac:dyDescent="0.25">
      <c r="H117" s="9"/>
    </row>
  </sheetData>
  <mergeCells count="21">
    <mergeCell ref="B58:G59"/>
    <mergeCell ref="B61:G62"/>
    <mergeCell ref="B64:G66"/>
    <mergeCell ref="B30:G35"/>
    <mergeCell ref="B37:G38"/>
    <mergeCell ref="B40:G43"/>
    <mergeCell ref="B45:G50"/>
    <mergeCell ref="B51:G52"/>
    <mergeCell ref="B55:G56"/>
    <mergeCell ref="H4:H5"/>
    <mergeCell ref="K5:L5"/>
    <mergeCell ref="K20:L20"/>
    <mergeCell ref="M20:N20"/>
    <mergeCell ref="K25:L25"/>
    <mergeCell ref="M25:N25"/>
    <mergeCell ref="G4:G5"/>
    <mergeCell ref="B4:B5"/>
    <mergeCell ref="C4:C5"/>
    <mergeCell ref="D4:D5"/>
    <mergeCell ref="E4:E5"/>
    <mergeCell ref="F4:F5"/>
  </mergeCells>
  <pageMargins left="0.25" right="0.25" top="0.75" bottom="0.75" header="0.3" footer="0.3"/>
  <pageSetup scale="4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16</vt:i4>
      </vt:variant>
    </vt:vector>
  </HeadingPairs>
  <TitlesOfParts>
    <vt:vector size="38" baseType="lpstr">
      <vt:lpstr>Assumptions</vt:lpstr>
      <vt:lpstr>BCA Summary</vt:lpstr>
      <vt:lpstr>Safety Benefits - Rumble Strip</vt:lpstr>
      <vt:lpstr>Safety Benefits - Shoulder</vt:lpstr>
      <vt:lpstr>TT-Detour-Truck</vt:lpstr>
      <vt:lpstr>VOC-Detour-Truck</vt:lpstr>
      <vt:lpstr>TT-Detour-Car_A</vt:lpstr>
      <vt:lpstr>VOC-Detour-Car_A</vt:lpstr>
      <vt:lpstr>TT-Detour-Car_B</vt:lpstr>
      <vt:lpstr>VOC-Detour-Car_B</vt:lpstr>
      <vt:lpstr>VOC-Roughness-1</vt:lpstr>
      <vt:lpstr>VOC-Roughness-2</vt:lpstr>
      <vt:lpstr>Air Quality</vt:lpstr>
      <vt:lpstr>Operation &amp; Maintenance</vt:lpstr>
      <vt:lpstr>Capital Costs &amp; RCV Calc</vt:lpstr>
      <vt:lpstr>TT-Construction</vt:lpstr>
      <vt:lpstr>SD Data Needs Book</vt:lpstr>
      <vt:lpstr>Pavement Data</vt:lpstr>
      <vt:lpstr>Bridge Data</vt:lpstr>
      <vt:lpstr>O&amp;M Costs</vt:lpstr>
      <vt:lpstr>05U5 - Costs</vt:lpstr>
      <vt:lpstr>05HW - Costs</vt:lpstr>
      <vt:lpstr>'Air Quality'!Print_Area</vt:lpstr>
      <vt:lpstr>Assumptions!Print_Area</vt:lpstr>
      <vt:lpstr>'BCA Summary'!Print_Area</vt:lpstr>
      <vt:lpstr>'Capital Costs &amp; RCV Calc'!Print_Area</vt:lpstr>
      <vt:lpstr>'Operation &amp; Maintenance'!Print_Area</vt:lpstr>
      <vt:lpstr>'Safety Benefits - Rumble Strip'!Print_Area</vt:lpstr>
      <vt:lpstr>'Safety Benefits - Shoulder'!Print_Area</vt:lpstr>
      <vt:lpstr>'TT-Construction'!Print_Area</vt:lpstr>
      <vt:lpstr>'TT-Detour-Car_A'!Print_Area</vt:lpstr>
      <vt:lpstr>'TT-Detour-Car_B'!Print_Area</vt:lpstr>
      <vt:lpstr>'TT-Detour-Truck'!Print_Area</vt:lpstr>
      <vt:lpstr>'VOC-Detour-Car_A'!Print_Area</vt:lpstr>
      <vt:lpstr>'VOC-Detour-Car_B'!Print_Area</vt:lpstr>
      <vt:lpstr>'VOC-Detour-Truck'!Print_Area</vt:lpstr>
      <vt:lpstr>'VOC-Roughness-1'!Print_Area</vt:lpstr>
      <vt:lpstr>'VOC-Roughness-2'!Print_Area</vt:lpstr>
    </vt:vector>
  </TitlesOfParts>
  <Company>SRF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Loos</dc:creator>
  <cp:lastModifiedBy>Matt Flanagan</cp:lastModifiedBy>
  <cp:lastPrinted>2021-03-18T03:59:08Z</cp:lastPrinted>
  <dcterms:created xsi:type="dcterms:W3CDTF">2013-05-17T20:57:43Z</dcterms:created>
  <dcterms:modified xsi:type="dcterms:W3CDTF">2022-05-17T15:35:20Z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am_Crash_Cost" linkTarget="Prop_Dam_Crash_Cost">
    <vt:r8>0</vt:r8>
  </property>
</Properties>
</file>