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K:\Trans\Grant Applications\2022 Grants\MPDG\Nebraska DOT I-80\BCA\"/>
    </mc:Choice>
  </mc:AlternateContent>
  <xr:revisionPtr revIDLastSave="0" documentId="13_ncr:1_{D5B83C05-AB7F-47DE-AA34-FC23A4362AFF}" xr6:coauthVersionLast="47" xr6:coauthVersionMax="47" xr10:uidLastSave="{00000000-0000-0000-0000-000000000000}"/>
  <bookViews>
    <workbookView xWindow="-120" yWindow="-120" windowWidth="29040" windowHeight="15990" tabRatio="927" activeTab="1" xr2:uid="{00000000-000D-0000-FFFF-FFFF00000000}"/>
  </bookViews>
  <sheets>
    <sheet name="Assumptions" sheetId="28" r:id="rId1"/>
    <sheet name="BCA Summary " sheetId="46" r:id="rId2"/>
    <sheet name="TT-Detour-Truck" sheetId="60" r:id="rId3"/>
    <sheet name="VOC-Detour-Truck" sheetId="61" r:id="rId4"/>
    <sheet name="TT-Detour-Car" sheetId="62" r:id="rId5"/>
    <sheet name="VOC-Detour-Car" sheetId="63" r:id="rId6"/>
    <sheet name="TT - Construction" sheetId="66" r:id="rId7"/>
    <sheet name="Safety -  I-80 Mainline" sheetId="30" r:id="rId8"/>
    <sheet name="Air Quality" sheetId="64" r:id="rId9"/>
    <sheet name="Safety - N-103 Interchange" sheetId="59" r:id="rId10"/>
    <sheet name="Safety US 6 (I-80 Alt)" sheetId="67" r:id="rId11"/>
    <sheet name="Capital Cost and RCV" sheetId="42" r:id="rId12"/>
    <sheet name="Operating and Maintenance Costs" sheetId="74" r:id="rId13"/>
    <sheet name="AADT Data" sheetId="65" r:id="rId14"/>
    <sheet name="I-80 Mainline Crash Data_17-19" sheetId="72" r:id="rId15"/>
    <sheet name="US 6 Crash &amp; AADT Data" sheetId="73"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 localSheetId="6">#REF!</definedName>
    <definedName name="\A">#REF!</definedName>
    <definedName name="\B" localSheetId="6">#REF!</definedName>
    <definedName name="\B">#REF!</definedName>
    <definedName name="\p" localSheetId="6">#REF!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ftnref1" localSheetId="2">'TT-Detour-Truck'!$B$55</definedName>
    <definedName name="_Key1" localSheetId="6" hidden="1">'[2]Journal Entry'!#REF!</definedName>
    <definedName name="_Key1" hidden="1">'[2]Journal Entry'!#REF!</definedName>
    <definedName name="_Key2" localSheetId="6" hidden="1">'[2]Journal Entry'!#REF!</definedName>
    <definedName name="_Key2" hidden="1">'[2]Journal Entry'!#REF!</definedName>
    <definedName name="_Order1" hidden="1">255</definedName>
    <definedName name="_Order2" hidden="1">255</definedName>
    <definedName name="_ppp1" localSheetId="6">#REF!</definedName>
    <definedName name="_ppp1">#REF!</definedName>
    <definedName name="_ppp2" localSheetId="6">#REF!</definedName>
    <definedName name="_ppp2">#REF!</definedName>
    <definedName name="_ppp3" localSheetId="6">#REF!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6">#REF!</definedName>
    <definedName name="ABBREV_DATE">#REF!</definedName>
    <definedName name="Adds" localSheetId="6">#REF!</definedName>
    <definedName name="Adds">#REF!</definedName>
    <definedName name="AnalysisPeriod">Assumptions!$K$39</definedName>
    <definedName name="ASSIGN" localSheetId="6">#REF!</definedName>
    <definedName name="ASSIGN">#REF!</definedName>
    <definedName name="AutoCost">Assumptions!$K$66</definedName>
    <definedName name="B_4" localSheetId="6">#REF!</definedName>
    <definedName name="B_4">#REF!</definedName>
    <definedName name="B_5" localSheetId="6">#REF!</definedName>
    <definedName name="B_5">#REF!</definedName>
    <definedName name="BCAnalysisPeriod" localSheetId="8">[4]Assumptions!#REF!</definedName>
    <definedName name="BCAnalysisPeriod" localSheetId="11">[5]Assumptions!#REF!</definedName>
    <definedName name="BCAnalysisPeriod" localSheetId="9">[6]Assumptions!#REF!</definedName>
    <definedName name="BCAnalysisPeriod" localSheetId="6">[7]Assumptions!#REF!</definedName>
    <definedName name="BCAnalysisPeriod">Assumptions!#REF!</definedName>
    <definedName name="BEGINNING" localSheetId="6">#REF!</definedName>
    <definedName name="BEGINNING">#REF!</definedName>
    <definedName name="BEx3O85IKWARA6NCJOLRBRJFMEWW" hidden="1">'[8]Q2 09 Rail BS Leads'!#REF!</definedName>
    <definedName name="BEx5MLQZM68YQSKARVWTTPINFQ2C" hidden="1">'[8]Q2 09 Rail BS Leads'!#REF!</definedName>
    <definedName name="BExERWCEBKQRYWRQLYJ4UCMMKTHG" hidden="1">'[8]Q2 09 Rail BS Leads'!#REF!</definedName>
    <definedName name="BExMBYPQDG9AYDQ5E8IECVFREPO6" hidden="1">'[8]Q2 09 Rail BS Leads'!#REF!</definedName>
    <definedName name="BExQ9ZLYHWABXAA9NJDW8ZS0UQ9P" hidden="1">'[8]Q2 09 Rail BS Leads'!#REF!</definedName>
    <definedName name="BExTUY9WNSJ91GV8CP0SKJTEIV82" hidden="1">'[8]Q2 09 Rail BS Leads'!#REF!</definedName>
    <definedName name="BS_98" localSheetId="6">#REF!</definedName>
    <definedName name="BS_98">#REF!</definedName>
    <definedName name="BS_99" localSheetId="6">#REF!</definedName>
    <definedName name="BS_99">#REF!</definedName>
    <definedName name="BS_SUM_25MO" localSheetId="6">#REF!</definedName>
    <definedName name="BS_SUM_25MO">#REF!</definedName>
    <definedName name="BS_SUM_98">#REF!</definedName>
    <definedName name="BS_SUM_99">#REF!</definedName>
    <definedName name="CBS">#REF!</definedName>
    <definedName name="COLE">#REF!</definedName>
    <definedName name="CompositeCost">Assumptions!$K$68</definedName>
    <definedName name="_xlnm.Criteria" localSheetId="6">#REF!</definedName>
    <definedName name="_xlnm.Criteria">#REF!</definedName>
    <definedName name="CURRENT_DATE" localSheetId="6">#REF!</definedName>
    <definedName name="CURRENT_DATE">#REF!</definedName>
    <definedName name="DATA" localSheetId="6">#REF!</definedName>
    <definedName name="DATA">#REF!</definedName>
    <definedName name="_xlnm.Database">#REF!</definedName>
    <definedName name="Daysinyr">Assumptions!$K$62</definedName>
    <definedName name="DecComICC" localSheetId="6">#REF!</definedName>
    <definedName name="DecComICC">#REF!</definedName>
    <definedName name="DecComInstall" localSheetId="6">#REF!</definedName>
    <definedName name="DecComInstall">#REF!</definedName>
    <definedName name="Detail" localSheetId="6">#REF!</definedName>
    <definedName name="Detail">#REF!</definedName>
    <definedName name="DISC_RATE">[3]Assumptions!$C$5</definedName>
    <definedName name="DiscountRate">Assumptions!$K$63</definedName>
    <definedName name="ENDING" localSheetId="6">#REF!</definedName>
    <definedName name="ENDING">#REF!</definedName>
    <definedName name="EndYear">Assumptions!$K$42</definedName>
    <definedName name="EPR" localSheetId="6">#REF!</definedName>
    <definedName name="EPR">#REF!</definedName>
    <definedName name="_xlnm.Extract" localSheetId="6">#REF!</definedName>
    <definedName name="_xlnm.Extract">#REF!</definedName>
    <definedName name="formula" localSheetId="6">#REF!</definedName>
    <definedName name="formula">#REF!</definedName>
    <definedName name="furbase">#REF!</definedName>
    <definedName name="FURN">#REF!</definedName>
    <definedName name="furnish">#REF!</definedName>
    <definedName name="furnmat">#REF!</definedName>
    <definedName name="GENERAL">#REF!</definedName>
    <definedName name="ICCConv">'[9]ICC Conversion'!$A$1:$B$191</definedName>
    <definedName name="IMPORT" localSheetId="6">#REF!</definedName>
    <definedName name="IMPORT">#REF!</definedName>
    <definedName name="infor" localSheetId="6">#REF!</definedName>
    <definedName name="infor">#REF!</definedName>
    <definedName name="item" localSheetId="6">#REF!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eakLngthE">Assumptions!$K$16</definedName>
    <definedName name="PercentAutoW">Assumptions!$L$46</definedName>
    <definedName name="PercentAutoWO">Assumptions!$K$46</definedName>
    <definedName name="PercentTrucksW">Assumptions!$L$48</definedName>
    <definedName name="PercentTrucksWO">Assumptions!$K$48</definedName>
    <definedName name="PercTruckW">Assumptions!$L$48</definedName>
    <definedName name="PerTruckE">Assumptions!$K$48</definedName>
    <definedName name="PerTruckN">Assumptions!$L$48</definedName>
    <definedName name="PISNU" localSheetId="6">#REF!</definedName>
    <definedName name="PISNU">#REF!</definedName>
    <definedName name="ppp" localSheetId="6">#REF!</definedName>
    <definedName name="ppp">#REF!</definedName>
    <definedName name="price" localSheetId="6">#REF!</definedName>
    <definedName name="price">#REF!</definedName>
    <definedName name="PRINT_ALL">#REF!</definedName>
    <definedName name="_xlnm.Print_Area" localSheetId="8">'Air Quality'!$A$1:$AF$60</definedName>
    <definedName name="_xlnm.Print_Area" localSheetId="0">Assumptions!$B$2:$J$51</definedName>
    <definedName name="_xlnm.Print_Area" localSheetId="1">'BCA Summary '!$A$2:$R$122</definedName>
    <definedName name="_xlnm.Print_Area" localSheetId="11">'Capital Cost and RCV'!$A$2:$L$67</definedName>
    <definedName name="_xlnm.Print_Area" localSheetId="7">'Safety -  I-80 Mainline'!$A$2:$O$94</definedName>
    <definedName name="_xlnm.Print_Area" localSheetId="9">'Safety - N-103 Interchange'!$A$2:$P$75</definedName>
    <definedName name="_xlnm.Print_Area" localSheetId="10">'Safety US 6 (I-80 Alt)'!$A$2:$N$66</definedName>
    <definedName name="_xlnm.Print_Area" localSheetId="6">'TT - Construction'!$A$2:$P$68</definedName>
    <definedName name="_xlnm.Print_Area" localSheetId="4">'TT-Detour-Car'!$A$2:$Q$53</definedName>
    <definedName name="_xlnm.Print_Area" localSheetId="2">'TT-Detour-Truck'!$A$2:$O$53</definedName>
    <definedName name="_xlnm.Print_Area" localSheetId="5">'VOC-Detour-Car'!$A$2:$P$53</definedName>
    <definedName name="_xlnm.Print_Area" localSheetId="3">'VOC-Detour-Truck'!$A$2:$P$53</definedName>
    <definedName name="_xlnm.Print_Area">#REF!</definedName>
    <definedName name="PRINT_AREA_MI" localSheetId="6">#REF!</definedName>
    <definedName name="PRINT_AREA_MI">#REF!</definedName>
    <definedName name="PRINT_CF_9899" localSheetId="6">#REF!</definedName>
    <definedName name="PRINT_CF_9899">#REF!</definedName>
    <definedName name="PRINT_DIFF">#REF!</definedName>
    <definedName name="_xlnm.Print_Titles">#N/A</definedName>
    <definedName name="Print_Titles_MI">'[10]PA Run Off'!$A$1:$IV$10,'[10]PA Run Off'!$A$1:$A$16384</definedName>
    <definedName name="ProjLoc">Assumptions!$L$13</definedName>
    <definedName name="Projlocation">Assumptions!$I$14</definedName>
    <definedName name="ProjName">Assumptions!$I$6</definedName>
    <definedName name="PRT_12_PAGE_25M" localSheetId="6">#REF!</definedName>
    <definedName name="PRT_12_PAGE_25M">#REF!</definedName>
    <definedName name="PRT_98_WCRECON" localSheetId="6">#REF!</definedName>
    <definedName name="PRT_98_WCRECON">#REF!</definedName>
    <definedName name="PRT_99_WCRECON" localSheetId="6">#REF!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[11]LocoRate!$L$2:$P$4</definedName>
    <definedName name="Rates">'[12]Rate file'!$A$6:$F$1250</definedName>
    <definedName name="RETIREMENTS" localSheetId="6">#REF!</definedName>
    <definedName name="RETIREMENTS">#REF!</definedName>
    <definedName name="Retires" localSheetId="6">#REF!</definedName>
    <definedName name="Retires">#REF!</definedName>
    <definedName name="ROSNU" localSheetId="6">#REF!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olver_typ" localSheetId="11" hidden="1">2</definedName>
    <definedName name="solver_ver" localSheetId="11" hidden="1">17</definedName>
    <definedName name="Spanner_Auto_File">"T:\139407\NDM\ROR\DRAWING\des_road.x2a"</definedName>
    <definedName name="Spanner_Auto_Select">#REF!</definedName>
    <definedName name="SRFProjectNum">Assumptions!$I$5</definedName>
    <definedName name="StartYear" localSheetId="6">[7]Assumptions!#REF!</definedName>
    <definedName name="StartYear">Assumptions!#REF!</definedName>
    <definedName name="SUB7L" localSheetId="6">#REF!</definedName>
    <definedName name="SUB7L">#REF!</definedName>
    <definedName name="supp" localSheetId="6">#REF!</definedName>
    <definedName name="supp">#REF!</definedName>
    <definedName name="suppbase" localSheetId="6">#REF!</definedName>
    <definedName name="suppbase">#REF!</definedName>
    <definedName name="SUPPL">#REF!</definedName>
    <definedName name="supplem">#REF!</definedName>
    <definedName name="TAccReductPer">Assumptions!$K$67</definedName>
    <definedName name="TAptFW">Assumptions!$K$62</definedName>
    <definedName name="TITLE" localSheetId="6">#REF!</definedName>
    <definedName name="TITLE">#REF!</definedName>
    <definedName name="TOTAL" localSheetId="6">#REF!</definedName>
    <definedName name="TOTAL">#REF!</definedName>
    <definedName name="TPerHwy">Assumptions!$K$63</definedName>
    <definedName name="TruckCost" localSheetId="8">[4]Assumptions!#REF!</definedName>
    <definedName name="TruckCost" localSheetId="11">[5]Assumptions!#REF!</definedName>
    <definedName name="TruckCost" localSheetId="9">[6]Assumptions!#REF!</definedName>
    <definedName name="TruckCost" localSheetId="6">[7]Assumptions!#REF!</definedName>
    <definedName name="TruckCost">Assumptions!#REF!</definedName>
    <definedName name="TruckSpeed">Assumptions!$K$49</definedName>
    <definedName name="TVehMiBW">Assumptions!$L$64</definedName>
    <definedName name="TVehMiFW">Assumptions!$L$65</definedName>
    <definedName name="UPDATE" localSheetId="6">#REF!</definedName>
    <definedName name="UPDATE">#REF!</definedName>
    <definedName name="VEH_OCC">[3]Assumptions!$C$6</definedName>
    <definedName name="Version" localSheetId="6">#REF!</definedName>
    <definedName name="Version">#REF!</definedName>
    <definedName name="x" localSheetId="6">[6]Assumptions!#REF!</definedName>
    <definedName name="x">[6]Assumptions!#REF!</definedName>
    <definedName name="xx">#REF!</definedName>
    <definedName name="yrofanalysis" localSheetId="8">Assumptions!#REF!</definedName>
    <definedName name="yrofanalysis" localSheetId="9">Assumptions!#REF!</definedName>
    <definedName name="yrofanalysis" localSheetId="6">[7]Assumptions!#REF!</definedName>
    <definedName name="yrofanalysis">Assumptions!#REF!</definedName>
    <definedName name="yrofcurrentdollars" localSheetId="8">Assumptions!#REF!</definedName>
    <definedName name="yrofcurrentdollars" localSheetId="9">Assumptions!#REF!</definedName>
    <definedName name="yrofcurrentdollars" localSheetId="6">[7]Assumptions!#REF!</definedName>
    <definedName name="yrofcurrentdollars">Assumptions!#REF!</definedName>
    <definedName name="YTD" localSheetId="6">#REF!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4" i="46" l="1"/>
  <c r="B21" i="46"/>
  <c r="B53" i="74"/>
  <c r="C53" i="74"/>
  <c r="D53" i="74"/>
  <c r="E53" i="74"/>
  <c r="F53" i="74"/>
  <c r="B54" i="74"/>
  <c r="C54" i="74"/>
  <c r="D54" i="74"/>
  <c r="E54" i="74"/>
  <c r="F54" i="74"/>
  <c r="B55" i="74"/>
  <c r="C55" i="74"/>
  <c r="D55" i="74"/>
  <c r="E55" i="74"/>
  <c r="F55" i="74"/>
  <c r="F40" i="42"/>
  <c r="F39" i="42"/>
  <c r="E40" i="42"/>
  <c r="F38" i="42"/>
  <c r="F37" i="42"/>
  <c r="F36"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9" i="42"/>
  <c r="F8" i="42"/>
  <c r="F7" i="42"/>
  <c r="F6" i="42"/>
  <c r="K43" i="74"/>
  <c r="B22" i="46" l="1"/>
  <c r="O21" i="46"/>
  <c r="N21" i="46"/>
  <c r="M21" i="46"/>
  <c r="L21" i="46"/>
  <c r="K21" i="46"/>
  <c r="J21" i="46"/>
  <c r="I21" i="46"/>
  <c r="H21" i="46"/>
  <c r="G21" i="46"/>
  <c r="F21" i="46"/>
  <c r="E21" i="46"/>
  <c r="D21" i="46"/>
  <c r="C21" i="46"/>
  <c r="D32" i="66"/>
  <c r="C32" i="66"/>
  <c r="B35" i="66"/>
  <c r="E35" i="66"/>
  <c r="F35" i="66"/>
  <c r="G35" i="66"/>
  <c r="H35" i="66" s="1"/>
  <c r="B36" i="66"/>
  <c r="E36" i="66"/>
  <c r="G36" i="66" s="1"/>
  <c r="H36" i="66" s="1"/>
  <c r="F36" i="66"/>
  <c r="B37" i="66"/>
  <c r="E37" i="66"/>
  <c r="G37" i="66" s="1"/>
  <c r="H37" i="66" s="1"/>
  <c r="F37" i="66"/>
  <c r="B38" i="66"/>
  <c r="B39" i="66" s="1"/>
  <c r="B40" i="66" s="1"/>
  <c r="B41" i="66" s="1"/>
  <c r="E38" i="66"/>
  <c r="F38" i="66"/>
  <c r="G38" i="66"/>
  <c r="H38" i="66"/>
  <c r="E39" i="66"/>
  <c r="F39" i="66"/>
  <c r="G39" i="66"/>
  <c r="E40" i="66"/>
  <c r="G40" i="66" s="1"/>
  <c r="H40" i="66" s="1"/>
  <c r="F40" i="66"/>
  <c r="E41" i="66"/>
  <c r="G41" i="66" s="1"/>
  <c r="F41" i="66"/>
  <c r="Q21" i="46" l="1"/>
  <c r="P21" i="46"/>
  <c r="B23" i="46"/>
  <c r="O22" i="46"/>
  <c r="N22" i="46"/>
  <c r="M22" i="46"/>
  <c r="L22" i="46"/>
  <c r="K22" i="46"/>
  <c r="J22" i="46"/>
  <c r="I22" i="46"/>
  <c r="H22" i="46"/>
  <c r="G22" i="46"/>
  <c r="F22" i="46"/>
  <c r="E22" i="46"/>
  <c r="D22" i="46"/>
  <c r="C22" i="46"/>
  <c r="H39" i="66"/>
  <c r="H41" i="66"/>
  <c r="K39" i="74"/>
  <c r="J18" i="74" s="1"/>
  <c r="K38" i="74"/>
  <c r="J17" i="74" s="1"/>
  <c r="K37" i="74"/>
  <c r="J16" i="74" s="1"/>
  <c r="K36" i="74"/>
  <c r="J15" i="74" s="1"/>
  <c r="K35" i="74"/>
  <c r="J14" i="74" s="1"/>
  <c r="K34" i="74"/>
  <c r="J13" i="74" s="1"/>
  <c r="K33" i="74"/>
  <c r="J12" i="74" s="1"/>
  <c r="K32" i="74"/>
  <c r="J11" i="74" s="1"/>
  <c r="K31" i="74"/>
  <c r="J10" i="74" s="1"/>
  <c r="K30" i="74"/>
  <c r="J9" i="74" s="1"/>
  <c r="K29" i="74"/>
  <c r="J8" i="74" s="1"/>
  <c r="B5" i="74"/>
  <c r="Q22" i="46" l="1"/>
  <c r="P22" i="46"/>
  <c r="B24" i="46"/>
  <c r="O23" i="46"/>
  <c r="N23" i="46"/>
  <c r="M23" i="46"/>
  <c r="L23" i="46"/>
  <c r="K23" i="46"/>
  <c r="J23" i="46"/>
  <c r="I23" i="46"/>
  <c r="H23" i="46"/>
  <c r="G23" i="46"/>
  <c r="F23" i="46"/>
  <c r="E23" i="46"/>
  <c r="D23" i="46"/>
  <c r="C23" i="46"/>
  <c r="D5" i="74"/>
  <c r="C5" i="74"/>
  <c r="E5" i="74"/>
  <c r="B6" i="74"/>
  <c r="C6" i="74" s="1"/>
  <c r="Q23" i="46" l="1"/>
  <c r="P23" i="46"/>
  <c r="B25" i="46"/>
  <c r="O24" i="46"/>
  <c r="N24" i="46"/>
  <c r="M24" i="46"/>
  <c r="L24" i="46"/>
  <c r="K24" i="46"/>
  <c r="J24" i="46"/>
  <c r="I24" i="46"/>
  <c r="H24" i="46"/>
  <c r="G24" i="46"/>
  <c r="F24" i="46"/>
  <c r="E24" i="46"/>
  <c r="D24" i="46"/>
  <c r="C24" i="46"/>
  <c r="F5" i="74"/>
  <c r="D6" i="74"/>
  <c r="E6" i="74" s="1"/>
  <c r="B7" i="74"/>
  <c r="Q24" i="46" l="1"/>
  <c r="P24" i="46"/>
  <c r="B26" i="46"/>
  <c r="O25" i="46"/>
  <c r="N25" i="46"/>
  <c r="M25" i="46"/>
  <c r="L25" i="46"/>
  <c r="K25" i="46"/>
  <c r="J25" i="46"/>
  <c r="I25" i="46"/>
  <c r="H25" i="46"/>
  <c r="G25" i="46"/>
  <c r="F25" i="46"/>
  <c r="E25" i="46"/>
  <c r="D25" i="46"/>
  <c r="C25" i="46"/>
  <c r="D7" i="74"/>
  <c r="C7" i="74"/>
  <c r="F6" i="74"/>
  <c r="E7" i="74"/>
  <c r="B8" i="74"/>
  <c r="Q25" i="46" l="1"/>
  <c r="P25" i="46"/>
  <c r="B27" i="46"/>
  <c r="O26" i="46"/>
  <c r="N26" i="46"/>
  <c r="M26" i="46"/>
  <c r="L26" i="46"/>
  <c r="K26" i="46"/>
  <c r="J26" i="46"/>
  <c r="I26" i="46"/>
  <c r="H26" i="46"/>
  <c r="G26" i="46"/>
  <c r="F26" i="46"/>
  <c r="E26" i="46"/>
  <c r="D26" i="46"/>
  <c r="C26" i="46"/>
  <c r="D8" i="74"/>
  <c r="C8" i="74"/>
  <c r="F7" i="74"/>
  <c r="E8" i="74"/>
  <c r="B9" i="74"/>
  <c r="Q26" i="46" l="1"/>
  <c r="P26" i="46"/>
  <c r="B28" i="46"/>
  <c r="O27" i="46"/>
  <c r="N27" i="46"/>
  <c r="M27" i="46"/>
  <c r="L27" i="46"/>
  <c r="K27" i="46"/>
  <c r="J27" i="46"/>
  <c r="I27" i="46"/>
  <c r="H27" i="46"/>
  <c r="G27" i="46"/>
  <c r="F27" i="46"/>
  <c r="E27" i="46"/>
  <c r="D27" i="46"/>
  <c r="C27" i="46"/>
  <c r="D9" i="74"/>
  <c r="C9" i="74"/>
  <c r="F8" i="74"/>
  <c r="E9" i="74"/>
  <c r="B10" i="74"/>
  <c r="Q27" i="46" l="1"/>
  <c r="P27" i="46"/>
  <c r="B29" i="46"/>
  <c r="O28" i="46"/>
  <c r="N28" i="46"/>
  <c r="M28" i="46"/>
  <c r="L28" i="46"/>
  <c r="K28" i="46"/>
  <c r="J28" i="46"/>
  <c r="I28" i="46"/>
  <c r="H28" i="46"/>
  <c r="G28" i="46"/>
  <c r="F28" i="46"/>
  <c r="E28" i="46"/>
  <c r="D28" i="46"/>
  <c r="C28" i="46"/>
  <c r="D10" i="74"/>
  <c r="C10" i="74"/>
  <c r="F9" i="74"/>
  <c r="E10" i="74"/>
  <c r="B11" i="74"/>
  <c r="Q28" i="46" l="1"/>
  <c r="P28" i="46"/>
  <c r="B30" i="46"/>
  <c r="O29" i="46"/>
  <c r="N29" i="46"/>
  <c r="M29" i="46"/>
  <c r="L29" i="46"/>
  <c r="K29" i="46"/>
  <c r="J29" i="46"/>
  <c r="I29" i="46"/>
  <c r="H29" i="46"/>
  <c r="G29" i="46"/>
  <c r="F29" i="46"/>
  <c r="E29" i="46"/>
  <c r="D29" i="46"/>
  <c r="C29" i="46"/>
  <c r="D11" i="74"/>
  <c r="C11" i="74"/>
  <c r="F10" i="74"/>
  <c r="E11" i="74"/>
  <c r="B12" i="74"/>
  <c r="Q29" i="46" l="1"/>
  <c r="P29" i="46"/>
  <c r="B31" i="46"/>
  <c r="O30" i="46"/>
  <c r="N30" i="46"/>
  <c r="M30" i="46"/>
  <c r="L30" i="46"/>
  <c r="K30" i="46"/>
  <c r="J30" i="46"/>
  <c r="I30" i="46"/>
  <c r="H30" i="46"/>
  <c r="G30" i="46"/>
  <c r="F30" i="46"/>
  <c r="E30" i="46"/>
  <c r="D30" i="46"/>
  <c r="C30" i="46"/>
  <c r="D12" i="74"/>
  <c r="C12" i="74"/>
  <c r="F11" i="74"/>
  <c r="E12" i="74"/>
  <c r="B13" i="74"/>
  <c r="Q30" i="46" l="1"/>
  <c r="P30" i="46"/>
  <c r="B32" i="46"/>
  <c r="O31" i="46"/>
  <c r="N31" i="46"/>
  <c r="M31" i="46"/>
  <c r="L31" i="46"/>
  <c r="K31" i="46"/>
  <c r="J31" i="46"/>
  <c r="I31" i="46"/>
  <c r="H31" i="46"/>
  <c r="G31" i="46"/>
  <c r="F31" i="46"/>
  <c r="E31" i="46"/>
  <c r="D31" i="46"/>
  <c r="C31" i="46"/>
  <c r="D13" i="74"/>
  <c r="C13" i="74"/>
  <c r="F12" i="74"/>
  <c r="E13" i="74"/>
  <c r="B14" i="74"/>
  <c r="Q31" i="46" l="1"/>
  <c r="P31" i="46"/>
  <c r="B33" i="46"/>
  <c r="O32" i="46"/>
  <c r="N32" i="46"/>
  <c r="M32" i="46"/>
  <c r="L32" i="46"/>
  <c r="K32" i="46"/>
  <c r="J32" i="46"/>
  <c r="I32" i="46"/>
  <c r="H32" i="46"/>
  <c r="G32" i="46"/>
  <c r="F32" i="46"/>
  <c r="E32" i="46"/>
  <c r="D32" i="46"/>
  <c r="C32" i="46"/>
  <c r="D14" i="74"/>
  <c r="C14" i="74"/>
  <c r="F13" i="74"/>
  <c r="E14" i="74"/>
  <c r="B15" i="74"/>
  <c r="Q32" i="46" l="1"/>
  <c r="P32" i="46"/>
  <c r="B34" i="46"/>
  <c r="O33" i="46"/>
  <c r="N33" i="46"/>
  <c r="M33" i="46"/>
  <c r="L33" i="46"/>
  <c r="K33" i="46"/>
  <c r="J33" i="46"/>
  <c r="I33" i="46"/>
  <c r="H33" i="46"/>
  <c r="G33" i="46"/>
  <c r="F33" i="46"/>
  <c r="E33" i="46"/>
  <c r="D33" i="46"/>
  <c r="C33" i="46"/>
  <c r="D15" i="74"/>
  <c r="C15" i="74"/>
  <c r="F14" i="74"/>
  <c r="E15" i="74"/>
  <c r="B16" i="74"/>
  <c r="Q33" i="46" l="1"/>
  <c r="P33" i="46"/>
  <c r="B35" i="46"/>
  <c r="O34" i="46"/>
  <c r="N34" i="46"/>
  <c r="M34" i="46"/>
  <c r="L34" i="46"/>
  <c r="K34" i="46"/>
  <c r="J34" i="46"/>
  <c r="I34" i="46"/>
  <c r="H34" i="46"/>
  <c r="G34" i="46"/>
  <c r="F34" i="46"/>
  <c r="E34" i="46"/>
  <c r="D34" i="46"/>
  <c r="C34" i="46"/>
  <c r="D16" i="74"/>
  <c r="C16" i="74"/>
  <c r="F15" i="74"/>
  <c r="E16" i="74"/>
  <c r="B17" i="74"/>
  <c r="Q34" i="46" l="1"/>
  <c r="P34" i="46"/>
  <c r="B36" i="46"/>
  <c r="O35" i="46"/>
  <c r="N35" i="46"/>
  <c r="M35" i="46"/>
  <c r="L35" i="46"/>
  <c r="K35" i="46"/>
  <c r="J35" i="46"/>
  <c r="I35" i="46"/>
  <c r="H35" i="46"/>
  <c r="G35" i="46"/>
  <c r="F35" i="46"/>
  <c r="E35" i="46"/>
  <c r="D35" i="46"/>
  <c r="C35" i="46"/>
  <c r="D17" i="74"/>
  <c r="C17" i="74"/>
  <c r="F16" i="74"/>
  <c r="E17" i="74"/>
  <c r="B18" i="74"/>
  <c r="Q35" i="46" l="1"/>
  <c r="P35" i="46"/>
  <c r="B37" i="46"/>
  <c r="O36" i="46"/>
  <c r="N36" i="46"/>
  <c r="M36" i="46"/>
  <c r="L36" i="46"/>
  <c r="K36" i="46"/>
  <c r="J36" i="46"/>
  <c r="I36" i="46"/>
  <c r="H36" i="46"/>
  <c r="G36" i="46"/>
  <c r="F36" i="46"/>
  <c r="E36" i="46"/>
  <c r="D36" i="46"/>
  <c r="C36" i="46"/>
  <c r="D18" i="74"/>
  <c r="C18" i="74"/>
  <c r="F17" i="74"/>
  <c r="E18" i="74"/>
  <c r="B19" i="74"/>
  <c r="Q36" i="46" l="1"/>
  <c r="P36" i="46"/>
  <c r="B38" i="46"/>
  <c r="O37" i="46"/>
  <c r="N37" i="46"/>
  <c r="M37" i="46"/>
  <c r="L37" i="46"/>
  <c r="K37" i="46"/>
  <c r="J37" i="46"/>
  <c r="I37" i="46"/>
  <c r="H37" i="46"/>
  <c r="G37" i="46"/>
  <c r="F37" i="46"/>
  <c r="E37" i="46"/>
  <c r="D37" i="46"/>
  <c r="C37" i="46"/>
  <c r="D19" i="74"/>
  <c r="C19" i="74"/>
  <c r="F18" i="74"/>
  <c r="E19" i="74"/>
  <c r="B20" i="74"/>
  <c r="Q37" i="46" l="1"/>
  <c r="P37" i="46"/>
  <c r="B39" i="46"/>
  <c r="O38" i="46"/>
  <c r="N38" i="46"/>
  <c r="M38" i="46"/>
  <c r="L38" i="46"/>
  <c r="K38" i="46"/>
  <c r="J38" i="46"/>
  <c r="I38" i="46"/>
  <c r="H38" i="46"/>
  <c r="G38" i="46"/>
  <c r="F38" i="46"/>
  <c r="E38" i="46"/>
  <c r="D38" i="46"/>
  <c r="C38" i="46"/>
  <c r="D20" i="74"/>
  <c r="C20" i="74"/>
  <c r="F19" i="74"/>
  <c r="E20" i="74"/>
  <c r="B21" i="74"/>
  <c r="Q38" i="46" l="1"/>
  <c r="P38" i="46"/>
  <c r="B40" i="46"/>
  <c r="O39" i="46"/>
  <c r="N39" i="46"/>
  <c r="M39" i="46"/>
  <c r="L39" i="46"/>
  <c r="K39" i="46"/>
  <c r="J39" i="46"/>
  <c r="I39" i="46"/>
  <c r="H39" i="46"/>
  <c r="G39" i="46"/>
  <c r="F39" i="46"/>
  <c r="E39" i="46"/>
  <c r="D39" i="46"/>
  <c r="C39" i="46"/>
  <c r="D21" i="74"/>
  <c r="C21" i="74"/>
  <c r="F20" i="74"/>
  <c r="E21" i="74"/>
  <c r="B22" i="74"/>
  <c r="Q39" i="46" l="1"/>
  <c r="P39" i="46"/>
  <c r="B41" i="46"/>
  <c r="O40" i="46"/>
  <c r="N40" i="46"/>
  <c r="M40" i="46"/>
  <c r="L40" i="46"/>
  <c r="K40" i="46"/>
  <c r="J40" i="46"/>
  <c r="I40" i="46"/>
  <c r="H40" i="46"/>
  <c r="G40" i="46"/>
  <c r="F40" i="46"/>
  <c r="E40" i="46"/>
  <c r="D40" i="46"/>
  <c r="C40" i="46"/>
  <c r="D22" i="74"/>
  <c r="C22" i="74"/>
  <c r="F21" i="74"/>
  <c r="E22" i="74"/>
  <c r="B23" i="74"/>
  <c r="Q40" i="46" l="1"/>
  <c r="P40" i="46"/>
  <c r="B42" i="46"/>
  <c r="O41" i="46"/>
  <c r="N41" i="46"/>
  <c r="M41" i="46"/>
  <c r="L41" i="46"/>
  <c r="K41" i="46"/>
  <c r="J41" i="46"/>
  <c r="I41" i="46"/>
  <c r="H41" i="46"/>
  <c r="G41" i="46"/>
  <c r="F41" i="46"/>
  <c r="E41" i="46"/>
  <c r="D41" i="46"/>
  <c r="C41" i="46"/>
  <c r="D23" i="74"/>
  <c r="C23" i="74"/>
  <c r="F22" i="74"/>
  <c r="E23" i="74"/>
  <c r="B24" i="74"/>
  <c r="Q41" i="46" l="1"/>
  <c r="P41" i="46"/>
  <c r="B43" i="46"/>
  <c r="O42" i="46"/>
  <c r="N42" i="46"/>
  <c r="M42" i="46"/>
  <c r="L42" i="46"/>
  <c r="K42" i="46"/>
  <c r="J42" i="46"/>
  <c r="I42" i="46"/>
  <c r="H42" i="46"/>
  <c r="G42" i="46"/>
  <c r="F42" i="46"/>
  <c r="E42" i="46"/>
  <c r="D42" i="46"/>
  <c r="C42" i="46"/>
  <c r="D24" i="74"/>
  <c r="C24" i="74"/>
  <c r="F23" i="74"/>
  <c r="E24" i="74"/>
  <c r="B25" i="74"/>
  <c r="Q42" i="46" l="1"/>
  <c r="P42" i="46"/>
  <c r="B44" i="46"/>
  <c r="O43" i="46"/>
  <c r="N43" i="46"/>
  <c r="M43" i="46"/>
  <c r="L43" i="46"/>
  <c r="K43" i="46"/>
  <c r="J43" i="46"/>
  <c r="I43" i="46"/>
  <c r="H43" i="46"/>
  <c r="G43" i="46"/>
  <c r="F43" i="46"/>
  <c r="E43" i="46"/>
  <c r="D43" i="46"/>
  <c r="C43" i="46"/>
  <c r="D25" i="74"/>
  <c r="C25" i="74"/>
  <c r="F24" i="74"/>
  <c r="E25" i="74"/>
  <c r="B26" i="74"/>
  <c r="Q43" i="46" l="1"/>
  <c r="P43" i="46"/>
  <c r="B45" i="46"/>
  <c r="O44" i="46"/>
  <c r="N44" i="46"/>
  <c r="M44" i="46"/>
  <c r="L44" i="46"/>
  <c r="K44" i="46"/>
  <c r="J44" i="46"/>
  <c r="I44" i="46"/>
  <c r="H44" i="46"/>
  <c r="G44" i="46"/>
  <c r="F44" i="46"/>
  <c r="E44" i="46"/>
  <c r="D44" i="46"/>
  <c r="C44" i="46"/>
  <c r="D26" i="74"/>
  <c r="C26" i="74"/>
  <c r="F25" i="74"/>
  <c r="E26" i="74"/>
  <c r="B27" i="74"/>
  <c r="Q44" i="46" l="1"/>
  <c r="P44" i="46"/>
  <c r="B46" i="46"/>
  <c r="O45" i="46"/>
  <c r="N45" i="46"/>
  <c r="M45" i="46"/>
  <c r="L45" i="46"/>
  <c r="K45" i="46"/>
  <c r="J45" i="46"/>
  <c r="I45" i="46"/>
  <c r="H45" i="46"/>
  <c r="G45" i="46"/>
  <c r="F45" i="46"/>
  <c r="E45" i="46"/>
  <c r="D45" i="46"/>
  <c r="C45" i="46"/>
  <c r="D27" i="74"/>
  <c r="C27" i="74"/>
  <c r="F26" i="74"/>
  <c r="E27" i="74"/>
  <c r="B28" i="74"/>
  <c r="Q45" i="46" l="1"/>
  <c r="P45" i="46"/>
  <c r="B47" i="46"/>
  <c r="O46" i="46"/>
  <c r="N46" i="46"/>
  <c r="M46" i="46"/>
  <c r="L46" i="46"/>
  <c r="K46" i="46"/>
  <c r="J46" i="46"/>
  <c r="I46" i="46"/>
  <c r="H46" i="46"/>
  <c r="G46" i="46"/>
  <c r="F46" i="46"/>
  <c r="E46" i="46"/>
  <c r="D46" i="46"/>
  <c r="C46" i="46"/>
  <c r="D28" i="74"/>
  <c r="C28" i="74"/>
  <c r="F27" i="74"/>
  <c r="E28" i="74"/>
  <c r="B29" i="74"/>
  <c r="Q46" i="46" l="1"/>
  <c r="P46" i="46"/>
  <c r="B48" i="46"/>
  <c r="O47" i="46"/>
  <c r="N47" i="46"/>
  <c r="M47" i="46"/>
  <c r="L47" i="46"/>
  <c r="K47" i="46"/>
  <c r="J47" i="46"/>
  <c r="I47" i="46"/>
  <c r="H47" i="46"/>
  <c r="G47" i="46"/>
  <c r="F47" i="46"/>
  <c r="E47" i="46"/>
  <c r="D47" i="46"/>
  <c r="C47" i="46"/>
  <c r="D29" i="74"/>
  <c r="C29" i="74"/>
  <c r="F28" i="74"/>
  <c r="E29" i="74"/>
  <c r="B30" i="74"/>
  <c r="Q47" i="46" l="1"/>
  <c r="P47" i="46"/>
  <c r="B49" i="46"/>
  <c r="O48" i="46"/>
  <c r="N48" i="46"/>
  <c r="M48" i="46"/>
  <c r="L48" i="46"/>
  <c r="K48" i="46"/>
  <c r="J48" i="46"/>
  <c r="I48" i="46"/>
  <c r="H48" i="46"/>
  <c r="G48" i="46"/>
  <c r="F48" i="46"/>
  <c r="E48" i="46"/>
  <c r="D48" i="46"/>
  <c r="C48" i="46"/>
  <c r="D30" i="74"/>
  <c r="C30" i="74"/>
  <c r="F29" i="74"/>
  <c r="E30" i="74"/>
  <c r="B31" i="74"/>
  <c r="Q48" i="46" l="1"/>
  <c r="P48" i="46"/>
  <c r="O49" i="46"/>
  <c r="N49" i="46"/>
  <c r="M49" i="46"/>
  <c r="L49" i="46"/>
  <c r="K49" i="46"/>
  <c r="J49" i="46"/>
  <c r="I49" i="46"/>
  <c r="H49" i="46"/>
  <c r="G49" i="46"/>
  <c r="F49" i="46"/>
  <c r="E49" i="46"/>
  <c r="D49" i="46"/>
  <c r="C49" i="46"/>
  <c r="D31" i="74"/>
  <c r="C31" i="74"/>
  <c r="F30" i="74"/>
  <c r="E31" i="74"/>
  <c r="B32" i="74"/>
  <c r="Q49" i="46" l="1"/>
  <c r="P49" i="46"/>
  <c r="D32" i="74"/>
  <c r="C32" i="74"/>
  <c r="F31" i="74"/>
  <c r="E32" i="74"/>
  <c r="B33" i="74"/>
  <c r="D33" i="74" l="1"/>
  <c r="C33" i="74"/>
  <c r="F32" i="74"/>
  <c r="E33" i="74"/>
  <c r="B34" i="74"/>
  <c r="D34" i="74" l="1"/>
  <c r="C34" i="74"/>
  <c r="F33" i="74"/>
  <c r="E34" i="74"/>
  <c r="B35" i="74"/>
  <c r="D35" i="74" l="1"/>
  <c r="C35" i="74"/>
  <c r="F34" i="74"/>
  <c r="E35" i="74"/>
  <c r="B36" i="74"/>
  <c r="D36" i="74" l="1"/>
  <c r="C36" i="74"/>
  <c r="F35" i="74"/>
  <c r="E36" i="74"/>
  <c r="B37" i="74"/>
  <c r="D37" i="74" l="1"/>
  <c r="C37" i="74"/>
  <c r="F36" i="74"/>
  <c r="E37" i="74"/>
  <c r="B38" i="74"/>
  <c r="C38" i="74" s="1"/>
  <c r="F37" i="74" l="1"/>
  <c r="B39" i="74"/>
  <c r="D38" i="74"/>
  <c r="E38" i="74" s="1"/>
  <c r="D39" i="74" l="1"/>
  <c r="C39" i="74"/>
  <c r="F38" i="74"/>
  <c r="B40" i="74"/>
  <c r="B41" i="74"/>
  <c r="D41" i="74" l="1"/>
  <c r="C41" i="74"/>
  <c r="D40" i="74"/>
  <c r="C40" i="74"/>
  <c r="E39" i="74"/>
  <c r="F39" i="74" s="1"/>
  <c r="E41" i="74"/>
  <c r="F41" i="74" s="1"/>
  <c r="B42" i="74"/>
  <c r="D42" i="74" l="1"/>
  <c r="C42" i="74"/>
  <c r="E40" i="74"/>
  <c r="F40" i="74" s="1"/>
  <c r="B43" i="74"/>
  <c r="B7" i="42"/>
  <c r="I37" i="30"/>
  <c r="D43" i="74" l="1"/>
  <c r="C43" i="74"/>
  <c r="B8" i="42"/>
  <c r="E43" i="74"/>
  <c r="F43" i="74" s="1"/>
  <c r="B44" i="74"/>
  <c r="E42" i="74"/>
  <c r="F42" i="74" s="1"/>
  <c r="B9" i="42"/>
  <c r="L9" i="63"/>
  <c r="L9" i="62"/>
  <c r="I50" i="67"/>
  <c r="I49" i="67"/>
  <c r="L14" i="63"/>
  <c r="L13" i="63"/>
  <c r="L51" i="30"/>
  <c r="L50" i="30"/>
  <c r="K51" i="30"/>
  <c r="K50" i="30"/>
  <c r="L17" i="62"/>
  <c r="L16" i="62"/>
  <c r="L14" i="61"/>
  <c r="L13" i="61"/>
  <c r="L17" i="60"/>
  <c r="L16" i="60"/>
  <c r="I53" i="67"/>
  <c r="I18" i="67"/>
  <c r="I17" i="67"/>
  <c r="I16" i="67"/>
  <c r="I15" i="67"/>
  <c r="I14" i="67"/>
  <c r="I13" i="67"/>
  <c r="I33" i="67"/>
  <c r="I25" i="67"/>
  <c r="I26" i="67"/>
  <c r="I27" i="67"/>
  <c r="I28" i="67"/>
  <c r="I29" i="67"/>
  <c r="I30" i="67"/>
  <c r="I31" i="67"/>
  <c r="I32" i="67"/>
  <c r="D44" i="74" l="1"/>
  <c r="C44" i="74"/>
  <c r="B45" i="74"/>
  <c r="I20" i="67"/>
  <c r="B10" i="42"/>
  <c r="I34" i="67"/>
  <c r="L50" i="67"/>
  <c r="L49" i="67"/>
  <c r="J50" i="67"/>
  <c r="J49" i="67"/>
  <c r="K30" i="67"/>
  <c r="K31" i="67"/>
  <c r="K29" i="67"/>
  <c r="K33" i="67"/>
  <c r="K32" i="67"/>
  <c r="J34" i="67"/>
  <c r="K28" i="67"/>
  <c r="K27" i="67"/>
  <c r="K26" i="67"/>
  <c r="K25" i="67"/>
  <c r="K19" i="67"/>
  <c r="K13" i="67"/>
  <c r="K14" i="67"/>
  <c r="K15" i="67"/>
  <c r="K16" i="67"/>
  <c r="K17" i="67"/>
  <c r="K18" i="67"/>
  <c r="K12" i="67"/>
  <c r="J20" i="67"/>
  <c r="I38" i="30"/>
  <c r="J37" i="30"/>
  <c r="K37" i="30"/>
  <c r="L37" i="30"/>
  <c r="M37" i="30"/>
  <c r="J38" i="30"/>
  <c r="K38" i="30"/>
  <c r="L38" i="30"/>
  <c r="M38" i="30"/>
  <c r="L9" i="61"/>
  <c r="L9" i="60"/>
  <c r="D45" i="74" l="1"/>
  <c r="C45" i="74"/>
  <c r="C10" i="42"/>
  <c r="D10" i="42" s="1"/>
  <c r="E45" i="74"/>
  <c r="F45" i="74" s="1"/>
  <c r="B46" i="74"/>
  <c r="E44" i="74"/>
  <c r="F44" i="74" s="1"/>
  <c r="M50" i="67"/>
  <c r="B11" i="42"/>
  <c r="K49" i="67"/>
  <c r="K50" i="67"/>
  <c r="M49" i="67"/>
  <c r="K20" i="67"/>
  <c r="J39" i="67" s="1"/>
  <c r="K34" i="67"/>
  <c r="L39" i="67" s="1"/>
  <c r="I8" i="42"/>
  <c r="L20" i="30"/>
  <c r="M20" i="30"/>
  <c r="J20" i="30"/>
  <c r="K20" i="30" s="1"/>
  <c r="K49" i="30"/>
  <c r="L49" i="30"/>
  <c r="I32" i="59"/>
  <c r="J11" i="59"/>
  <c r="J12" i="59"/>
  <c r="I33" i="59" s="1"/>
  <c r="D46" i="74" l="1"/>
  <c r="C46" i="74"/>
  <c r="C11" i="42"/>
  <c r="B47" i="74"/>
  <c r="B12" i="42"/>
  <c r="D11" i="42"/>
  <c r="I64" i="67"/>
  <c r="I58" i="67"/>
  <c r="I59" i="67"/>
  <c r="J42" i="67"/>
  <c r="J40" i="67"/>
  <c r="J41" i="67"/>
  <c r="J43" i="67"/>
  <c r="L41" i="67"/>
  <c r="L42" i="67"/>
  <c r="L40" i="67"/>
  <c r="L43" i="67"/>
  <c r="D47" i="74" l="1"/>
  <c r="C47" i="74"/>
  <c r="C12" i="42"/>
  <c r="D12" i="42" s="1"/>
  <c r="B48" i="74"/>
  <c r="E47" i="74"/>
  <c r="F47" i="74" s="1"/>
  <c r="E46" i="74"/>
  <c r="F46" i="74" s="1"/>
  <c r="B13" i="42"/>
  <c r="C13" i="42" s="1"/>
  <c r="I65" i="67"/>
  <c r="M64" i="67"/>
  <c r="M65" i="67" s="1"/>
  <c r="J64" i="67"/>
  <c r="J65" i="67" s="1"/>
  <c r="L64" i="67"/>
  <c r="L65" i="67" s="1"/>
  <c r="K64" i="67"/>
  <c r="K65" i="67" s="1"/>
  <c r="J58" i="67"/>
  <c r="K59" i="67"/>
  <c r="L59" i="67"/>
  <c r="K58" i="67"/>
  <c r="M58" i="67"/>
  <c r="J59" i="67"/>
  <c r="M59" i="67"/>
  <c r="L58" i="67"/>
  <c r="J26" i="30"/>
  <c r="M26" i="30"/>
  <c r="I26" i="30"/>
  <c r="L26" i="30"/>
  <c r="K26" i="30"/>
  <c r="L15" i="66"/>
  <c r="L14" i="66"/>
  <c r="L7" i="66"/>
  <c r="L6" i="66"/>
  <c r="L6" i="60"/>
  <c r="L12" i="60"/>
  <c r="D29" i="28"/>
  <c r="N19" i="63"/>
  <c r="L19" i="63"/>
  <c r="N18" i="63"/>
  <c r="L18" i="63"/>
  <c r="N22" i="62"/>
  <c r="L22" i="62"/>
  <c r="N21" i="62"/>
  <c r="L21" i="62"/>
  <c r="N19" i="61"/>
  <c r="L19" i="61"/>
  <c r="N18" i="61"/>
  <c r="L18" i="61"/>
  <c r="N22" i="60"/>
  <c r="N21" i="60"/>
  <c r="L22" i="60"/>
  <c r="L21" i="60"/>
  <c r="D48" i="74" l="1"/>
  <c r="C48" i="74"/>
  <c r="B49" i="74"/>
  <c r="B14" i="42"/>
  <c r="C14" i="42" s="1"/>
  <c r="D13" i="42"/>
  <c r="J69" i="67"/>
  <c r="J70" i="67"/>
  <c r="I69" i="67"/>
  <c r="I70" i="67"/>
  <c r="N26" i="30"/>
  <c r="D49" i="74" l="1"/>
  <c r="C49" i="74"/>
  <c r="E48" i="74"/>
  <c r="F48" i="74" s="1"/>
  <c r="B50" i="74"/>
  <c r="E49" i="74"/>
  <c r="F49" i="74" s="1"/>
  <c r="B15" i="42"/>
  <c r="D14" i="42"/>
  <c r="J61" i="30"/>
  <c r="I61" i="30"/>
  <c r="D50" i="74" l="1"/>
  <c r="C50" i="74"/>
  <c r="C15" i="42"/>
  <c r="E50" i="74"/>
  <c r="F50" i="74" s="1"/>
  <c r="B51" i="74"/>
  <c r="B16" i="42"/>
  <c r="C16" i="42" s="1"/>
  <c r="D15" i="42"/>
  <c r="L28" i="62"/>
  <c r="D51" i="74" l="1"/>
  <c r="C51" i="74"/>
  <c r="B52" i="74"/>
  <c r="E51" i="74"/>
  <c r="F51" i="74" s="1"/>
  <c r="B17" i="42"/>
  <c r="C17" i="42" s="1"/>
  <c r="D16" i="42"/>
  <c r="L27" i="62"/>
  <c r="N27" i="62"/>
  <c r="O29" i="66"/>
  <c r="O28" i="66"/>
  <c r="L11" i="66"/>
  <c r="B6" i="66"/>
  <c r="N25" i="63"/>
  <c r="D52" i="74" l="1"/>
  <c r="C52" i="74"/>
  <c r="L42" i="66"/>
  <c r="L35" i="66"/>
  <c r="L41" i="66"/>
  <c r="L34" i="66"/>
  <c r="C6" i="66" s="1" a="1"/>
  <c r="C6" i="66" s="1"/>
  <c r="N42" i="66"/>
  <c r="N41" i="66"/>
  <c r="N35" i="66"/>
  <c r="N34" i="66"/>
  <c r="D6" i="66" s="1" a="1"/>
  <c r="D6" i="66" s="1"/>
  <c r="B7" i="66"/>
  <c r="E52" i="74"/>
  <c r="F52" i="74" s="1"/>
  <c r="B18" i="42"/>
  <c r="C18" i="42" s="1"/>
  <c r="D17" i="42"/>
  <c r="D7" i="66" a="1"/>
  <c r="D7" i="66" s="1"/>
  <c r="N28" i="62"/>
  <c r="B8" i="66"/>
  <c r="N24" i="63"/>
  <c r="C7" i="66" l="1" a="1"/>
  <c r="C7" i="66" s="1"/>
  <c r="B19" i="42"/>
  <c r="C19" i="42" s="1"/>
  <c r="D18" i="42"/>
  <c r="C8" i="66" a="1"/>
  <c r="C8" i="66" s="1"/>
  <c r="D8" i="66" a="1"/>
  <c r="D8" i="66" s="1"/>
  <c r="B9" i="66"/>
  <c r="B56" i="74" l="1"/>
  <c r="B20" i="42"/>
  <c r="C20" i="42" s="1"/>
  <c r="D19" i="42"/>
  <c r="C9" i="66" a="1"/>
  <c r="C9" i="66" s="1"/>
  <c r="D9" i="66" a="1"/>
  <c r="D9" i="66" s="1"/>
  <c r="B10" i="66"/>
  <c r="L25" i="63"/>
  <c r="L24" i="63"/>
  <c r="D56" i="74" l="1"/>
  <c r="C56" i="74"/>
  <c r="B57" i="74"/>
  <c r="C57" i="74" s="1"/>
  <c r="E56" i="74"/>
  <c r="F56" i="74" s="1"/>
  <c r="B21" i="42"/>
  <c r="C21" i="42" s="1"/>
  <c r="D20" i="42"/>
  <c r="C10" i="66" a="1"/>
  <c r="C10" i="66" s="1"/>
  <c r="D10" i="66" a="1"/>
  <c r="D10" i="66" s="1"/>
  <c r="N27" i="60"/>
  <c r="N28" i="60"/>
  <c r="B11" i="66"/>
  <c r="B72" i="46"/>
  <c r="B7" i="46"/>
  <c r="O7" i="46" l="1"/>
  <c r="G7" i="46"/>
  <c r="N7" i="46"/>
  <c r="K7" i="46"/>
  <c r="D57" i="74"/>
  <c r="B58" i="74"/>
  <c r="C58" i="74" s="1"/>
  <c r="E57" i="74"/>
  <c r="F57" i="74" s="1"/>
  <c r="B22" i="42"/>
  <c r="C22" i="42" s="1"/>
  <c r="D21" i="42"/>
  <c r="D11" i="66" a="1"/>
  <c r="D11" i="66" s="1"/>
  <c r="C11" i="66" a="1"/>
  <c r="C11" i="66" s="1"/>
  <c r="L28" i="60"/>
  <c r="L27" i="60"/>
  <c r="B12" i="66"/>
  <c r="B73" i="46"/>
  <c r="D58" i="74" l="1"/>
  <c r="E58" i="74" s="1"/>
  <c r="F58" i="74" s="1"/>
  <c r="B59" i="74"/>
  <c r="C59" i="74" s="1"/>
  <c r="B23" i="42"/>
  <c r="C23" i="42" s="1"/>
  <c r="D22" i="42"/>
  <c r="B13" i="66"/>
  <c r="B74" i="46"/>
  <c r="D59" i="74" l="1"/>
  <c r="E59" i="74" s="1"/>
  <c r="F59" i="74" s="1"/>
  <c r="B60" i="74"/>
  <c r="C60" i="74" s="1"/>
  <c r="C61" i="74" s="1"/>
  <c r="B24" i="42"/>
  <c r="C24" i="42" s="1"/>
  <c r="D23" i="42"/>
  <c r="B14" i="66"/>
  <c r="B75" i="46"/>
  <c r="D60" i="74" l="1"/>
  <c r="D61" i="74" s="1"/>
  <c r="B25" i="42"/>
  <c r="C25" i="42" s="1"/>
  <c r="D24" i="42"/>
  <c r="B15" i="66"/>
  <c r="B76" i="46"/>
  <c r="E60" i="74" l="1"/>
  <c r="B26" i="42"/>
  <c r="C26" i="42" s="1"/>
  <c r="D25" i="42"/>
  <c r="B16" i="66"/>
  <c r="B77" i="46"/>
  <c r="F60" i="74" l="1"/>
  <c r="F61" i="74" s="1"/>
  <c r="E61" i="74"/>
  <c r="B27" i="42"/>
  <c r="C27" i="42" s="1"/>
  <c r="D26" i="42"/>
  <c r="B17" i="66"/>
  <c r="B78" i="46"/>
  <c r="B28" i="42" l="1"/>
  <c r="C28" i="42" s="1"/>
  <c r="D27" i="42"/>
  <c r="B18" i="66"/>
  <c r="B79" i="46"/>
  <c r="B29" i="42" l="1"/>
  <c r="C29" i="42" s="1"/>
  <c r="D28" i="42"/>
  <c r="B19" i="66"/>
  <c r="B80" i="46"/>
  <c r="I12" i="42"/>
  <c r="J17" i="42" l="1"/>
  <c r="C7" i="42" s="1"/>
  <c r="J18" i="42"/>
  <c r="J16" i="42"/>
  <c r="C6" i="42" s="1"/>
  <c r="D6" i="42" s="1"/>
  <c r="J19" i="42"/>
  <c r="C9" i="42" s="1"/>
  <c r="D9" i="42" s="1"/>
  <c r="D7" i="42"/>
  <c r="B30" i="42"/>
  <c r="C30" i="42" s="1"/>
  <c r="D29" i="42"/>
  <c r="B20" i="66"/>
  <c r="B81" i="46"/>
  <c r="M19" i="30"/>
  <c r="L19" i="30"/>
  <c r="M18" i="30"/>
  <c r="L18" i="30"/>
  <c r="J19" i="30"/>
  <c r="K19" i="30" s="1"/>
  <c r="J18" i="30"/>
  <c r="K18" i="30" s="1"/>
  <c r="C8" i="42" l="1"/>
  <c r="D8" i="42" s="1"/>
  <c r="J23" i="42"/>
  <c r="B31" i="42"/>
  <c r="C31" i="42" s="1"/>
  <c r="D30" i="42"/>
  <c r="K25" i="30"/>
  <c r="K44" i="30" s="1"/>
  <c r="L25" i="30"/>
  <c r="L44" i="30" s="1"/>
  <c r="J25" i="30"/>
  <c r="J44" i="30" s="1"/>
  <c r="I25" i="30"/>
  <c r="M25" i="30"/>
  <c r="M44" i="30" s="1"/>
  <c r="I24" i="30"/>
  <c r="M24" i="30"/>
  <c r="M43" i="30" s="1"/>
  <c r="J24" i="30"/>
  <c r="J43" i="30" s="1"/>
  <c r="K24" i="30"/>
  <c r="K43" i="30" s="1"/>
  <c r="L24" i="30"/>
  <c r="L43" i="30" s="1"/>
  <c r="B21" i="66"/>
  <c r="B82" i="46"/>
  <c r="B32" i="42" l="1"/>
  <c r="C32" i="42" s="1"/>
  <c r="D31" i="42"/>
  <c r="I44" i="30"/>
  <c r="N44" i="30" s="1"/>
  <c r="N25" i="30"/>
  <c r="N24" i="30"/>
  <c r="I43" i="30"/>
  <c r="N43" i="30" s="1"/>
  <c r="B22" i="66"/>
  <c r="B83" i="46"/>
  <c r="D22" i="66" l="1"/>
  <c r="C22" i="66"/>
  <c r="B33" i="42"/>
  <c r="C33" i="42" s="1"/>
  <c r="D32" i="42"/>
  <c r="J60" i="30"/>
  <c r="I60" i="30"/>
  <c r="J56" i="30"/>
  <c r="B23" i="66"/>
  <c r="B84" i="46"/>
  <c r="I56" i="30"/>
  <c r="J55" i="30"/>
  <c r="I55" i="30"/>
  <c r="B34" i="42" l="1"/>
  <c r="C34" i="42" s="1"/>
  <c r="D33" i="42"/>
  <c r="B24" i="66"/>
  <c r="B85" i="46"/>
  <c r="B16" i="65"/>
  <c r="B35" i="42" l="1"/>
  <c r="C35" i="42" s="1"/>
  <c r="D34" i="42"/>
  <c r="B25" i="66"/>
  <c r="B86" i="46"/>
  <c r="B36" i="42" l="1"/>
  <c r="C36" i="42" s="1"/>
  <c r="D35" i="42"/>
  <c r="B26" i="66"/>
  <c r="B87" i="46"/>
  <c r="AB26" i="64"/>
  <c r="S8" i="64" s="1"/>
  <c r="AC26" i="64"/>
  <c r="T8" i="64" s="1"/>
  <c r="AD26" i="64"/>
  <c r="U8" i="64" s="1"/>
  <c r="AE26" i="64"/>
  <c r="V8" i="64" s="1"/>
  <c r="AB27" i="64"/>
  <c r="S9" i="64" s="1"/>
  <c r="AC27" i="64"/>
  <c r="T9" i="64" s="1"/>
  <c r="AD27" i="64"/>
  <c r="U9" i="64" s="1"/>
  <c r="AE27" i="64"/>
  <c r="V9" i="64" s="1"/>
  <c r="S45" i="64"/>
  <c r="S46" i="64" s="1"/>
  <c r="S47" i="64" s="1"/>
  <c r="S48" i="64" s="1"/>
  <c r="S49" i="64" s="1"/>
  <c r="S50" i="64" s="1"/>
  <c r="S51" i="64" s="1"/>
  <c r="S52" i="64" s="1"/>
  <c r="S53" i="64" s="1"/>
  <c r="S54" i="64" s="1"/>
  <c r="T45" i="64"/>
  <c r="T46" i="64" s="1"/>
  <c r="T47" i="64" s="1"/>
  <c r="T48" i="64" s="1"/>
  <c r="T49" i="64" s="1"/>
  <c r="T50" i="64" s="1"/>
  <c r="T51" i="64" s="1"/>
  <c r="T52" i="64" s="1"/>
  <c r="T53" i="64" s="1"/>
  <c r="T54" i="64" s="1"/>
  <c r="U45" i="64"/>
  <c r="U46" i="64" s="1"/>
  <c r="U47" i="64" s="1"/>
  <c r="U48" i="64" s="1"/>
  <c r="U49" i="64" s="1"/>
  <c r="U50" i="64" s="1"/>
  <c r="U51" i="64" s="1"/>
  <c r="U52" i="64" s="1"/>
  <c r="U53" i="64" s="1"/>
  <c r="U54" i="64" s="1"/>
  <c r="V45" i="64"/>
  <c r="V46" i="64" s="1"/>
  <c r="V47" i="64" s="1"/>
  <c r="V48" i="64" s="1"/>
  <c r="V49" i="64" s="1"/>
  <c r="V50" i="64" s="1"/>
  <c r="V51" i="64" s="1"/>
  <c r="V52" i="64" s="1"/>
  <c r="V53" i="64" s="1"/>
  <c r="V54" i="64" s="1"/>
  <c r="D13" i="28"/>
  <c r="L10" i="66" s="1"/>
  <c r="L18" i="66" s="1"/>
  <c r="L6" i="63"/>
  <c r="L6" i="61"/>
  <c r="B37" i="42" l="1"/>
  <c r="D36" i="42"/>
  <c r="E26" i="66"/>
  <c r="F26" i="66"/>
  <c r="E25" i="66"/>
  <c r="E17" i="66"/>
  <c r="F7" i="66"/>
  <c r="E18" i="66"/>
  <c r="F11" i="66"/>
  <c r="E21" i="66"/>
  <c r="E22" i="66"/>
  <c r="F19" i="66"/>
  <c r="E13" i="66"/>
  <c r="E20" i="66"/>
  <c r="E15" i="66"/>
  <c r="F15" i="66"/>
  <c r="E11" i="66"/>
  <c r="E19" i="66"/>
  <c r="F14" i="66"/>
  <c r="E9" i="66"/>
  <c r="F22" i="66"/>
  <c r="F24" i="66"/>
  <c r="E10" i="66"/>
  <c r="F23" i="66"/>
  <c r="F10" i="66"/>
  <c r="E8" i="66"/>
  <c r="E24" i="66"/>
  <c r="F21" i="66"/>
  <c r="E23" i="66"/>
  <c r="F20" i="66"/>
  <c r="F17" i="66"/>
  <c r="F12" i="66"/>
  <c r="E7" i="66"/>
  <c r="F13" i="66"/>
  <c r="F16" i="66"/>
  <c r="E14" i="66"/>
  <c r="E12" i="66"/>
  <c r="E16" i="66"/>
  <c r="F8" i="66"/>
  <c r="F18" i="66"/>
  <c r="F25" i="66"/>
  <c r="F9" i="66"/>
  <c r="E6" i="66"/>
  <c r="F6" i="66"/>
  <c r="B27" i="66"/>
  <c r="B88" i="46"/>
  <c r="L6" i="62"/>
  <c r="N25" i="61"/>
  <c r="C37" i="42" l="1"/>
  <c r="B38" i="42"/>
  <c r="B39" i="42" s="1"/>
  <c r="D27" i="66"/>
  <c r="F27" i="66" s="1"/>
  <c r="C27" i="66"/>
  <c r="E27" i="66" s="1"/>
  <c r="D37" i="42"/>
  <c r="G14" i="66"/>
  <c r="H14" i="66" s="1"/>
  <c r="G12" i="66"/>
  <c r="H12" i="66" s="1"/>
  <c r="G19" i="66"/>
  <c r="H19" i="66" s="1"/>
  <c r="G7" i="66"/>
  <c r="H7" i="66" s="1"/>
  <c r="G24" i="66"/>
  <c r="H24" i="66" s="1"/>
  <c r="G10" i="66"/>
  <c r="H10" i="66" s="1"/>
  <c r="G13" i="66"/>
  <c r="H13" i="66" s="1"/>
  <c r="G20" i="66"/>
  <c r="H20" i="66" s="1"/>
  <c r="G22" i="66"/>
  <c r="H22" i="66" s="1"/>
  <c r="G26" i="66"/>
  <c r="H26" i="66" s="1"/>
  <c r="G17" i="66"/>
  <c r="H17" i="66" s="1"/>
  <c r="G8" i="66"/>
  <c r="H8" i="66" s="1"/>
  <c r="G9" i="66"/>
  <c r="H9" i="66" s="1"/>
  <c r="G11" i="66"/>
  <c r="H11" i="66" s="1"/>
  <c r="G15" i="66"/>
  <c r="H15" i="66" s="1"/>
  <c r="G18" i="66"/>
  <c r="H18" i="66" s="1"/>
  <c r="G25" i="66"/>
  <c r="H25" i="66" s="1"/>
  <c r="G16" i="66"/>
  <c r="H16" i="66" s="1"/>
  <c r="G23" i="66"/>
  <c r="H23" i="66" s="1"/>
  <c r="G21" i="66"/>
  <c r="H21" i="66" s="1"/>
  <c r="G6" i="66"/>
  <c r="B28" i="66"/>
  <c r="B89" i="46"/>
  <c r="L25" i="61"/>
  <c r="N24" i="61"/>
  <c r="L24" i="61"/>
  <c r="G27" i="66" l="1"/>
  <c r="H27" i="66" s="1"/>
  <c r="C38" i="42"/>
  <c r="H6" i="66"/>
  <c r="E28" i="66"/>
  <c r="F28" i="66"/>
  <c r="B29" i="66"/>
  <c r="B90" i="46"/>
  <c r="D38" i="42" l="1"/>
  <c r="F29" i="66"/>
  <c r="E29" i="66"/>
  <c r="G28" i="66"/>
  <c r="H28" i="66" s="1"/>
  <c r="B30" i="66"/>
  <c r="B91" i="46"/>
  <c r="C39" i="42" l="1"/>
  <c r="D39" i="42" s="1"/>
  <c r="G29" i="66"/>
  <c r="H29" i="66" s="1"/>
  <c r="F30" i="66"/>
  <c r="E30" i="66"/>
  <c r="B31" i="66"/>
  <c r="B92" i="46"/>
  <c r="B8" i="46"/>
  <c r="M8" i="46" l="1"/>
  <c r="I8" i="46"/>
  <c r="E8" i="46"/>
  <c r="L8" i="46"/>
  <c r="H8" i="46"/>
  <c r="D8" i="46"/>
  <c r="O8" i="46"/>
  <c r="K8" i="46"/>
  <c r="G8" i="46"/>
  <c r="C8" i="46"/>
  <c r="N8" i="46"/>
  <c r="J8" i="46"/>
  <c r="F8" i="46"/>
  <c r="G30" i="66"/>
  <c r="H30" i="66" s="1"/>
  <c r="F31" i="66"/>
  <c r="E31" i="66"/>
  <c r="B32" i="66"/>
  <c r="B93" i="46"/>
  <c r="B9" i="46"/>
  <c r="Q8" i="46" l="1"/>
  <c r="L9" i="46"/>
  <c r="H9" i="46"/>
  <c r="D9" i="46"/>
  <c r="O9" i="46"/>
  <c r="K9" i="46"/>
  <c r="G9" i="46"/>
  <c r="C9" i="46"/>
  <c r="N9" i="46"/>
  <c r="J9" i="46"/>
  <c r="F9" i="46"/>
  <c r="M9" i="46"/>
  <c r="I9" i="46"/>
  <c r="E9" i="46"/>
  <c r="P8" i="46"/>
  <c r="G31" i="66"/>
  <c r="H31" i="66" s="1"/>
  <c r="F32" i="66"/>
  <c r="E32" i="66"/>
  <c r="B33" i="66"/>
  <c r="B94" i="46"/>
  <c r="B10" i="46"/>
  <c r="O10" i="46" l="1"/>
  <c r="K10" i="46"/>
  <c r="G10" i="46"/>
  <c r="C10" i="46"/>
  <c r="N10" i="46"/>
  <c r="J10" i="46"/>
  <c r="F10" i="46"/>
  <c r="M10" i="46"/>
  <c r="I10" i="46"/>
  <c r="E10" i="46"/>
  <c r="L10" i="46"/>
  <c r="H10" i="46"/>
  <c r="D10" i="46"/>
  <c r="P9" i="46"/>
  <c r="Q9" i="46"/>
  <c r="G32" i="66"/>
  <c r="H32" i="66" s="1"/>
  <c r="F33" i="66"/>
  <c r="E33" i="66"/>
  <c r="B34" i="66"/>
  <c r="B95" i="46"/>
  <c r="B11" i="46"/>
  <c r="P10" i="46" l="1"/>
  <c r="Q10" i="46"/>
  <c r="N11" i="46"/>
  <c r="J11" i="46"/>
  <c r="F11" i="46"/>
  <c r="M11" i="46"/>
  <c r="I11" i="46"/>
  <c r="E11" i="46"/>
  <c r="L11" i="46"/>
  <c r="H11" i="46"/>
  <c r="D11" i="46"/>
  <c r="O11" i="46"/>
  <c r="K11" i="46"/>
  <c r="G11" i="46"/>
  <c r="C11" i="46"/>
  <c r="G33" i="66"/>
  <c r="H33" i="66" s="1"/>
  <c r="E34" i="66"/>
  <c r="F34" i="66"/>
  <c r="B96" i="46"/>
  <c r="B12" i="46"/>
  <c r="M12" i="46" l="1"/>
  <c r="I12" i="46"/>
  <c r="E12" i="46"/>
  <c r="L12" i="46"/>
  <c r="H12" i="46"/>
  <c r="D12" i="46"/>
  <c r="O12" i="46"/>
  <c r="K12" i="46"/>
  <c r="G12" i="46"/>
  <c r="C12" i="46"/>
  <c r="N12" i="46"/>
  <c r="J12" i="46"/>
  <c r="F12" i="46"/>
  <c r="P11" i="46"/>
  <c r="Q11" i="46"/>
  <c r="G34" i="66"/>
  <c r="H34" i="66" s="1"/>
  <c r="B97" i="46"/>
  <c r="B13" i="46"/>
  <c r="P12" i="46" l="1"/>
  <c r="L13" i="46"/>
  <c r="H13" i="46"/>
  <c r="D13" i="46"/>
  <c r="O13" i="46"/>
  <c r="K13" i="46"/>
  <c r="G13" i="46"/>
  <c r="C13" i="46"/>
  <c r="N13" i="46"/>
  <c r="J13" i="46"/>
  <c r="F13" i="46"/>
  <c r="M13" i="46"/>
  <c r="I13" i="46"/>
  <c r="E13" i="46"/>
  <c r="Q12" i="46"/>
  <c r="H42" i="66"/>
  <c r="B98" i="46"/>
  <c r="B14" i="46"/>
  <c r="P13" i="46" l="1"/>
  <c r="O14" i="46"/>
  <c r="K14" i="46"/>
  <c r="G14" i="46"/>
  <c r="C14" i="46"/>
  <c r="N14" i="46"/>
  <c r="J14" i="46"/>
  <c r="F14" i="46"/>
  <c r="M14" i="46"/>
  <c r="I14" i="46"/>
  <c r="E14" i="46"/>
  <c r="L14" i="46"/>
  <c r="H14" i="46"/>
  <c r="D14" i="46"/>
  <c r="Q13" i="46"/>
  <c r="B99" i="46"/>
  <c r="B15" i="46"/>
  <c r="Q14" i="46" l="1"/>
  <c r="N15" i="46"/>
  <c r="J15" i="46"/>
  <c r="F15" i="46"/>
  <c r="M15" i="46"/>
  <c r="I15" i="46"/>
  <c r="E15" i="46"/>
  <c r="L15" i="46"/>
  <c r="H15" i="46"/>
  <c r="D15" i="46"/>
  <c r="O15" i="46"/>
  <c r="K15" i="46"/>
  <c r="G15" i="46"/>
  <c r="C15" i="46"/>
  <c r="P14" i="46"/>
  <c r="B100" i="46"/>
  <c r="B16" i="46"/>
  <c r="Q15" i="46" l="1"/>
  <c r="P15" i="46"/>
  <c r="M16" i="46"/>
  <c r="I16" i="46"/>
  <c r="E16" i="46"/>
  <c r="L16" i="46"/>
  <c r="H16" i="46"/>
  <c r="D16" i="46"/>
  <c r="O16" i="46"/>
  <c r="K16" i="46"/>
  <c r="G16" i="46"/>
  <c r="C16" i="46"/>
  <c r="N16" i="46"/>
  <c r="J16" i="46"/>
  <c r="F16" i="46"/>
  <c r="B101" i="46"/>
  <c r="B17" i="46"/>
  <c r="P16" i="46" l="1"/>
  <c r="Q16" i="46"/>
  <c r="L17" i="46"/>
  <c r="H17" i="46"/>
  <c r="D17" i="46"/>
  <c r="O17" i="46"/>
  <c r="K17" i="46"/>
  <c r="G17" i="46"/>
  <c r="M17" i="46"/>
  <c r="E17" i="46"/>
  <c r="J17" i="46"/>
  <c r="C17" i="46"/>
  <c r="I17" i="46"/>
  <c r="N17" i="46"/>
  <c r="F17" i="46"/>
  <c r="B102" i="46"/>
  <c r="B18" i="46"/>
  <c r="O18" i="46" l="1"/>
  <c r="K18" i="46"/>
  <c r="G18" i="46"/>
  <c r="C18" i="46"/>
  <c r="N18" i="46"/>
  <c r="J18" i="46"/>
  <c r="F18" i="46"/>
  <c r="H18" i="46"/>
  <c r="M18" i="46"/>
  <c r="E18" i="46"/>
  <c r="L18" i="46"/>
  <c r="D18" i="46"/>
  <c r="I18" i="46"/>
  <c r="P17" i="46"/>
  <c r="Q17" i="46"/>
  <c r="B103" i="46"/>
  <c r="B19" i="46"/>
  <c r="N19" i="46" l="1"/>
  <c r="J19" i="46"/>
  <c r="F19" i="46"/>
  <c r="M19" i="46"/>
  <c r="I19" i="46"/>
  <c r="E19" i="46"/>
  <c r="K19" i="46"/>
  <c r="C19" i="46"/>
  <c r="H19" i="46"/>
  <c r="O19" i="46"/>
  <c r="G19" i="46"/>
  <c r="L19" i="46"/>
  <c r="D19" i="46"/>
  <c r="P18" i="46"/>
  <c r="Q18" i="46"/>
  <c r="B104" i="46"/>
  <c r="B20" i="46"/>
  <c r="P19" i="46" l="1"/>
  <c r="Q19" i="46"/>
  <c r="M20" i="46"/>
  <c r="I20" i="46"/>
  <c r="E20" i="46"/>
  <c r="L20" i="46"/>
  <c r="H20" i="46"/>
  <c r="D20" i="46"/>
  <c r="N20" i="46"/>
  <c r="F20" i="46"/>
  <c r="K20" i="46"/>
  <c r="C20" i="46"/>
  <c r="J20" i="46"/>
  <c r="O20" i="46"/>
  <c r="G20" i="46"/>
  <c r="B105" i="46"/>
  <c r="Q20" i="46" l="1"/>
  <c r="P20" i="46"/>
  <c r="B106" i="46"/>
  <c r="B107" i="46" l="1"/>
  <c r="B108" i="46" l="1"/>
  <c r="B109" i="46" l="1"/>
  <c r="B110" i="46" l="1"/>
  <c r="B111" i="46" l="1"/>
  <c r="B112" i="46" l="1"/>
  <c r="B50" i="46" l="1"/>
  <c r="O50" i="46" l="1"/>
  <c r="K50" i="46"/>
  <c r="G50" i="46"/>
  <c r="C50" i="46"/>
  <c r="N50" i="46"/>
  <c r="J50" i="46"/>
  <c r="F50" i="46"/>
  <c r="L50" i="46"/>
  <c r="D50" i="46"/>
  <c r="I50" i="46"/>
  <c r="H50" i="46"/>
  <c r="M50" i="46"/>
  <c r="E50" i="46"/>
  <c r="B51" i="46"/>
  <c r="N51" i="46" l="1"/>
  <c r="J51" i="46"/>
  <c r="F51" i="46"/>
  <c r="M51" i="46"/>
  <c r="I51" i="46"/>
  <c r="E51" i="46"/>
  <c r="O51" i="46"/>
  <c r="G51" i="46"/>
  <c r="L51" i="46"/>
  <c r="D51" i="46"/>
  <c r="K51" i="46"/>
  <c r="C51" i="46"/>
  <c r="H51" i="46"/>
  <c r="Q50" i="46"/>
  <c r="P50" i="46"/>
  <c r="B52" i="46"/>
  <c r="M52" i="46" l="1"/>
  <c r="I52" i="46"/>
  <c r="E52" i="46"/>
  <c r="L52" i="46"/>
  <c r="H52" i="46"/>
  <c r="D52" i="46"/>
  <c r="O52" i="46"/>
  <c r="K52" i="46"/>
  <c r="G52" i="46"/>
  <c r="N52" i="46"/>
  <c r="J52" i="46"/>
  <c r="F52" i="46"/>
  <c r="C52" i="46"/>
  <c r="P51" i="46"/>
  <c r="Q51" i="46"/>
  <c r="B53" i="46"/>
  <c r="D22" i="28"/>
  <c r="D8" i="28"/>
  <c r="P52" i="46" l="1"/>
  <c r="L53" i="46"/>
  <c r="H53" i="46"/>
  <c r="D53" i="46"/>
  <c r="O53" i="46"/>
  <c r="K53" i="46"/>
  <c r="G53" i="46"/>
  <c r="C53" i="46"/>
  <c r="N53" i="46"/>
  <c r="J53" i="46"/>
  <c r="F53" i="46"/>
  <c r="M53" i="46"/>
  <c r="I53" i="46"/>
  <c r="E53" i="46"/>
  <c r="Q52" i="46"/>
  <c r="B6" i="67"/>
  <c r="D9" i="28"/>
  <c r="B54" i="46"/>
  <c r="B6" i="60"/>
  <c r="B6" i="59"/>
  <c r="B6" i="64"/>
  <c r="B6" i="63"/>
  <c r="B6" i="62"/>
  <c r="B6" i="61"/>
  <c r="B6" i="30"/>
  <c r="Q53" i="46" l="1"/>
  <c r="P53" i="46"/>
  <c r="O54" i="46"/>
  <c r="K54" i="46"/>
  <c r="G54" i="46"/>
  <c r="C54" i="46"/>
  <c r="N54" i="46"/>
  <c r="J54" i="46"/>
  <c r="F54" i="46"/>
  <c r="M54" i="46"/>
  <c r="I54" i="46"/>
  <c r="E54" i="46"/>
  <c r="D54" i="46"/>
  <c r="L54" i="46"/>
  <c r="H54" i="46"/>
  <c r="D6" i="67" a="1"/>
  <c r="D6" i="67" s="1"/>
  <c r="C6" i="67" a="1"/>
  <c r="C6" i="67" s="1"/>
  <c r="C6" i="30"/>
  <c r="D6" i="30"/>
  <c r="B7" i="67"/>
  <c r="C6" i="62"/>
  <c r="E6" i="62" s="1"/>
  <c r="D6" i="62"/>
  <c r="F6" i="62" s="1"/>
  <c r="I27" i="42"/>
  <c r="J27" i="42" s="1"/>
  <c r="D6" i="60"/>
  <c r="F6" i="60" s="1"/>
  <c r="C6" i="60"/>
  <c r="E6" i="60" s="1"/>
  <c r="C6" i="63"/>
  <c r="E6" i="63" s="1"/>
  <c r="D6" i="63"/>
  <c r="F6" i="63" s="1"/>
  <c r="C6" i="61"/>
  <c r="E6" i="61" s="1"/>
  <c r="D6" i="61"/>
  <c r="F6" i="61" s="1"/>
  <c r="B55" i="46"/>
  <c r="B7" i="64"/>
  <c r="B7" i="59"/>
  <c r="B7" i="60"/>
  <c r="B7" i="61"/>
  <c r="B7" i="62"/>
  <c r="B7" i="63"/>
  <c r="Q54" i="46" l="1"/>
  <c r="N55" i="46"/>
  <c r="J55" i="46"/>
  <c r="F55" i="46"/>
  <c r="M55" i="46"/>
  <c r="I55" i="46"/>
  <c r="E55" i="46"/>
  <c r="L55" i="46"/>
  <c r="H55" i="46"/>
  <c r="D55" i="46"/>
  <c r="G55" i="46"/>
  <c r="C55" i="46"/>
  <c r="O55" i="46"/>
  <c r="K55" i="46"/>
  <c r="P54" i="46"/>
  <c r="E36" i="42"/>
  <c r="E37" i="42"/>
  <c r="E17" i="42"/>
  <c r="E13" i="42"/>
  <c r="E9" i="42"/>
  <c r="E16" i="42"/>
  <c r="E8" i="42"/>
  <c r="E7" i="42"/>
  <c r="E10" i="42"/>
  <c r="E12" i="42"/>
  <c r="E18" i="42"/>
  <c r="E6" i="42"/>
  <c r="E15" i="42"/>
  <c r="E11" i="42"/>
  <c r="E14" i="42"/>
  <c r="E6" i="30"/>
  <c r="C7" i="67" a="1"/>
  <c r="C7" i="67" s="1"/>
  <c r="D7" i="67" a="1"/>
  <c r="D7" i="67" s="1"/>
  <c r="G6" i="62"/>
  <c r="B8" i="67"/>
  <c r="D7" i="62"/>
  <c r="F7" i="62" s="1"/>
  <c r="C7" i="62"/>
  <c r="E7" i="62" s="1"/>
  <c r="G6" i="60"/>
  <c r="F6" i="64"/>
  <c r="H6" i="64" s="1"/>
  <c r="L6" i="64" s="1"/>
  <c r="K27" i="42"/>
  <c r="C7" i="63"/>
  <c r="E7" i="63" s="1"/>
  <c r="D7" i="63"/>
  <c r="F7" i="63" s="1"/>
  <c r="C7" i="60"/>
  <c r="E7" i="60" s="1"/>
  <c r="D7" i="60"/>
  <c r="F7" i="60" s="1"/>
  <c r="D7" i="61"/>
  <c r="F7" i="61" s="1"/>
  <c r="C7" i="61"/>
  <c r="E7" i="61" s="1"/>
  <c r="B56" i="46"/>
  <c r="B8" i="64"/>
  <c r="B8" i="59"/>
  <c r="G6" i="61"/>
  <c r="G6" i="63"/>
  <c r="B8" i="61"/>
  <c r="B8" i="62"/>
  <c r="B8" i="60"/>
  <c r="B8" i="63"/>
  <c r="Q55" i="46" l="1"/>
  <c r="P55" i="46"/>
  <c r="M56" i="46"/>
  <c r="I56" i="46"/>
  <c r="E56" i="46"/>
  <c r="L56" i="46"/>
  <c r="H56" i="46"/>
  <c r="D56" i="46"/>
  <c r="O56" i="46"/>
  <c r="K56" i="46"/>
  <c r="G56" i="46"/>
  <c r="C56" i="46"/>
  <c r="J56" i="46"/>
  <c r="F56" i="46"/>
  <c r="N56" i="46"/>
  <c r="E19" i="42"/>
  <c r="D8" i="67" a="1"/>
  <c r="D8" i="67" s="1"/>
  <c r="C8" i="67" a="1"/>
  <c r="C8" i="67" s="1"/>
  <c r="G7" i="62"/>
  <c r="B9" i="67"/>
  <c r="D8" i="62"/>
  <c r="F8" i="62" s="1"/>
  <c r="C8" i="62"/>
  <c r="E8" i="62" s="1"/>
  <c r="G7" i="60"/>
  <c r="H6" i="60"/>
  <c r="H6" i="61"/>
  <c r="H6" i="62"/>
  <c r="H6" i="63"/>
  <c r="F7" i="64"/>
  <c r="G7" i="64" s="1"/>
  <c r="C8" i="60"/>
  <c r="E8" i="60" s="1"/>
  <c r="D8" i="60"/>
  <c r="F8" i="60" s="1"/>
  <c r="D8" i="63"/>
  <c r="F8" i="63" s="1"/>
  <c r="C8" i="63"/>
  <c r="E8" i="63" s="1"/>
  <c r="C8" i="61"/>
  <c r="E8" i="61" s="1"/>
  <c r="D8" i="61"/>
  <c r="F8" i="61" s="1"/>
  <c r="B57" i="46"/>
  <c r="C6" i="64"/>
  <c r="D6" i="64" s="1"/>
  <c r="I6" i="64"/>
  <c r="G6" i="64"/>
  <c r="B9" i="59"/>
  <c r="B9" i="64"/>
  <c r="G7" i="63"/>
  <c r="B9" i="63"/>
  <c r="B9" i="62"/>
  <c r="B9" i="61"/>
  <c r="B9" i="60"/>
  <c r="G7" i="61"/>
  <c r="P56" i="46" l="1"/>
  <c r="Q56" i="46"/>
  <c r="L57" i="46"/>
  <c r="H57" i="46"/>
  <c r="D57" i="46"/>
  <c r="O57" i="46"/>
  <c r="K57" i="46"/>
  <c r="G57" i="46"/>
  <c r="C57" i="46"/>
  <c r="N57" i="46"/>
  <c r="J57" i="46"/>
  <c r="F57" i="46"/>
  <c r="M57" i="46"/>
  <c r="I57" i="46"/>
  <c r="E57" i="46"/>
  <c r="Q57" i="46" s="1"/>
  <c r="E20" i="42"/>
  <c r="E6" i="64"/>
  <c r="C9" i="67" a="1"/>
  <c r="C9" i="67" s="1"/>
  <c r="D9" i="67" a="1"/>
  <c r="D9" i="67" s="1"/>
  <c r="G8" i="62"/>
  <c r="B10" i="67"/>
  <c r="D9" i="62"/>
  <c r="F9" i="62" s="1"/>
  <c r="C9" i="62"/>
  <c r="E9" i="62" s="1"/>
  <c r="G8" i="60"/>
  <c r="H7" i="61"/>
  <c r="H7" i="60"/>
  <c r="H7" i="62"/>
  <c r="H7" i="63"/>
  <c r="F8" i="64"/>
  <c r="H8" i="64" s="1"/>
  <c r="L8" i="64" s="1"/>
  <c r="D9" i="60"/>
  <c r="F9" i="60" s="1"/>
  <c r="C9" i="60"/>
  <c r="E9" i="60" s="1"/>
  <c r="C9" i="63"/>
  <c r="E9" i="63" s="1"/>
  <c r="D9" i="63"/>
  <c r="F9" i="63" s="1"/>
  <c r="D9" i="61"/>
  <c r="F9" i="61" s="1"/>
  <c r="C9" i="61"/>
  <c r="E9" i="61" s="1"/>
  <c r="J7" i="64"/>
  <c r="K7" i="64"/>
  <c r="K6" i="64"/>
  <c r="J6" i="64"/>
  <c r="B58" i="46"/>
  <c r="C7" i="64"/>
  <c r="D7" i="64" s="1"/>
  <c r="E7" i="64" s="1"/>
  <c r="I7" i="64"/>
  <c r="H7" i="64"/>
  <c r="L7" i="64" s="1"/>
  <c r="B10" i="64"/>
  <c r="B10" i="59"/>
  <c r="G8" i="61"/>
  <c r="G8" i="63"/>
  <c r="B10" i="60"/>
  <c r="B10" i="61"/>
  <c r="B10" i="62"/>
  <c r="B10" i="63"/>
  <c r="P57" i="46" l="1"/>
  <c r="O58" i="46"/>
  <c r="K58" i="46"/>
  <c r="G58" i="46"/>
  <c r="C58" i="46"/>
  <c r="N58" i="46"/>
  <c r="J58" i="46"/>
  <c r="F58" i="46"/>
  <c r="M58" i="46"/>
  <c r="I58" i="46"/>
  <c r="E58" i="46"/>
  <c r="L58" i="46"/>
  <c r="H58" i="46"/>
  <c r="D58" i="46"/>
  <c r="E21" i="42"/>
  <c r="D10" i="67" a="1"/>
  <c r="D10" i="67" s="1"/>
  <c r="C10" i="67" a="1"/>
  <c r="C10" i="67" s="1"/>
  <c r="G9" i="62"/>
  <c r="C10" i="62"/>
  <c r="E10" i="62" s="1"/>
  <c r="D10" i="62"/>
  <c r="F10" i="62" s="1"/>
  <c r="B11" i="67"/>
  <c r="G9" i="60"/>
  <c r="H8" i="62"/>
  <c r="H8" i="61"/>
  <c r="H8" i="60"/>
  <c r="H8" i="63"/>
  <c r="B59" i="46"/>
  <c r="F9" i="64"/>
  <c r="I9" i="64" s="1"/>
  <c r="D10" i="60"/>
  <c r="F10" i="60" s="1"/>
  <c r="C10" i="60"/>
  <c r="E10" i="60" s="1"/>
  <c r="D10" i="63"/>
  <c r="F10" i="63" s="1"/>
  <c r="C10" i="63"/>
  <c r="E10" i="63" s="1"/>
  <c r="C10" i="61"/>
  <c r="E10" i="61" s="1"/>
  <c r="D10" i="61"/>
  <c r="F10" i="61" s="1"/>
  <c r="M6" i="64"/>
  <c r="M7" i="64"/>
  <c r="G8" i="64"/>
  <c r="C8" i="64"/>
  <c r="D8" i="64" s="1"/>
  <c r="E8" i="64" s="1"/>
  <c r="I8" i="64"/>
  <c r="B11" i="64"/>
  <c r="B11" i="59"/>
  <c r="G9" i="61"/>
  <c r="B11" i="61"/>
  <c r="B11" i="63"/>
  <c r="G9" i="63"/>
  <c r="B11" i="62"/>
  <c r="B11" i="60"/>
  <c r="Q58" i="46" l="1"/>
  <c r="N59" i="46"/>
  <c r="J59" i="46"/>
  <c r="F59" i="46"/>
  <c r="M59" i="46"/>
  <c r="I59" i="46"/>
  <c r="E59" i="46"/>
  <c r="L59" i="46"/>
  <c r="H59" i="46"/>
  <c r="D59" i="46"/>
  <c r="C59" i="46"/>
  <c r="O59" i="46"/>
  <c r="K59" i="46"/>
  <c r="G59" i="46"/>
  <c r="P58" i="46"/>
  <c r="E22" i="42"/>
  <c r="C11" i="67" a="1"/>
  <c r="C11" i="67" s="1"/>
  <c r="D11" i="67" a="1"/>
  <c r="D11" i="67" s="1"/>
  <c r="G10" i="62"/>
  <c r="D11" i="62"/>
  <c r="F11" i="62" s="1"/>
  <c r="C11" i="62"/>
  <c r="E11" i="62" s="1"/>
  <c r="B12" i="67"/>
  <c r="G10" i="60"/>
  <c r="H10" i="60" s="1"/>
  <c r="B60" i="46"/>
  <c r="H9" i="61"/>
  <c r="O6" i="64"/>
  <c r="H9" i="62"/>
  <c r="H9" i="63"/>
  <c r="H9" i="60"/>
  <c r="F10" i="64"/>
  <c r="H10" i="64" s="1"/>
  <c r="L10" i="64" s="1"/>
  <c r="B12" i="64"/>
  <c r="C11" i="60"/>
  <c r="E11" i="60" s="1"/>
  <c r="D11" i="60"/>
  <c r="F11" i="60" s="1"/>
  <c r="C11" i="63"/>
  <c r="E11" i="63" s="1"/>
  <c r="D11" i="63"/>
  <c r="F11" i="63" s="1"/>
  <c r="C11" i="61"/>
  <c r="D11" i="61"/>
  <c r="F11" i="61" s="1"/>
  <c r="N6" i="64"/>
  <c r="P6" i="64" s="1"/>
  <c r="K8" i="64"/>
  <c r="J8" i="64"/>
  <c r="O7" i="64"/>
  <c r="N7" i="64"/>
  <c r="P7" i="64" s="1"/>
  <c r="H9" i="64"/>
  <c r="L9" i="64" s="1"/>
  <c r="C9" i="64"/>
  <c r="D9" i="64" s="1"/>
  <c r="E9" i="64" s="1"/>
  <c r="G9" i="64"/>
  <c r="B12" i="59"/>
  <c r="G10" i="63"/>
  <c r="B12" i="62"/>
  <c r="B12" i="61"/>
  <c r="B12" i="63"/>
  <c r="B12" i="60"/>
  <c r="G10" i="61"/>
  <c r="M60" i="46" l="1"/>
  <c r="I60" i="46"/>
  <c r="E60" i="46"/>
  <c r="L60" i="46"/>
  <c r="H60" i="46"/>
  <c r="D60" i="46"/>
  <c r="O60" i="46"/>
  <c r="K60" i="46"/>
  <c r="G60" i="46"/>
  <c r="C60" i="46"/>
  <c r="F60" i="46"/>
  <c r="N60" i="46"/>
  <c r="J60" i="46"/>
  <c r="Q59" i="46"/>
  <c r="P59" i="46"/>
  <c r="E23" i="42"/>
  <c r="D12" i="67" a="1"/>
  <c r="D12" i="67" s="1"/>
  <c r="C12" i="67" a="1"/>
  <c r="C12" i="67" s="1"/>
  <c r="G11" i="62"/>
  <c r="H11" i="62" s="1"/>
  <c r="B13" i="67"/>
  <c r="D12" i="62"/>
  <c r="F12" i="62" s="1"/>
  <c r="C12" i="62"/>
  <c r="E12" i="62" s="1"/>
  <c r="B61" i="46"/>
  <c r="G11" i="60"/>
  <c r="H11" i="60" s="1"/>
  <c r="H10" i="61"/>
  <c r="H10" i="63"/>
  <c r="H10" i="62"/>
  <c r="B13" i="64"/>
  <c r="F11" i="64"/>
  <c r="C12" i="60"/>
  <c r="E12" i="60" s="1"/>
  <c r="D12" i="60"/>
  <c r="F12" i="60" s="1"/>
  <c r="D12" i="63"/>
  <c r="F12" i="63" s="1"/>
  <c r="C12" i="63"/>
  <c r="E12" i="63" s="1"/>
  <c r="C12" i="61"/>
  <c r="D12" i="61"/>
  <c r="F12" i="61" s="1"/>
  <c r="M8" i="64"/>
  <c r="J9" i="64"/>
  <c r="K9" i="64"/>
  <c r="G10" i="64"/>
  <c r="C10" i="64"/>
  <c r="D10" i="64" s="1"/>
  <c r="E10" i="64" s="1"/>
  <c r="I10" i="64"/>
  <c r="B13" i="59"/>
  <c r="E11" i="61"/>
  <c r="G11" i="61" s="1"/>
  <c r="H11" i="61" s="1"/>
  <c r="G11" i="63"/>
  <c r="H11" i="63" s="1"/>
  <c r="B13" i="60"/>
  <c r="B13" i="63"/>
  <c r="B13" i="61"/>
  <c r="B13" i="62"/>
  <c r="Q60" i="46" l="1"/>
  <c r="L61" i="46"/>
  <c r="H61" i="46"/>
  <c r="D61" i="46"/>
  <c r="O61" i="46"/>
  <c r="K61" i="46"/>
  <c r="G61" i="46"/>
  <c r="C61" i="46"/>
  <c r="N61" i="46"/>
  <c r="J61" i="46"/>
  <c r="F61" i="46"/>
  <c r="I61" i="46"/>
  <c r="E61" i="46"/>
  <c r="M61" i="46"/>
  <c r="P60" i="46"/>
  <c r="E24" i="42"/>
  <c r="C13" i="67" a="1"/>
  <c r="C13" i="67" s="1"/>
  <c r="D13" i="67" a="1"/>
  <c r="D13" i="67" s="1"/>
  <c r="G12" i="62"/>
  <c r="H12" i="62" s="1"/>
  <c r="B14" i="67"/>
  <c r="D13" i="62"/>
  <c r="F13" i="62" s="1"/>
  <c r="C13" i="62"/>
  <c r="E13" i="62" s="1"/>
  <c r="B62" i="46"/>
  <c r="G12" i="60"/>
  <c r="H12" i="60" s="1"/>
  <c r="O8" i="64"/>
  <c r="B14" i="64"/>
  <c r="C13" i="63"/>
  <c r="E13" i="63" s="1"/>
  <c r="D13" i="63"/>
  <c r="F13" i="63" s="1"/>
  <c r="D13" i="60"/>
  <c r="F13" i="60" s="1"/>
  <c r="C13" i="60"/>
  <c r="E13" i="60" s="1"/>
  <c r="N8" i="64"/>
  <c r="P8" i="64" s="1"/>
  <c r="D13" i="61"/>
  <c r="F13" i="61" s="1"/>
  <c r="C13" i="61"/>
  <c r="F12" i="64"/>
  <c r="J10" i="64"/>
  <c r="K10" i="64"/>
  <c r="M9" i="64"/>
  <c r="B14" i="59"/>
  <c r="I11" i="64"/>
  <c r="C11" i="64"/>
  <c r="D11" i="64" s="1"/>
  <c r="E11" i="64" s="1"/>
  <c r="G11" i="64"/>
  <c r="H11" i="64"/>
  <c r="L11" i="64" s="1"/>
  <c r="E12" i="61"/>
  <c r="G12" i="61" s="1"/>
  <c r="H12" i="61" s="1"/>
  <c r="B14" i="60"/>
  <c r="B14" i="63"/>
  <c r="B14" i="62"/>
  <c r="B14" i="61"/>
  <c r="G12" i="63"/>
  <c r="H12" i="63" s="1"/>
  <c r="P61" i="46" l="1"/>
  <c r="O62" i="46"/>
  <c r="K62" i="46"/>
  <c r="G62" i="46"/>
  <c r="C62" i="46"/>
  <c r="N62" i="46"/>
  <c r="J62" i="46"/>
  <c r="F62" i="46"/>
  <c r="M62" i="46"/>
  <c r="I62" i="46"/>
  <c r="E62" i="46"/>
  <c r="L62" i="46"/>
  <c r="H62" i="46"/>
  <c r="D62" i="46"/>
  <c r="Q61" i="46"/>
  <c r="E25" i="42"/>
  <c r="D14" i="67" a="1"/>
  <c r="D14" i="67" s="1"/>
  <c r="C14" i="67" a="1"/>
  <c r="C14" i="67" s="1"/>
  <c r="G13" i="62"/>
  <c r="H13" i="62" s="1"/>
  <c r="C14" i="62"/>
  <c r="E14" i="62" s="1"/>
  <c r="D14" i="62"/>
  <c r="F14" i="62" s="1"/>
  <c r="B15" i="67"/>
  <c r="G13" i="60"/>
  <c r="H13" i="60" s="1"/>
  <c r="B15" i="64"/>
  <c r="D14" i="63"/>
  <c r="F14" i="63" s="1"/>
  <c r="C14" i="63"/>
  <c r="E14" i="63" s="1"/>
  <c r="D14" i="60"/>
  <c r="F14" i="60" s="1"/>
  <c r="C14" i="60"/>
  <c r="E14" i="60" s="1"/>
  <c r="F13" i="64"/>
  <c r="C14" i="61"/>
  <c r="D14" i="61"/>
  <c r="F14" i="61" s="1"/>
  <c r="K11" i="64"/>
  <c r="J11" i="64"/>
  <c r="N9" i="64"/>
  <c r="P9" i="64" s="1"/>
  <c r="O9" i="64"/>
  <c r="M10" i="64"/>
  <c r="B15" i="59"/>
  <c r="H12" i="64"/>
  <c r="L12" i="64" s="1"/>
  <c r="I12" i="64"/>
  <c r="C12" i="64"/>
  <c r="D12" i="64" s="1"/>
  <c r="E12" i="64" s="1"/>
  <c r="G12" i="64"/>
  <c r="E13" i="61"/>
  <c r="G13" i="61" s="1"/>
  <c r="H13" i="61" s="1"/>
  <c r="G13" i="63"/>
  <c r="H13" i="63" s="1"/>
  <c r="B15" i="61"/>
  <c r="B15" i="62"/>
  <c r="B15" i="63"/>
  <c r="B15" i="60"/>
  <c r="Q62" i="46" l="1"/>
  <c r="P62" i="46"/>
  <c r="E26" i="42"/>
  <c r="C15" i="67" a="1"/>
  <c r="C15" i="67" s="1"/>
  <c r="D15" i="67" a="1"/>
  <c r="D15" i="67" s="1"/>
  <c r="G14" i="62"/>
  <c r="H14" i="62" s="1"/>
  <c r="B16" i="67"/>
  <c r="G14" i="60"/>
  <c r="H14" i="60" s="1"/>
  <c r="B16" i="64"/>
  <c r="C15" i="63"/>
  <c r="E15" i="63" s="1"/>
  <c r="D15" i="63"/>
  <c r="F15" i="63" s="1"/>
  <c r="C15" i="62"/>
  <c r="E15" i="62" s="1"/>
  <c r="D15" i="62"/>
  <c r="F15" i="62" s="1"/>
  <c r="C15" i="60"/>
  <c r="E15" i="60" s="1"/>
  <c r="D15" i="60"/>
  <c r="F15" i="60" s="1"/>
  <c r="F14" i="64"/>
  <c r="C15" i="61"/>
  <c r="D15" i="61"/>
  <c r="F15" i="61" s="1"/>
  <c r="M11" i="64"/>
  <c r="N11" i="64" s="1"/>
  <c r="P11" i="64" s="1"/>
  <c r="K12" i="64"/>
  <c r="J12" i="64"/>
  <c r="O10" i="64"/>
  <c r="N10" i="64"/>
  <c r="P10" i="64" s="1"/>
  <c r="B16" i="59"/>
  <c r="E14" i="61"/>
  <c r="G14" i="61" s="1"/>
  <c r="H14" i="61" s="1"/>
  <c r="H13" i="64"/>
  <c r="L13" i="64" s="1"/>
  <c r="G13" i="64"/>
  <c r="I13" i="64"/>
  <c r="C13" i="64"/>
  <c r="D13" i="64" s="1"/>
  <c r="E13" i="64" s="1"/>
  <c r="B16" i="63"/>
  <c r="B16" i="61"/>
  <c r="B16" i="60"/>
  <c r="G14" i="63"/>
  <c r="H14" i="63" s="1"/>
  <c r="B16" i="62"/>
  <c r="E27" i="42" l="1"/>
  <c r="D16" i="67" a="1"/>
  <c r="D16" i="67" s="1"/>
  <c r="C16" i="67" a="1"/>
  <c r="C16" i="67" s="1"/>
  <c r="G15" i="62"/>
  <c r="H15" i="62" s="1"/>
  <c r="E15" i="67"/>
  <c r="B17" i="67"/>
  <c r="G15" i="60"/>
  <c r="H15" i="60" s="1"/>
  <c r="B17" i="64"/>
  <c r="D16" i="62"/>
  <c r="F16" i="62" s="1"/>
  <c r="C16" i="62"/>
  <c r="E16" i="62" s="1"/>
  <c r="D16" i="63"/>
  <c r="F16" i="63" s="1"/>
  <c r="C16" i="63"/>
  <c r="E16" i="63" s="1"/>
  <c r="C16" i="60"/>
  <c r="E16" i="60" s="1"/>
  <c r="D16" i="60"/>
  <c r="F16" i="60" s="1"/>
  <c r="O11" i="64"/>
  <c r="M12" i="64"/>
  <c r="N12" i="64" s="1"/>
  <c r="P12" i="64" s="1"/>
  <c r="C16" i="61"/>
  <c r="D16" i="61"/>
  <c r="F16" i="61" s="1"/>
  <c r="F15" i="64"/>
  <c r="J13" i="64"/>
  <c r="K13" i="64"/>
  <c r="B17" i="59"/>
  <c r="E15" i="61"/>
  <c r="G15" i="61" s="1"/>
  <c r="H15" i="61" s="1"/>
  <c r="G14" i="64"/>
  <c r="C14" i="64"/>
  <c r="D14" i="64" s="1"/>
  <c r="E14" i="64" s="1"/>
  <c r="H14" i="64"/>
  <c r="L14" i="64" s="1"/>
  <c r="I14" i="64"/>
  <c r="B17" i="63"/>
  <c r="B17" i="62"/>
  <c r="B17" i="60"/>
  <c r="B17" i="61"/>
  <c r="G15" i="63"/>
  <c r="H15" i="63" s="1"/>
  <c r="E28" i="42" l="1"/>
  <c r="C17" i="67" a="1"/>
  <c r="C17" i="67" s="1"/>
  <c r="D17" i="67" a="1"/>
  <c r="D17" i="67" s="1"/>
  <c r="F15" i="67"/>
  <c r="G16" i="62"/>
  <c r="H16" i="62" s="1"/>
  <c r="B18" i="67"/>
  <c r="E16" i="67"/>
  <c r="G16" i="60"/>
  <c r="H16" i="60" s="1"/>
  <c r="B18" i="64"/>
  <c r="C17" i="63"/>
  <c r="E17" i="63" s="1"/>
  <c r="D17" i="63"/>
  <c r="F17" i="63" s="1"/>
  <c r="C17" i="62"/>
  <c r="E17" i="62" s="1"/>
  <c r="D17" i="62"/>
  <c r="F17" i="62" s="1"/>
  <c r="D17" i="60"/>
  <c r="F17" i="60" s="1"/>
  <c r="C17" i="60"/>
  <c r="E17" i="60" s="1"/>
  <c r="O12" i="64"/>
  <c r="F16" i="64"/>
  <c r="D17" i="61"/>
  <c r="F17" i="61" s="1"/>
  <c r="C17" i="61"/>
  <c r="M13" i="64"/>
  <c r="O13" i="64" s="1"/>
  <c r="K14" i="64"/>
  <c r="J14" i="64"/>
  <c r="B18" i="59"/>
  <c r="I15" i="64"/>
  <c r="C15" i="64"/>
  <c r="D15" i="64" s="1"/>
  <c r="E15" i="64" s="1"/>
  <c r="G15" i="64"/>
  <c r="H15" i="64"/>
  <c r="L15" i="64" s="1"/>
  <c r="E16" i="61"/>
  <c r="G16" i="61" s="1"/>
  <c r="H16" i="61" s="1"/>
  <c r="B18" i="63"/>
  <c r="B18" i="62"/>
  <c r="B18" i="61"/>
  <c r="B18" i="60"/>
  <c r="G16" i="63"/>
  <c r="H16" i="63" s="1"/>
  <c r="E29" i="42" l="1"/>
  <c r="D18" i="67" a="1"/>
  <c r="D18" i="67" s="1"/>
  <c r="C18" i="67" a="1"/>
  <c r="C18" i="67" s="1"/>
  <c r="F16" i="67"/>
  <c r="G17" i="62"/>
  <c r="E17" i="67"/>
  <c r="B19" i="67"/>
  <c r="G17" i="60"/>
  <c r="H17" i="60" s="1"/>
  <c r="B19" i="64"/>
  <c r="D18" i="63"/>
  <c r="F18" i="63" s="1"/>
  <c r="C18" i="63"/>
  <c r="E18" i="63" s="1"/>
  <c r="D18" i="60"/>
  <c r="F18" i="60" s="1"/>
  <c r="C18" i="60"/>
  <c r="E18" i="60" s="1"/>
  <c r="D18" i="62"/>
  <c r="F18" i="62" s="1"/>
  <c r="C18" i="62"/>
  <c r="E18" i="62" s="1"/>
  <c r="F17" i="64"/>
  <c r="M14" i="64"/>
  <c r="O14" i="64" s="1"/>
  <c r="N13" i="64"/>
  <c r="P13" i="64" s="1"/>
  <c r="C18" i="61"/>
  <c r="D18" i="61"/>
  <c r="F18" i="61" s="1"/>
  <c r="J15" i="64"/>
  <c r="K15" i="64"/>
  <c r="B19" i="59"/>
  <c r="E17" i="61"/>
  <c r="G17" i="61" s="1"/>
  <c r="H17" i="61" s="1"/>
  <c r="H16" i="64"/>
  <c r="L16" i="64" s="1"/>
  <c r="G16" i="64"/>
  <c r="C16" i="64"/>
  <c r="D16" i="64" s="1"/>
  <c r="E16" i="64" s="1"/>
  <c r="I16" i="64"/>
  <c r="H17" i="62"/>
  <c r="G17" i="63"/>
  <c r="H17" i="63" s="1"/>
  <c r="B19" i="60"/>
  <c r="B19" i="62"/>
  <c r="B19" i="61"/>
  <c r="B19" i="63"/>
  <c r="E30" i="42" l="1"/>
  <c r="C19" i="67" a="1"/>
  <c r="C19" i="67" s="1"/>
  <c r="D19" i="67" a="1"/>
  <c r="D19" i="67" s="1"/>
  <c r="F17" i="67"/>
  <c r="G18" i="62"/>
  <c r="B20" i="67"/>
  <c r="E18" i="67"/>
  <c r="G18" i="60"/>
  <c r="H18" i="60" s="1"/>
  <c r="B20" i="64"/>
  <c r="N14" i="64"/>
  <c r="P14" i="64" s="1"/>
  <c r="C19" i="63"/>
  <c r="E19" i="63" s="1"/>
  <c r="D19" i="63"/>
  <c r="F19" i="63" s="1"/>
  <c r="C19" i="62"/>
  <c r="E19" i="62" s="1"/>
  <c r="D19" i="62"/>
  <c r="F19" i="62" s="1"/>
  <c r="C19" i="60"/>
  <c r="E19" i="60" s="1"/>
  <c r="D19" i="60"/>
  <c r="F19" i="60" s="1"/>
  <c r="C19" i="61"/>
  <c r="D19" i="61"/>
  <c r="F19" i="61" s="1"/>
  <c r="F18" i="64"/>
  <c r="J16" i="64"/>
  <c r="K16" i="64"/>
  <c r="M15" i="64"/>
  <c r="B20" i="59"/>
  <c r="G18" i="63"/>
  <c r="H18" i="63" s="1"/>
  <c r="E18" i="61"/>
  <c r="G18" i="61" s="1"/>
  <c r="H18" i="61" s="1"/>
  <c r="I17" i="64"/>
  <c r="C17" i="64"/>
  <c r="D17" i="64" s="1"/>
  <c r="E17" i="64" s="1"/>
  <c r="H17" i="64"/>
  <c r="L17" i="64" s="1"/>
  <c r="G17" i="64"/>
  <c r="B20" i="63"/>
  <c r="H18" i="62"/>
  <c r="B20" i="62"/>
  <c r="B20" i="61"/>
  <c r="B20" i="60"/>
  <c r="E31" i="42" l="1"/>
  <c r="D20" i="67" a="1"/>
  <c r="D20" i="67" s="1"/>
  <c r="C20" i="67" a="1"/>
  <c r="C20" i="67" s="1"/>
  <c r="F18" i="67"/>
  <c r="G19" i="62"/>
  <c r="H19" i="62" s="1"/>
  <c r="B21" i="67"/>
  <c r="E19" i="67"/>
  <c r="G19" i="60"/>
  <c r="H19" i="60" s="1"/>
  <c r="B21" i="64"/>
  <c r="C20" i="60"/>
  <c r="E20" i="60" s="1"/>
  <c r="D20" i="60"/>
  <c r="F20" i="60" s="1"/>
  <c r="D20" i="62"/>
  <c r="F20" i="62" s="1"/>
  <c r="C20" i="62"/>
  <c r="E20" i="62" s="1"/>
  <c r="D20" i="63"/>
  <c r="F20" i="63" s="1"/>
  <c r="C20" i="63"/>
  <c r="E20" i="63" s="1"/>
  <c r="C20" i="61"/>
  <c r="D20" i="61"/>
  <c r="F20" i="61" s="1"/>
  <c r="F19" i="64"/>
  <c r="M16" i="64"/>
  <c r="K17" i="64"/>
  <c r="J17" i="64"/>
  <c r="O15" i="64"/>
  <c r="N15" i="64"/>
  <c r="P15" i="64" s="1"/>
  <c r="B21" i="59"/>
  <c r="G18" i="64"/>
  <c r="C18" i="64"/>
  <c r="D18" i="64" s="1"/>
  <c r="E18" i="64" s="1"/>
  <c r="H18" i="64"/>
  <c r="L18" i="64" s="1"/>
  <c r="I18" i="64"/>
  <c r="E19" i="61"/>
  <c r="G19" i="61" s="1"/>
  <c r="H19" i="61" s="1"/>
  <c r="G19" i="63"/>
  <c r="H19" i="63" s="1"/>
  <c r="B21" i="61"/>
  <c r="B21" i="62"/>
  <c r="B21" i="60"/>
  <c r="B21" i="63"/>
  <c r="E32" i="42" l="1"/>
  <c r="C21" i="67" a="1"/>
  <c r="C21" i="67" s="1"/>
  <c r="D21" i="67" a="1"/>
  <c r="D21" i="67" s="1"/>
  <c r="F19" i="67"/>
  <c r="G20" i="62"/>
  <c r="H20" i="62" s="1"/>
  <c r="B22" i="67"/>
  <c r="E20" i="67"/>
  <c r="G20" i="60"/>
  <c r="H20" i="60" s="1"/>
  <c r="B22" i="64"/>
  <c r="C21" i="62"/>
  <c r="E21" i="62" s="1"/>
  <c r="D21" i="62"/>
  <c r="F21" i="62" s="1"/>
  <c r="C21" i="63"/>
  <c r="E21" i="63" s="1"/>
  <c r="D21" i="63"/>
  <c r="F21" i="63" s="1"/>
  <c r="D21" i="60"/>
  <c r="F21" i="60" s="1"/>
  <c r="C21" i="60"/>
  <c r="E21" i="60" s="1"/>
  <c r="D21" i="61"/>
  <c r="F21" i="61" s="1"/>
  <c r="C21" i="61"/>
  <c r="M17" i="64"/>
  <c r="N17" i="64" s="1"/>
  <c r="P17" i="64" s="1"/>
  <c r="F20" i="64"/>
  <c r="J18" i="64"/>
  <c r="K18" i="64"/>
  <c r="O16" i="64"/>
  <c r="N16" i="64"/>
  <c r="P16" i="64" s="1"/>
  <c r="B22" i="59"/>
  <c r="E20" i="61"/>
  <c r="G20" i="61" s="1"/>
  <c r="H20" i="61" s="1"/>
  <c r="I19" i="64"/>
  <c r="C19" i="64"/>
  <c r="D19" i="64" s="1"/>
  <c r="E19" i="64" s="1"/>
  <c r="G19" i="64"/>
  <c r="H19" i="64"/>
  <c r="L19" i="64" s="1"/>
  <c r="B22" i="61"/>
  <c r="B22" i="63"/>
  <c r="B22" i="60"/>
  <c r="B22" i="62"/>
  <c r="G20" i="63"/>
  <c r="H20" i="63" s="1"/>
  <c r="E33" i="42" l="1"/>
  <c r="D22" i="67" a="1"/>
  <c r="D22" i="67" s="1"/>
  <c r="C22" i="67" a="1"/>
  <c r="C22" i="67" s="1"/>
  <c r="F20" i="67"/>
  <c r="G21" i="62"/>
  <c r="H21" i="62" s="1"/>
  <c r="B23" i="67"/>
  <c r="E21" i="67"/>
  <c r="G21" i="60"/>
  <c r="H21" i="60" s="1"/>
  <c r="B23" i="64"/>
  <c r="F21" i="64"/>
  <c r="D22" i="60"/>
  <c r="F22" i="60" s="1"/>
  <c r="C22" i="60"/>
  <c r="E22" i="60" s="1"/>
  <c r="D22" i="62"/>
  <c r="F22" i="62" s="1"/>
  <c r="C22" i="62"/>
  <c r="E22" i="62" s="1"/>
  <c r="O17" i="64"/>
  <c r="D22" i="63"/>
  <c r="F22" i="63" s="1"/>
  <c r="C22" i="63"/>
  <c r="E22" i="63" s="1"/>
  <c r="C22" i="61"/>
  <c r="D22" i="61"/>
  <c r="F22" i="61" s="1"/>
  <c r="M18" i="64"/>
  <c r="O18" i="64" s="1"/>
  <c r="J19" i="64"/>
  <c r="K19" i="64"/>
  <c r="B23" i="59"/>
  <c r="G21" i="63"/>
  <c r="H21" i="63" s="1"/>
  <c r="E21" i="61"/>
  <c r="G21" i="61" s="1"/>
  <c r="H21" i="61" s="1"/>
  <c r="H20" i="64"/>
  <c r="L20" i="64" s="1"/>
  <c r="I20" i="64"/>
  <c r="G20" i="64"/>
  <c r="C20" i="64"/>
  <c r="D20" i="64" s="1"/>
  <c r="E20" i="64" s="1"/>
  <c r="B23" i="60"/>
  <c r="B23" i="62"/>
  <c r="B23" i="63"/>
  <c r="B23" i="61"/>
  <c r="E34" i="42" l="1"/>
  <c r="D23" i="67" a="1"/>
  <c r="D23" i="67" s="1"/>
  <c r="C23" i="67" a="1"/>
  <c r="C23" i="67" s="1"/>
  <c r="F21" i="67"/>
  <c r="G22" i="62"/>
  <c r="H22" i="62" s="1"/>
  <c r="E22" i="67"/>
  <c r="B24" i="67"/>
  <c r="G22" i="60"/>
  <c r="H22" i="60" s="1"/>
  <c r="B24" i="64"/>
  <c r="E35" i="42"/>
  <c r="C23" i="63"/>
  <c r="E23" i="63" s="1"/>
  <c r="D23" i="63"/>
  <c r="F23" i="63" s="1"/>
  <c r="C23" i="62"/>
  <c r="E23" i="62" s="1"/>
  <c r="D23" i="62"/>
  <c r="F23" i="62" s="1"/>
  <c r="C23" i="60"/>
  <c r="E23" i="60" s="1"/>
  <c r="D23" i="60"/>
  <c r="F23" i="60" s="1"/>
  <c r="N18" i="64"/>
  <c r="P18" i="64" s="1"/>
  <c r="D23" i="61"/>
  <c r="F23" i="61" s="1"/>
  <c r="C23" i="61"/>
  <c r="F22" i="64"/>
  <c r="K20" i="64"/>
  <c r="J20" i="64"/>
  <c r="M19" i="64"/>
  <c r="B24" i="59"/>
  <c r="E22" i="61"/>
  <c r="G22" i="61" s="1"/>
  <c r="H22" i="61" s="1"/>
  <c r="C21" i="64"/>
  <c r="D21" i="64" s="1"/>
  <c r="E21" i="64" s="1"/>
  <c r="I21" i="64"/>
  <c r="H21" i="64"/>
  <c r="L21" i="64" s="1"/>
  <c r="G21" i="64"/>
  <c r="B24" i="61"/>
  <c r="B24" i="63"/>
  <c r="B24" i="60"/>
  <c r="B24" i="62"/>
  <c r="G22" i="63"/>
  <c r="H22" i="63" s="1"/>
  <c r="C24" i="67" l="1" a="1"/>
  <c r="C24" i="67" s="1"/>
  <c r="D24" i="67" a="1"/>
  <c r="D24" i="67" s="1"/>
  <c r="B25" i="67"/>
  <c r="F22" i="67"/>
  <c r="G23" i="62"/>
  <c r="H23" i="62" s="1"/>
  <c r="E23" i="67"/>
  <c r="G23" i="60"/>
  <c r="H23" i="60" s="1"/>
  <c r="B25" i="64"/>
  <c r="B25" i="59"/>
  <c r="C24" i="60"/>
  <c r="E24" i="60" s="1"/>
  <c r="D24" i="60"/>
  <c r="F24" i="60" s="1"/>
  <c r="B25" i="60"/>
  <c r="B25" i="62"/>
  <c r="D24" i="62"/>
  <c r="F24" i="62" s="1"/>
  <c r="C24" i="62"/>
  <c r="E24" i="62" s="1"/>
  <c r="B25" i="63"/>
  <c r="D24" i="63"/>
  <c r="F24" i="63" s="1"/>
  <c r="C24" i="63"/>
  <c r="E24" i="63" s="1"/>
  <c r="F23" i="64"/>
  <c r="C24" i="59" a="1"/>
  <c r="C24" i="59" s="1"/>
  <c r="C24" i="61"/>
  <c r="B25" i="61"/>
  <c r="D24" i="61"/>
  <c r="F24" i="61" s="1"/>
  <c r="M20" i="64"/>
  <c r="N20" i="64" s="1"/>
  <c r="P20" i="64" s="1"/>
  <c r="J21" i="64"/>
  <c r="K21" i="64"/>
  <c r="N19" i="64"/>
  <c r="P19" i="64" s="1"/>
  <c r="O19" i="64"/>
  <c r="G23" i="63"/>
  <c r="H23" i="63" s="1"/>
  <c r="E23" i="61"/>
  <c r="G23" i="61" s="1"/>
  <c r="H23" i="61" s="1"/>
  <c r="C22" i="64"/>
  <c r="D22" i="64" s="1"/>
  <c r="E22" i="64" s="1"/>
  <c r="G22" i="64"/>
  <c r="H22" i="64"/>
  <c r="L22" i="64" s="1"/>
  <c r="I22" i="64"/>
  <c r="E38" i="42" l="1"/>
  <c r="D25" i="67" a="1"/>
  <c r="D25" i="67" s="1"/>
  <c r="C25" i="67" a="1"/>
  <c r="C25" i="67" s="1"/>
  <c r="B26" i="67"/>
  <c r="B27" i="67" s="1"/>
  <c r="E39" i="42"/>
  <c r="F23" i="67"/>
  <c r="C25" i="59" a="1"/>
  <c r="C25" i="59" s="1"/>
  <c r="G24" i="62"/>
  <c r="H24" i="62" s="1"/>
  <c r="G24" i="60"/>
  <c r="H24" i="60" s="1"/>
  <c r="B26" i="59"/>
  <c r="B26" i="64"/>
  <c r="F24" i="64"/>
  <c r="C25" i="62"/>
  <c r="E25" i="62" s="1"/>
  <c r="D25" i="62"/>
  <c r="F25" i="62" s="1"/>
  <c r="D25" i="60"/>
  <c r="F25" i="60" s="1"/>
  <c r="C25" i="60"/>
  <c r="E25" i="60" s="1"/>
  <c r="B26" i="60"/>
  <c r="B26" i="62"/>
  <c r="B27" i="62" s="1"/>
  <c r="C25" i="63"/>
  <c r="E25" i="63" s="1"/>
  <c r="B26" i="63"/>
  <c r="D25" i="63"/>
  <c r="F25" i="63" s="1"/>
  <c r="M21" i="64"/>
  <c r="N21" i="64" s="1"/>
  <c r="P21" i="64" s="1"/>
  <c r="O20" i="64"/>
  <c r="D25" i="61"/>
  <c r="F25" i="61" s="1"/>
  <c r="C25" i="61"/>
  <c r="B26" i="61"/>
  <c r="K22" i="64"/>
  <c r="J22" i="64"/>
  <c r="C23" i="64"/>
  <c r="D23" i="64" s="1"/>
  <c r="E23" i="64" s="1"/>
  <c r="I23" i="64"/>
  <c r="H23" i="64"/>
  <c r="L23" i="64" s="1"/>
  <c r="G23" i="64"/>
  <c r="E24" i="61"/>
  <c r="G24" i="61" s="1"/>
  <c r="H24" i="61" s="1"/>
  <c r="G24" i="63"/>
  <c r="H24" i="63" s="1"/>
  <c r="D26" i="67" l="1" a="1"/>
  <c r="D26" i="67" s="1"/>
  <c r="C26" i="67" a="1"/>
  <c r="C26" i="67" s="1"/>
  <c r="D27" i="67" a="1"/>
  <c r="D27" i="67" s="1"/>
  <c r="C27" i="67" a="1"/>
  <c r="C27" i="67" s="1"/>
  <c r="B28" i="67"/>
  <c r="B27" i="59"/>
  <c r="B28" i="59" s="1"/>
  <c r="G25" i="62"/>
  <c r="H25" i="62" s="1"/>
  <c r="C26" i="59" a="1"/>
  <c r="C26" i="59" s="1"/>
  <c r="G25" i="60"/>
  <c r="H25" i="60" s="1"/>
  <c r="B27" i="64"/>
  <c r="B28" i="64" s="1"/>
  <c r="B29" i="64" s="1"/>
  <c r="B30" i="64" s="1"/>
  <c r="B31" i="64" s="1"/>
  <c r="B32" i="64" s="1"/>
  <c r="B33" i="64" s="1"/>
  <c r="B34" i="64" s="1"/>
  <c r="B35" i="64" s="1"/>
  <c r="O21" i="64"/>
  <c r="G25" i="63"/>
  <c r="H25" i="63" s="1"/>
  <c r="D26" i="63"/>
  <c r="F26" i="63" s="1"/>
  <c r="C26" i="63"/>
  <c r="E26" i="63" s="1"/>
  <c r="B27" i="63"/>
  <c r="C27" i="62"/>
  <c r="E27" i="62" s="1"/>
  <c r="D27" i="62"/>
  <c r="F27" i="62" s="1"/>
  <c r="D26" i="62"/>
  <c r="F26" i="62" s="1"/>
  <c r="C26" i="62"/>
  <c r="E26" i="62" s="1"/>
  <c r="D26" i="60"/>
  <c r="F26" i="60" s="1"/>
  <c r="C26" i="60"/>
  <c r="E26" i="60" s="1"/>
  <c r="B27" i="60"/>
  <c r="M22" i="64"/>
  <c r="O22" i="64" s="1"/>
  <c r="C26" i="61"/>
  <c r="D26" i="61"/>
  <c r="F26" i="61" s="1"/>
  <c r="B27" i="61"/>
  <c r="E25" i="61"/>
  <c r="G25" i="61" s="1"/>
  <c r="H25" i="61" s="1"/>
  <c r="F25" i="64"/>
  <c r="J23" i="64"/>
  <c r="K23" i="64"/>
  <c r="B28" i="62"/>
  <c r="H24" i="64"/>
  <c r="L24" i="64" s="1"/>
  <c r="I24" i="64"/>
  <c r="C24" i="64"/>
  <c r="D24" i="64" s="1"/>
  <c r="E24" i="64" s="1"/>
  <c r="G24" i="64"/>
  <c r="C27" i="59" l="1" a="1"/>
  <c r="C27" i="59" s="1"/>
  <c r="H7" i="46"/>
  <c r="J7" i="46"/>
  <c r="C28" i="67" a="1"/>
  <c r="C28" i="67" s="1"/>
  <c r="D28" i="67" a="1"/>
  <c r="D28" i="67" s="1"/>
  <c r="B29" i="67"/>
  <c r="G27" i="62"/>
  <c r="H27" i="62" s="1"/>
  <c r="G26" i="62"/>
  <c r="H26" i="62" s="1"/>
  <c r="G26" i="60"/>
  <c r="H26" i="60" s="1"/>
  <c r="I7" i="46"/>
  <c r="N22" i="64"/>
  <c r="P22" i="64" s="1"/>
  <c r="D28" i="62"/>
  <c r="F28" i="62" s="1"/>
  <c r="C28" i="62"/>
  <c r="E28" i="62" s="1"/>
  <c r="C27" i="60"/>
  <c r="E27" i="60" s="1"/>
  <c r="D27" i="60"/>
  <c r="F27" i="60" s="1"/>
  <c r="B28" i="60"/>
  <c r="C27" i="63"/>
  <c r="E27" i="63" s="1"/>
  <c r="D27" i="63"/>
  <c r="F27" i="63" s="1"/>
  <c r="B28" i="63"/>
  <c r="C28" i="59" a="1"/>
  <c r="C28" i="59" s="1"/>
  <c r="B29" i="59"/>
  <c r="G26" i="63"/>
  <c r="H26" i="63" s="1"/>
  <c r="E26" i="61"/>
  <c r="G26" i="61" s="1"/>
  <c r="H26" i="61" s="1"/>
  <c r="F26" i="64"/>
  <c r="D27" i="61"/>
  <c r="F27" i="61" s="1"/>
  <c r="C27" i="61"/>
  <c r="B28" i="61"/>
  <c r="G25" i="64"/>
  <c r="H25" i="64"/>
  <c r="L25" i="64" s="1"/>
  <c r="C25" i="64"/>
  <c r="D25" i="64" s="1"/>
  <c r="I25" i="64"/>
  <c r="M23" i="64"/>
  <c r="J24" i="64"/>
  <c r="K24" i="64"/>
  <c r="B29" i="62"/>
  <c r="E25" i="64" l="1"/>
  <c r="C29" i="67" a="1"/>
  <c r="C29" i="67" s="1"/>
  <c r="D29" i="67" a="1"/>
  <c r="D29" i="67" s="1"/>
  <c r="C73" i="46"/>
  <c r="D73" i="46" s="1"/>
  <c r="C77" i="46"/>
  <c r="D77" i="46" s="1"/>
  <c r="C76" i="46"/>
  <c r="D76" i="46" s="1"/>
  <c r="C75" i="46"/>
  <c r="D75" i="46" s="1"/>
  <c r="C72" i="46"/>
  <c r="C74" i="46"/>
  <c r="D74" i="46" s="1"/>
  <c r="B30" i="67"/>
  <c r="G28" i="62"/>
  <c r="H28" i="62" s="1"/>
  <c r="G27" i="60"/>
  <c r="H27" i="60" s="1"/>
  <c r="C78" i="46"/>
  <c r="D78" i="46" s="1"/>
  <c r="C94" i="46"/>
  <c r="D94" i="46" s="1"/>
  <c r="C83" i="46"/>
  <c r="D83" i="46" s="1"/>
  <c r="C89" i="46"/>
  <c r="D89" i="46" s="1"/>
  <c r="C93" i="46"/>
  <c r="D93" i="46" s="1"/>
  <c r="C87" i="46"/>
  <c r="D87" i="46" s="1"/>
  <c r="C82" i="46"/>
  <c r="D82" i="46" s="1"/>
  <c r="C92" i="46"/>
  <c r="D92" i="46" s="1"/>
  <c r="C91" i="46"/>
  <c r="D91" i="46" s="1"/>
  <c r="C88" i="46"/>
  <c r="D88" i="46" s="1"/>
  <c r="C84" i="46"/>
  <c r="D84" i="46" s="1"/>
  <c r="C79" i="46"/>
  <c r="D79" i="46" s="1"/>
  <c r="C95" i="46"/>
  <c r="D95" i="46" s="1"/>
  <c r="C98" i="46"/>
  <c r="D98" i="46" s="1"/>
  <c r="C97" i="46"/>
  <c r="D97" i="46" s="1"/>
  <c r="C103" i="46"/>
  <c r="D103" i="46" s="1"/>
  <c r="C101" i="46"/>
  <c r="D101" i="46" s="1"/>
  <c r="C106" i="46"/>
  <c r="D106" i="46" s="1"/>
  <c r="C96" i="46"/>
  <c r="D96" i="46" s="1"/>
  <c r="C100" i="46"/>
  <c r="D100" i="46" s="1"/>
  <c r="C105" i="46"/>
  <c r="D105" i="46" s="1"/>
  <c r="C80" i="46"/>
  <c r="D80" i="46" s="1"/>
  <c r="C86" i="46"/>
  <c r="D86" i="46" s="1"/>
  <c r="C85" i="46"/>
  <c r="D85" i="46" s="1"/>
  <c r="C90" i="46"/>
  <c r="D90" i="46" s="1"/>
  <c r="C102" i="46"/>
  <c r="D102" i="46" s="1"/>
  <c r="C104" i="46"/>
  <c r="D104" i="46" s="1"/>
  <c r="C81" i="46"/>
  <c r="D81" i="46" s="1"/>
  <c r="C99" i="46"/>
  <c r="D99" i="46" s="1"/>
  <c r="C112" i="46"/>
  <c r="D112" i="46" s="1"/>
  <c r="C108" i="46"/>
  <c r="D108" i="46" s="1"/>
  <c r="C110" i="46"/>
  <c r="D110" i="46" s="1"/>
  <c r="C109" i="46"/>
  <c r="D109" i="46" s="1"/>
  <c r="C111" i="46"/>
  <c r="D111" i="46" s="1"/>
  <c r="G27" i="63"/>
  <c r="H27" i="63" s="1"/>
  <c r="C29" i="62"/>
  <c r="E29" i="62" s="1"/>
  <c r="D29" i="62"/>
  <c r="F29" i="62" s="1"/>
  <c r="C28" i="60"/>
  <c r="E28" i="60" s="1"/>
  <c r="D28" i="60"/>
  <c r="F28" i="60" s="1"/>
  <c r="B29" i="60"/>
  <c r="B30" i="59"/>
  <c r="C29" i="59" a="1"/>
  <c r="C29" i="59" s="1"/>
  <c r="D28" i="63"/>
  <c r="F28" i="63" s="1"/>
  <c r="C28" i="63"/>
  <c r="E28" i="63" s="1"/>
  <c r="B29" i="63"/>
  <c r="E27" i="61"/>
  <c r="G27" i="61" s="1"/>
  <c r="H27" i="61" s="1"/>
  <c r="F27" i="64"/>
  <c r="I26" i="64"/>
  <c r="G26" i="64"/>
  <c r="C26" i="64"/>
  <c r="D26" i="64" s="1"/>
  <c r="E26" i="64" s="1"/>
  <c r="H26" i="64"/>
  <c r="L26" i="64" s="1"/>
  <c r="J25" i="64"/>
  <c r="K25" i="64"/>
  <c r="C28" i="61"/>
  <c r="D28" i="61"/>
  <c r="F28" i="61" s="1"/>
  <c r="B29" i="61"/>
  <c r="M24" i="64"/>
  <c r="O23" i="64"/>
  <c r="N23" i="64"/>
  <c r="P23" i="64" s="1"/>
  <c r="B30" i="62"/>
  <c r="C30" i="67" l="1" a="1"/>
  <c r="C30" i="67" s="1"/>
  <c r="D30" i="67" a="1"/>
  <c r="D30" i="67" s="1"/>
  <c r="B31" i="67"/>
  <c r="C107" i="46"/>
  <c r="D107" i="46" s="1"/>
  <c r="G29" i="62"/>
  <c r="H29" i="62" s="1"/>
  <c r="G28" i="60"/>
  <c r="H28" i="60" s="1"/>
  <c r="D40" i="42"/>
  <c r="C40" i="42"/>
  <c r="D29" i="60"/>
  <c r="F29" i="60" s="1"/>
  <c r="C29" i="60"/>
  <c r="E29" i="60" s="1"/>
  <c r="B30" i="60"/>
  <c r="C29" i="63"/>
  <c r="E29" i="63" s="1"/>
  <c r="D29" i="63"/>
  <c r="F29" i="63" s="1"/>
  <c r="B30" i="63"/>
  <c r="D30" i="62"/>
  <c r="F30" i="62" s="1"/>
  <c r="C30" i="62"/>
  <c r="E30" i="62" s="1"/>
  <c r="G28" i="63"/>
  <c r="H28" i="63" s="1"/>
  <c r="C30" i="59" a="1"/>
  <c r="C30" i="59" s="1"/>
  <c r="B31" i="59"/>
  <c r="D72" i="46"/>
  <c r="J26" i="64"/>
  <c r="K26" i="64"/>
  <c r="G27" i="64"/>
  <c r="C27" i="64"/>
  <c r="D27" i="64" s="1"/>
  <c r="H27" i="64"/>
  <c r="L27" i="64" s="1"/>
  <c r="I27" i="64"/>
  <c r="E28" i="61"/>
  <c r="G28" i="61" s="1"/>
  <c r="H28" i="61" s="1"/>
  <c r="F28" i="64"/>
  <c r="D29" i="61"/>
  <c r="F29" i="61" s="1"/>
  <c r="C29" i="61"/>
  <c r="B30" i="61"/>
  <c r="M25" i="64"/>
  <c r="O24" i="64"/>
  <c r="N24" i="64"/>
  <c r="P24" i="64" s="1"/>
  <c r="B31" i="62"/>
  <c r="B7" i="30"/>
  <c r="E27" i="64" l="1"/>
  <c r="C31" i="67" a="1"/>
  <c r="C31" i="67" s="1"/>
  <c r="D31" i="67" a="1"/>
  <c r="D31" i="67" s="1"/>
  <c r="D7" i="30"/>
  <c r="C7" i="30"/>
  <c r="C113" i="46"/>
  <c r="B32" i="67"/>
  <c r="G30" i="62"/>
  <c r="H30" i="62" s="1"/>
  <c r="G29" i="60"/>
  <c r="H29" i="60" s="1"/>
  <c r="D30" i="60"/>
  <c r="F30" i="60" s="1"/>
  <c r="C30" i="60"/>
  <c r="E30" i="60" s="1"/>
  <c r="B31" i="60"/>
  <c r="C31" i="62"/>
  <c r="E31" i="62" s="1"/>
  <c r="D31" i="62"/>
  <c r="F31" i="62" s="1"/>
  <c r="B32" i="59"/>
  <c r="C31" i="59" a="1"/>
  <c r="C31" i="59" s="1"/>
  <c r="D30" i="63"/>
  <c r="F30" i="63" s="1"/>
  <c r="C30" i="63"/>
  <c r="E30" i="63" s="1"/>
  <c r="B31" i="63"/>
  <c r="G29" i="63"/>
  <c r="H29" i="63" s="1"/>
  <c r="C28" i="64"/>
  <c r="D28" i="64" s="1"/>
  <c r="E28" i="64" s="1"/>
  <c r="G28" i="64"/>
  <c r="I28" i="64"/>
  <c r="H28" i="64"/>
  <c r="L28" i="64" s="1"/>
  <c r="E29" i="61"/>
  <c r="G29" i="61" s="1"/>
  <c r="H29" i="61" s="1"/>
  <c r="F29" i="64"/>
  <c r="J27" i="64"/>
  <c r="K27" i="64"/>
  <c r="M26" i="64"/>
  <c r="C30" i="61"/>
  <c r="D30" i="61"/>
  <c r="F30" i="61" s="1"/>
  <c r="B31" i="61"/>
  <c r="O25" i="64"/>
  <c r="N25" i="64"/>
  <c r="P25" i="64" s="1"/>
  <c r="B32" i="62"/>
  <c r="B8" i="30"/>
  <c r="D32" i="67" l="1" a="1"/>
  <c r="D32" i="67" s="1"/>
  <c r="C32" i="67" a="1"/>
  <c r="C32" i="67" s="1"/>
  <c r="E7" i="30"/>
  <c r="D8" i="30"/>
  <c r="C8" i="30"/>
  <c r="B33" i="67"/>
  <c r="G31" i="62"/>
  <c r="H31" i="62" s="1"/>
  <c r="G30" i="60"/>
  <c r="H30" i="60" s="1"/>
  <c r="G30" i="63"/>
  <c r="H30" i="63" s="1"/>
  <c r="C31" i="63"/>
  <c r="E31" i="63" s="1"/>
  <c r="D31" i="63"/>
  <c r="F31" i="63" s="1"/>
  <c r="B32" i="63"/>
  <c r="B33" i="59"/>
  <c r="C32" i="59" a="1"/>
  <c r="C32" i="59" s="1"/>
  <c r="C31" i="60"/>
  <c r="E31" i="60" s="1"/>
  <c r="D31" i="60"/>
  <c r="F31" i="60" s="1"/>
  <c r="B32" i="60"/>
  <c r="D32" i="62"/>
  <c r="F32" i="62" s="1"/>
  <c r="C32" i="62"/>
  <c r="E32" i="62" s="1"/>
  <c r="E30" i="61"/>
  <c r="G30" i="61" s="1"/>
  <c r="H30" i="61" s="1"/>
  <c r="F30" i="64"/>
  <c r="H29" i="64"/>
  <c r="L29" i="64" s="1"/>
  <c r="I29" i="64"/>
  <c r="C29" i="64"/>
  <c r="D29" i="64" s="1"/>
  <c r="G29" i="64"/>
  <c r="K28" i="64"/>
  <c r="J28" i="64"/>
  <c r="M27" i="64"/>
  <c r="O26" i="64"/>
  <c r="N26" i="64"/>
  <c r="P26" i="64" s="1"/>
  <c r="D31" i="61"/>
  <c r="F31" i="61" s="1"/>
  <c r="C31" i="61"/>
  <c r="B32" i="61"/>
  <c r="B33" i="62"/>
  <c r="B9" i="30"/>
  <c r="E29" i="64" l="1"/>
  <c r="C33" i="67" a="1"/>
  <c r="C33" i="67" s="1"/>
  <c r="D33" i="67" a="1"/>
  <c r="D33" i="67" s="1"/>
  <c r="E8" i="30"/>
  <c r="D9" i="30"/>
  <c r="C9" i="30"/>
  <c r="B34" i="67"/>
  <c r="G32" i="62"/>
  <c r="H32" i="62" s="1"/>
  <c r="G31" i="60"/>
  <c r="H31" i="60" s="1"/>
  <c r="G31" i="63"/>
  <c r="H31" i="63" s="1"/>
  <c r="D32" i="63"/>
  <c r="F32" i="63" s="1"/>
  <c r="C32" i="63"/>
  <c r="E32" i="63" s="1"/>
  <c r="B33" i="63"/>
  <c r="C33" i="62"/>
  <c r="E33" i="62" s="1"/>
  <c r="D33" i="62"/>
  <c r="F33" i="62" s="1"/>
  <c r="B34" i="62"/>
  <c r="M28" i="64"/>
  <c r="C32" i="60"/>
  <c r="E32" i="60" s="1"/>
  <c r="D32" i="60"/>
  <c r="F32" i="60" s="1"/>
  <c r="B33" i="60"/>
  <c r="C33" i="59" a="1"/>
  <c r="C33" i="59" s="1"/>
  <c r="B34" i="59"/>
  <c r="K29" i="64"/>
  <c r="J29" i="64"/>
  <c r="H30" i="64"/>
  <c r="L30" i="64" s="1"/>
  <c r="G30" i="64"/>
  <c r="I30" i="64"/>
  <c r="C30" i="64"/>
  <c r="D30" i="64" s="1"/>
  <c r="E30" i="64" s="1"/>
  <c r="E31" i="61"/>
  <c r="G31" i="61" s="1"/>
  <c r="H31" i="61" s="1"/>
  <c r="F31" i="64"/>
  <c r="N27" i="64"/>
  <c r="O27" i="64"/>
  <c r="C32" i="61"/>
  <c r="D32" i="61"/>
  <c r="F32" i="61" s="1"/>
  <c r="B33" i="61"/>
  <c r="B10" i="30"/>
  <c r="C34" i="67" l="1" a="1"/>
  <c r="C34" i="67" s="1"/>
  <c r="D34" i="67" a="1"/>
  <c r="D34" i="67" s="1"/>
  <c r="E9" i="30"/>
  <c r="D10" i="30"/>
  <c r="C10" i="30"/>
  <c r="B35" i="67"/>
  <c r="G33" i="62"/>
  <c r="H33" i="62" s="1"/>
  <c r="G32" i="60"/>
  <c r="H32" i="60" s="1"/>
  <c r="N28" i="64"/>
  <c r="P28" i="64" s="1"/>
  <c r="G32" i="63"/>
  <c r="H32" i="63" s="1"/>
  <c r="O28" i="64"/>
  <c r="B35" i="59"/>
  <c r="C34" i="59" a="1"/>
  <c r="C34" i="59" s="1"/>
  <c r="C33" i="63"/>
  <c r="E33" i="63" s="1"/>
  <c r="D33" i="63"/>
  <c r="F33" i="63" s="1"/>
  <c r="B34" i="63"/>
  <c r="D34" i="62"/>
  <c r="F34" i="62" s="1"/>
  <c r="B35" i="62"/>
  <c r="C34" i="62"/>
  <c r="E34" i="62" s="1"/>
  <c r="D33" i="60"/>
  <c r="F33" i="60" s="1"/>
  <c r="C33" i="60"/>
  <c r="E33" i="60" s="1"/>
  <c r="B34" i="60"/>
  <c r="C31" i="64"/>
  <c r="D31" i="64" s="1"/>
  <c r="I31" i="64"/>
  <c r="H31" i="64"/>
  <c r="L31" i="64" s="1"/>
  <c r="G31" i="64"/>
  <c r="E32" i="61"/>
  <c r="G32" i="61" s="1"/>
  <c r="H32" i="61" s="1"/>
  <c r="F32" i="64"/>
  <c r="J30" i="64"/>
  <c r="K30" i="64"/>
  <c r="P27" i="64"/>
  <c r="M29" i="64"/>
  <c r="D33" i="61"/>
  <c r="F33" i="61" s="1"/>
  <c r="C33" i="61"/>
  <c r="B34" i="61"/>
  <c r="B11" i="30"/>
  <c r="E31" i="64" l="1"/>
  <c r="D35" i="67" a="1"/>
  <c r="D35" i="67" s="1"/>
  <c r="C35" i="67" a="1"/>
  <c r="C35" i="67" s="1"/>
  <c r="E10" i="30"/>
  <c r="D11" i="30"/>
  <c r="C11" i="30"/>
  <c r="M7" i="46"/>
  <c r="G34" i="62"/>
  <c r="H34" i="62" s="1"/>
  <c r="L7" i="46"/>
  <c r="G33" i="60"/>
  <c r="H33" i="60" s="1"/>
  <c r="C7" i="46"/>
  <c r="D34" i="60"/>
  <c r="F34" i="60" s="1"/>
  <c r="B35" i="60"/>
  <c r="C34" i="60"/>
  <c r="E34" i="60" s="1"/>
  <c r="C35" i="62"/>
  <c r="E35" i="62" s="1"/>
  <c r="D35" i="62"/>
  <c r="F35" i="62" s="1"/>
  <c r="G33" i="63"/>
  <c r="H33" i="63" s="1"/>
  <c r="C35" i="59" a="1"/>
  <c r="C35" i="59" s="1"/>
  <c r="D34" i="63"/>
  <c r="F34" i="63" s="1"/>
  <c r="C34" i="63"/>
  <c r="E34" i="63" s="1"/>
  <c r="B35" i="63"/>
  <c r="O29" i="64"/>
  <c r="N29" i="64"/>
  <c r="M30" i="64"/>
  <c r="G32" i="64"/>
  <c r="I32" i="64"/>
  <c r="H32" i="64"/>
  <c r="L32" i="64" s="1"/>
  <c r="C32" i="64"/>
  <c r="D32" i="64" s="1"/>
  <c r="E32" i="64" s="1"/>
  <c r="E33" i="61"/>
  <c r="G33" i="61" s="1"/>
  <c r="H33" i="61" s="1"/>
  <c r="F33" i="64"/>
  <c r="J31" i="64"/>
  <c r="K31" i="64"/>
  <c r="C34" i="61"/>
  <c r="B35" i="61"/>
  <c r="D34" i="61"/>
  <c r="F34" i="61" s="1"/>
  <c r="B12" i="30"/>
  <c r="E11" i="30" l="1"/>
  <c r="D12" i="30"/>
  <c r="C12" i="30"/>
  <c r="G35" i="62"/>
  <c r="B13" i="30"/>
  <c r="G34" i="60"/>
  <c r="H34" i="60" s="1"/>
  <c r="G34" i="63"/>
  <c r="H34" i="63" s="1"/>
  <c r="E7" i="46"/>
  <c r="D7" i="46"/>
  <c r="F7" i="46"/>
  <c r="C35" i="60"/>
  <c r="E35" i="60" s="1"/>
  <c r="D35" i="60"/>
  <c r="F35" i="60" s="1"/>
  <c r="C35" i="63"/>
  <c r="E35" i="63" s="1"/>
  <c r="D35" i="63"/>
  <c r="F35" i="63" s="1"/>
  <c r="O30" i="64"/>
  <c r="N30" i="64"/>
  <c r="P30" i="64" s="1"/>
  <c r="P29" i="64"/>
  <c r="J32" i="64"/>
  <c r="K32" i="64"/>
  <c r="M31" i="64"/>
  <c r="E34" i="61"/>
  <c r="G34" i="61" s="1"/>
  <c r="H34" i="61" s="1"/>
  <c r="F34" i="64"/>
  <c r="G33" i="64"/>
  <c r="H33" i="64"/>
  <c r="L33" i="64" s="1"/>
  <c r="I33" i="64"/>
  <c r="C33" i="64"/>
  <c r="D33" i="64" s="1"/>
  <c r="D35" i="61"/>
  <c r="F35" i="61" s="1"/>
  <c r="C35" i="61"/>
  <c r="P7" i="46" l="1"/>
  <c r="Q7" i="46"/>
  <c r="E33" i="64"/>
  <c r="E12" i="30"/>
  <c r="D13" i="30"/>
  <c r="C13" i="30"/>
  <c r="B14" i="30"/>
  <c r="B15" i="30" s="1"/>
  <c r="G35" i="60"/>
  <c r="H35" i="62"/>
  <c r="H36" i="62" s="1"/>
  <c r="G35" i="63"/>
  <c r="O31" i="64"/>
  <c r="N31" i="64"/>
  <c r="K33" i="64"/>
  <c r="J33" i="64"/>
  <c r="E35" i="61"/>
  <c r="G35" i="61" s="1"/>
  <c r="F35" i="64"/>
  <c r="G34" i="64"/>
  <c r="H34" i="64"/>
  <c r="L34" i="64" s="1"/>
  <c r="I34" i="64"/>
  <c r="C34" i="64"/>
  <c r="D34" i="64" s="1"/>
  <c r="E34" i="64" s="1"/>
  <c r="M32" i="64"/>
  <c r="E13" i="30" l="1"/>
  <c r="D15" i="30"/>
  <c r="C15" i="30"/>
  <c r="D14" i="30"/>
  <c r="C14" i="30"/>
  <c r="H35" i="60"/>
  <c r="H36" i="60" s="1"/>
  <c r="H35" i="61"/>
  <c r="H36" i="61" s="1"/>
  <c r="H35" i="63"/>
  <c r="H36" i="63" s="1"/>
  <c r="J34" i="64"/>
  <c r="K34" i="64"/>
  <c r="C35" i="64"/>
  <c r="D35" i="64" s="1"/>
  <c r="E35" i="64" s="1"/>
  <c r="I35" i="64"/>
  <c r="H35" i="64"/>
  <c r="L35" i="64" s="1"/>
  <c r="G35" i="64"/>
  <c r="P31" i="64"/>
  <c r="O32" i="64"/>
  <c r="N32" i="64"/>
  <c r="P32" i="64" s="1"/>
  <c r="M33" i="64"/>
  <c r="B16" i="30"/>
  <c r="D113" i="46"/>
  <c r="C118" i="46" s="1"/>
  <c r="E15" i="30" l="1"/>
  <c r="E14" i="30"/>
  <c r="D16" i="30"/>
  <c r="C16" i="30"/>
  <c r="M34" i="64"/>
  <c r="N33" i="64"/>
  <c r="O33" i="64"/>
  <c r="K35" i="64"/>
  <c r="J35" i="64"/>
  <c r="B17" i="30"/>
  <c r="E16" i="30" l="1"/>
  <c r="D17" i="30"/>
  <c r="C17" i="30"/>
  <c r="O34" i="64"/>
  <c r="N34" i="64"/>
  <c r="P34" i="64" s="1"/>
  <c r="M35" i="64"/>
  <c r="P33" i="64"/>
  <c r="B18" i="30"/>
  <c r="F16" i="30" l="1"/>
  <c r="E17" i="30"/>
  <c r="D18" i="30"/>
  <c r="C18" i="30"/>
  <c r="O35" i="64"/>
  <c r="O36" i="64" s="1"/>
  <c r="N35" i="64"/>
  <c r="P35" i="64" s="1"/>
  <c r="P36" i="64" s="1"/>
  <c r="B19" i="30"/>
  <c r="F17" i="30" l="1"/>
  <c r="E18" i="30"/>
  <c r="D19" i="30"/>
  <c r="C19" i="30"/>
  <c r="N36" i="64"/>
  <c r="B20" i="30"/>
  <c r="F18" i="30" l="1"/>
  <c r="E19" i="30"/>
  <c r="D20" i="30"/>
  <c r="C20" i="30"/>
  <c r="B21" i="30"/>
  <c r="F19" i="30" l="1"/>
  <c r="E20" i="30"/>
  <c r="D21" i="30"/>
  <c r="C21" i="30"/>
  <c r="B22" i="30"/>
  <c r="F20" i="30" l="1"/>
  <c r="E21" i="30"/>
  <c r="D22" i="30"/>
  <c r="C22" i="30"/>
  <c r="B23" i="30"/>
  <c r="F21" i="30" l="1"/>
  <c r="E22" i="30"/>
  <c r="D23" i="30"/>
  <c r="C23" i="30"/>
  <c r="B24" i="30"/>
  <c r="F22" i="30" l="1"/>
  <c r="E23" i="30"/>
  <c r="D24" i="30"/>
  <c r="C24" i="30"/>
  <c r="B25" i="30"/>
  <c r="B26" i="30" s="1"/>
  <c r="F23" i="30"/>
  <c r="E24" i="30" l="1"/>
  <c r="D26" i="30"/>
  <c r="C26" i="30"/>
  <c r="D25" i="30"/>
  <c r="C25" i="30"/>
  <c r="B27" i="30"/>
  <c r="F24" i="30" l="1"/>
  <c r="E26" i="30"/>
  <c r="D27" i="30"/>
  <c r="C27" i="30"/>
  <c r="E25" i="30"/>
  <c r="B28" i="30"/>
  <c r="F13" i="30"/>
  <c r="F7" i="30"/>
  <c r="F15" i="30"/>
  <c r="F8" i="30"/>
  <c r="F12" i="30"/>
  <c r="F10" i="30"/>
  <c r="F11" i="30"/>
  <c r="F9" i="30"/>
  <c r="F6" i="30"/>
  <c r="F14" i="30"/>
  <c r="F26" i="30" l="1"/>
  <c r="E27" i="30"/>
  <c r="F25" i="30"/>
  <c r="D28" i="30"/>
  <c r="C28" i="30"/>
  <c r="F27" i="30"/>
  <c r="B29" i="30"/>
  <c r="E28" i="30" l="1"/>
  <c r="D29" i="30"/>
  <c r="C29" i="30"/>
  <c r="B30" i="30"/>
  <c r="F28" i="30" l="1"/>
  <c r="E29" i="30"/>
  <c r="D30" i="30"/>
  <c r="C30" i="30"/>
  <c r="B31" i="30"/>
  <c r="F29" i="30" l="1"/>
  <c r="E30" i="30"/>
  <c r="D31" i="30"/>
  <c r="C31" i="30"/>
  <c r="B32" i="30"/>
  <c r="F30" i="30" l="1"/>
  <c r="E31" i="30"/>
  <c r="D32" i="30"/>
  <c r="C32" i="30"/>
  <c r="B33" i="30"/>
  <c r="F31" i="30" l="1"/>
  <c r="E32" i="30"/>
  <c r="D33" i="30"/>
  <c r="C33" i="30"/>
  <c r="B34" i="30"/>
  <c r="F32" i="30" l="1"/>
  <c r="E33" i="30"/>
  <c r="D34" i="30"/>
  <c r="C34" i="30"/>
  <c r="B35" i="30"/>
  <c r="F33" i="30" l="1"/>
  <c r="E34" i="30"/>
  <c r="D35" i="30"/>
  <c r="C35" i="30"/>
  <c r="F34" i="30"/>
  <c r="E35" i="30" l="1"/>
  <c r="E12" i="67"/>
  <c r="E7" i="67"/>
  <c r="E11" i="67"/>
  <c r="E9" i="67"/>
  <c r="E13" i="67"/>
  <c r="E6" i="67"/>
  <c r="E8" i="67"/>
  <c r="E14" i="67"/>
  <c r="E10" i="67"/>
  <c r="F35" i="30" l="1"/>
  <c r="F36" i="30" s="1"/>
  <c r="F6" i="67"/>
  <c r="F14" i="67"/>
  <c r="F9" i="67"/>
  <c r="F8" i="67"/>
  <c r="F11" i="67"/>
  <c r="F7" i="67"/>
  <c r="F10" i="67"/>
  <c r="F13" i="67"/>
  <c r="F12" i="67"/>
  <c r="J32" i="59" l="1"/>
  <c r="C14" i="59" a="1"/>
  <c r="C14" i="59" s="1"/>
  <c r="C10" i="59" a="1"/>
  <c r="C10" i="59" s="1"/>
  <c r="C12" i="59" a="1"/>
  <c r="C12" i="59" s="1"/>
  <c r="J33" i="59"/>
  <c r="D35" i="59" l="1"/>
  <c r="E35" i="59" s="1"/>
  <c r="D21" i="59"/>
  <c r="D12" i="59"/>
  <c r="E12" i="59" s="1"/>
  <c r="D14" i="59"/>
  <c r="E14" i="59" s="1"/>
  <c r="D30" i="59"/>
  <c r="E30" i="59" s="1"/>
  <c r="D24" i="59"/>
  <c r="E24" i="59" s="1"/>
  <c r="D15" i="59"/>
  <c r="D31" i="59"/>
  <c r="E31" i="59" s="1"/>
  <c r="D25" i="59"/>
  <c r="E25" i="59" s="1"/>
  <c r="D18" i="59"/>
  <c r="D32" i="59"/>
  <c r="E32" i="59" s="1"/>
  <c r="D28" i="59"/>
  <c r="E28" i="59" s="1"/>
  <c r="D8" i="59"/>
  <c r="D23" i="59"/>
  <c r="D33" i="59"/>
  <c r="E33" i="59" s="1"/>
  <c r="D26" i="59"/>
  <c r="E26" i="59" s="1"/>
  <c r="D11" i="59"/>
  <c r="D9" i="59"/>
  <c r="D20" i="59"/>
  <c r="D34" i="59"/>
  <c r="E34" i="59" s="1"/>
  <c r="D19" i="59"/>
  <c r="D7" i="59"/>
  <c r="D17" i="59"/>
  <c r="D16" i="59"/>
  <c r="D27" i="59"/>
  <c r="E27" i="59" s="1"/>
  <c r="D13" i="59"/>
  <c r="D29" i="59"/>
  <c r="E29" i="59" s="1"/>
  <c r="D22" i="59"/>
  <c r="D10" i="59"/>
  <c r="E10" i="59" s="1"/>
  <c r="C7" i="59" a="1"/>
  <c r="C7" i="59" s="1"/>
  <c r="E7" i="59" s="1"/>
  <c r="C15" i="59" a="1"/>
  <c r="C15" i="59" s="1"/>
  <c r="E15" i="59" s="1"/>
  <c r="C16" i="59" a="1"/>
  <c r="C16" i="59" s="1"/>
  <c r="E16" i="59" s="1"/>
  <c r="C17" i="59" a="1"/>
  <c r="C17" i="59" s="1"/>
  <c r="E17" i="59" s="1"/>
  <c r="C18" i="59" a="1"/>
  <c r="C18" i="59" s="1"/>
  <c r="E18" i="59" s="1"/>
  <c r="C19" i="59" a="1"/>
  <c r="C19" i="59" s="1"/>
  <c r="C20" i="59" a="1"/>
  <c r="C20" i="59" s="1"/>
  <c r="E20" i="59" s="1"/>
  <c r="C21" i="59" a="1"/>
  <c r="C21" i="59" s="1"/>
  <c r="E21" i="59" s="1"/>
  <c r="C22" i="59" a="1"/>
  <c r="C22" i="59" s="1"/>
  <c r="C23" i="59" a="1"/>
  <c r="C23" i="59" s="1"/>
  <c r="E23" i="59" s="1"/>
  <c r="F35" i="59"/>
  <c r="F29" i="59"/>
  <c r="C6" i="59" a="1"/>
  <c r="C6" i="59" s="1"/>
  <c r="C8" i="59" a="1"/>
  <c r="C8" i="59" s="1"/>
  <c r="E8" i="59" s="1"/>
  <c r="C13" i="59" a="1"/>
  <c r="C13" i="59" s="1"/>
  <c r="E13" i="59" s="1"/>
  <c r="C9" i="59" a="1"/>
  <c r="C9" i="59" s="1"/>
  <c r="E9" i="59" s="1"/>
  <c r="C11" i="59" a="1"/>
  <c r="C11" i="59" s="1"/>
  <c r="F15" i="59"/>
  <c r="F28" i="59"/>
  <c r="F18" i="59"/>
  <c r="D6" i="59"/>
  <c r="F23" i="59" l="1"/>
  <c r="F26" i="59"/>
  <c r="F34" i="59"/>
  <c r="E22" i="59"/>
  <c r="F30" i="59"/>
  <c r="E11" i="59"/>
  <c r="E19" i="59"/>
  <c r="E6" i="59"/>
  <c r="F33" i="59"/>
  <c r="F32" i="59"/>
  <c r="F25" i="59"/>
  <c r="F11" i="59"/>
  <c r="F20" i="59"/>
  <c r="F17" i="59"/>
  <c r="F13" i="59"/>
  <c r="F7" i="59"/>
  <c r="F10" i="59"/>
  <c r="F16" i="59"/>
  <c r="F14" i="59"/>
  <c r="F24" i="59"/>
  <c r="F12" i="59"/>
  <c r="F27" i="59"/>
  <c r="F21" i="59"/>
  <c r="F31" i="59"/>
  <c r="F22" i="59" l="1"/>
  <c r="F19" i="59"/>
  <c r="F6" i="59"/>
  <c r="F8" i="59"/>
  <c r="F9" i="59"/>
  <c r="F36" i="59" l="1"/>
  <c r="E24" i="67"/>
  <c r="E25" i="67" l="1"/>
  <c r="E35" i="67"/>
  <c r="F35" i="67" s="1"/>
  <c r="E27" i="67"/>
  <c r="F27" i="67" s="1"/>
  <c r="E28" i="67"/>
  <c r="F28" i="67" s="1"/>
  <c r="E31" i="67"/>
  <c r="F31" i="67" s="1"/>
  <c r="E26" i="67"/>
  <c r="F26" i="67" s="1"/>
  <c r="E32" i="67"/>
  <c r="F32" i="67" s="1"/>
  <c r="F24" i="67"/>
  <c r="E30" i="67"/>
  <c r="E34" i="67"/>
  <c r="E29" i="67"/>
  <c r="E33" i="67"/>
  <c r="F25" i="67" l="1"/>
  <c r="F29" i="67"/>
  <c r="F34" i="67"/>
  <c r="F33" i="67"/>
  <c r="F30" i="67"/>
  <c r="F36" i="67" l="1"/>
  <c r="Q63" i="46" l="1"/>
  <c r="C117" i="46" s="1"/>
  <c r="P63" i="46"/>
  <c r="C119" i="46" l="1"/>
  <c r="C120" i="4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<sst xmlns="http://schemas.openxmlformats.org/spreadsheetml/2006/main" count="2785" uniqueCount="734">
  <si>
    <t>Analysis Year</t>
  </si>
  <si>
    <t>7% Discount</t>
  </si>
  <si>
    <t>Total Benefit</t>
  </si>
  <si>
    <t>NOTES:</t>
  </si>
  <si>
    <t>Total</t>
  </si>
  <si>
    <t>RCV</t>
  </si>
  <si>
    <t>STATE OF GOOD REPIAR - CAPITAL COST AND RESIDUAL PROJECT VALUE</t>
  </si>
  <si>
    <t>BENEFITS</t>
  </si>
  <si>
    <t>COSTS</t>
  </si>
  <si>
    <t>Economic Competitiveness</t>
  </si>
  <si>
    <t>Safety</t>
  </si>
  <si>
    <t>Benefits</t>
  </si>
  <si>
    <t>Costs</t>
  </si>
  <si>
    <t>B/C Ratio</t>
  </si>
  <si>
    <t>SUMMARY</t>
  </si>
  <si>
    <t>Build</t>
  </si>
  <si>
    <t>Service Life</t>
  </si>
  <si>
    <t>Table 1 - Analysis Timeframe Assumptions</t>
  </si>
  <si>
    <t>Benefit-Cost Final Year of Benefit</t>
  </si>
  <si>
    <t>Table 2 - Network Assumptions</t>
  </si>
  <si>
    <t>Table 3 - Global Assumptions and Factors</t>
  </si>
  <si>
    <t>1)</t>
  </si>
  <si>
    <t>SAFETY - CRASH SAVINGS</t>
  </si>
  <si>
    <t>K</t>
  </si>
  <si>
    <t>A</t>
  </si>
  <si>
    <t>B</t>
  </si>
  <si>
    <t>C</t>
  </si>
  <si>
    <t>PDO</t>
  </si>
  <si>
    <t>2)</t>
  </si>
  <si>
    <t>3)</t>
  </si>
  <si>
    <t>4)</t>
  </si>
  <si>
    <t>5)</t>
  </si>
  <si>
    <t>Composite Cost per Hour</t>
  </si>
  <si>
    <t>Years of Benefit-Cost Analysis Period</t>
  </si>
  <si>
    <t>Truck Vehicle Occupancy</t>
  </si>
  <si>
    <t>Travel Time Cost Savings</t>
  </si>
  <si>
    <t>Total (7% Discount)</t>
  </si>
  <si>
    <t>ENVIRONMENTAL SUSTAINABILITY - AIR QUALITY</t>
  </si>
  <si>
    <t>Change in Annual Network VMT</t>
  </si>
  <si>
    <t>Mode</t>
  </si>
  <si>
    <t>Automobile</t>
  </si>
  <si>
    <t>Trucks</t>
  </si>
  <si>
    <t>Environmental Sustainability</t>
  </si>
  <si>
    <t>Year</t>
  </si>
  <si>
    <t>NPV</t>
  </si>
  <si>
    <t xml:space="preserve">Capital Costs    </t>
  </si>
  <si>
    <t>No-Build</t>
  </si>
  <si>
    <t>Other Emissions Cost Savings</t>
  </si>
  <si>
    <t>Total (Carbon + Other Emissions)</t>
  </si>
  <si>
    <t>Subtotal</t>
  </si>
  <si>
    <t>Assumed a 365-day year to account for benefits incurred on weekends and recreational peaks in the project area.</t>
  </si>
  <si>
    <t>Reduction in the Annual Cost of Crashes</t>
  </si>
  <si>
    <t>NOX</t>
  </si>
  <si>
    <t>SO2</t>
  </si>
  <si>
    <t>PM2.5</t>
  </si>
  <si>
    <t>CO2</t>
  </si>
  <si>
    <t>3% Discount</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</si>
  <si>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</si>
  <si>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</si>
  <si>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Source Type</t>
  </si>
  <si>
    <t>HPMS Description</t>
  </si>
  <si>
    <t>Auto/Truck</t>
  </si>
  <si>
    <t>Motorcycle</t>
  </si>
  <si>
    <t>Auto</t>
  </si>
  <si>
    <t>Light-Duty Vehicle</t>
  </si>
  <si>
    <t>Buses</t>
  </si>
  <si>
    <t>Truck</t>
  </si>
  <si>
    <t>Single-Unit Truck</t>
  </si>
  <si>
    <t>Combination Truck</t>
  </si>
  <si>
    <t>*Damage costs for emissions in years beyond 2050 assume costs provided for year 2050.</t>
  </si>
  <si>
    <t>No Build Annual Crash Cost</t>
  </si>
  <si>
    <t>Build Annual Crash Cost</t>
  </si>
  <si>
    <t>Location</t>
  </si>
  <si>
    <t>Project Costs</t>
  </si>
  <si>
    <t>Cost</t>
  </si>
  <si>
    <t>% Life Remaining</t>
  </si>
  <si>
    <t>End Year of Benefit</t>
  </si>
  <si>
    <t>Scenario</t>
  </si>
  <si>
    <t>Length (miles)</t>
  </si>
  <si>
    <t>Table 5 - Segment CMFs</t>
  </si>
  <si>
    <t>Mainline</t>
  </si>
  <si>
    <t>7% Discount Total (Carbon discounted at 3%)</t>
  </si>
  <si>
    <t>Total Cost Savings
($2020 - Undiscounted)</t>
  </si>
  <si>
    <t>Total Cost:</t>
  </si>
  <si>
    <t>MOVES Model Output (grams per VMT)</t>
  </si>
  <si>
    <t>Convert Year $2021 to $2020</t>
  </si>
  <si>
    <t>2020 Dollars</t>
  </si>
  <si>
    <t>Table 1 - Inflation Adjustments - GDP Deflator</t>
  </si>
  <si>
    <t>Table 2 - Total Project Cost</t>
  </si>
  <si>
    <t>Table 3 - Capital Cost Breakdown By Year</t>
  </si>
  <si>
    <t>2021 Dollars</t>
  </si>
  <si>
    <t>The present value of all benefits and costs was calculated using 2020 as the year of current dollars.</t>
  </si>
  <si>
    <t>6)</t>
  </si>
  <si>
    <t>The value of crashes were obtained from the Benefit Cost Analysis Guidance for Discretionary Grant Programs, dated March 2022 (Revised) .  The analysis was completed using an assumed discount rate of seven percent.</t>
  </si>
  <si>
    <t>Change in NOx 
(metric tons)</t>
  </si>
  <si>
    <t>Base Capital Cost in Constant Dollars</t>
  </si>
  <si>
    <t>Table 4 - Project Schedule</t>
  </si>
  <si>
    <t>Table 5 - Service Life and RCV Assumptions</t>
  </si>
  <si>
    <r>
      <t>CO</t>
    </r>
    <r>
      <rPr>
        <b/>
        <vertAlign val="subscript"/>
        <sz val="11"/>
        <color theme="1"/>
        <rFont val="Calibri"/>
        <family val="2"/>
        <scheme val="minor"/>
      </rPr>
      <t>2</t>
    </r>
  </si>
  <si>
    <r>
      <t>PM</t>
    </r>
    <r>
      <rPr>
        <b/>
        <vertAlign val="subscript"/>
        <sz val="11"/>
        <color theme="1"/>
        <rFont val="Calibri"/>
        <family val="2"/>
        <scheme val="minor"/>
      </rPr>
      <t>2.5</t>
    </r>
  </si>
  <si>
    <t>Project</t>
  </si>
  <si>
    <t>PD</t>
  </si>
  <si>
    <t>Change In Length (ft)</t>
  </si>
  <si>
    <t>AADT</t>
  </si>
  <si>
    <t>Crash Severity</t>
  </si>
  <si>
    <t>Crash Cost Savings</t>
  </si>
  <si>
    <t>Table 1 - Crash Cost Assumptions</t>
  </si>
  <si>
    <t>ECONOMIC COMPETITIVENESS - USER BENEFIT CALCULATION OF REGIONAL TRAVEL TIME CHANGE DUE TO DETOUR</t>
  </si>
  <si>
    <t>No Build Travel Time Cost</t>
  </si>
  <si>
    <t>Build Travel Time Cost</t>
  </si>
  <si>
    <t>Truck Travel Time Cost (per hour)</t>
  </si>
  <si>
    <t>U.S. DOT BCA Guidance</t>
  </si>
  <si>
    <t>Truck Percentage</t>
  </si>
  <si>
    <t>No-Build Conditions</t>
  </si>
  <si>
    <t>Build Conditions</t>
  </si>
  <si>
    <t>Route Length (miles)</t>
  </si>
  <si>
    <t>Travel Time (minutes)</t>
  </si>
  <si>
    <t>Table 6 - Impacts of Costs Due to Closures (Travel Time)</t>
  </si>
  <si>
    <t>Vehicle Hours Traveled (VHT)</t>
  </si>
  <si>
    <t>ECONOMIC COMPETITIVENESS - USER BENEFIT CALCULATION OF VEHICLE OPERATING COST CHANGE DUE TO DETOUR</t>
  </si>
  <si>
    <t>Build Annual VMT</t>
  </si>
  <si>
    <t>No Build VMT Cost</t>
  </si>
  <si>
    <t>Build VMT Cost</t>
  </si>
  <si>
    <t>VMT Cost Savings</t>
  </si>
  <si>
    <t>Truck Vehicle Operating Cost</t>
  </si>
  <si>
    <t>Table 6 - Impacts of Costs Due to Closures (Vehicle Operating Costs)</t>
  </si>
  <si>
    <t>Vehicle Miles Traveled (VMT)</t>
  </si>
  <si>
    <t>All-Purpose Travel Time Cost (per hour)</t>
  </si>
  <si>
    <t>Auto Percentage</t>
  </si>
  <si>
    <t>Auto Vehicle Occupancy</t>
  </si>
  <si>
    <t>Auto Vehicle Operating Cost</t>
  </si>
  <si>
    <t>Table 1 - Per-hour Travel Time Cost by Mode</t>
  </si>
  <si>
    <t>Table 2 - Fleet Composition</t>
  </si>
  <si>
    <t>Table 3 - Vehicle Occupancy</t>
  </si>
  <si>
    <t>Table 4 - AADT Data</t>
  </si>
  <si>
    <t>No Build Annual VHT</t>
  </si>
  <si>
    <t>Build Annual VHT</t>
  </si>
  <si>
    <t>No Build Annual VMT</t>
  </si>
  <si>
    <t>Table 1 - Per-mile Travel Time Cost by Mode</t>
  </si>
  <si>
    <r>
      <t>NO</t>
    </r>
    <r>
      <rPr>
        <b/>
        <vertAlign val="subscript"/>
        <sz val="11"/>
        <color theme="1"/>
        <rFont val="Calibri"/>
        <family val="2"/>
        <scheme val="minor"/>
      </rPr>
      <t>X</t>
    </r>
  </si>
  <si>
    <r>
      <t>SO</t>
    </r>
    <r>
      <rPr>
        <b/>
        <vertAlign val="subscript"/>
        <sz val="11"/>
        <color theme="1"/>
        <rFont val="Calibri"/>
        <family val="2"/>
        <scheme val="minor"/>
      </rPr>
      <t>2</t>
    </r>
  </si>
  <si>
    <r>
      <t>CO</t>
    </r>
    <r>
      <rPr>
        <b/>
        <vertAlign val="subscript"/>
        <sz val="11"/>
        <color theme="1"/>
        <rFont val="Calibri"/>
        <family val="2"/>
        <scheme val="minor"/>
      </rPr>
      <t>2</t>
    </r>
    <r>
      <rPr>
        <b/>
        <sz val="11"/>
        <color theme="1"/>
        <rFont val="Calibri"/>
        <family val="2"/>
        <scheme val="minor"/>
      </rPr>
      <t xml:space="preserve"> Savings Estimations</t>
    </r>
  </si>
  <si>
    <r>
      <t>Change in CO</t>
    </r>
    <r>
      <rPr>
        <vertAlign val="subscript"/>
        <sz val="9"/>
        <color theme="1"/>
        <rFont val="Calibri"/>
        <family val="2"/>
        <scheme val="minor"/>
      </rPr>
      <t xml:space="preserve">2 </t>
    </r>
    <r>
      <rPr>
        <sz val="9"/>
        <color theme="1"/>
        <rFont val="Calibri"/>
        <family val="2"/>
        <scheme val="minor"/>
      </rPr>
      <t>(metric tons)</t>
    </r>
  </si>
  <si>
    <t>Yearly Emissions Savings (Carbon Only in Current Dollars ($))</t>
  </si>
  <si>
    <r>
      <t>Change in SO</t>
    </r>
    <r>
      <rPr>
        <vertAlign val="subscript"/>
        <sz val="9"/>
        <color theme="1"/>
        <rFont val="Calibri"/>
        <family val="2"/>
        <scheme val="minor"/>
      </rPr>
      <t>2</t>
    </r>
    <r>
      <rPr>
        <sz val="9"/>
        <color theme="1"/>
        <rFont val="Calibri"/>
        <family val="2"/>
        <scheme val="minor"/>
      </rPr>
      <t xml:space="preserve">
(metric tons)</t>
    </r>
  </si>
  <si>
    <r>
      <t>Change in PM</t>
    </r>
    <r>
      <rPr>
        <vertAlign val="subscript"/>
        <sz val="9"/>
        <color theme="1"/>
        <rFont val="Calibri"/>
        <family val="2"/>
        <scheme val="minor"/>
      </rPr>
      <t>2.5</t>
    </r>
    <r>
      <rPr>
        <sz val="9"/>
        <color theme="1"/>
        <rFont val="Calibri"/>
        <family val="2"/>
        <scheme val="minor"/>
      </rPr>
      <t xml:space="preserve">
(metric tons)</t>
    </r>
  </si>
  <si>
    <t>Table 2 - Damage Costs for Emissions per metric ton</t>
  </si>
  <si>
    <t>Table 1 - Pollution Emission by Mode (g/VMT)</t>
  </si>
  <si>
    <r>
      <t>Change in PM</t>
    </r>
    <r>
      <rPr>
        <vertAlign val="subscript"/>
        <sz val="9"/>
        <color theme="1"/>
        <rFont val="Calibri"/>
        <family val="2"/>
        <scheme val="minor"/>
      </rPr>
      <t>2.5</t>
    </r>
    <r>
      <rPr>
        <sz val="9"/>
        <color theme="1"/>
        <rFont val="Calibri"/>
        <family val="2"/>
        <scheme val="minor"/>
      </rPr>
      <t xml:space="preserve">
($)</t>
    </r>
  </si>
  <si>
    <r>
      <t>Change in NO</t>
    </r>
    <r>
      <rPr>
        <vertAlign val="subscript"/>
        <sz val="9"/>
        <color theme="1"/>
        <rFont val="Calibri"/>
        <family val="2"/>
        <scheme val="minor"/>
      </rPr>
      <t>x</t>
    </r>
    <r>
      <rPr>
        <sz val="9"/>
        <color theme="1"/>
        <rFont val="Calibri"/>
        <family val="2"/>
        <scheme val="minor"/>
      </rPr>
      <t xml:space="preserve"> ($)</t>
    </r>
  </si>
  <si>
    <r>
      <t>Change in SO</t>
    </r>
    <r>
      <rPr>
        <vertAlign val="subscript"/>
        <sz val="9"/>
        <color theme="1"/>
        <rFont val="Calibri"/>
        <family val="2"/>
        <scheme val="minor"/>
      </rPr>
      <t xml:space="preserve">2 </t>
    </r>
    <r>
      <rPr>
        <sz val="9"/>
        <color theme="1"/>
        <rFont val="Calibri"/>
        <family val="2"/>
        <scheme val="minor"/>
      </rPr>
      <t xml:space="preserve">
($)</t>
    </r>
  </si>
  <si>
    <t>Yearly Emissions Savings in Current Dollars ($) (Without Carbon)</t>
  </si>
  <si>
    <t xml:space="preserve"> 7%Discounted (Carbon Discounted @ 3%)</t>
  </si>
  <si>
    <t>No Build Crash Cost</t>
  </si>
  <si>
    <t>Build Crash Cost</t>
  </si>
  <si>
    <t>Source</t>
  </si>
  <si>
    <t>https://gis.ne.gov/portal/apps/mapviewer/index.html?webmap=9da1b7650dfe4f07af4911a5bdf95e6a</t>
  </si>
  <si>
    <t>AADT Data Location 1:</t>
  </si>
  <si>
    <t>Source:</t>
  </si>
  <si>
    <t>Note - No Ramp Forecasts Were Provided</t>
  </si>
  <si>
    <t>Description</t>
  </si>
  <si>
    <t>CN 12591, I-80</t>
  </si>
  <si>
    <t>Section RP 387+54-395+15</t>
  </si>
  <si>
    <t>ADT</t>
  </si>
  <si>
    <t>DHV</t>
  </si>
  <si>
    <t>%HV</t>
  </si>
  <si>
    <t>Annual Growth Rate:</t>
  </si>
  <si>
    <t>Percent per year (2022 Base Year - Linear Growth)</t>
  </si>
  <si>
    <t>Type</t>
  </si>
  <si>
    <t>Segment 1 (387.54 to 388.14)</t>
  </si>
  <si>
    <t>CMF ID</t>
  </si>
  <si>
    <t>Install Median Barrier - CMF #42</t>
  </si>
  <si>
    <t>http://www.cmfclearinghouse.org/detail.cfm?facid=42</t>
  </si>
  <si>
    <t>Install Median Barrier - CMF #43</t>
  </si>
  <si>
    <t>http://www.cmfclearinghouse.org/detail.cfm?facid=43</t>
  </si>
  <si>
    <t>Table 6 - Composite CMF's</t>
  </si>
  <si>
    <t>Table 4 -  I-80 Mainline Traffic Volume Data</t>
  </si>
  <si>
    <t>2022 VMT</t>
  </si>
  <si>
    <t>2042 VMT</t>
  </si>
  <si>
    <t>Table 7 - Build Annual Average Crashes per VMT</t>
  </si>
  <si>
    <t>Total Cost Per VMT</t>
  </si>
  <si>
    <t>WB Entrance Ramp Terminal</t>
  </si>
  <si>
    <t>EB Entrance Ramp Terminal</t>
  </si>
  <si>
    <t>Table 4 - Total Crash Costs</t>
  </si>
  <si>
    <t>length miles</t>
  </si>
  <si>
    <t>speed mph</t>
  </si>
  <si>
    <t>Travel Time in Minutes</t>
  </si>
  <si>
    <t>Base Year Dollars</t>
  </si>
  <si>
    <t>Current Year</t>
  </si>
  <si>
    <t>Junction</t>
  </si>
  <si>
    <t>Table 5 - Detour Information (Average of EB/WB)</t>
  </si>
  <si>
    <t>Traffic Volume Forecast Data:</t>
  </si>
  <si>
    <t>Data Used in Analysis</t>
  </si>
  <si>
    <t>Table 8 - AADT Data</t>
  </si>
  <si>
    <t>Travel Time Cost Savings (Trucks)</t>
  </si>
  <si>
    <t>Travel Time Cost Savings (Cars)</t>
  </si>
  <si>
    <t>Vehicle Operating Cost Savings (Cars)</t>
  </si>
  <si>
    <t>Vehicle Operating Cost Savings (Trucks)</t>
  </si>
  <si>
    <t>Corridor Wide Growth Rate</t>
  </si>
  <si>
    <t>Table 3 - Aggregate Cost per VHT</t>
  </si>
  <si>
    <t>Aggregate cost per mile</t>
  </si>
  <si>
    <t>Table 4 - Corridor Wide AADT Data</t>
  </si>
  <si>
    <t>I-80 Mainline</t>
  </si>
  <si>
    <t>Note: Construction is assumed to be completed between 2026-2027 (7 months per year - April - November)</t>
  </si>
  <si>
    <t>Travel Time Cost During Detour (Cars + Trucks)</t>
  </si>
  <si>
    <t>CMF Hyperlink</t>
  </si>
  <si>
    <t>N/A</t>
  </si>
  <si>
    <t>Table 3 - AADT Data</t>
  </si>
  <si>
    <t>Table 4 - Detour Information (Average of EB/WB)</t>
  </si>
  <si>
    <t>Table 5 - Impacts of Costs Due to Closures (Vehicle Operating Costs)</t>
  </si>
  <si>
    <t>All Detours/Closures</t>
  </si>
  <si>
    <t>Hyperlink</t>
  </si>
  <si>
    <t>Travel Time Data Obtained from Google Maps:</t>
  </si>
  <si>
    <t>Eastbound VIA I-80 (Build)</t>
  </si>
  <si>
    <t>WB Via I-80 (Build)</t>
  </si>
  <si>
    <t>EB Via I-80 Alt (No-Build)</t>
  </si>
  <si>
    <t>WB Via I-80 Alt (No-Build)</t>
  </si>
  <si>
    <t>Table 4 - Volume Data</t>
  </si>
  <si>
    <t>Mainline Safety Improvements</t>
  </si>
  <si>
    <t>I-80 Alternative</t>
  </si>
  <si>
    <t>Eastbound Build Conditoins:</t>
  </si>
  <si>
    <t>Eastbound No-Build Conditoins:</t>
  </si>
  <si>
    <t>Westbound Build Conditoins:</t>
  </si>
  <si>
    <t>Westbound No-Build Conditoins:</t>
  </si>
  <si>
    <t>Defficient Structure (Impacts EB &amp; WB Traffic on I-94): Middle Creek - Structure Number S080 39165 L&amp;R</t>
  </si>
  <si>
    <t>Defficient Structure (Impacts EB &amp; WB Traffic on I-94): South Branch of Middle Creek - Structure Number 39294 L&amp;R</t>
  </si>
  <si>
    <t>https://www.google.com/maps/dir/40.8215011,-96.951188/40.8160146,-96.7739027/@40.817682,-96.8975647,13z/data=!3m1!4b1!4m13!4m12!1m5!3m4!1m2!1d-96.8779914!2d40.8139717!3s0x8796c30b32308ba9:0x6fc0566f5580b02f!1m0!2m3!6e0!7e2!8j1651459500!3e0</t>
  </si>
  <si>
    <t>https://www.google.com/maps/dir/40.8215011,-96.951188/40.8160146,-96.7739027/@40.817682,-96.8975647,13z/data=!4m13!4m12!1m5!3m4!1m2!1d-96.8779864!2d40.8201305!3s0x8796c39a3dd2b87b:0x48561e4d4ea7c14a!1m0!2m3!6e0!7e2!8j1651459500!3e0</t>
  </si>
  <si>
    <t>https://www.google.com/maps/dir/40.8161715,-96.7738915/40.8217497,-96.9512471/@40.8289891,-96.885437,13.29z/data=!4m13!4m12!1m5!3m4!1m2!1d-96.8380474!2d40.8219744!3s0x8796c3e2280b2ee9:0x6af1d830381274eb!1m0!2m3!6e0!7e2!8j1651459500!3e0</t>
  </si>
  <si>
    <t>https://www.google.com/maps/dir/40.8161715,-96.7738915/40.8217497,-96.9512471/@40.8289891,-96.885437,13.29z/data=!4m13!4m12!1m5!3m4!1m2!1d-96.8364462!2d40.8138765!3s0x8796c3df7aec850f:0x633f8f5c615f0e4a!1m0!2m3!6e0!7e2!8j1651459500!3e0</t>
  </si>
  <si>
    <t>Deficient Structure (Impacts EB &amp; WB Traffic on I-94): South Branch of Middle Creek - Structure Number 39294 L&amp;R</t>
  </si>
  <si>
    <t>Deficient Structure (Impacts EB &amp; WB Traffic on I-94): Middle Creek - Structure Number S080 39165 L&amp;R</t>
  </si>
  <si>
    <t>Eastbound Build Conditions:</t>
  </si>
  <si>
    <t>Westbound Build Conditions:</t>
  </si>
  <si>
    <t>Eastbound No-Build Conditions:</t>
  </si>
  <si>
    <t>Westbound No-Build Conditions:</t>
  </si>
  <si>
    <t>Table 5 -Travel Time Summary During Detour RP: 387.54 to 395.15 (Applies to Eastbound and Westbound Traffic)</t>
  </si>
  <si>
    <t>Assumed Year of Bridge Failure</t>
  </si>
  <si>
    <t>Assumed Year "Diversion Via I-80 Alternative" Begins</t>
  </si>
  <si>
    <t>Year 2019-2021 AADT data was obtained from Nebraska Department of Transpiration Resources. The growth rate of 1.55% per year for section RP 387+54-395+15 was applied corridor wide to obtain year 2022 and 2042 AADT volumes for segment 2 (387.54 to 388.14)</t>
  </si>
  <si>
    <t>No Build &amp; Build Conditions</t>
  </si>
  <si>
    <t>Average AADT (2019)</t>
  </si>
  <si>
    <t>3-Year VMT For Crash Rate</t>
  </si>
  <si>
    <t>All Junction Crashes</t>
  </si>
  <si>
    <t>NDDOT CRASH KEY</t>
  </si>
  <si>
    <t>Crash Date</t>
  </si>
  <si>
    <t>Day of Week</t>
  </si>
  <si>
    <t>Time of Day</t>
  </si>
  <si>
    <t>Ref. Post Number</t>
  </si>
  <si>
    <t>Crash Location Description</t>
  </si>
  <si>
    <t>Number Injured</t>
  </si>
  <si>
    <t>Number of Fatal</t>
  </si>
  <si>
    <t>Weather</t>
  </si>
  <si>
    <t>Light Condition</t>
  </si>
  <si>
    <t>Multi-Vehicle Crash</t>
  </si>
  <si>
    <t>First Harmful Event</t>
  </si>
  <si>
    <t>Road Surface Condition</t>
  </si>
  <si>
    <t>Alcohol Related</t>
  </si>
  <si>
    <t>Location Heading</t>
  </si>
  <si>
    <t>Crash Year</t>
  </si>
  <si>
    <t>11/26/2017</t>
  </si>
  <si>
    <t>SUN</t>
  </si>
  <si>
    <t>1855</t>
  </si>
  <si>
    <t>I80 W OF EB RAMP TO N103-NW OF PLEASANT DALE</t>
  </si>
  <si>
    <t>Clear</t>
  </si>
  <si>
    <t>Dark</t>
  </si>
  <si>
    <t>Rear-end</t>
  </si>
  <si>
    <t>MV transprt</t>
  </si>
  <si>
    <t>Dry</t>
  </si>
  <si>
    <t>N</t>
  </si>
  <si>
    <t>I-80, RP 387.54 to 396.59 - excluding jcts</t>
  </si>
  <si>
    <t>Segment 1</t>
  </si>
  <si>
    <t>10/18/2019</t>
  </si>
  <si>
    <t>FRI</t>
  </si>
  <si>
    <t>0550</t>
  </si>
  <si>
    <t>I80 W OF EB TO N103-NW OF PLEASANT DALE</t>
  </si>
  <si>
    <t>Animal</t>
  </si>
  <si>
    <t>11/8/2018</t>
  </si>
  <si>
    <t>THU</t>
  </si>
  <si>
    <t>1037</t>
  </si>
  <si>
    <t>Blowing sand, soil, dirt, snow</t>
  </si>
  <si>
    <t>Light</t>
  </si>
  <si>
    <t>Sno</t>
  </si>
  <si>
    <t>4/29/2017</t>
  </si>
  <si>
    <t>SAT</t>
  </si>
  <si>
    <t>1550</t>
  </si>
  <si>
    <t>I80 W OF WB RAMP FROM N103-NE OF PLEASANT DALE</t>
  </si>
  <si>
    <t>N-R</t>
  </si>
  <si>
    <t>Cloudy</t>
  </si>
  <si>
    <t>SS (same)</t>
  </si>
  <si>
    <t>Entrance Ramp - WB</t>
  </si>
  <si>
    <t>11/1/2017</t>
  </si>
  <si>
    <t>WED</t>
  </si>
  <si>
    <t>1738</t>
  </si>
  <si>
    <t>I80 W OF EB RAMP TO N103-N OF PLEASANT DALE</t>
  </si>
  <si>
    <t>Fire/Explsn</t>
  </si>
  <si>
    <t>1/4/2019</t>
  </si>
  <si>
    <t>1006</t>
  </si>
  <si>
    <t>I80 W OF EB RAMP FROM N103-NW OF PLEASANT DALE</t>
  </si>
  <si>
    <t>Rain</t>
  </si>
  <si>
    <t>Wet</t>
  </si>
  <si>
    <t>1/22/2018</t>
  </si>
  <si>
    <t>MON</t>
  </si>
  <si>
    <t>1640</t>
  </si>
  <si>
    <t>I80 W OF N103-N OF PLEASANT DALE</t>
  </si>
  <si>
    <t>Snow</t>
  </si>
  <si>
    <t>Dusk</t>
  </si>
  <si>
    <t>Jackknife</t>
  </si>
  <si>
    <t>Ice</t>
  </si>
  <si>
    <t>Jct of I-80 (RP 387.83 to 388.46) and N-103 (RP 58.31 to 58.52)</t>
  </si>
  <si>
    <t>INJ-B</t>
  </si>
  <si>
    <t>6/18/2017</t>
  </si>
  <si>
    <t>2499</t>
  </si>
  <si>
    <t>3/14/2017</t>
  </si>
  <si>
    <t>TUE</t>
  </si>
  <si>
    <t>0810</t>
  </si>
  <si>
    <t>5/18/2018</t>
  </si>
  <si>
    <t>0930</t>
  </si>
  <si>
    <t>9/14/2018</t>
  </si>
  <si>
    <t>0850</t>
  </si>
  <si>
    <t>INJ-C</t>
  </si>
  <si>
    <t>Sign post</t>
  </si>
  <si>
    <t>I80 E OF N103-N OF PLEASANT DALE</t>
  </si>
  <si>
    <t>7/21/2017</t>
  </si>
  <si>
    <t>0945</t>
  </si>
  <si>
    <t>3/15/2018</t>
  </si>
  <si>
    <t>2229</t>
  </si>
  <si>
    <t>Y</t>
  </si>
  <si>
    <t>2/20/2018</t>
  </si>
  <si>
    <t>0700</t>
  </si>
  <si>
    <t>Dawn</t>
  </si>
  <si>
    <t>SS (opp.)</t>
  </si>
  <si>
    <t>I80 W OF N103-NW OF PLEASANT DALE</t>
  </si>
  <si>
    <t>Oth fix obj</t>
  </si>
  <si>
    <t>0753</t>
  </si>
  <si>
    <t>I80 E OF N103-NE OF PLEASANT DALE</t>
  </si>
  <si>
    <t>Overturn</t>
  </si>
  <si>
    <t>Segment 2</t>
  </si>
  <si>
    <t>8/10/2019</t>
  </si>
  <si>
    <t>0019</t>
  </si>
  <si>
    <t>Fog, smog, smoke</t>
  </si>
  <si>
    <t>Culvert</t>
  </si>
  <si>
    <t>6/5/2019</t>
  </si>
  <si>
    <t>1450</t>
  </si>
  <si>
    <t>Ditch</t>
  </si>
  <si>
    <t>12/15/2017</t>
  </si>
  <si>
    <t>0443</t>
  </si>
  <si>
    <t>6/11/2018</t>
  </si>
  <si>
    <t>1405</t>
  </si>
  <si>
    <t>I80 &amp; EB RAMP FROM N103-NE OF PLEASANT DALE</t>
  </si>
  <si>
    <t>Entrance Ramp - EB</t>
  </si>
  <si>
    <t>1700</t>
  </si>
  <si>
    <t>I80 E OF WB RAMP TO N103-NE OF PLEASANT DALE</t>
  </si>
  <si>
    <t>6/8/2017</t>
  </si>
  <si>
    <t>2330</t>
  </si>
  <si>
    <t>I80 E OF WB RAMP FROM N103-NE OF PLEASANT DALE</t>
  </si>
  <si>
    <t>11/6/2019</t>
  </si>
  <si>
    <t>0630</t>
  </si>
  <si>
    <t>Sleet, hail, freezing rain/drizzle</t>
  </si>
  <si>
    <t>G-rail face</t>
  </si>
  <si>
    <t>2/23/2017</t>
  </si>
  <si>
    <t>2300</t>
  </si>
  <si>
    <t>Head-on</t>
  </si>
  <si>
    <t>1353</t>
  </si>
  <si>
    <t>6/30/2017</t>
  </si>
  <si>
    <t>0110</t>
  </si>
  <si>
    <t>Mud</t>
  </si>
  <si>
    <t>10/23/2018</t>
  </si>
  <si>
    <t>0715</t>
  </si>
  <si>
    <t>1/22/2019</t>
  </si>
  <si>
    <t>0535</t>
  </si>
  <si>
    <t>11/24/2018</t>
  </si>
  <si>
    <t>2147</t>
  </si>
  <si>
    <t>I80 W OF NW 126TH ST-W OF LINCOLN</t>
  </si>
  <si>
    <t>3/1/2017</t>
  </si>
  <si>
    <t>1415</t>
  </si>
  <si>
    <t>I80 E OF NW 140TH ST-W OF LINCOLN</t>
  </si>
  <si>
    <t>9/14/2017</t>
  </si>
  <si>
    <t>1116</t>
  </si>
  <si>
    <t>INJ-A</t>
  </si>
  <si>
    <t>8/18/2019</t>
  </si>
  <si>
    <t>1457</t>
  </si>
  <si>
    <t>6/21/2019</t>
  </si>
  <si>
    <t>1750</t>
  </si>
  <si>
    <t>3/23/2018</t>
  </si>
  <si>
    <t>8/10/2018</t>
  </si>
  <si>
    <t>0928</t>
  </si>
  <si>
    <t>8/24/2018</t>
  </si>
  <si>
    <t>2051</t>
  </si>
  <si>
    <t>Oth move ob</t>
  </si>
  <si>
    <t>11/12/2018</t>
  </si>
  <si>
    <t>0350</t>
  </si>
  <si>
    <t>I80 W OF NW 126TH ST-SW OF MALCOLM</t>
  </si>
  <si>
    <t>5/13/2017</t>
  </si>
  <si>
    <t>0440</t>
  </si>
  <si>
    <t>I80 E OF NW 126TH ST-W OF LINCOLN</t>
  </si>
  <si>
    <t>10/19/2018</t>
  </si>
  <si>
    <t>1923</t>
  </si>
  <si>
    <t>10/21/2018</t>
  </si>
  <si>
    <t>0900</t>
  </si>
  <si>
    <t>5/14/2018</t>
  </si>
  <si>
    <t>2130</t>
  </si>
  <si>
    <t>7/1/2017</t>
  </si>
  <si>
    <t>1400</t>
  </si>
  <si>
    <t>11/17/2018</t>
  </si>
  <si>
    <t>1830</t>
  </si>
  <si>
    <t>I80 E NW 126TH ST-W OF LINCOLN</t>
  </si>
  <si>
    <t>Tree</t>
  </si>
  <si>
    <t>4/1/2018</t>
  </si>
  <si>
    <t>1216</t>
  </si>
  <si>
    <t>I80 W OF NW 112TH ST-W OF LINCOLN</t>
  </si>
  <si>
    <t>1/23/2019</t>
  </si>
  <si>
    <t>1031</t>
  </si>
  <si>
    <t>2/17/2019</t>
  </si>
  <si>
    <t>0640</t>
  </si>
  <si>
    <t>Fence</t>
  </si>
  <si>
    <t>1/15/2019</t>
  </si>
  <si>
    <t>2223</t>
  </si>
  <si>
    <t>5/25/2018</t>
  </si>
  <si>
    <t>0120</t>
  </si>
  <si>
    <t>6/23/2019</t>
  </si>
  <si>
    <t>0100</t>
  </si>
  <si>
    <t>9/25/2017</t>
  </si>
  <si>
    <t>0500</t>
  </si>
  <si>
    <t>0730</t>
  </si>
  <si>
    <t>1600</t>
  </si>
  <si>
    <t>Other non-c</t>
  </si>
  <si>
    <t>3/26/2018</t>
  </si>
  <si>
    <t>0135</t>
  </si>
  <si>
    <t>3/24/2018</t>
  </si>
  <si>
    <t>2323</t>
  </si>
  <si>
    <t>9/1/2019</t>
  </si>
  <si>
    <t>2145</t>
  </si>
  <si>
    <t>I80 E OF NW 112TH ST-W OF LINCOLN</t>
  </si>
  <si>
    <t>10/11/2017</t>
  </si>
  <si>
    <t>0031</t>
  </si>
  <si>
    <t>1330</t>
  </si>
  <si>
    <t>0804</t>
  </si>
  <si>
    <t>4/20/2019</t>
  </si>
  <si>
    <t>0830</t>
  </si>
  <si>
    <t>Embankment</t>
  </si>
  <si>
    <t>8/7/2019</t>
  </si>
  <si>
    <t>4/21/2018</t>
  </si>
  <si>
    <t>2156</t>
  </si>
  <si>
    <t>Sls</t>
  </si>
  <si>
    <t>7/1/2018</t>
  </si>
  <si>
    <t>1008</t>
  </si>
  <si>
    <t>8/18/2018</t>
  </si>
  <si>
    <t>1326</t>
  </si>
  <si>
    <t>1510</t>
  </si>
  <si>
    <t>I80 BRDG OVER S BR MIDDLE CRK-5.4 W OF LINCOLN</t>
  </si>
  <si>
    <t>1/13/2019</t>
  </si>
  <si>
    <t>1208</t>
  </si>
  <si>
    <t>Bridge rail</t>
  </si>
  <si>
    <t>2200</t>
  </si>
  <si>
    <t>2/16/2019</t>
  </si>
  <si>
    <t>I80 BR OVR S BR MIDDLE CRK-W OF R55U-W OF LINCOLN</t>
  </si>
  <si>
    <t>I80 W OF NW 98TH ST-W OF LINCOLN</t>
  </si>
  <si>
    <t>1511</t>
  </si>
  <si>
    <t>Unk</t>
  </si>
  <si>
    <t>4/15/2018</t>
  </si>
  <si>
    <t>0235</t>
  </si>
  <si>
    <t>0957</t>
  </si>
  <si>
    <t>7/19/2018</t>
  </si>
  <si>
    <t>1435</t>
  </si>
  <si>
    <t>10/12/2018</t>
  </si>
  <si>
    <t>0145</t>
  </si>
  <si>
    <t>I80 UNDER NW 98TH ST-W OF LINCOLN</t>
  </si>
  <si>
    <t>7/13/2018</t>
  </si>
  <si>
    <t>1950</t>
  </si>
  <si>
    <t>FATAL</t>
  </si>
  <si>
    <t>I80 E OF NW 98TH ST-W OF LINCOLN</t>
  </si>
  <si>
    <t>4/23/2019</t>
  </si>
  <si>
    <t>0745</t>
  </si>
  <si>
    <t>1/17/2017</t>
  </si>
  <si>
    <t>0537</t>
  </si>
  <si>
    <t>3/7/2019</t>
  </si>
  <si>
    <t>0354</t>
  </si>
  <si>
    <t>9/6/2018</t>
  </si>
  <si>
    <t>5/29/2019</t>
  </si>
  <si>
    <t>0115</t>
  </si>
  <si>
    <t>8/30/2019</t>
  </si>
  <si>
    <t>1439</t>
  </si>
  <si>
    <t>12/29/2019</t>
  </si>
  <si>
    <t>1722</t>
  </si>
  <si>
    <t>I80 W OF R55U-W OF LINCOLN</t>
  </si>
  <si>
    <t>1445</t>
  </si>
  <si>
    <t>5/11/2019</t>
  </si>
  <si>
    <t>I80 BRDG OVER MIDDLE CRK-W OF R55U-W OF LINCOLN</t>
  </si>
  <si>
    <t>0950</t>
  </si>
  <si>
    <t>I80 BRDG OVR MIDDLE CRK-E OF NW 98TH ST-W OF LINC</t>
  </si>
  <si>
    <t>I80 E OF R55U-W OF LINCOLN</t>
  </si>
  <si>
    <t>11/19/2018</t>
  </si>
  <si>
    <t>1629</t>
  </si>
  <si>
    <t>6/27/2019</t>
  </si>
  <si>
    <t>1845</t>
  </si>
  <si>
    <t>Cargo shift</t>
  </si>
  <si>
    <t>2/5/2018</t>
  </si>
  <si>
    <t>1250</t>
  </si>
  <si>
    <t>2/24/2018</t>
  </si>
  <si>
    <t>I80 UNDER R55U-W OF LINCOLN</t>
  </si>
  <si>
    <t>12/15/2019</t>
  </si>
  <si>
    <t>1003</t>
  </si>
  <si>
    <t>9/3/2018</t>
  </si>
  <si>
    <t>2035</t>
  </si>
  <si>
    <t>I80 E OF R55U-W OF LINCOLNN</t>
  </si>
  <si>
    <t>0230</t>
  </si>
  <si>
    <t>6/23/2018</t>
  </si>
  <si>
    <t>2250</t>
  </si>
  <si>
    <t>7/30/2018</t>
  </si>
  <si>
    <t>1900</t>
  </si>
  <si>
    <t>Unk mov obj</t>
  </si>
  <si>
    <t>11/25/2018</t>
  </si>
  <si>
    <t>0215</t>
  </si>
  <si>
    <t>7/2/2017</t>
  </si>
  <si>
    <t>10/27/2018</t>
  </si>
  <si>
    <t>1733</t>
  </si>
  <si>
    <t>9/19/2019</t>
  </si>
  <si>
    <t>1421</t>
  </si>
  <si>
    <t>9/24/2017</t>
  </si>
  <si>
    <t>2151</t>
  </si>
  <si>
    <t>9/12/2019</t>
  </si>
  <si>
    <t>0459</t>
  </si>
  <si>
    <t>5/13/2018</t>
  </si>
  <si>
    <t>0940</t>
  </si>
  <si>
    <t>1140</t>
  </si>
  <si>
    <t>6/25/2019</t>
  </si>
  <si>
    <t>2140</t>
  </si>
  <si>
    <t>11/21/2017</t>
  </si>
  <si>
    <t>1546</t>
  </si>
  <si>
    <t>4/15/2017</t>
  </si>
  <si>
    <t>0911</t>
  </si>
  <si>
    <t>I80 W OF WB RAMP FROM US6-W OF LINCOLN</t>
  </si>
  <si>
    <t>7/28/2018</t>
  </si>
  <si>
    <t>1620</t>
  </si>
  <si>
    <t>I80 W OF WB RAMP FROM L55K-W OF LINCOLN</t>
  </si>
  <si>
    <t>I80 W OF NW 56TH ST-W OF LINCOLN</t>
  </si>
  <si>
    <t>10/4/2018</t>
  </si>
  <si>
    <t>1824</t>
  </si>
  <si>
    <t>5/20/2019</t>
  </si>
  <si>
    <t>1040</t>
  </si>
  <si>
    <t>3/22/2017</t>
  </si>
  <si>
    <t>1547</t>
  </si>
  <si>
    <t>I80 W OF L55K-W OF LINCOLN</t>
  </si>
  <si>
    <t>9/23/2019</t>
  </si>
  <si>
    <t>1230</t>
  </si>
  <si>
    <t>5/24/2018</t>
  </si>
  <si>
    <t>0207</t>
  </si>
  <si>
    <t>10/13/2018</t>
  </si>
  <si>
    <t>1955</t>
  </si>
  <si>
    <t>1/18/2017</t>
  </si>
  <si>
    <t>0710</t>
  </si>
  <si>
    <t>1/27/2017</t>
  </si>
  <si>
    <t>1155</t>
  </si>
  <si>
    <t>6/7/2017</t>
  </si>
  <si>
    <t>0836</t>
  </si>
  <si>
    <t>Median barr</t>
  </si>
  <si>
    <t>6/9/2018</t>
  </si>
  <si>
    <t>1/2/2017</t>
  </si>
  <si>
    <t>5/6/2017</t>
  </si>
  <si>
    <t>0030</t>
  </si>
  <si>
    <t>0055</t>
  </si>
  <si>
    <t>5/26/2018</t>
  </si>
  <si>
    <t>0610</t>
  </si>
  <si>
    <t>2/24/2017</t>
  </si>
  <si>
    <t>5/18/2017</t>
  </si>
  <si>
    <t>0008</t>
  </si>
  <si>
    <t>I80 W OF NW 56TH ST-W LINCOLN</t>
  </si>
  <si>
    <t>1035</t>
  </si>
  <si>
    <t>I80 &amp; WB RAMP FROM L55K-W OF LINCOLN</t>
  </si>
  <si>
    <t>10/14/2018</t>
  </si>
  <si>
    <t>1/4/2018</t>
  </si>
  <si>
    <t>I80 E OF WB RAMP FROM L55K-W OF LINCOLN</t>
  </si>
  <si>
    <t>10/26/2018</t>
  </si>
  <si>
    <t>Jct of I-80 (RP 395.10 to 396.05) and L-55K (RP 0.14 to 0.42)</t>
  </si>
  <si>
    <t>Additional Segment of I-94 in Build Conditions (Due to Detour)</t>
  </si>
  <si>
    <t>1/15/2018</t>
  </si>
  <si>
    <t>0750</t>
  </si>
  <si>
    <t>I80 EB RAMP AT L55K-W OF LINCOLN</t>
  </si>
  <si>
    <t>5/29/2018</t>
  </si>
  <si>
    <t>12/27/2018</t>
  </si>
  <si>
    <t>1515</t>
  </si>
  <si>
    <t>8/8/2019</t>
  </si>
  <si>
    <t>1447</t>
  </si>
  <si>
    <t>I80 W OF L55K-W OF LINCOLN-W OF LINCOLN</t>
  </si>
  <si>
    <t>1645</t>
  </si>
  <si>
    <t>3/6/2018</t>
  </si>
  <si>
    <t>0958</t>
  </si>
  <si>
    <t>1735</t>
  </si>
  <si>
    <t>I80 BRDG OVER L55K-W OF LINCOLN</t>
  </si>
  <si>
    <t>5/22/2018</t>
  </si>
  <si>
    <t>2232</t>
  </si>
  <si>
    <t>I80 E OF L55K-W OF LINCOLN</t>
  </si>
  <si>
    <t>8/15/2018</t>
  </si>
  <si>
    <t>2050</t>
  </si>
  <si>
    <t>12/22/2017</t>
  </si>
  <si>
    <t>0943</t>
  </si>
  <si>
    <t xml:space="preserve">Vehicle occupancy that was used in the analysis is consistent with values provided by Benefit Cost Analysis Guidance for Discretionary Grant Programs, dated March 2022 (Revised). The analysis assumed occupancy of 1.67 people per automobile and 1.00 people per truck. </t>
  </si>
  <si>
    <t>Table 2 - Existing Crash History (2017-2019)</t>
  </si>
  <si>
    <t>Table 4 - I-80 Mainline Annual Average Crashes per VMT</t>
  </si>
  <si>
    <t>EB Entrance Ramp</t>
  </si>
  <si>
    <t>WB Entrance Ramp</t>
  </si>
  <si>
    <t>Crash data from 2017-2019 was obtained from a Nebraska DOT crash database (https://ntip.nebraska.gov/Map) to determine average annual number of crashes by severity along US 6.</t>
  </si>
  <si>
    <t>Segment 2 (388.14 to 395.15)</t>
  </si>
  <si>
    <t>US 6 (I-80 Alternative)</t>
  </si>
  <si>
    <t>2022 Data Not Available</t>
  </si>
  <si>
    <t>Segment 3 (395.15 to 396)</t>
  </si>
  <si>
    <t>No Build Annual Travel Time</t>
  </si>
  <si>
    <t>Build Annual Travel Time</t>
  </si>
  <si>
    <t>Table 9 - I-80 Total Crash Costs (2022-2045)</t>
  </si>
  <si>
    <t>Opening Year</t>
  </si>
  <si>
    <t>Note: Segment 3 is outside of the project area, safety improvements in this segment are not involved in this project. This segment and information is included to monetize additional crashes associated with detours due  to bridge closure on I-80.</t>
  </si>
  <si>
    <t>https://www.cmfclearinghouse.org/detail.cfm?facid=7933</t>
  </si>
  <si>
    <t>Increase From 4 to 6 Lanes - CMF # 7933</t>
  </si>
  <si>
    <t>The analysis primarily focused on annual benefits for the thirty-year period from 2028 to 2057.</t>
  </si>
  <si>
    <r>
      <t>Air quality  CO</t>
    </r>
    <r>
      <rPr>
        <vertAlign val="subscript"/>
        <sz val="9"/>
        <color theme="1"/>
        <rFont val="Calibri"/>
        <family val="2"/>
        <scheme val="minor"/>
      </rPr>
      <t>2</t>
    </r>
  </si>
  <si>
    <t>Table 2 - CMF Calculations</t>
  </si>
  <si>
    <t>Junction Crashes Near 154th St Interchange</t>
  </si>
  <si>
    <t>Table 10 - I-80 Total additional Crash Costs associated with No-Build vs Build Travel Route (2045-2057)</t>
  </si>
  <si>
    <t>Existing AADT</t>
  </si>
  <si>
    <t>Annual VMT</t>
  </si>
  <si>
    <t>Severity</t>
  </si>
  <si>
    <t>WB Detour</t>
  </si>
  <si>
    <t>Assumed Growth Rate on US 6</t>
  </si>
  <si>
    <t>Length (feet)</t>
  </si>
  <si>
    <t>Existing crash rates were calculated using AADT and route lengths and KABCO data .</t>
  </si>
  <si>
    <t xml:space="preserve">Crash costs under the No-Build were determined by adding the diverted volume to the existing volume and using existing crash rates by severity </t>
  </si>
  <si>
    <t>EB/WB Diverted ADT from I-81</t>
  </si>
  <si>
    <t>EB Diverted ADT from I-81</t>
  </si>
  <si>
    <t>Total VMT on Detour Route (VIA US 6)</t>
  </si>
  <si>
    <t>Existing AADT (EB &amp; WB Combined)</t>
  </si>
  <si>
    <t>Existing WB ADT on Detour Route Via US 6</t>
  </si>
  <si>
    <t>Table 2 - Eastbound Diversion from I-80 to US 6: Traffic Data &amp; Weighted AADT/VMT</t>
  </si>
  <si>
    <t>Table 3 - Westbound Diversion from I-80 to US 6: Traffic Data &amp; Weighted AADT/VMT</t>
  </si>
  <si>
    <t>Crashes Along EB Detour Route</t>
  </si>
  <si>
    <t>Crashes Along WB Detour Route</t>
  </si>
  <si>
    <t>SAFETY - CRASH SAVINGS: I-80 MAINLINE SAFETY IMPROVEMENTS</t>
  </si>
  <si>
    <t>*Due to differences in project corridor length near interchanges during detours (Junction Crashes)</t>
  </si>
  <si>
    <t>Table 3 - I-80 Traffic Segment Data &amp; VMT Calculations</t>
  </si>
  <si>
    <t>Detours are anticipated in year 2046, the year after bridges along I-80 have zero remaining service life and are deemed to no longer be safely traversable by the public. Crashes in this tab are monetized for the diversion of traffic from I-81 to US 6.</t>
  </si>
  <si>
    <t>Figure 1 - Project Location Map</t>
  </si>
  <si>
    <t>Figure 1 - I-80 Mainline Safety Improvements</t>
  </si>
  <si>
    <t>Crash Data Along US 6 (I-80 Alt) EB Detour Route:</t>
  </si>
  <si>
    <t>Crash Data Along US 6 (I-80 Alt) WB Detour Route:</t>
  </si>
  <si>
    <t>The corridor-wide truck percentage used in the analysis was 25 percent and was based on year 2022 daily traffic and heavy truck counts obtained through coordination with NDOT Planning, Traffic Forecasting and Modeling staff.</t>
  </si>
  <si>
    <t xml:space="preserve">Value of time, vehicle operating costs, emissions costs, and cost of crashes were obtained from the Benefit Cost Analysis Guidance for Discretionary Grant Programs, dated March 2022 (Revised) - https://www.transportation.gov/sites/dot.gov/files/2022-03/Benefit%20Cost%20Analysis%20Guidance%202022%20%28Revised%29.pdf. The present value of all benefits and costs was calculated using 2020 as the year of current dollars. This analysis assumes a real discount rate of seven percent per year. </t>
  </si>
  <si>
    <t xml:space="preserve"> BCA SUMMARY: I-80 Capacity, Safety, and Freight Movement Enhancements (387.54 to 395.15)</t>
  </si>
  <si>
    <t>After consultation with NDOT Roadway Design Division staff, the bridges along I-80 (Structure #S080 39165LR over South Branch Middle Creek &amp; S080 39294LR over Middle Creek) were assumed to close in year 2045 based on remaining service life under the No Build Alternative.</t>
  </si>
  <si>
    <t>Detour routes and associated mileage and travel times were determined using Google Maps.</t>
  </si>
  <si>
    <t>Value of time, vehicle operating costs, emissions costs, and cost of crashes were obtained from the Benefit Cost Analysis Guidance for Discretionary Grant Programs, dated March 2022 (Revised) . The present value of all benefits and costs was calculated using 2020 as the year of current dollars. This analysis assumes a real discount rate of 7 percent per year.</t>
  </si>
  <si>
    <t xml:space="preserve">Year 2022 and year 2042 I-80 corridor VMT and VHT were developed using existing and forecast AADTs and anticipated route choices under the No Build and Build Alternatives. Existing year 2022 and forecast year 2042 corridor AADTs were obtained through coordination with NDOT Planning, Traffic Forecasting and Modeling staff. This analysis assumes a linear annual average growth rate of 1.55 percent per year along I-80 and was obtained from the NDOT Travel Demand Model. </t>
  </si>
  <si>
    <t>Annual VMT is expected to be impacted by the bridge closures along I-80 (Structure #S080 39165LR over South Branch Middle Creek &amp; S080 39294LR over Middle Creek). The change in VMT between the No Build Alternative and Build Alternative was caused by the diversions due to closure along I-80.</t>
  </si>
  <si>
    <t>Annual VMT is expected to be impacted by the bridge closures along I-80 (Structure #S080 39165LR over South Branch Middle Creek &amp; S080 39294LR over Middle Creek). The change in VMT between the No Build Alternative and Build Alternative was caused by the diversions described in Section 4 of this memorandum “Development of Vehicle Miles Traveled (VMT) and Vehicle Hours Traveled (VHT).” Average emission rates per vehicle type were obtained from the Environmental Protection Agency’s Motor Vehicle Emission Simulator (MOVES) version 3: https://www.epa.gov/moves/latest-version-motor-vehicle-emission-simulator-moves .</t>
  </si>
  <si>
    <t>Emission rates per vehicle type are provided in the attached BCA Workbook. Total change in emissions was valued in accordance with the Benefit Cost Analysis Guidance for Discretionary Grant Programs, dated March 2022 (Revised).</t>
  </si>
  <si>
    <t>Three-years of crash data along the I-80 corridor was obtained for years 2017 through 2019 from NDOT to determine average annual number of crashes by severity . Reductions in crashes along the I-80 corridor were estimated using the following Crash Modification Factors: Install Median Barrier (CMF #42) , Install Median Barrier - (CMF #43) , Increase From 4 to 6 Lanes (CMF # 7933) .</t>
  </si>
  <si>
    <t>The crash modification factor for the treatment "Install Median Barrier" (CMF #42) was obtained from the CMF Clearinghouse database.  The crash modification factor was applied to all Fatal segment crashes (non-junction crashes only). This CMF predicts an annual reduction of 47% in all types of fatal crashes.</t>
  </si>
  <si>
    <t>The crash modification factor for the treatment "Install Median Barrier" (CMF #43) was obtained from the CMF Clearinghouse database.  The crash modification factor was applied to all type A, B and C segment crashes (non-junction crashes only). This CMF predicts an annual reduction of 30% for all applicable crashes.</t>
  </si>
  <si>
    <t>The crash modification factor for the treatment "Increase From 4 Lanes To 6 Lanes" (CMF #7933) was obtained from the CMF Clearinghouse database.  The crash modification factor was applied to all type K, A, B, C, and PD segment crashes (non-junction crashes only). This CMF predicts an annual reduction of 29.8% for all applicable crashes.</t>
  </si>
  <si>
    <t>Expected number of crashes in year 2042 were calculated by multiplying the base year crashes by the percent change in traffic volumes between the base year (this analysis assumed 2019 being the center of the crash analysis period due to available AADT data) and forecast year 2042. Forecast year crash costs were calculated for the No Build Alternative and Build Alternative crash costs were obtained by applying the appropriate crash modification factors to the No Build Alternative crash costs.</t>
  </si>
  <si>
    <t>Detours are anticipated in year 2046, the year after bridges along I-80 have zero remaining service life and are deemed to no longer be safely traversable by the public. Crashes along parts of I-80 that will no longer be traversed by the public were removed from the safety benefits evaluation under the No-Build Conditions because vehicles are expected to reroute to US 6.</t>
  </si>
  <si>
    <t>Calculated CMF</t>
  </si>
  <si>
    <t xml:space="preserve">The safety benefit associated with the installation of the concrete barrier, capacity expansion, and the extension of acceleration lanes were calculated for years 2022 and 2042 and interpolated (or extrapolated) based on an annual growth rate to determine total safety benefits for the period from years 2022-2045 (prior to detours routing traffic off I-80). </t>
  </si>
  <si>
    <t>7)</t>
  </si>
  <si>
    <t>The formula for the crash modification factor for the treatment "Modify Length of Acceleration Lane" (CMF ID: 5216) was also obtained from the CMF Clearinghouse database.  The CMF equation is an exponential function which relies on the change in length of the acceleration lane as the input variable and is applicable to all crash types.  CMF was calculated for applicable ramp junctions where existing crashes were located. Existing acceleration lane lengths were determined using measurements from Google Earth aerial imagery.</t>
  </si>
  <si>
    <t>CMF ID: 5216</t>
  </si>
  <si>
    <t>Hyper Link</t>
  </si>
  <si>
    <t>http://www.cmfclearinghouse.org/detail.cfm?facid=5216</t>
  </si>
  <si>
    <t>CMF ID 5216 Equation Shown Below:</t>
  </si>
  <si>
    <t>Benefit-Cost First Year of Benefit</t>
  </si>
  <si>
    <t>Percent Autos</t>
  </si>
  <si>
    <t>Percent Trucks</t>
  </si>
  <si>
    <t>Auto Occupancy</t>
  </si>
  <si>
    <t>Truck Occupancy</t>
  </si>
  <si>
    <t>Number of Days in a Year</t>
  </si>
  <si>
    <t>Value of Time - All-Purpose Travel</t>
  </si>
  <si>
    <t>Value of Time - Truck Travel</t>
  </si>
  <si>
    <t>Cost per Mile - Auto</t>
  </si>
  <si>
    <t>Cost per Mile - Truck</t>
  </si>
  <si>
    <t>2022 AADT on I-80</t>
  </si>
  <si>
    <t>2042 AADT on I-80</t>
  </si>
  <si>
    <t>Table 3: Crash History (2017-2019) - Junction Crashes Near 154th St Interchange</t>
  </si>
  <si>
    <t>SAFETY - CRASH COST SAVINGS I-80 RAMPS - N-103 INTERCHANGE</t>
  </si>
  <si>
    <t>Figure 1 -  N-103 Interchange Ramp Modifications</t>
  </si>
  <si>
    <t>Note: Gray shaded cells above are exit and entrance ramps and are calculated to reflect one-way AADT. Detours shown to right.</t>
  </si>
  <si>
    <t>Table 4 - KABCO Crash Data Along Diversion Routes (2017-2019) &amp; Crash Rates by Severity</t>
  </si>
  <si>
    <t>EB Detour Crash rate (crashes per VMT)</t>
  </si>
  <si>
    <t>WB Detour Crash rate (crashes per VMT)</t>
  </si>
  <si>
    <t>Table 5 - Detour Traffic Data Assumptions and Total VMT Calculations for Detours</t>
  </si>
  <si>
    <t>Table 6 - Growth Rate on US 6 (I-80 Alt)</t>
  </si>
  <si>
    <t>Table 8 - Annual Crashes by Severity: Build Conditions</t>
  </si>
  <si>
    <t>Table 7 - Annual Crashes by Severity: No-Build Conditions</t>
  </si>
  <si>
    <t>It was assumed that construction would take place during a seven-month period during 2026 and 2027. Differences in travel times were quantified for each phase of the project and considered a disbenefit for the Build Alternative. This disbenefit is due to the assumed reduction in posted speed limit from 75 mph to 65 mph, impacting both directions of travel, 24 hours per day.</t>
  </si>
  <si>
    <t>This analysis assumed that the Build Alternative would be constructed over a four-year period starting, in year 2024, with completion in year 2027. Year 2028 was assumed to be the first full year that most benefits will be accrued from the entirety of the project. The present value of all benefits and costs was calculated using 2020 as the year of current dollars. I-80 mainline construction is anticipated in 2026 and 2027.</t>
  </si>
  <si>
    <t>Assumed Percentage of Cost</t>
  </si>
  <si>
    <t>Additional 2021 AADT Data:</t>
  </si>
  <si>
    <t>Data Source:</t>
  </si>
  <si>
    <t>https://ntip.nebraska.gov/Map</t>
  </si>
  <si>
    <t>Refer to "US 6 Crash Data_17-19" for Raw Data</t>
  </si>
  <si>
    <t>2017-2019 Crash Data</t>
  </si>
  <si>
    <t>First Year of I-80 Mainline Construction</t>
  </si>
  <si>
    <t>Duration of I-80 Mainline Construction</t>
  </si>
  <si>
    <t>Table 9 - Annual Crash Cost Comparison: Build vs No-Build</t>
  </si>
  <si>
    <t>AADT Segment/Location</t>
  </si>
  <si>
    <t>Existing Year AADT Data along US 6 Detour (Near Emerald):</t>
  </si>
  <si>
    <t>Existing Year AADT Data along US 6 Detour (Near NW 48th Interchange):</t>
  </si>
  <si>
    <t>AADT Data Along US 6:</t>
  </si>
  <si>
    <t>State of Good Repair</t>
  </si>
  <si>
    <t>Remaining Capital Value</t>
  </si>
  <si>
    <t>Cost/year</t>
  </si>
  <si>
    <t>Convert Year $2014 to $2020</t>
  </si>
  <si>
    <t>Table 1 - Maintenance Costs for Build Conditions</t>
  </si>
  <si>
    <t>Table 2 - Inflation Adjustments - GDP Deflator</t>
  </si>
  <si>
    <t>Number of Lanes</t>
  </si>
  <si>
    <t>Number of Miles</t>
  </si>
  <si>
    <t>Cost per Lane Mile ($2014)</t>
  </si>
  <si>
    <t>Cost for 6-Lane Miles ($2020)</t>
  </si>
  <si>
    <t>Assumed Months Per Year</t>
  </si>
  <si>
    <t>Table 7 - Maintenance Costs Assumptions for Build Conditions ($2020)</t>
  </si>
  <si>
    <t>Table 6 - Impacts of Costs Due to Closures (Travel Time) - Initial Construction</t>
  </si>
  <si>
    <t>Table 6 - Impacts of Costs Due to Closures (Travel Time) - Significant Rehab</t>
  </si>
  <si>
    <t>Operation and Maintenance</t>
  </si>
  <si>
    <t>Major Rehab Costs for Build Conditions</t>
  </si>
  <si>
    <t>Maintenance Cost for Build Conditions</t>
  </si>
  <si>
    <t>Table 5 - Maintenance Costs Assumptions for Build Conditions ($2020)</t>
  </si>
  <si>
    <t>Table 3 - Corridor Characteristics</t>
  </si>
  <si>
    <t>Annual Cost of Routine Annual Maintenance</t>
  </si>
  <si>
    <t>Routine Annual Maintenance</t>
  </si>
  <si>
    <t>Year of Maintenance (post Construction)</t>
  </si>
  <si>
    <t>The assumed service life for the Build Alternative was 50 years, which was provided through coordination with NDOT staff.</t>
  </si>
  <si>
    <t>Changes in annual roadway maintenance costs are expected due to the additional lane-miles on the corridor under the Build Alternative. In addition to routine annual maintenance, major rehabilitation activities are expected over the lifespan of the Build Alternative to keep the project serviceable. These activities were only assumed for the Build Alternative since it was assumed maintenance and rehabilitation would no longer occur under No Build conditions.</t>
  </si>
  <si>
    <t>Table 4 - Significant Rehab Costs Assumptions for Build Conditions ($2020)</t>
  </si>
  <si>
    <t>Note: Construction is assumed to be completed (3 months per year)</t>
  </si>
  <si>
    <t xml:space="preserve">Because many components of the initial capital costs have service lives well beyond the 30-year analysis period, the remaining capital value was calculated for the Build Alternative. This value was expressed in terms of 2020 dollars and was added to other project benefits in accordance with USDOT guidance. The assumed service life for the Build Alternative was 50 years, which was based on typical ages of concrete roadway until a full reconstruction is required assuming the major rehabilitation activities. Considering the last full construction of the I-80 corridor pavement was carried out in the 1960s, a service life of 
50 years can be considered conservative. In determining the remaining capital value of the Build Alternative, the project was assumed to have a linear depreciation from the time construction was completed to the end of the benefit-cost analysis period. </t>
  </si>
  <si>
    <t>STATE OF GOOD REPIAR - MAINTENANCE AND REHAB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</si>
</sst>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 ;\(&quot;$&quot;#,##0\)"/>
    <numFmt numFmtId="166" formatCode="0.00000"/>
    <numFmt numFmtId="167" formatCode="#,##0_);\(#,##0_)"/>
    <numFmt numFmtId="168" formatCode="_(* #,##0_);_(* \(#,##0\);_(* &quot;-&quot;??_);_(@_)"/>
    <numFmt numFmtId="169" formatCode="&quot;$&quot;#,##0.00"/>
    <numFmt numFmtId="170" formatCode="0.0000"/>
    <numFmt numFmtId="171" formatCode="0.000"/>
    <numFmt numFmtId="172" formatCode="_(* #,##0.0000_);_(* \(#,##0.0000\);_(* &quot;-&quot;??_);_(@_)"/>
    <numFmt numFmtId="173" formatCode="0.0%"/>
    <numFmt numFmtId="174" formatCode="0.0"/>
    <numFmt numFmtId="175" formatCode="#,##0.000"/>
    <numFmt numFmtId="176" formatCode="&quot;$&quot;#,##0.000_);[Red]\(&quot;$&quot;#,##0.000\)"/>
    <numFmt numFmtId="177" formatCode="#,##0.0"/>
    <numFmt numFmtId="178" formatCode="_(&quot;$&quot;* #,##0_);_(&quot;$&quot;* \(#,##0\);_(&quot;$&quot;* &quot;-&quot;??_);_(@_)"/>
  </numFmts>
  <fonts count="41"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i/>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sz val="9"/>
      <name val="Arial"/>
      <family val="2"/>
    </font>
    <font>
      <i/>
      <sz val="9"/>
      <name val="Calibri"/>
      <family val="2"/>
      <scheme val="minor"/>
    </font>
    <font>
      <b/>
      <sz val="11"/>
      <color rgb="FFFF0000"/>
      <name val="Calibri"/>
      <family val="2"/>
      <scheme val="minor"/>
    </font>
    <font>
      <b/>
      <sz val="18"/>
      <color rgb="FFFF0000"/>
      <name val="Calibri"/>
      <family val="2"/>
      <scheme val="minor"/>
    </font>
    <font>
      <sz val="9"/>
      <color rgb="FFFF0000"/>
      <name val="Calibri"/>
      <family val="2"/>
      <scheme val="minor"/>
    </font>
    <font>
      <u/>
      <sz val="11"/>
      <color theme="10"/>
      <name val="Calibri"/>
      <family val="2"/>
      <scheme val="minor"/>
    </font>
    <font>
      <b/>
      <sz val="11"/>
      <color rgb="FF000000"/>
      <name val="Calibri"/>
      <family val="2"/>
    </font>
    <font>
      <sz val="11"/>
      <color rgb="FF000000"/>
      <name val="Calibri"/>
      <family val="2"/>
    </font>
    <font>
      <sz val="11"/>
      <color theme="0" tint="-0.499984740745262"/>
      <name val="Calibri"/>
      <family val="2"/>
      <scheme val="minor"/>
    </font>
    <font>
      <vertAlign val="subscript"/>
      <sz val="9"/>
      <color theme="1"/>
      <name val="Calibri"/>
      <family val="2"/>
      <scheme val="minor"/>
    </font>
    <font>
      <sz val="10"/>
      <name val="Arial"/>
      <family val="2"/>
    </font>
    <font>
      <b/>
      <u/>
      <sz val="11"/>
      <color theme="1"/>
      <name val="Calibri"/>
      <family val="2"/>
      <scheme val="minor"/>
    </font>
    <font>
      <sz val="8"/>
      <name val="Calibri"/>
      <family val="2"/>
      <scheme val="minor"/>
    </font>
    <font>
      <sz val="11"/>
      <color theme="0"/>
      <name val="Calibri"/>
      <family val="2"/>
      <scheme val="minor"/>
    </font>
    <font>
      <u/>
      <sz val="10"/>
      <color indexed="12"/>
      <name val="Arial"/>
      <family val="2"/>
    </font>
    <font>
      <b/>
      <vertAlign val="subscript"/>
      <sz val="11"/>
      <color theme="1"/>
      <name val="Calibri"/>
      <family val="2"/>
      <scheme val="minor"/>
    </font>
    <font>
      <b/>
      <sz val="10"/>
      <color rgb="FF000000"/>
      <name val="Times New Roman"/>
      <family val="1"/>
    </font>
    <font>
      <sz val="10"/>
      <color rgb="FF000000"/>
      <name val="Times New Roman"/>
      <family val="1"/>
    </font>
    <font>
      <sz val="9"/>
      <color theme="0"/>
      <name val="Calibri"/>
      <family val="2"/>
      <scheme val="minor"/>
    </font>
    <font>
      <sz val="28"/>
      <color theme="1"/>
      <name val="Calibri"/>
      <family val="2"/>
      <scheme val="minor"/>
    </font>
    <font>
      <sz val="10"/>
      <color theme="1"/>
      <name val="Calibri"/>
      <family val="2"/>
      <scheme val="minor"/>
    </font>
    <font>
      <sz val="9"/>
      <color theme="0" tint="-0.34998626667073579"/>
      <name val="Calibri"/>
      <family val="2"/>
      <scheme val="minor"/>
    </font>
    <font>
      <sz val="11"/>
      <color theme="0" tint="-0.14999847407452621"/>
      <name val="Calibri"/>
      <family val="2"/>
      <scheme val="minor"/>
    </font>
    <font>
      <sz val="11"/>
      <color theme="2"/>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s>
  <cellStyleXfs count="142">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5"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4" fillId="0" borderId="0"/>
    <xf numFmtId="9" fontId="1"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xf numFmtId="0" fontId="31" fillId="0" borderId="0" applyNumberFormat="0" applyFill="0" applyBorder="0" applyAlignment="0" applyProtection="0">
      <alignment vertical="top"/>
      <protection locked="0"/>
    </xf>
    <xf numFmtId="0" fontId="1" fillId="0" borderId="0"/>
  </cellStyleXfs>
  <cellXfs count="542">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0" fontId="3" fillId="0" borderId="0" xfId="0" applyFont="1"/>
    <xf numFmtId="164" fontId="2" fillId="0" borderId="0" xfId="0" applyNumberFormat="1" applyFont="1" applyAlignment="1">
      <alignment horizontal="center"/>
    </xf>
    <xf numFmtId="164" fontId="2" fillId="0" borderId="19" xfId="0" applyNumberFormat="1" applyFont="1" applyBorder="1" applyAlignment="1">
      <alignment horizontal="center"/>
    </xf>
    <xf numFmtId="164" fontId="2" fillId="0" borderId="20" xfId="0" applyNumberFormat="1" applyFont="1" applyBorder="1" applyAlignment="1">
      <alignment horizontal="center"/>
    </xf>
    <xf numFmtId="0" fontId="5" fillId="0" borderId="0" xfId="0" applyFont="1"/>
    <xf numFmtId="0" fontId="0" fillId="0" borderId="0" xfId="0" applyAlignment="1">
      <alignment horizontal="right"/>
    </xf>
    <xf numFmtId="0" fontId="8" fillId="0" borderId="0" xfId="0" applyFont="1" applyFill="1" applyBorder="1" applyAlignment="1">
      <alignment horizontal="left"/>
    </xf>
    <xf numFmtId="0" fontId="0" fillId="0" borderId="0" xfId="0" applyAlignment="1">
      <alignment horizontal="center"/>
    </xf>
    <xf numFmtId="164" fontId="2" fillId="0" borderId="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1" fillId="0" borderId="0" xfId="0" applyFont="1" applyBorder="1" applyAlignment="1">
      <alignment horizontal="center"/>
    </xf>
    <xf numFmtId="0" fontId="11" fillId="0" borderId="0" xfId="0" applyFont="1" applyAlignment="1">
      <alignment horizontal="center"/>
    </xf>
    <xf numFmtId="0" fontId="12" fillId="0" borderId="0" xfId="0" applyFont="1"/>
    <xf numFmtId="164" fontId="13" fillId="0" borderId="0" xfId="0" applyNumberFormat="1" applyFont="1" applyFill="1" applyBorder="1" applyAlignment="1">
      <alignment horizontal="center"/>
    </xf>
    <xf numFmtId="0" fontId="0" fillId="0" borderId="36" xfId="0" applyBorder="1"/>
    <xf numFmtId="0" fontId="5" fillId="2" borderId="39" xfId="0" applyFont="1" applyFill="1" applyBorder="1"/>
    <xf numFmtId="0" fontId="5" fillId="2" borderId="38" xfId="0" applyFont="1" applyFill="1" applyBorder="1"/>
    <xf numFmtId="9" fontId="5" fillId="2" borderId="34" xfId="0" applyNumberFormat="1" applyFont="1" applyFill="1" applyBorder="1" applyAlignment="1">
      <alignment horizontal="center"/>
    </xf>
    <xf numFmtId="0" fontId="0" fillId="0" borderId="0" xfId="0" applyFill="1"/>
    <xf numFmtId="0" fontId="0" fillId="0" borderId="0" xfId="0" applyFill="1" applyAlignment="1"/>
    <xf numFmtId="0" fontId="5" fillId="0" borderId="0" xfId="0" applyFont="1" applyFill="1"/>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0" fillId="0" borderId="0" xfId="0" applyFill="1" applyAlignment="1">
      <alignment horizontal="right"/>
    </xf>
    <xf numFmtId="0" fontId="0" fillId="0" borderId="0" xfId="0" applyFill="1" applyBorder="1"/>
    <xf numFmtId="1" fontId="0" fillId="0" borderId="0" xfId="0" applyNumberFormat="1" applyFill="1" applyBorder="1"/>
    <xf numFmtId="0" fontId="0" fillId="0" borderId="0" xfId="0" applyFont="1" applyFill="1"/>
    <xf numFmtId="0" fontId="16" fillId="0" borderId="0" xfId="0" applyFont="1"/>
    <xf numFmtId="167" fontId="18" fillId="0" borderId="0" xfId="2" applyNumberFormat="1" applyFont="1" applyFill="1" applyBorder="1" applyAlignment="1">
      <alignment horizontal="left" vertical="center"/>
    </xf>
    <xf numFmtId="0" fontId="9" fillId="0" borderId="0" xfId="2" applyFont="1" applyFill="1" applyBorder="1" applyAlignment="1">
      <alignment horizontal="left"/>
    </xf>
    <xf numFmtId="0" fontId="9" fillId="0" borderId="0" xfId="2" applyFont="1" applyFill="1" applyBorder="1" applyAlignment="1">
      <alignment horizontal="left" vertical="center"/>
    </xf>
    <xf numFmtId="166" fontId="9" fillId="0" borderId="0" xfId="2" applyNumberFormat="1" applyFont="1" applyFill="1" applyBorder="1" applyAlignment="1">
      <alignment horizontal="left"/>
    </xf>
    <xf numFmtId="0" fontId="8" fillId="0" borderId="0" xfId="2" applyFont="1" applyFill="1" applyBorder="1" applyAlignment="1">
      <alignment horizontal="left"/>
    </xf>
    <xf numFmtId="0" fontId="2" fillId="0" borderId="42" xfId="0" applyFont="1" applyFill="1" applyBorder="1" applyAlignment="1">
      <alignment horizontal="center"/>
    </xf>
    <xf numFmtId="6" fontId="2" fillId="0" borderId="0" xfId="0" applyNumberFormat="1" applyFont="1" applyFill="1" applyBorder="1" applyAlignment="1">
      <alignment horizontal="right" indent="1"/>
    </xf>
    <xf numFmtId="0" fontId="17" fillId="0" borderId="0" xfId="0" applyFont="1" applyFill="1" applyAlignment="1">
      <alignment horizontal="right"/>
    </xf>
    <xf numFmtId="0" fontId="19" fillId="0" borderId="0" xfId="0" applyFont="1" applyAlignment="1">
      <alignment horizontal="center"/>
    </xf>
    <xf numFmtId="0" fontId="8" fillId="0" borderId="0" xfId="2" applyFont="1" applyFill="1" applyBorder="1" applyAlignment="1">
      <alignment horizontal="left" vertical="center"/>
    </xf>
    <xf numFmtId="0" fontId="9" fillId="0" borderId="25" xfId="2" applyFont="1" applyFill="1" applyBorder="1" applyAlignment="1">
      <alignment horizontal="left" vertical="center"/>
    </xf>
    <xf numFmtId="0" fontId="10" fillId="0" borderId="0" xfId="2" applyFont="1" applyFill="1" applyBorder="1" applyAlignment="1">
      <alignment horizontal="left"/>
    </xf>
    <xf numFmtId="0" fontId="8" fillId="0" borderId="25" xfId="2" applyFont="1" applyFill="1" applyBorder="1" applyAlignment="1">
      <alignment horizontal="center" vertical="center"/>
    </xf>
    <xf numFmtId="0" fontId="0" fillId="0" borderId="0" xfId="0" applyFill="1" applyAlignment="1">
      <alignment vertical="top"/>
    </xf>
    <xf numFmtId="0" fontId="19" fillId="0" borderId="0" xfId="0" applyFont="1" applyFill="1" applyAlignment="1">
      <alignment horizontal="center"/>
    </xf>
    <xf numFmtId="0" fontId="5" fillId="0" borderId="0" xfId="0" applyFont="1" applyFill="1" applyBorder="1" applyAlignment="1">
      <alignment horizontal="center"/>
    </xf>
    <xf numFmtId="0" fontId="0" fillId="0" borderId="0" xfId="0" applyFont="1" applyFill="1" applyAlignment="1">
      <alignment vertical="top" wrapText="1"/>
    </xf>
    <xf numFmtId="0" fontId="6" fillId="0" borderId="0" xfId="0" applyFont="1" applyFill="1" applyBorder="1" applyAlignment="1">
      <alignment horizontal="right"/>
    </xf>
    <xf numFmtId="0" fontId="15" fillId="0" borderId="0" xfId="0" applyFont="1" applyFill="1" applyBorder="1" applyAlignment="1">
      <alignment horizontal="right"/>
    </xf>
    <xf numFmtId="0" fontId="6" fillId="0" borderId="0" xfId="2" applyFont="1" applyFill="1" applyBorder="1" applyAlignment="1">
      <alignment horizontal="right"/>
    </xf>
    <xf numFmtId="0" fontId="9" fillId="0" borderId="0" xfId="2" applyFont="1" applyFill="1" applyBorder="1" applyAlignment="1">
      <alignment horizontal="right"/>
    </xf>
    <xf numFmtId="0" fontId="6" fillId="0" borderId="0" xfId="2" applyFont="1" applyFill="1" applyBorder="1" applyAlignment="1">
      <alignment vertical="top" wrapText="1"/>
    </xf>
    <xf numFmtId="0" fontId="21" fillId="0" borderId="0" xfId="2" applyFont="1" applyFill="1" applyBorder="1" applyAlignment="1">
      <alignment horizontal="left"/>
    </xf>
    <xf numFmtId="0" fontId="9" fillId="0" borderId="0" xfId="2" applyFont="1" applyFill="1" applyBorder="1" applyAlignment="1">
      <alignment horizontal="right" vertical="center"/>
    </xf>
    <xf numFmtId="0" fontId="4" fillId="0" borderId="0" xfId="0" applyFont="1"/>
    <xf numFmtId="10" fontId="9" fillId="0" borderId="0" xfId="2" applyNumberFormat="1" applyFont="1" applyFill="1" applyBorder="1" applyAlignment="1">
      <alignment horizontal="center" vertical="center"/>
    </xf>
    <xf numFmtId="0" fontId="0" fillId="0" borderId="0" xfId="0" applyFont="1" applyFill="1" applyBorder="1"/>
    <xf numFmtId="0" fontId="0" fillId="0" borderId="0" xfId="0" applyFont="1" applyFill="1" applyBorder="1" applyAlignment="1">
      <alignment horizontal="center"/>
    </xf>
    <xf numFmtId="164" fontId="0" fillId="0" borderId="0" xfId="0" applyNumberFormat="1" applyFont="1" applyFill="1" applyBorder="1" applyAlignment="1">
      <alignment horizontal="center"/>
    </xf>
    <xf numFmtId="0" fontId="0" fillId="0" borderId="0" xfId="0" applyFill="1" applyAlignment="1">
      <alignment horizontal="center"/>
    </xf>
    <xf numFmtId="0" fontId="0" fillId="0" borderId="0" xfId="0" applyAlignment="1">
      <alignment vertical="top" wrapText="1"/>
    </xf>
    <xf numFmtId="0" fontId="0" fillId="0" borderId="0" xfId="0" applyAlignment="1">
      <alignment horizontal="left"/>
    </xf>
    <xf numFmtId="1" fontId="0" fillId="0" borderId="0" xfId="0" applyNumberFormat="1"/>
    <xf numFmtId="172" fontId="0" fillId="0" borderId="0" xfId="0" applyNumberFormat="1" applyFill="1" applyBorder="1"/>
    <xf numFmtId="0" fontId="5" fillId="0" borderId="0" xfId="0" applyFont="1" applyAlignment="1">
      <alignment horizontal="right"/>
    </xf>
    <xf numFmtId="0" fontId="0" fillId="0" borderId="0" xfId="0"/>
    <xf numFmtId="6" fontId="3" fillId="0" borderId="0" xfId="0" applyNumberFormat="1" applyFont="1" applyFill="1" applyAlignment="1">
      <alignment horizontal="right"/>
    </xf>
    <xf numFmtId="164" fontId="0" fillId="2" borderId="41" xfId="0" applyNumberFormat="1" applyFill="1" applyBorder="1" applyAlignment="1">
      <alignment horizontal="center"/>
    </xf>
    <xf numFmtId="164" fontId="0" fillId="2" borderId="37" xfId="0" applyNumberFormat="1" applyFill="1" applyBorder="1" applyAlignment="1">
      <alignment horizontal="center"/>
    </xf>
    <xf numFmtId="0" fontId="5" fillId="0" borderId="25" xfId="0" applyFont="1" applyBorder="1"/>
    <xf numFmtId="0" fontId="0" fillId="0" borderId="0" xfId="0" applyAlignment="1">
      <alignment wrapText="1"/>
    </xf>
    <xf numFmtId="0" fontId="22" fillId="0" borderId="0" xfId="138" applyFill="1"/>
    <xf numFmtId="0" fontId="5" fillId="0" borderId="26" xfId="0" applyFont="1" applyBorder="1" applyAlignment="1">
      <alignment horizontal="left"/>
    </xf>
    <xf numFmtId="6" fontId="2" fillId="0" borderId="25" xfId="0" applyNumberFormat="1" applyFont="1" applyBorder="1" applyAlignment="1">
      <alignment horizontal="center"/>
    </xf>
    <xf numFmtId="6" fontId="2" fillId="0" borderId="19" xfId="0" applyNumberFormat="1" applyFont="1" applyBorder="1" applyAlignment="1">
      <alignment horizontal="center"/>
    </xf>
    <xf numFmtId="6" fontId="3" fillId="0" borderId="0" xfId="0" applyNumberFormat="1" applyFont="1"/>
    <xf numFmtId="0" fontId="0" fillId="0" borderId="0" xfId="0" applyAlignment="1">
      <alignment vertical="top"/>
    </xf>
    <xf numFmtId="6" fontId="2" fillId="0" borderId="41" xfId="0" applyNumberFormat="1" applyFont="1" applyBorder="1" applyAlignment="1">
      <alignment horizontal="center"/>
    </xf>
    <xf numFmtId="6" fontId="2" fillId="0" borderId="14" xfId="0" applyNumberFormat="1" applyFont="1" applyBorder="1" applyAlignment="1">
      <alignment horizontal="center"/>
    </xf>
    <xf numFmtId="0" fontId="9" fillId="0" borderId="25" xfId="2" applyFont="1" applyBorder="1" applyAlignment="1">
      <alignment horizontal="left" vertical="center"/>
    </xf>
    <xf numFmtId="0" fontId="9" fillId="0" borderId="25" xfId="2" applyFont="1" applyFill="1" applyBorder="1" applyAlignment="1">
      <alignment horizontal="center" vertical="center"/>
    </xf>
    <xf numFmtId="2" fontId="9" fillId="0" borderId="25" xfId="2" applyNumberFormat="1" applyFont="1" applyFill="1" applyBorder="1" applyAlignment="1">
      <alignment horizontal="center" vertical="center"/>
    </xf>
    <xf numFmtId="6" fontId="2" fillId="0" borderId="14" xfId="0" applyNumberFormat="1" applyFont="1" applyFill="1" applyBorder="1" applyAlignment="1">
      <alignment horizontal="right" indent="1"/>
    </xf>
    <xf numFmtId="6" fontId="2" fillId="0" borderId="15" xfId="0" applyNumberFormat="1" applyFont="1" applyFill="1" applyBorder="1" applyAlignment="1">
      <alignment horizontal="right" inden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xf>
    <xf numFmtId="0" fontId="2" fillId="0" borderId="9" xfId="0" applyFont="1" applyFill="1" applyBorder="1" applyAlignment="1">
      <alignment horizontal="center"/>
    </xf>
    <xf numFmtId="6" fontId="2" fillId="0" borderId="42" xfId="0" applyNumberFormat="1" applyFont="1" applyFill="1" applyBorder="1" applyAlignment="1">
      <alignment horizontal="right" indent="1"/>
    </xf>
    <xf numFmtId="0" fontId="20" fillId="0" borderId="0" xfId="2" applyFont="1" applyFill="1" applyBorder="1" applyAlignment="1"/>
    <xf numFmtId="6" fontId="2" fillId="0" borderId="39" xfId="0" applyNumberFormat="1" applyFont="1" applyFill="1" applyBorder="1" applyAlignment="1">
      <alignment horizontal="right" indent="1"/>
    </xf>
    <xf numFmtId="6" fontId="2" fillId="0" borderId="7" xfId="0" applyNumberFormat="1" applyFont="1" applyFill="1" applyBorder="1" applyAlignment="1">
      <alignment horizontal="right" indent="1"/>
    </xf>
    <xf numFmtId="6" fontId="2" fillId="0" borderId="9" xfId="0" applyNumberFormat="1" applyFont="1" applyFill="1" applyBorder="1" applyAlignment="1">
      <alignment horizontal="right" indent="1"/>
    </xf>
    <xf numFmtId="6" fontId="0" fillId="0" borderId="0" xfId="0" applyNumberFormat="1" applyBorder="1"/>
    <xf numFmtId="164" fontId="2" fillId="0" borderId="13" xfId="0" applyNumberFormat="1" applyFont="1" applyFill="1" applyBorder="1" applyAlignment="1">
      <alignment horizontal="center"/>
    </xf>
    <xf numFmtId="164" fontId="2" fillId="0" borderId="14" xfId="0" applyNumberFormat="1" applyFont="1" applyFill="1" applyBorder="1" applyAlignment="1">
      <alignment horizontal="center"/>
    </xf>
    <xf numFmtId="164" fontId="2" fillId="0" borderId="15" xfId="0" applyNumberFormat="1" applyFont="1" applyFill="1" applyBorder="1" applyAlignment="1">
      <alignment horizontal="center"/>
    </xf>
    <xf numFmtId="0" fontId="0" fillId="0" borderId="0" xfId="0" applyFill="1" applyBorder="1" applyAlignment="1">
      <alignment horizontal="center"/>
    </xf>
    <xf numFmtId="164" fontId="2" fillId="0" borderId="42" xfId="0" applyNumberFormat="1" applyFont="1" applyFill="1" applyBorder="1" applyAlignment="1">
      <alignment horizontal="center"/>
    </xf>
    <xf numFmtId="2" fontId="0" fillId="0" borderId="25" xfId="137" applyNumberFormat="1" applyFont="1" applyFill="1" applyBorder="1" applyAlignment="1">
      <alignment horizontal="center"/>
    </xf>
    <xf numFmtId="169" fontId="0" fillId="0" borderId="25" xfId="1" applyNumberFormat="1" applyFont="1" applyFill="1" applyBorder="1" applyAlignment="1">
      <alignment horizontal="center"/>
    </xf>
    <xf numFmtId="6" fontId="2" fillId="0" borderId="52" xfId="0" applyNumberFormat="1" applyFont="1" applyBorder="1" applyAlignment="1">
      <alignment horizontal="center"/>
    </xf>
    <xf numFmtId="0" fontId="5" fillId="2" borderId="53" xfId="0" applyFont="1" applyFill="1" applyBorder="1"/>
    <xf numFmtId="0" fontId="5" fillId="2" borderId="32" xfId="0" applyFont="1" applyFill="1" applyBorder="1"/>
    <xf numFmtId="164" fontId="0" fillId="0" borderId="20" xfId="0" applyNumberFormat="1" applyFill="1" applyBorder="1" applyAlignment="1">
      <alignment horizontal="center"/>
    </xf>
    <xf numFmtId="174" fontId="2" fillId="0" borderId="39" xfId="0" applyNumberFormat="1" applyFont="1" applyBorder="1" applyAlignment="1">
      <alignment horizontal="center"/>
    </xf>
    <xf numFmtId="6" fontId="2" fillId="0" borderId="40" xfId="0" applyNumberFormat="1" applyFont="1" applyBorder="1" applyAlignment="1">
      <alignment horizontal="center"/>
    </xf>
    <xf numFmtId="6" fontId="2" fillId="0" borderId="0" xfId="0" applyNumberFormat="1" applyFont="1" applyAlignment="1">
      <alignment horizontal="center"/>
    </xf>
    <xf numFmtId="0" fontId="0" fillId="0" borderId="44" xfId="0" applyBorder="1" applyAlignment="1"/>
    <xf numFmtId="175" fontId="2" fillId="0" borderId="48" xfId="0" applyNumberFormat="1" applyFont="1" applyBorder="1" applyAlignment="1">
      <alignment horizontal="center"/>
    </xf>
    <xf numFmtId="175" fontId="2" fillId="0" borderId="25" xfId="0" applyNumberFormat="1" applyFont="1" applyBorder="1" applyAlignment="1">
      <alignment horizontal="center"/>
    </xf>
    <xf numFmtId="175" fontId="2" fillId="0" borderId="19" xfId="0" applyNumberFormat="1" applyFont="1" applyBorder="1" applyAlignment="1">
      <alignment horizontal="center"/>
    </xf>
    <xf numFmtId="174" fontId="2" fillId="0" borderId="5" xfId="0" applyNumberFormat="1" applyFont="1" applyBorder="1" applyAlignment="1">
      <alignment horizontal="center"/>
    </xf>
    <xf numFmtId="6" fontId="2" fillId="0" borderId="31" xfId="0" applyNumberFormat="1" applyFont="1" applyBorder="1" applyAlignment="1">
      <alignment horizontal="center"/>
    </xf>
    <xf numFmtId="6" fontId="2" fillId="0" borderId="18" xfId="0" applyNumberFormat="1" applyFont="1" applyBorder="1" applyAlignment="1">
      <alignment horizontal="center"/>
    </xf>
    <xf numFmtId="175" fontId="2" fillId="0" borderId="31" xfId="0" applyNumberFormat="1" applyFont="1" applyBorder="1" applyAlignment="1">
      <alignment horizontal="center"/>
    </xf>
    <xf numFmtId="175" fontId="2" fillId="0" borderId="46" xfId="0" applyNumberFormat="1" applyFont="1" applyBorder="1" applyAlignment="1">
      <alignment horizontal="center"/>
    </xf>
    <xf numFmtId="175" fontId="2" fillId="0" borderId="18"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8" xfId="0" applyNumberFormat="1" applyFont="1" applyBorder="1" applyAlignment="1">
      <alignment horizontal="center"/>
    </xf>
    <xf numFmtId="6" fontId="2" fillId="0" borderId="48" xfId="0" applyNumberFormat="1" applyFont="1" applyBorder="1" applyAlignment="1">
      <alignment horizontal="center"/>
    </xf>
    <xf numFmtId="173" fontId="9" fillId="0" borderId="25" xfId="2" applyNumberFormat="1" applyFont="1" applyFill="1" applyBorder="1" applyAlignment="1">
      <alignment horizontal="center" vertical="center"/>
    </xf>
    <xf numFmtId="0" fontId="0" fillId="0" borderId="25" xfId="0" applyBorder="1"/>
    <xf numFmtId="6" fontId="25" fillId="0" borderId="0" xfId="0" applyNumberFormat="1" applyFont="1"/>
    <xf numFmtId="164" fontId="2" fillId="0" borderId="41" xfId="0" applyNumberFormat="1" applyFont="1" applyBorder="1" applyAlignment="1">
      <alignment horizontal="center"/>
    </xf>
    <xf numFmtId="0" fontId="0" fillId="0" borderId="25" xfId="0" applyBorder="1" applyAlignment="1">
      <alignment horizontal="center"/>
    </xf>
    <xf numFmtId="0" fontId="6" fillId="0" borderId="0" xfId="0" applyFont="1" applyAlignment="1">
      <alignment horizontal="center" vertical="center"/>
    </xf>
    <xf numFmtId="0" fontId="6" fillId="0" borderId="0" xfId="0" applyFont="1" applyAlignment="1">
      <alignment horizontal="center"/>
    </xf>
    <xf numFmtId="0" fontId="15" fillId="0" borderId="0" xfId="0" applyFont="1" applyAlignment="1">
      <alignment horizontal="center"/>
    </xf>
    <xf numFmtId="170" fontId="0" fillId="0" borderId="25" xfId="0" applyNumberFormat="1" applyBorder="1" applyAlignment="1">
      <alignment horizontal="center" vertical="center"/>
    </xf>
    <xf numFmtId="6" fontId="0" fillId="0" borderId="0" xfId="0" applyNumberFormat="1"/>
    <xf numFmtId="6" fontId="5" fillId="0" borderId="0" xfId="0" applyNumberFormat="1" applyFont="1"/>
    <xf numFmtId="164" fontId="2" fillId="0" borderId="13" xfId="0" applyNumberFormat="1" applyFont="1" applyFill="1" applyBorder="1" applyAlignment="1">
      <alignment horizontal="right"/>
    </xf>
    <xf numFmtId="164" fontId="2" fillId="0" borderId="14" xfId="0" applyNumberFormat="1" applyFont="1" applyFill="1" applyBorder="1" applyAlignment="1">
      <alignment horizontal="right"/>
    </xf>
    <xf numFmtId="164" fontId="2" fillId="0" borderId="15" xfId="0" applyNumberFormat="1" applyFont="1" applyFill="1" applyBorder="1" applyAlignment="1">
      <alignment horizontal="right"/>
    </xf>
    <xf numFmtId="0" fontId="23" fillId="0" borderId="0" xfId="0" applyFont="1" applyBorder="1" applyAlignment="1">
      <alignment horizontal="center" vertical="center"/>
    </xf>
    <xf numFmtId="0" fontId="24" fillId="0" borderId="0" xfId="0" applyFont="1" applyBorder="1" applyAlignment="1">
      <alignment horizontal="center" vertical="center"/>
    </xf>
    <xf numFmtId="0" fontId="0" fillId="0" borderId="0" xfId="0" applyFont="1" applyFill="1" applyAlignment="1">
      <alignment horizontal="left" vertical="top" wrapText="1"/>
    </xf>
    <xf numFmtId="0" fontId="6" fillId="0" borderId="0" xfId="0" applyFont="1" applyFill="1" applyAlignment="1">
      <alignment horizontal="left" vertical="top" wrapText="1"/>
    </xf>
    <xf numFmtId="0" fontId="0" fillId="0" borderId="0" xfId="0" applyFont="1" applyFill="1" applyAlignment="1">
      <alignment horizontal="left" vertical="top" wrapText="1"/>
    </xf>
    <xf numFmtId="0" fontId="2" fillId="0" borderId="0" xfId="0" applyFont="1" applyFill="1" applyBorder="1" applyAlignment="1">
      <alignment horizontal="center" vertical="center"/>
    </xf>
    <xf numFmtId="2" fontId="0" fillId="0" borderId="0" xfId="0" applyNumberFormat="1" applyFill="1" applyBorder="1"/>
    <xf numFmtId="9" fontId="0" fillId="0" borderId="0" xfId="137" applyFont="1" applyFill="1" applyBorder="1"/>
    <xf numFmtId="2" fontId="0" fillId="0" borderId="0" xfId="0" applyNumberFormat="1" applyAlignment="1">
      <alignment horizontal="center"/>
    </xf>
    <xf numFmtId="0" fontId="0" fillId="0" borderId="25" xfId="0" applyBorder="1" applyAlignment="1">
      <alignment horizontal="left"/>
    </xf>
    <xf numFmtId="37" fontId="1" fillId="0" borderId="25" xfId="136" applyNumberFormat="1" applyFont="1" applyFill="1" applyBorder="1" applyAlignment="1">
      <alignment horizontal="center"/>
    </xf>
    <xf numFmtId="0" fontId="2" fillId="0" borderId="42" xfId="0" applyFont="1" applyBorder="1" applyAlignment="1">
      <alignment horizontal="center" vertical="center" wrapText="1"/>
    </xf>
    <xf numFmtId="164" fontId="2" fillId="0" borderId="41" xfId="0" applyNumberFormat="1" applyFont="1" applyBorder="1" applyAlignment="1">
      <alignment horizontal="center" vertical="center"/>
    </xf>
    <xf numFmtId="164" fontId="2" fillId="0" borderId="25" xfId="0" applyNumberFormat="1" applyFont="1" applyBorder="1" applyAlignment="1">
      <alignment horizontal="center"/>
    </xf>
    <xf numFmtId="164" fontId="2" fillId="0" borderId="47" xfId="0" applyNumberFormat="1" applyFont="1" applyBorder="1" applyAlignment="1">
      <alignment horizontal="center"/>
    </xf>
    <xf numFmtId="164" fontId="2" fillId="0" borderId="24" xfId="0" applyNumberFormat="1" applyFont="1" applyBorder="1" applyAlignment="1">
      <alignment horizontal="center" vertical="center"/>
    </xf>
    <xf numFmtId="0" fontId="15" fillId="0" borderId="25" xfId="0" applyFont="1" applyBorder="1" applyAlignment="1">
      <alignment horizontal="center"/>
    </xf>
    <xf numFmtId="0" fontId="8" fillId="0" borderId="25" xfId="0" applyFont="1" applyBorder="1" applyAlignment="1">
      <alignment vertical="center"/>
    </xf>
    <xf numFmtId="2" fontId="5" fillId="0" borderId="54" xfId="0" applyNumberFormat="1" applyFont="1" applyFill="1" applyBorder="1" applyAlignment="1">
      <alignment horizontal="center"/>
    </xf>
    <xf numFmtId="0" fontId="5" fillId="0" borderId="0" xfId="0" applyFont="1" applyFill="1" applyBorder="1" applyAlignment="1">
      <alignment horizontal="left"/>
    </xf>
    <xf numFmtId="0" fontId="22" fillId="0" borderId="0" xfId="138"/>
    <xf numFmtId="0" fontId="15" fillId="0" borderId="0" xfId="2" applyFont="1" applyFill="1" applyBorder="1" applyAlignment="1">
      <alignment horizontal="left"/>
    </xf>
    <xf numFmtId="1" fontId="0" fillId="0" borderId="25" xfId="0" applyNumberFormat="1" applyBorder="1" applyAlignment="1">
      <alignment horizontal="center"/>
    </xf>
    <xf numFmtId="0" fontId="5" fillId="0" borderId="25" xfId="0" applyFont="1" applyBorder="1" applyAlignment="1">
      <alignment horizontal="center" vertical="center"/>
    </xf>
    <xf numFmtId="0" fontId="6" fillId="0" borderId="0" xfId="0" applyFont="1" applyFill="1" applyAlignment="1">
      <alignment vertical="top" wrapText="1"/>
    </xf>
    <xf numFmtId="0" fontId="7" fillId="0" borderId="0" xfId="2"/>
    <xf numFmtId="0" fontId="9" fillId="0" borderId="0" xfId="2" applyFont="1" applyFill="1" applyBorder="1" applyAlignment="1"/>
    <xf numFmtId="0" fontId="0" fillId="0" borderId="0" xfId="0"/>
    <xf numFmtId="0" fontId="11" fillId="0" borderId="0" xfId="0" applyFont="1" applyBorder="1" applyAlignment="1">
      <alignment horizontal="left"/>
    </xf>
    <xf numFmtId="170" fontId="0" fillId="0" borderId="25" xfId="0" applyNumberFormat="1" applyBorder="1"/>
    <xf numFmtId="0" fontId="5" fillId="0" borderId="25" xfId="0" applyFont="1" applyBorder="1" applyAlignment="1">
      <alignment vertical="center"/>
    </xf>
    <xf numFmtId="6" fontId="0" fillId="0" borderId="25" xfId="0" applyNumberFormat="1" applyBorder="1"/>
    <xf numFmtId="0" fontId="0" fillId="3" borderId="25" xfId="0" applyFill="1" applyBorder="1" applyAlignment="1">
      <alignment horizontal="center" vertical="center"/>
    </xf>
    <xf numFmtId="6" fontId="0" fillId="3" borderId="25" xfId="0" applyNumberFormat="1" applyFill="1" applyBorder="1"/>
    <xf numFmtId="0" fontId="5" fillId="0" borderId="0" xfId="0" applyFont="1" applyAlignment="1">
      <alignment horizontal="center" vertical="center" textRotation="90" wrapText="1"/>
    </xf>
    <xf numFmtId="0" fontId="0" fillId="0" borderId="0" xfId="0"/>
    <xf numFmtId="0" fontId="0" fillId="0" borderId="0" xfId="0" applyFill="1" applyAlignment="1">
      <alignment horizontal="right" vertical="top"/>
    </xf>
    <xf numFmtId="0" fontId="0" fillId="0" borderId="0" xfId="0" applyAlignment="1">
      <alignment horizontal="left" vertical="top" wrapText="1"/>
    </xf>
    <xf numFmtId="0" fontId="0" fillId="0" borderId="0" xfId="0"/>
    <xf numFmtId="0" fontId="5" fillId="0" borderId="0" xfId="0" applyFont="1" applyAlignment="1">
      <alignment horizontal="left"/>
    </xf>
    <xf numFmtId="0" fontId="0" fillId="0" borderId="25" xfId="0" applyBorder="1" applyAlignment="1">
      <alignment horizontal="center" vertical="center"/>
    </xf>
    <xf numFmtId="0" fontId="0" fillId="0" borderId="0" xfId="0"/>
    <xf numFmtId="6" fontId="0" fillId="4" borderId="25" xfId="0" applyNumberFormat="1" applyFill="1" applyBorder="1" applyAlignment="1">
      <alignment horizontal="center"/>
    </xf>
    <xf numFmtId="2" fontId="0" fillId="4" borderId="25" xfId="137" applyNumberFormat="1" applyFont="1" applyFill="1" applyBorder="1" applyAlignment="1">
      <alignment horizontal="center"/>
    </xf>
    <xf numFmtId="0" fontId="0" fillId="4" borderId="25" xfId="0" applyFill="1" applyBorder="1" applyAlignment="1">
      <alignment horizontal="center"/>
    </xf>
    <xf numFmtId="0" fontId="6" fillId="4" borderId="25" xfId="0" applyFont="1" applyFill="1" applyBorder="1" applyAlignment="1">
      <alignment horizontal="center"/>
    </xf>
    <xf numFmtId="164" fontId="6" fillId="4" borderId="25" xfId="0" applyNumberFormat="1" applyFont="1" applyFill="1" applyBorder="1"/>
    <xf numFmtId="164" fontId="0" fillId="0" borderId="25" xfId="0" applyNumberFormat="1" applyBorder="1" applyAlignment="1">
      <alignment horizontal="center"/>
    </xf>
    <xf numFmtId="0" fontId="0" fillId="0" borderId="0" xfId="0" applyAlignment="1">
      <alignment horizontal="left" vertical="top"/>
    </xf>
    <xf numFmtId="177" fontId="2" fillId="0" borderId="0" xfId="0" applyNumberFormat="1" applyFont="1" applyAlignment="1">
      <alignment horizontal="center"/>
    </xf>
    <xf numFmtId="6" fontId="2" fillId="0" borderId="43" xfId="0" applyNumberFormat="1" applyFont="1" applyBorder="1" applyAlignment="1">
      <alignment horizontal="right" indent="1"/>
    </xf>
    <xf numFmtId="6" fontId="2" fillId="0" borderId="20" xfId="1" applyNumberFormat="1" applyFont="1" applyFill="1" applyBorder="1" applyAlignment="1">
      <alignment horizontal="right"/>
    </xf>
    <xf numFmtId="6" fontId="2" fillId="0" borderId="15" xfId="0" applyNumberFormat="1" applyFont="1" applyBorder="1" applyAlignment="1">
      <alignment horizontal="right"/>
    </xf>
    <xf numFmtId="164" fontId="2" fillId="0" borderId="10" xfId="0" applyNumberFormat="1" applyFont="1" applyBorder="1" applyAlignment="1">
      <alignment horizontal="right" vertical="center"/>
    </xf>
    <xf numFmtId="0" fontId="2" fillId="0" borderId="9" xfId="0" applyFont="1" applyBorder="1" applyAlignment="1">
      <alignment horizontal="center" vertical="center"/>
    </xf>
    <xf numFmtId="6" fontId="2" fillId="0" borderId="19" xfId="1" applyNumberFormat="1" applyFont="1" applyFill="1" applyBorder="1" applyAlignment="1">
      <alignment horizontal="right"/>
    </xf>
    <xf numFmtId="6" fontId="2" fillId="0" borderId="14" xfId="0" applyNumberFormat="1" applyFont="1" applyBorder="1" applyAlignment="1">
      <alignment horizontal="right"/>
    </xf>
    <xf numFmtId="164" fontId="2" fillId="0" borderId="8" xfId="0" applyNumberFormat="1" applyFont="1" applyBorder="1" applyAlignment="1">
      <alignment horizontal="right" vertical="center"/>
    </xf>
    <xf numFmtId="0" fontId="2" fillId="0" borderId="7" xfId="0" applyFont="1" applyBorder="1" applyAlignment="1">
      <alignment horizontal="center" vertical="center"/>
    </xf>
    <xf numFmtId="171" fontId="0" fillId="0" borderId="25" xfId="0" applyNumberFormat="1" applyBorder="1" applyAlignment="1">
      <alignment horizontal="center"/>
    </xf>
    <xf numFmtId="164" fontId="2" fillId="0" borderId="14" xfId="0" applyNumberFormat="1" applyFont="1" applyBorder="1" applyAlignment="1">
      <alignment horizontal="right"/>
    </xf>
    <xf numFmtId="0" fontId="0" fillId="0" borderId="25" xfId="0" applyBorder="1" applyAlignment="1">
      <alignment horizontal="center"/>
    </xf>
    <xf numFmtId="164" fontId="0" fillId="0" borderId="0" xfId="0" applyNumberFormat="1" applyAlignment="1">
      <alignment horizontal="center"/>
    </xf>
    <xf numFmtId="6" fontId="2" fillId="0" borderId="18" xfId="1" applyNumberFormat="1" applyFont="1" applyFill="1" applyBorder="1" applyAlignment="1">
      <alignment horizontal="right"/>
    </xf>
    <xf numFmtId="6" fontId="2" fillId="0" borderId="13" xfId="0" applyNumberFormat="1" applyFont="1" applyBorder="1" applyAlignment="1">
      <alignment horizontal="right"/>
    </xf>
    <xf numFmtId="0" fontId="2" fillId="0" borderId="5" xfId="0" applyFont="1" applyBorder="1" applyAlignment="1">
      <alignment horizontal="center" vertical="center"/>
    </xf>
    <xf numFmtId="168" fontId="0" fillId="0" borderId="0" xfId="136" applyNumberFormat="1" applyFont="1" applyBorder="1"/>
    <xf numFmtId="37" fontId="2" fillId="0" borderId="14" xfId="136" applyNumberFormat="1" applyFont="1" applyFill="1" applyBorder="1" applyAlignment="1">
      <alignment horizontal="center"/>
    </xf>
    <xf numFmtId="6" fontId="2" fillId="0" borderId="13" xfId="136" applyNumberFormat="1" applyFont="1" applyFill="1" applyBorder="1" applyAlignment="1">
      <alignment horizontal="right"/>
    </xf>
    <xf numFmtId="6" fontId="2" fillId="0" borderId="6" xfId="136" applyNumberFormat="1" applyFont="1" applyFill="1" applyBorder="1" applyAlignment="1">
      <alignment horizontal="right"/>
    </xf>
    <xf numFmtId="6" fontId="2" fillId="0" borderId="14" xfId="136" applyNumberFormat="1" applyFont="1" applyFill="1" applyBorder="1" applyAlignment="1">
      <alignment horizontal="right"/>
    </xf>
    <xf numFmtId="6" fontId="2" fillId="0" borderId="8" xfId="136" applyNumberFormat="1" applyFont="1" applyFill="1" applyBorder="1" applyAlignment="1">
      <alignment horizontal="right"/>
    </xf>
    <xf numFmtId="173" fontId="0" fillId="0" borderId="25" xfId="137" applyNumberFormat="1" applyFont="1" applyFill="1" applyBorder="1" applyAlignment="1">
      <alignment horizontal="center"/>
    </xf>
    <xf numFmtId="37" fontId="2" fillId="0" borderId="15" xfId="136" applyNumberFormat="1" applyFont="1" applyFill="1" applyBorder="1" applyAlignment="1">
      <alignment horizontal="center"/>
    </xf>
    <xf numFmtId="6" fontId="2" fillId="0" borderId="15" xfId="136" applyNumberFormat="1" applyFont="1" applyFill="1" applyBorder="1" applyAlignment="1">
      <alignment horizontal="right"/>
    </xf>
    <xf numFmtId="6" fontId="2" fillId="0" borderId="10" xfId="136" applyNumberFormat="1" applyFont="1" applyFill="1" applyBorder="1" applyAlignment="1">
      <alignment horizontal="right"/>
    </xf>
    <xf numFmtId="37" fontId="2" fillId="0" borderId="0" xfId="0" applyNumberFormat="1" applyFont="1"/>
    <xf numFmtId="37" fontId="0" fillId="0" borderId="0" xfId="0" applyNumberFormat="1"/>
    <xf numFmtId="168" fontId="0" fillId="0" borderId="0" xfId="0" applyNumberFormat="1"/>
    <xf numFmtId="0" fontId="0" fillId="0" borderId="0" xfId="0" applyAlignment="1">
      <alignment vertical="center"/>
    </xf>
    <xf numFmtId="169" fontId="9" fillId="0" borderId="25" xfId="2" applyNumberFormat="1" applyFont="1" applyFill="1" applyBorder="1" applyAlignment="1">
      <alignment horizontal="center" vertical="center"/>
    </xf>
    <xf numFmtId="169" fontId="9" fillId="0" borderId="25" xfId="2" applyNumberFormat="1" applyFont="1" applyBorder="1" applyAlignment="1">
      <alignment horizontal="center" vertical="center"/>
    </xf>
    <xf numFmtId="0" fontId="0" fillId="0" borderId="0" xfId="0" applyAlignment="1"/>
    <xf numFmtId="6" fontId="2" fillId="0" borderId="20" xfId="0" applyNumberFormat="1" applyFont="1" applyBorder="1" applyAlignment="1">
      <alignment horizontal="center"/>
    </xf>
    <xf numFmtId="6" fontId="2" fillId="0" borderId="32" xfId="0" applyNumberFormat="1" applyFont="1" applyBorder="1" applyAlignment="1">
      <alignment horizontal="center"/>
    </xf>
    <xf numFmtId="6" fontId="2" fillId="0" borderId="10" xfId="0" applyNumberFormat="1" applyFont="1" applyBorder="1" applyAlignment="1">
      <alignment horizontal="center"/>
    </xf>
    <xf numFmtId="6" fontId="2" fillId="0" borderId="15" xfId="0" applyNumberFormat="1" applyFont="1" applyBorder="1" applyAlignment="1">
      <alignment horizontal="center"/>
    </xf>
    <xf numFmtId="6" fontId="2" fillId="0" borderId="47" xfId="0" applyNumberFormat="1" applyFont="1" applyBorder="1" applyAlignment="1">
      <alignment horizontal="center"/>
    </xf>
    <xf numFmtId="6" fontId="2" fillId="0" borderId="59" xfId="0" applyNumberFormat="1" applyFont="1" applyBorder="1" applyAlignment="1">
      <alignment horizontal="center"/>
    </xf>
    <xf numFmtId="175" fontId="2" fillId="0" borderId="20" xfId="0" applyNumberFormat="1" applyFont="1" applyBorder="1" applyAlignment="1">
      <alignment horizontal="center"/>
    </xf>
    <xf numFmtId="175" fontId="2" fillId="0" borderId="47" xfId="0" applyNumberFormat="1" applyFont="1" applyBorder="1" applyAlignment="1">
      <alignment horizontal="center"/>
    </xf>
    <xf numFmtId="175" fontId="2" fillId="0" borderId="32" xfId="0" applyNumberFormat="1" applyFont="1" applyBorder="1" applyAlignment="1">
      <alignment horizontal="center"/>
    </xf>
    <xf numFmtId="3" fontId="2" fillId="0" borderId="15" xfId="0" applyNumberFormat="1" applyFont="1" applyBorder="1" applyAlignment="1">
      <alignment horizontal="center"/>
    </xf>
    <xf numFmtId="3" fontId="2" fillId="0" borderId="14" xfId="0" applyNumberFormat="1" applyFont="1" applyBorder="1" applyAlignment="1">
      <alignment horizontal="center"/>
    </xf>
    <xf numFmtId="6" fontId="2" fillId="0" borderId="46" xfId="0" applyNumberFormat="1" applyFont="1" applyBorder="1" applyAlignment="1">
      <alignment horizontal="center"/>
    </xf>
    <xf numFmtId="6" fontId="2" fillId="0" borderId="60" xfId="0" applyNumberFormat="1" applyFont="1" applyBorder="1" applyAlignment="1">
      <alignment horizontal="center"/>
    </xf>
    <xf numFmtId="3" fontId="2" fillId="0" borderId="13" xfId="0" applyNumberFormat="1" applyFont="1" applyBorder="1" applyAlignment="1">
      <alignment horizontal="center"/>
    </xf>
    <xf numFmtId="0" fontId="30" fillId="0" borderId="0" xfId="0" applyFont="1" applyAlignment="1">
      <alignment vertical="top" wrapText="1"/>
    </xf>
    <xf numFmtId="0" fontId="0" fillId="0" borderId="0" xfId="0" applyAlignment="1">
      <alignment horizontal="left" vertical="top" wrapText="1"/>
    </xf>
    <xf numFmtId="0" fontId="0" fillId="0" borderId="21" xfId="0" applyBorder="1" applyAlignment="1">
      <alignment horizontal="center"/>
    </xf>
    <xf numFmtId="0" fontId="0" fillId="0" borderId="25" xfId="0" applyBorder="1" applyAlignment="1">
      <alignment horizontal="center"/>
    </xf>
    <xf numFmtId="0" fontId="0" fillId="0" borderId="25" xfId="0" applyBorder="1" applyAlignment="1">
      <alignment horizontal="center" vertical="center"/>
    </xf>
    <xf numFmtId="0" fontId="0" fillId="0" borderId="0" xfId="0"/>
    <xf numFmtId="0" fontId="5" fillId="0" borderId="0" xfId="0" applyFont="1" applyAlignment="1">
      <alignment horizontal="left"/>
    </xf>
    <xf numFmtId="0" fontId="5" fillId="0" borderId="21" xfId="0" applyFont="1" applyBorder="1" applyAlignment="1">
      <alignment horizontal="center"/>
    </xf>
    <xf numFmtId="0" fontId="5" fillId="0" borderId="0" xfId="0" applyFont="1" applyAlignment="1">
      <alignment horizontal="left"/>
    </xf>
    <xf numFmtId="0" fontId="33" fillId="0" borderId="0" xfId="0" applyFont="1" applyAlignment="1">
      <alignment horizontal="left" vertical="top"/>
    </xf>
    <xf numFmtId="0" fontId="34" fillId="0" borderId="0" xfId="0" applyFont="1" applyAlignment="1">
      <alignment horizontal="left" vertical="center"/>
    </xf>
    <xf numFmtId="0" fontId="22" fillId="0" borderId="0" xfId="138" applyFill="1" applyBorder="1" applyAlignment="1">
      <alignment vertical="center"/>
    </xf>
    <xf numFmtId="0" fontId="34" fillId="0" borderId="0" xfId="0" applyFont="1" applyAlignment="1">
      <alignment horizontal="left" vertical="top"/>
    </xf>
    <xf numFmtId="0" fontId="5" fillId="0" borderId="61" xfId="141" applyFont="1" applyBorder="1" applyAlignment="1">
      <alignment horizontal="center"/>
    </xf>
    <xf numFmtId="0" fontId="5" fillId="0" borderId="62" xfId="141" applyFont="1" applyBorder="1" applyAlignment="1">
      <alignment horizontal="center"/>
    </xf>
    <xf numFmtId="0" fontId="5" fillId="0" borderId="63" xfId="141" applyFont="1" applyBorder="1" applyAlignment="1">
      <alignment horizontal="center"/>
    </xf>
    <xf numFmtId="0" fontId="1" fillId="5" borderId="40" xfId="141" applyFill="1" applyBorder="1" applyAlignment="1">
      <alignment horizontal="center"/>
    </xf>
    <xf numFmtId="0" fontId="1" fillId="5" borderId="24" xfId="141" applyFill="1" applyBorder="1" applyAlignment="1">
      <alignment horizontal="center"/>
    </xf>
    <xf numFmtId="9" fontId="1" fillId="5" borderId="41" xfId="137" applyFont="1" applyFill="1" applyBorder="1" applyAlignment="1">
      <alignment horizontal="center"/>
    </xf>
    <xf numFmtId="0" fontId="1" fillId="5" borderId="48" xfId="141" applyFill="1" applyBorder="1" applyAlignment="1">
      <alignment horizontal="center"/>
    </xf>
    <xf numFmtId="0" fontId="1" fillId="5" borderId="25" xfId="141" applyFill="1" applyBorder="1" applyAlignment="1">
      <alignment horizontal="center"/>
    </xf>
    <xf numFmtId="9" fontId="1" fillId="5" borderId="19" xfId="137" applyFont="1" applyFill="1" applyBorder="1" applyAlignment="1">
      <alignment horizontal="center"/>
    </xf>
    <xf numFmtId="0" fontId="1" fillId="5" borderId="32" xfId="141" applyFill="1" applyBorder="1" applyAlignment="1">
      <alignment horizontal="center"/>
    </xf>
    <xf numFmtId="0" fontId="1" fillId="5" borderId="47" xfId="141" applyFill="1" applyBorder="1" applyAlignment="1">
      <alignment horizontal="center"/>
    </xf>
    <xf numFmtId="9" fontId="1" fillId="5" borderId="20" xfId="137" applyFont="1" applyFill="1" applyBorder="1" applyAlignment="1">
      <alignment horizontal="center"/>
    </xf>
    <xf numFmtId="0" fontId="15" fillId="0" borderId="0" xfId="2" applyFont="1" applyAlignment="1">
      <alignment horizontal="left"/>
    </xf>
    <xf numFmtId="0" fontId="5" fillId="0" borderId="0" xfId="0" applyFont="1" applyAlignment="1">
      <alignment horizontal="center"/>
    </xf>
    <xf numFmtId="164" fontId="0" fillId="0" borderId="0" xfId="0" applyNumberFormat="1"/>
    <xf numFmtId="171" fontId="0" fillId="0" borderId="0" xfId="0" applyNumberFormat="1" applyAlignment="1">
      <alignment horizontal="center"/>
    </xf>
    <xf numFmtId="169" fontId="35" fillId="0" borderId="0" xfId="2" applyNumberFormat="1" applyFont="1" applyAlignment="1">
      <alignment horizontal="center" vertical="center"/>
    </xf>
    <xf numFmtId="176" fontId="0" fillId="0" borderId="25" xfId="0" applyNumberFormat="1" applyBorder="1" applyAlignment="1">
      <alignment horizontal="center"/>
    </xf>
    <xf numFmtId="0" fontId="0" fillId="0" borderId="25" xfId="0" applyFont="1" applyBorder="1" applyAlignment="1">
      <alignment horizontal="center" vertical="center"/>
    </xf>
    <xf numFmtId="8" fontId="0" fillId="0" borderId="25" xfId="0" applyNumberFormat="1" applyBorder="1" applyAlignment="1">
      <alignment horizontal="center"/>
    </xf>
    <xf numFmtId="174" fontId="0" fillId="0" borderId="25" xfId="0" applyNumberFormat="1" applyBorder="1" applyAlignment="1">
      <alignment horizontal="center"/>
    </xf>
    <xf numFmtId="6" fontId="2" fillId="0" borderId="12" xfId="0" applyNumberFormat="1" applyFont="1" applyBorder="1" applyAlignment="1">
      <alignment horizontal="right" indent="1"/>
    </xf>
    <xf numFmtId="174" fontId="2" fillId="0" borderId="3" xfId="0" applyNumberFormat="1" applyFont="1" applyBorder="1" applyAlignment="1">
      <alignment horizontal="center"/>
    </xf>
    <xf numFmtId="6" fontId="2" fillId="0" borderId="33" xfId="0" applyNumberFormat="1" applyFont="1" applyBorder="1" applyAlignment="1">
      <alignment horizontal="center"/>
    </xf>
    <xf numFmtId="6" fontId="2" fillId="0" borderId="17" xfId="0" applyNumberFormat="1" applyFont="1" applyBorder="1" applyAlignment="1">
      <alignment horizontal="center"/>
    </xf>
    <xf numFmtId="37" fontId="2" fillId="0" borderId="13" xfId="136" applyNumberFormat="1" applyFont="1" applyFill="1" applyBorder="1" applyAlignment="1">
      <alignment horizontal="center"/>
    </xf>
    <xf numFmtId="0" fontId="5" fillId="0" borderId="36" xfId="0" applyFont="1" applyBorder="1" applyAlignment="1">
      <alignment horizontal="right"/>
    </xf>
    <xf numFmtId="0" fontId="2" fillId="0" borderId="7" xfId="0" applyFont="1" applyBorder="1" applyAlignment="1">
      <alignment horizontal="center" vertical="center" wrapText="1"/>
    </xf>
    <xf numFmtId="164" fontId="2" fillId="0" borderId="43" xfId="0" applyNumberFormat="1" applyFont="1" applyBorder="1" applyAlignment="1">
      <alignment horizontal="center"/>
    </xf>
    <xf numFmtId="0" fontId="36" fillId="0" borderId="0" xfId="0" applyFont="1"/>
    <xf numFmtId="0" fontId="0" fillId="0" borderId="21" xfId="0" applyBorder="1"/>
    <xf numFmtId="0" fontId="0" fillId="0" borderId="65" xfId="0" applyBorder="1" applyAlignment="1">
      <alignment horizontal="center"/>
    </xf>
    <xf numFmtId="0" fontId="0" fillId="0" borderId="66" xfId="0" applyBorder="1" applyAlignment="1">
      <alignment horizontal="center"/>
    </xf>
    <xf numFmtId="0" fontId="0" fillId="4" borderId="57" xfId="0" applyFill="1" applyBorder="1" applyAlignment="1">
      <alignment horizontal="center"/>
    </xf>
    <xf numFmtId="174" fontId="0" fillId="0" borderId="57" xfId="0" applyNumberFormat="1" applyBorder="1" applyAlignment="1">
      <alignment horizontal="center"/>
    </xf>
    <xf numFmtId="0" fontId="0" fillId="0" borderId="24" xfId="0" applyBorder="1" applyAlignment="1">
      <alignment horizontal="center"/>
    </xf>
    <xf numFmtId="0" fontId="0" fillId="4" borderId="24" xfId="0" applyFill="1" applyBorder="1" applyAlignment="1">
      <alignment horizontal="center"/>
    </xf>
    <xf numFmtId="174" fontId="0" fillId="0" borderId="24" xfId="0" applyNumberFormat="1" applyBorder="1" applyAlignment="1">
      <alignment horizontal="center"/>
    </xf>
    <xf numFmtId="0" fontId="28" fillId="0" borderId="0" xfId="0" applyFont="1"/>
    <xf numFmtId="0" fontId="0" fillId="0" borderId="22" xfId="0" applyBorder="1" applyAlignment="1">
      <alignment wrapText="1"/>
    </xf>
    <xf numFmtId="10" fontId="34" fillId="5" borderId="25" xfId="137" applyNumberFormat="1" applyFont="1" applyFill="1" applyBorder="1" applyAlignment="1">
      <alignment horizontal="center" vertical="top"/>
    </xf>
    <xf numFmtId="0" fontId="0" fillId="0" borderId="0" xfId="0" applyAlignment="1">
      <alignment horizontal="left" vertical="top" wrapText="1"/>
    </xf>
    <xf numFmtId="0" fontId="5" fillId="0" borderId="26" xfId="0" applyFont="1" applyBorder="1" applyAlignment="1">
      <alignment horizontal="left"/>
    </xf>
    <xf numFmtId="0" fontId="0" fillId="0" borderId="25" xfId="0" applyBorder="1" applyAlignment="1">
      <alignment horizontal="center"/>
    </xf>
    <xf numFmtId="2" fontId="5" fillId="0" borderId="0" xfId="0" applyNumberFormat="1" applyFont="1" applyFill="1" applyBorder="1" applyAlignment="1">
      <alignment horizontal="center"/>
    </xf>
    <xf numFmtId="164" fontId="0" fillId="0" borderId="0" xfId="0" applyNumberFormat="1" applyFill="1" applyBorder="1" applyAlignment="1">
      <alignment horizontal="center"/>
    </xf>
    <xf numFmtId="0" fontId="2" fillId="0" borderId="5" xfId="0" applyFont="1" applyBorder="1" applyAlignment="1">
      <alignment horizontal="center" vertical="center" wrapText="1"/>
    </xf>
    <xf numFmtId="164" fontId="2" fillId="0" borderId="0" xfId="0" applyNumberFormat="1" applyFont="1" applyBorder="1" applyAlignment="1">
      <alignment horizontal="right" vertical="center" wrapText="1"/>
    </xf>
    <xf numFmtId="164" fontId="2" fillId="0" borderId="44" xfId="0" applyNumberFormat="1" applyFont="1" applyBorder="1" applyAlignment="1">
      <alignment horizontal="right" vertical="center" wrapText="1"/>
    </xf>
    <xf numFmtId="164" fontId="2" fillId="0" borderId="64" xfId="0" applyNumberFormat="1" applyFont="1" applyBorder="1" applyAlignment="1">
      <alignment horizontal="right" vertical="center" wrapText="1"/>
    </xf>
    <xf numFmtId="164" fontId="2" fillId="0" borderId="3" xfId="0" applyNumberFormat="1" applyFont="1" applyBorder="1" applyAlignment="1">
      <alignment horizontal="right" vertical="center" wrapText="1"/>
    </xf>
    <xf numFmtId="164" fontId="2" fillId="0" borderId="4" xfId="0" applyNumberFormat="1" applyFont="1" applyBorder="1" applyAlignment="1">
      <alignment horizontal="right" vertical="center" wrapText="1"/>
    </xf>
    <xf numFmtId="164" fontId="2" fillId="0" borderId="58" xfId="0" applyNumberFormat="1" applyFont="1" applyBorder="1" applyAlignment="1">
      <alignment horizontal="right" vertical="center" wrapText="1"/>
    </xf>
    <xf numFmtId="164" fontId="2" fillId="0" borderId="36" xfId="0" applyNumberFormat="1" applyFont="1" applyBorder="1" applyAlignment="1">
      <alignment horizontal="center"/>
    </xf>
    <xf numFmtId="0" fontId="0" fillId="0" borderId="0" xfId="0" applyFill="1" applyBorder="1" applyAlignment="1">
      <alignment horizontal="left"/>
    </xf>
    <xf numFmtId="37" fontId="1" fillId="0" borderId="25" xfId="136" applyNumberFormat="1" applyFont="1" applyFill="1" applyBorder="1" applyAlignment="1">
      <alignment horizontal="center" vertical="center"/>
    </xf>
    <xf numFmtId="0" fontId="37" fillId="0" borderId="0" xfId="0" applyFont="1" applyAlignment="1">
      <alignment wrapText="1"/>
    </xf>
    <xf numFmtId="164" fontId="38" fillId="0" borderId="0" xfId="0" applyNumberFormat="1" applyFont="1" applyAlignment="1">
      <alignment horizontal="right"/>
    </xf>
    <xf numFmtId="164" fontId="38" fillId="0" borderId="0" xfId="0" applyNumberFormat="1" applyFont="1" applyAlignment="1">
      <alignment horizontal="center"/>
    </xf>
    <xf numFmtId="0" fontId="22" fillId="0" borderId="25" xfId="138" applyFill="1" applyBorder="1" applyAlignment="1">
      <alignment horizontal="right"/>
    </xf>
    <xf numFmtId="0" fontId="22" fillId="0" borderId="25" xfId="138" applyBorder="1" applyAlignment="1">
      <alignment horizontal="right"/>
    </xf>
    <xf numFmtId="1" fontId="0" fillId="0" borderId="25" xfId="0" applyNumberFormat="1" applyFill="1" applyBorder="1" applyAlignment="1">
      <alignment horizontal="center"/>
    </xf>
    <xf numFmtId="0" fontId="0" fillId="0" borderId="25" xfId="0" applyFill="1" applyBorder="1" applyAlignment="1">
      <alignment horizontal="center"/>
    </xf>
    <xf numFmtId="2" fontId="0" fillId="4" borderId="25" xfId="0" applyNumberFormat="1" applyFill="1" applyBorder="1" applyAlignment="1">
      <alignment horizont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6" fillId="0" borderId="0" xfId="2" applyFont="1" applyFill="1" applyBorder="1" applyAlignment="1">
      <alignment horizontal="left" vertical="top" wrapText="1"/>
    </xf>
    <xf numFmtId="0" fontId="9" fillId="4" borderId="25" xfId="2" applyFont="1" applyFill="1" applyBorder="1" applyAlignment="1">
      <alignment horizontal="center" vertical="center"/>
    </xf>
    <xf numFmtId="0" fontId="5" fillId="0" borderId="0" xfId="0" applyFont="1" applyBorder="1" applyAlignment="1">
      <alignment horizontal="left"/>
    </xf>
    <xf numFmtId="0" fontId="0" fillId="0" borderId="0" xfId="0" applyBorder="1"/>
    <xf numFmtId="0" fontId="0" fillId="0" borderId="0" xfId="0" applyBorder="1" applyAlignment="1">
      <alignment horizontal="left"/>
    </xf>
    <xf numFmtId="2" fontId="0" fillId="0" borderId="0" xfId="137" applyNumberFormat="1" applyFont="1" applyFill="1" applyBorder="1" applyAlignment="1">
      <alignment horizontal="center"/>
    </xf>
    <xf numFmtId="6" fontId="0" fillId="0" borderId="25" xfId="0" applyNumberFormat="1" applyFill="1" applyBorder="1" applyAlignment="1">
      <alignment horizontal="center"/>
    </xf>
    <xf numFmtId="0" fontId="0" fillId="0" borderId="25" xfId="0" applyFill="1" applyBorder="1" applyAlignment="1">
      <alignment horizontal="right"/>
    </xf>
    <xf numFmtId="0" fontId="6" fillId="0" borderId="25" xfId="0" applyFont="1" applyFill="1" applyBorder="1" applyAlignment="1">
      <alignment horizontal="center"/>
    </xf>
    <xf numFmtId="164" fontId="6" fillId="0" borderId="25" xfId="0" applyNumberFormat="1" applyFont="1" applyFill="1" applyBorder="1"/>
    <xf numFmtId="0" fontId="0" fillId="0" borderId="25" xfId="0" applyBorder="1" applyAlignment="1">
      <alignment horizontal="center"/>
    </xf>
    <xf numFmtId="164" fontId="2" fillId="0" borderId="68" xfId="0" applyNumberFormat="1" applyFont="1" applyBorder="1" applyAlignment="1">
      <alignment horizontal="right" vertical="center" wrapText="1"/>
    </xf>
    <xf numFmtId="164" fontId="2" fillId="0" borderId="69" xfId="0" applyNumberFormat="1" applyFont="1" applyBorder="1" applyAlignment="1">
      <alignment horizontal="right" vertical="center" wrapText="1"/>
    </xf>
    <xf numFmtId="164" fontId="2" fillId="0" borderId="70" xfId="0" applyNumberFormat="1" applyFont="1" applyBorder="1" applyAlignment="1">
      <alignment horizontal="right" vertical="center" wrapText="1"/>
    </xf>
    <xf numFmtId="0" fontId="2"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71" xfId="0" applyFont="1" applyBorder="1" applyAlignment="1">
      <alignment horizontal="center" vertical="center" wrapText="1"/>
    </xf>
    <xf numFmtId="164" fontId="2" fillId="0" borderId="71" xfId="0" applyNumberFormat="1" applyFont="1" applyFill="1" applyBorder="1" applyAlignment="1">
      <alignment horizontal="center"/>
    </xf>
    <xf numFmtId="0" fontId="0" fillId="0" borderId="25" xfId="0" applyBorder="1" applyAlignment="1">
      <alignment horizontal="center"/>
    </xf>
    <xf numFmtId="173" fontId="9" fillId="4" borderId="25" xfId="2" applyNumberFormat="1" applyFont="1" applyFill="1" applyBorder="1" applyAlignment="1">
      <alignment horizontal="center" vertical="center"/>
    </xf>
    <xf numFmtId="44" fontId="0" fillId="0" borderId="0" xfId="1" applyFont="1" applyAlignment="1">
      <alignment horizontal="center"/>
    </xf>
    <xf numFmtId="6" fontId="0" fillId="0" borderId="25" xfId="0" applyNumberFormat="1" applyBorder="1" applyAlignment="1">
      <alignment horizontal="center"/>
    </xf>
    <xf numFmtId="6" fontId="2" fillId="0" borderId="12" xfId="0" applyNumberFormat="1" applyFont="1" applyFill="1" applyBorder="1" applyAlignment="1">
      <alignment horizontal="right" indent="1"/>
    </xf>
    <xf numFmtId="0" fontId="2" fillId="0" borderId="13" xfId="0" applyFont="1" applyFill="1" applyBorder="1" applyAlignment="1">
      <alignment horizontal="center"/>
    </xf>
    <xf numFmtId="6" fontId="2" fillId="0" borderId="5" xfId="0" applyNumberFormat="1" applyFont="1" applyFill="1" applyBorder="1" applyAlignment="1">
      <alignment horizontal="right" indent="1"/>
    </xf>
    <xf numFmtId="6" fontId="2" fillId="0" borderId="13" xfId="0" applyNumberFormat="1" applyFont="1" applyFill="1" applyBorder="1" applyAlignment="1">
      <alignment horizontal="right" indent="1"/>
    </xf>
    <xf numFmtId="0" fontId="5" fillId="0" borderId="0" xfId="0" applyFont="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0" xfId="0"/>
    <xf numFmtId="0" fontId="5" fillId="0" borderId="25" xfId="0" applyFont="1" applyBorder="1" applyAlignment="1">
      <alignment horizontal="center"/>
    </xf>
    <xf numFmtId="0" fontId="5" fillId="0" borderId="0" xfId="0" applyFont="1" applyAlignment="1"/>
    <xf numFmtId="0" fontId="0" fillId="0" borderId="67" xfId="0" applyFill="1" applyBorder="1" applyAlignment="1">
      <alignment vertical="top" wrapText="1"/>
    </xf>
    <xf numFmtId="0" fontId="0" fillId="0" borderId="0" xfId="0" applyFill="1" applyBorder="1" applyAlignment="1">
      <alignment vertical="top" wrapText="1"/>
    </xf>
    <xf numFmtId="0" fontId="0" fillId="0" borderId="0" xfId="0"/>
    <xf numFmtId="0" fontId="5" fillId="0" borderId="25" xfId="0" applyFont="1" applyBorder="1" applyAlignment="1">
      <alignment horizontal="center"/>
    </xf>
    <xf numFmtId="0" fontId="0" fillId="0" borderId="25" xfId="0" applyBorder="1" applyAlignment="1">
      <alignment horizontal="center"/>
    </xf>
    <xf numFmtId="1" fontId="0" fillId="0" borderId="25" xfId="0" applyNumberFormat="1" applyBorder="1" applyAlignment="1">
      <alignment horizontal="center"/>
    </xf>
    <xf numFmtId="0" fontId="0" fillId="4" borderId="25" xfId="0" applyFill="1" applyBorder="1" applyAlignment="1">
      <alignment horizontal="center"/>
    </xf>
    <xf numFmtId="0" fontId="0" fillId="0" borderId="21" xfId="0" applyBorder="1" applyAlignment="1">
      <alignment horizontal="center"/>
    </xf>
    <xf numFmtId="0" fontId="5" fillId="0" borderId="21" xfId="0" applyFont="1" applyBorder="1" applyAlignment="1">
      <alignment horizontal="center"/>
    </xf>
    <xf numFmtId="176" fontId="0" fillId="0" borderId="25" xfId="0" applyNumberFormat="1" applyBorder="1" applyAlignment="1">
      <alignment horizontal="center"/>
    </xf>
    <xf numFmtId="1" fontId="0" fillId="0" borderId="25" xfId="0" applyNumberFormat="1" applyFill="1" applyBorder="1" applyAlignment="1">
      <alignment horizontal="center"/>
    </xf>
    <xf numFmtId="0" fontId="2" fillId="0" borderId="53" xfId="0" applyFont="1" applyBorder="1" applyAlignment="1">
      <alignment horizontal="center" vertical="center" wrapText="1"/>
    </xf>
    <xf numFmtId="164" fontId="2" fillId="0" borderId="72" xfId="0" applyNumberFormat="1" applyFont="1" applyBorder="1" applyAlignment="1">
      <alignment horizontal="right" vertical="center" wrapText="1"/>
    </xf>
    <xf numFmtId="164" fontId="2" fillId="0" borderId="73" xfId="0" applyNumberFormat="1" applyFont="1" applyBorder="1" applyAlignment="1">
      <alignment horizontal="right" vertical="center" wrapText="1"/>
    </xf>
    <xf numFmtId="164" fontId="2" fillId="0" borderId="74" xfId="0" applyNumberFormat="1" applyFont="1" applyBorder="1" applyAlignment="1">
      <alignment horizontal="right" vertical="center" wrapText="1"/>
    </xf>
    <xf numFmtId="178" fontId="0" fillId="0" borderId="0" xfId="0" applyNumberFormat="1"/>
    <xf numFmtId="164" fontId="2" fillId="0" borderId="39" xfId="0" applyNumberFormat="1" applyFont="1" applyBorder="1" applyAlignment="1">
      <alignment horizontal="center" vertical="center" wrapText="1"/>
    </xf>
    <xf numFmtId="0" fontId="0" fillId="0" borderId="0" xfId="0"/>
    <xf numFmtId="0" fontId="0" fillId="0" borderId="25" xfId="0" applyBorder="1" applyAlignment="1">
      <alignment horizontal="center"/>
    </xf>
    <xf numFmtId="0" fontId="30"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alignment horizontal="left" vertical="top" wrapText="1"/>
    </xf>
    <xf numFmtId="0" fontId="0" fillId="0" borderId="25" xfId="0" applyBorder="1" applyAlignment="1">
      <alignment horizontal="center"/>
    </xf>
    <xf numFmtId="0" fontId="0" fillId="0" borderId="0" xfId="0"/>
    <xf numFmtId="0" fontId="0" fillId="0" borderId="25" xfId="0" applyFont="1" applyBorder="1" applyAlignment="1">
      <alignment horizontal="center"/>
    </xf>
    <xf numFmtId="164" fontId="2" fillId="0" borderId="72" xfId="0" applyNumberFormat="1" applyFont="1" applyFill="1" applyBorder="1" applyAlignment="1">
      <alignment horizontal="right" vertical="center" wrapText="1"/>
    </xf>
    <xf numFmtId="164" fontId="2" fillId="0" borderId="68" xfId="0" applyNumberFormat="1" applyFont="1" applyFill="1" applyBorder="1" applyAlignment="1">
      <alignment horizontal="right" vertical="center" wrapText="1"/>
    </xf>
    <xf numFmtId="164" fontId="2" fillId="0" borderId="44" xfId="0" applyNumberFormat="1" applyFont="1" applyFill="1" applyBorder="1" applyAlignment="1">
      <alignment horizontal="right" vertical="center" wrapText="1"/>
    </xf>
    <xf numFmtId="164" fontId="2" fillId="0" borderId="3" xfId="0" applyNumberFormat="1" applyFont="1" applyFill="1" applyBorder="1" applyAlignment="1">
      <alignment horizontal="right" vertical="center" wrapText="1"/>
    </xf>
    <xf numFmtId="164" fontId="2" fillId="0" borderId="28" xfId="0" applyNumberFormat="1" applyFont="1" applyBorder="1" applyAlignment="1">
      <alignment horizontal="right" vertical="center" wrapText="1"/>
    </xf>
    <xf numFmtId="164" fontId="2" fillId="0" borderId="77" xfId="0" applyNumberFormat="1" applyFont="1" applyBorder="1" applyAlignment="1">
      <alignment horizontal="right" vertical="center" wrapText="1"/>
    </xf>
    <xf numFmtId="164" fontId="2" fillId="0" borderId="78" xfId="0" applyNumberFormat="1" applyFont="1" applyBorder="1" applyAlignment="1">
      <alignment horizontal="right" vertical="center" wrapText="1"/>
    </xf>
    <xf numFmtId="164" fontId="2" fillId="0" borderId="12" xfId="0" applyNumberFormat="1" applyFont="1" applyBorder="1" applyAlignment="1">
      <alignment horizontal="right" vertical="center" wrapText="1"/>
    </xf>
    <xf numFmtId="0" fontId="5" fillId="0" borderId="0" xfId="0" applyFont="1" applyBorder="1" applyAlignment="1">
      <alignment horizontal="center"/>
    </xf>
    <xf numFmtId="168" fontId="0" fillId="0" borderId="25" xfId="0" applyNumberFormat="1" applyFill="1" applyBorder="1" applyAlignment="1">
      <alignment horizontal="center"/>
    </xf>
    <xf numFmtId="168" fontId="0" fillId="0" borderId="25" xfId="136" applyNumberFormat="1" applyFont="1" applyBorder="1" applyAlignment="1">
      <alignment horizontal="center"/>
    </xf>
    <xf numFmtId="11" fontId="0" fillId="0" borderId="25" xfId="0" applyNumberFormat="1" applyFill="1" applyBorder="1" applyAlignment="1">
      <alignment horizontal="center"/>
    </xf>
    <xf numFmtId="0" fontId="0" fillId="0" borderId="25" xfId="0" applyBorder="1" applyAlignment="1"/>
    <xf numFmtId="173" fontId="0" fillId="0" borderId="25" xfId="137" applyNumberFormat="1" applyFont="1" applyBorder="1" applyAlignment="1">
      <alignment horizontal="center"/>
    </xf>
    <xf numFmtId="6" fontId="2" fillId="0" borderId="0" xfId="0" applyNumberFormat="1" applyFont="1" applyBorder="1" applyAlignment="1">
      <alignment horizontal="right" indent="1"/>
    </xf>
    <xf numFmtId="0" fontId="0" fillId="0" borderId="0" xfId="0" applyAlignment="1">
      <alignment horizontal="left" vertical="top" wrapText="1"/>
    </xf>
    <xf numFmtId="0" fontId="0" fillId="0" borderId="0" xfId="0"/>
    <xf numFmtId="0" fontId="0" fillId="0" borderId="25" xfId="0" applyBorder="1" applyAlignment="1">
      <alignment horizontal="center"/>
    </xf>
    <xf numFmtId="0" fontId="0" fillId="0" borderId="25" xfId="0" applyFill="1" applyBorder="1" applyAlignment="1">
      <alignment horizontal="center"/>
    </xf>
    <xf numFmtId="173" fontId="6" fillId="4" borderId="25" xfId="137" applyNumberFormat="1" applyFont="1" applyFill="1" applyBorder="1" applyAlignment="1">
      <alignment horizontal="center"/>
    </xf>
    <xf numFmtId="37" fontId="2" fillId="0" borderId="25" xfId="136" applyNumberFormat="1" applyFont="1" applyFill="1" applyBorder="1" applyAlignment="1">
      <alignment horizontal="center"/>
    </xf>
    <xf numFmtId="37" fontId="0" fillId="4" borderId="25" xfId="0" applyNumberFormat="1" applyFill="1" applyBorder="1" applyAlignment="1">
      <alignment horizontal="center"/>
    </xf>
    <xf numFmtId="0" fontId="0" fillId="0" borderId="25" xfId="0" applyBorder="1" applyAlignment="1">
      <alignment horizontal="center"/>
    </xf>
    <xf numFmtId="0" fontId="0" fillId="5" borderId="25" xfId="0" applyFill="1" applyBorder="1" applyAlignment="1">
      <alignment horizontal="center"/>
    </xf>
    <xf numFmtId="168" fontId="0" fillId="6" borderId="25" xfId="136" applyNumberFormat="1" applyFont="1" applyFill="1" applyBorder="1" applyAlignment="1">
      <alignment horizontal="center"/>
    </xf>
    <xf numFmtId="168" fontId="0" fillId="6" borderId="25" xfId="0" applyNumberFormat="1" applyFill="1" applyBorder="1" applyAlignment="1">
      <alignment horizontal="center"/>
    </xf>
    <xf numFmtId="8" fontId="0" fillId="0" borderId="25" xfId="0" applyNumberFormat="1" applyFont="1" applyBorder="1" applyAlignment="1">
      <alignment horizontal="center"/>
    </xf>
    <xf numFmtId="0" fontId="0" fillId="0" borderId="21" xfId="0" applyFont="1" applyBorder="1" applyAlignment="1">
      <alignment horizontal="center"/>
    </xf>
    <xf numFmtId="0" fontId="22" fillId="0" borderId="25" xfId="138" applyFont="1" applyBorder="1" applyAlignment="1">
      <alignment horizontal="right"/>
    </xf>
    <xf numFmtId="171" fontId="0" fillId="0" borderId="25" xfId="0" applyNumberFormat="1" applyFont="1" applyBorder="1" applyAlignment="1">
      <alignment horizontal="center"/>
    </xf>
    <xf numFmtId="0" fontId="0" fillId="4" borderId="25" xfId="0" applyFont="1" applyFill="1" applyBorder="1" applyAlignment="1">
      <alignment horizontal="center"/>
    </xf>
    <xf numFmtId="0" fontId="0" fillId="0" borderId="25" xfId="0" applyFont="1" applyBorder="1" applyAlignment="1">
      <alignment horizontal="left"/>
    </xf>
    <xf numFmtId="0" fontId="0" fillId="0" borderId="25" xfId="0" applyFont="1" applyFill="1" applyBorder="1" applyAlignment="1">
      <alignment horizontal="center"/>
    </xf>
    <xf numFmtId="164" fontId="0" fillId="0" borderId="25" xfId="0" applyNumberFormat="1" applyFont="1" applyBorder="1" applyAlignment="1">
      <alignment horizontal="center"/>
    </xf>
    <xf numFmtId="0" fontId="0" fillId="0" borderId="25" xfId="0" applyFont="1" applyBorder="1"/>
    <xf numFmtId="0" fontId="0" fillId="0" borderId="0" xfId="0"/>
    <xf numFmtId="0" fontId="5" fillId="0" borderId="0" xfId="0" applyFont="1"/>
    <xf numFmtId="0" fontId="0" fillId="0" borderId="0" xfId="0" applyAlignment="1">
      <alignment horizontal="right"/>
    </xf>
    <xf numFmtId="0" fontId="0" fillId="0" borderId="0" xfId="0" applyAlignment="1">
      <alignment vertical="top" wrapText="1"/>
    </xf>
    <xf numFmtId="0" fontId="0" fillId="0" borderId="0" xfId="0" applyAlignment="1">
      <alignment horizontal="left" vertical="top" wrapText="1"/>
    </xf>
    <xf numFmtId="0" fontId="0" fillId="0" borderId="0" xfId="0" applyAlignment="1"/>
    <xf numFmtId="0" fontId="0" fillId="0" borderId="25" xfId="0" applyFill="1" applyBorder="1" applyAlignment="1">
      <alignment horizontal="center"/>
    </xf>
    <xf numFmtId="0" fontId="0" fillId="0" borderId="25" xfId="0" applyFont="1" applyBorder="1" applyAlignment="1">
      <alignment horizontal="center"/>
    </xf>
    <xf numFmtId="8" fontId="0" fillId="0" borderId="25" xfId="0" applyNumberFormat="1" applyBorder="1"/>
    <xf numFmtId="164" fontId="2" fillId="0" borderId="3" xfId="0" applyNumberFormat="1" applyFont="1" applyBorder="1" applyAlignment="1">
      <alignment horizontal="center" vertical="center" wrapText="1"/>
    </xf>
    <xf numFmtId="0" fontId="39" fillId="0" borderId="0" xfId="0" applyFont="1" applyAlignment="1">
      <alignment horizontal="center"/>
    </xf>
    <xf numFmtId="0" fontId="5" fillId="0" borderId="0" xfId="0" applyFont="1" applyBorder="1"/>
    <xf numFmtId="0" fontId="0" fillId="0" borderId="69" xfId="0" applyFill="1" applyBorder="1"/>
    <xf numFmtId="0" fontId="0" fillId="0" borderId="69" xfId="0" applyBorder="1"/>
    <xf numFmtId="0" fontId="5" fillId="0" borderId="26" xfId="0" applyFont="1" applyBorder="1" applyAlignment="1">
      <alignment horizontal="left"/>
    </xf>
    <xf numFmtId="0" fontId="0" fillId="0" borderId="0" xfId="0"/>
    <xf numFmtId="0" fontId="0" fillId="0" borderId="25" xfId="0" applyBorder="1" applyAlignment="1">
      <alignment horizontal="center"/>
    </xf>
    <xf numFmtId="0" fontId="0" fillId="0" borderId="25" xfId="0" applyBorder="1" applyAlignment="1">
      <alignment horizontal="center"/>
    </xf>
    <xf numFmtId="0" fontId="0" fillId="0" borderId="0" xfId="0"/>
    <xf numFmtId="0" fontId="2" fillId="0" borderId="13" xfId="0"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18" xfId="0" applyNumberFormat="1" applyFont="1" applyBorder="1" applyAlignment="1">
      <alignment horizontal="center" vertical="center"/>
    </xf>
    <xf numFmtId="0" fontId="2" fillId="0" borderId="42" xfId="0" applyFont="1" applyBorder="1" applyAlignment="1">
      <alignment horizontal="center"/>
    </xf>
    <xf numFmtId="164" fontId="2" fillId="0" borderId="26" xfId="0" applyNumberFormat="1" applyFont="1" applyBorder="1" applyAlignment="1">
      <alignment horizontal="center"/>
    </xf>
    <xf numFmtId="171" fontId="0" fillId="4" borderId="25" xfId="137" applyNumberFormat="1" applyFont="1" applyFill="1" applyBorder="1" applyAlignment="1">
      <alignment horizontal="center"/>
    </xf>
    <xf numFmtId="164" fontId="2" fillId="0" borderId="8" xfId="0" applyNumberFormat="1" applyFont="1" applyBorder="1" applyAlignment="1">
      <alignment horizontal="center"/>
    </xf>
    <xf numFmtId="164" fontId="2" fillId="0" borderId="10" xfId="0" applyNumberFormat="1" applyFont="1" applyBorder="1" applyAlignment="1">
      <alignment horizontal="center"/>
    </xf>
    <xf numFmtId="0" fontId="6" fillId="0" borderId="0" xfId="0" applyFont="1" applyAlignment="1">
      <alignment vertical="top" wrapText="1"/>
    </xf>
    <xf numFmtId="0" fontId="5" fillId="0" borderId="0" xfId="0" applyFont="1" applyBorder="1" applyAlignment="1"/>
    <xf numFmtId="6" fontId="2" fillId="0" borderId="25" xfId="0" applyNumberFormat="1" applyFont="1" applyFill="1" applyBorder="1" applyAlignment="1">
      <alignment horizontal="right" indent="1"/>
    </xf>
    <xf numFmtId="1" fontId="0" fillId="4" borderId="25" xfId="137" applyNumberFormat="1" applyFont="1" applyFill="1" applyBorder="1" applyAlignment="1">
      <alignment horizontal="center"/>
    </xf>
    <xf numFmtId="6" fontId="2" fillId="4" borderId="25" xfId="0" applyNumberFormat="1" applyFont="1" applyFill="1" applyBorder="1" applyAlignment="1">
      <alignment horizontal="right" indent="1"/>
    </xf>
    <xf numFmtId="0" fontId="40" fillId="0" borderId="0" xfId="0" applyFont="1" applyAlignment="1">
      <alignment horizontal="center"/>
    </xf>
    <xf numFmtId="0" fontId="0" fillId="0" borderId="25" xfId="0" applyBorder="1" applyAlignment="1">
      <alignment horizontal="center"/>
    </xf>
    <xf numFmtId="164" fontId="0" fillId="0" borderId="25" xfId="0" applyNumberFormat="1" applyFill="1" applyBorder="1"/>
    <xf numFmtId="169" fontId="0" fillId="4" borderId="25" xfId="0" applyNumberFormat="1" applyFill="1" applyBorder="1"/>
    <xf numFmtId="164" fontId="0" fillId="4" borderId="25" xfId="0" applyNumberFormat="1" applyFill="1" applyBorder="1"/>
    <xf numFmtId="0" fontId="2" fillId="0" borderId="39" xfId="0" applyFont="1" applyFill="1" applyBorder="1" applyAlignment="1">
      <alignment horizontal="center"/>
    </xf>
    <xf numFmtId="0" fontId="2" fillId="0" borderId="38" xfId="0" applyFont="1" applyFill="1" applyBorder="1" applyAlignment="1">
      <alignment horizontal="center"/>
    </xf>
    <xf numFmtId="0" fontId="5" fillId="0" borderId="0" xfId="0" applyFont="1" applyBorder="1" applyAlignment="1">
      <alignment horizontal="right"/>
    </xf>
    <xf numFmtId="164" fontId="38" fillId="0" borderId="0" xfId="0" applyNumberFormat="1" applyFont="1" applyBorder="1" applyAlignment="1">
      <alignment horizontal="right"/>
    </xf>
    <xf numFmtId="164" fontId="38" fillId="0" borderId="0" xfId="0" applyNumberFormat="1" applyFont="1" applyBorder="1" applyAlignment="1">
      <alignment horizontal="center"/>
    </xf>
    <xf numFmtId="164" fontId="2" fillId="0" borderId="1" xfId="0" applyNumberFormat="1" applyFont="1" applyBorder="1" applyAlignment="1">
      <alignment horizontal="right" vertical="center" wrapText="1"/>
    </xf>
    <xf numFmtId="164" fontId="2" fillId="0" borderId="2" xfId="0" applyNumberFormat="1" applyFont="1" applyBorder="1" applyAlignment="1">
      <alignment horizontal="right" vertical="center" wrapText="1"/>
    </xf>
    <xf numFmtId="164" fontId="2" fillId="0" borderId="11" xfId="0" applyNumberFormat="1" applyFont="1" applyBorder="1" applyAlignment="1">
      <alignment horizontal="right" vertical="center" wrapText="1"/>
    </xf>
    <xf numFmtId="164" fontId="2" fillId="0" borderId="30" xfId="0" applyNumberFormat="1" applyFont="1" applyBorder="1" applyAlignment="1">
      <alignment horizontal="right" vertical="center" wrapText="1"/>
    </xf>
    <xf numFmtId="6" fontId="3" fillId="0" borderId="0" xfId="0" applyNumberFormat="1" applyFont="1" applyAlignment="1">
      <alignment horizontal="right"/>
    </xf>
    <xf numFmtId="0" fontId="0" fillId="0" borderId="0" xfId="0"/>
    <xf numFmtId="0" fontId="6" fillId="0" borderId="0" xfId="0" applyFont="1" applyFill="1" applyBorder="1" applyAlignment="1">
      <alignment horizontal="left" vertical="top" wrapText="1"/>
    </xf>
    <xf numFmtId="0" fontId="2" fillId="2" borderId="30"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3" fillId="0" borderId="3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7" xfId="0" applyFont="1" applyBorder="1" applyAlignment="1">
      <alignment horizontal="center" vertical="center" wrapText="1"/>
    </xf>
    <xf numFmtId="0" fontId="2" fillId="2" borderId="7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3" fillId="0" borderId="79" xfId="0" applyFont="1" applyBorder="1" applyAlignment="1">
      <alignment horizontal="center" vertical="center" wrapText="1"/>
    </xf>
    <xf numFmtId="0" fontId="3" fillId="0" borderId="34" xfId="0" applyFont="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0" fillId="0" borderId="21" xfId="0" applyBorder="1" applyAlignment="1">
      <alignment horizontal="center"/>
    </xf>
    <xf numFmtId="0" fontId="0" fillId="0" borderId="52" xfId="0" applyBorder="1" applyAlignment="1">
      <alignment horizont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5" fillId="0" borderId="26" xfId="0" applyFont="1" applyBorder="1" applyAlignment="1">
      <alignment horizontal="left"/>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58" xfId="0" applyFont="1" applyBorder="1" applyAlignment="1">
      <alignment horizontal="center" vertical="center" wrapText="1"/>
    </xf>
    <xf numFmtId="0" fontId="0" fillId="0" borderId="0" xfId="0" applyAlignment="1">
      <alignment horizontal="left" vertical="top"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0" fillId="0" borderId="25" xfId="0" applyBorder="1" applyAlignment="1">
      <alignment horizontal="center"/>
    </xf>
    <xf numFmtId="0" fontId="0" fillId="0" borderId="0" xfId="0"/>
    <xf numFmtId="0" fontId="5" fillId="0" borderId="0" xfId="0" applyFont="1" applyAlignment="1">
      <alignment horizontal="center"/>
    </xf>
    <xf numFmtId="0" fontId="5" fillId="0" borderId="36" xfId="0" applyFont="1" applyBorder="1" applyAlignment="1">
      <alignment horizontal="center"/>
    </xf>
    <xf numFmtId="0" fontId="5" fillId="0" borderId="45" xfId="0" applyFont="1" applyBorder="1" applyAlignment="1">
      <alignment horizontal="center"/>
    </xf>
    <xf numFmtId="0" fontId="5" fillId="0" borderId="27" xfId="0" applyFont="1" applyBorder="1" applyAlignment="1">
      <alignment horizontal="center"/>
    </xf>
    <xf numFmtId="0" fontId="6" fillId="0" borderId="0" xfId="0" applyFont="1" applyFill="1" applyAlignment="1">
      <alignment horizontal="left" vertical="top"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6" fillId="0" borderId="0" xfId="0" applyFont="1" applyAlignment="1">
      <alignment horizontal="left" vertical="top" wrapText="1"/>
    </xf>
    <xf numFmtId="0" fontId="0" fillId="0" borderId="0" xfId="0" applyFill="1" applyAlignment="1">
      <alignment horizontal="left" vertical="top" wrapText="1"/>
    </xf>
    <xf numFmtId="0" fontId="37" fillId="0" borderId="67" xfId="0" applyFont="1" applyBorder="1" applyAlignment="1">
      <alignment horizontal="center" wrapText="1"/>
    </xf>
    <xf numFmtId="0" fontId="2" fillId="0" borderId="13"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23" xfId="0" applyFont="1" applyBorder="1" applyAlignment="1">
      <alignment horizontal="center" vertical="center" wrapText="1"/>
    </xf>
    <xf numFmtId="0" fontId="5" fillId="0" borderId="36" xfId="0" applyFont="1" applyBorder="1" applyAlignment="1">
      <alignment horizontal="center" vertical="center"/>
    </xf>
    <xf numFmtId="0" fontId="5" fillId="0" borderId="45" xfId="0" applyFont="1" applyBorder="1" applyAlignment="1">
      <alignment horizontal="center" vertical="center"/>
    </xf>
    <xf numFmtId="0" fontId="5" fillId="0" borderId="27" xfId="0" applyFont="1" applyBorder="1" applyAlignment="1">
      <alignment horizontal="center" vertical="center"/>
    </xf>
    <xf numFmtId="0" fontId="5" fillId="0" borderId="1" xfId="0" applyFont="1" applyBorder="1" applyAlignment="1">
      <alignment horizontal="center"/>
    </xf>
    <xf numFmtId="0" fontId="5" fillId="0" borderId="30" xfId="0" applyFont="1" applyBorder="1" applyAlignment="1">
      <alignment horizontal="center"/>
    </xf>
    <xf numFmtId="0" fontId="2" fillId="0" borderId="28" xfId="0" applyFont="1" applyBorder="1" applyAlignment="1">
      <alignment horizontal="center" vertical="center" wrapText="1"/>
    </xf>
    <xf numFmtId="0" fontId="2" fillId="0" borderId="18" xfId="0" applyFont="1" applyBorder="1" applyAlignment="1">
      <alignment horizontal="center" vertical="center"/>
    </xf>
    <xf numFmtId="0" fontId="2" fillId="0" borderId="56"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0" fillId="0" borderId="25" xfId="0" applyFill="1" applyBorder="1" applyAlignment="1">
      <alignment horizontal="center"/>
    </xf>
    <xf numFmtId="0" fontId="0" fillId="5" borderId="25" xfId="0" applyFill="1" applyBorder="1" applyAlignment="1">
      <alignment horizontal="center"/>
    </xf>
  </cellXfs>
  <cellStyles count="142">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AD4A4CA1-0933-4496-9F39-DCD9244CC876}"/>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Normal_Mainline" xfId="141" xr:uid="{CD90AAE1-327A-4090-B03F-1EE925D8D049}"/>
    <cellStyle name="Percent" xfId="137" builtinId="5"/>
    <cellStyle name="Percent 2" xfId="14" xr:uid="{00000000-0005-0000-0000-000089000000}"/>
    <cellStyle name="Percent 3" xfId="15" xr:uid="{00000000-0005-0000-0000-00008A000000}"/>
  </cellStyles>
  <dxfs count="0"/>
  <tableStyles count="0" defaultTableStyle="TableStyleMedium2" defaultPivotStyle="PivotStyleLight16"/>
  <colors>
    <mruColors>
      <color rgb="FFF9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104775</xdr:colOff>
      <xdr:row>5</xdr:row>
      <xdr:rowOff>60707</xdr:rowOff>
    </xdr:from>
    <xdr:to>
      <xdr:col>9</xdr:col>
      <xdr:colOff>1076325</xdr:colOff>
      <xdr:row>19</xdr:row>
      <xdr:rowOff>174625</xdr:rowOff>
    </xdr:to>
    <xdr:pic>
      <xdr:nvPicPr>
        <xdr:cNvPr id="3" name="Picture 2" descr="A picture containing graphical user interface&#10;&#10;Description automatically generated">
          <a:extLst>
            <a:ext uri="{FF2B5EF4-FFF2-40B4-BE49-F238E27FC236}">
              <a16:creationId xmlns:a16="http://schemas.microsoft.com/office/drawing/2014/main" id="{530CB60D-61AC-38E3-F327-7C1D25BA7C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9607"/>
        <a:stretch/>
      </xdr:blipFill>
      <xdr:spPr bwMode="auto">
        <a:xfrm>
          <a:off x="7219950" y="1013207"/>
          <a:ext cx="5724525" cy="278091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456767</xdr:colOff>
      <xdr:row>9</xdr:row>
      <xdr:rowOff>138546</xdr:rowOff>
    </xdr:from>
    <xdr:ext cx="10430827" cy="8230059"/>
    <xdr:pic>
      <xdr:nvPicPr>
        <xdr:cNvPr id="2" name="Picture 1">
          <a:extLst>
            <a:ext uri="{FF2B5EF4-FFF2-40B4-BE49-F238E27FC236}">
              <a16:creationId xmlns:a16="http://schemas.microsoft.com/office/drawing/2014/main" id="{FF005186-C78A-419D-99E5-57A835DD4E02}"/>
            </a:ext>
          </a:extLst>
        </xdr:cNvPr>
        <xdr:cNvPicPr>
          <a:picLocks noChangeAspect="1"/>
        </xdr:cNvPicPr>
      </xdr:nvPicPr>
      <xdr:blipFill>
        <a:blip xmlns:r="http://schemas.openxmlformats.org/officeDocument/2006/relationships" r:embed="rId1"/>
        <a:stretch>
          <a:fillRect/>
        </a:stretch>
      </xdr:blipFill>
      <xdr:spPr>
        <a:xfrm>
          <a:off x="456767" y="1662546"/>
          <a:ext cx="10430827" cy="8230059"/>
        </a:xfrm>
        <a:prstGeom prst="rect">
          <a:avLst/>
        </a:prstGeom>
      </xdr:spPr>
    </xdr:pic>
    <xdr:clientData/>
  </xdr:oneCellAnchor>
  <xdr:oneCellAnchor>
    <xdr:from>
      <xdr:col>12</xdr:col>
      <xdr:colOff>41563</xdr:colOff>
      <xdr:row>9</xdr:row>
      <xdr:rowOff>97415</xdr:rowOff>
    </xdr:from>
    <xdr:ext cx="19363613" cy="8249948"/>
    <xdr:pic>
      <xdr:nvPicPr>
        <xdr:cNvPr id="3" name="Picture 2">
          <a:extLst>
            <a:ext uri="{FF2B5EF4-FFF2-40B4-BE49-F238E27FC236}">
              <a16:creationId xmlns:a16="http://schemas.microsoft.com/office/drawing/2014/main" id="{DE5B5210-6150-4A30-8651-268608801EE4}"/>
            </a:ext>
          </a:extLst>
        </xdr:cNvPr>
        <xdr:cNvPicPr>
          <a:picLocks noChangeAspect="1"/>
        </xdr:cNvPicPr>
      </xdr:nvPicPr>
      <xdr:blipFill>
        <a:blip xmlns:r="http://schemas.openxmlformats.org/officeDocument/2006/relationships" r:embed="rId2"/>
        <a:stretch>
          <a:fillRect/>
        </a:stretch>
      </xdr:blipFill>
      <xdr:spPr>
        <a:xfrm>
          <a:off x="12164290" y="1621415"/>
          <a:ext cx="19363613" cy="8249948"/>
        </a:xfrm>
        <a:prstGeom prst="rect">
          <a:avLst/>
        </a:prstGeom>
      </xdr:spPr>
    </xdr:pic>
    <xdr:clientData/>
  </xdr:oneCellAnchor>
  <xdr:twoCellAnchor editAs="oneCell">
    <xdr:from>
      <xdr:col>1</xdr:col>
      <xdr:colOff>0</xdr:colOff>
      <xdr:row>76</xdr:row>
      <xdr:rowOff>0</xdr:rowOff>
    </xdr:from>
    <xdr:to>
      <xdr:col>2</xdr:col>
      <xdr:colOff>2861049</xdr:colOff>
      <xdr:row>112</xdr:row>
      <xdr:rowOff>161048</xdr:rowOff>
    </xdr:to>
    <xdr:pic>
      <xdr:nvPicPr>
        <xdr:cNvPr id="8" name="Picture 7">
          <a:extLst>
            <a:ext uri="{FF2B5EF4-FFF2-40B4-BE49-F238E27FC236}">
              <a16:creationId xmlns:a16="http://schemas.microsoft.com/office/drawing/2014/main" id="{6AAC5F21-01EA-4EF8-4B35-44015A6536C5}"/>
            </a:ext>
          </a:extLst>
        </xdr:cNvPr>
        <xdr:cNvPicPr>
          <a:picLocks noChangeAspect="1"/>
        </xdr:cNvPicPr>
      </xdr:nvPicPr>
      <xdr:blipFill>
        <a:blip xmlns:r="http://schemas.openxmlformats.org/officeDocument/2006/relationships" r:embed="rId3"/>
        <a:stretch>
          <a:fillRect/>
        </a:stretch>
      </xdr:blipFill>
      <xdr:spPr>
        <a:xfrm>
          <a:off x="606136" y="13906500"/>
          <a:ext cx="6238095" cy="7019048"/>
        </a:xfrm>
        <a:prstGeom prst="rect">
          <a:avLst/>
        </a:prstGeom>
      </xdr:spPr>
    </xdr:pic>
    <xdr:clientData/>
  </xdr:twoCellAnchor>
  <xdr:twoCellAnchor>
    <xdr:from>
      <xdr:col>3</xdr:col>
      <xdr:colOff>69274</xdr:colOff>
      <xdr:row>77</xdr:row>
      <xdr:rowOff>34636</xdr:rowOff>
    </xdr:from>
    <xdr:to>
      <xdr:col>13</xdr:col>
      <xdr:colOff>669653</xdr:colOff>
      <xdr:row>113</xdr:row>
      <xdr:rowOff>34466</xdr:rowOff>
    </xdr:to>
    <xdr:grpSp>
      <xdr:nvGrpSpPr>
        <xdr:cNvPr id="10" name="Group 9">
          <a:extLst>
            <a:ext uri="{FF2B5EF4-FFF2-40B4-BE49-F238E27FC236}">
              <a16:creationId xmlns:a16="http://schemas.microsoft.com/office/drawing/2014/main" id="{B64C7553-E436-6EF2-CA10-C45A3ED9FC8B}"/>
            </a:ext>
          </a:extLst>
        </xdr:cNvPr>
        <xdr:cNvGrpSpPr/>
      </xdr:nvGrpSpPr>
      <xdr:grpSpPr>
        <a:xfrm>
          <a:off x="7457953" y="14730350"/>
          <a:ext cx="9499450" cy="6857830"/>
          <a:chOff x="7457953" y="14131636"/>
          <a:chExt cx="9499450" cy="6857830"/>
        </a:xfrm>
      </xdr:grpSpPr>
      <xdr:pic>
        <xdr:nvPicPr>
          <xdr:cNvPr id="7" name="Picture 6">
            <a:extLst>
              <a:ext uri="{FF2B5EF4-FFF2-40B4-BE49-F238E27FC236}">
                <a16:creationId xmlns:a16="http://schemas.microsoft.com/office/drawing/2014/main" id="{C76CFA9A-9E1A-4CCF-B054-2B3AEDA3738C}"/>
              </a:ext>
            </a:extLst>
          </xdr:cNvPr>
          <xdr:cNvPicPr>
            <a:picLocks noChangeAspect="1"/>
          </xdr:cNvPicPr>
        </xdr:nvPicPr>
        <xdr:blipFill>
          <a:blip xmlns:r="http://schemas.openxmlformats.org/officeDocument/2006/relationships" r:embed="rId4"/>
          <a:stretch>
            <a:fillRect/>
          </a:stretch>
        </xdr:blipFill>
        <xdr:spPr>
          <a:xfrm>
            <a:off x="7457953" y="14131636"/>
            <a:ext cx="9499450" cy="6857830"/>
          </a:xfrm>
          <a:prstGeom prst="rect">
            <a:avLst/>
          </a:prstGeom>
        </xdr:spPr>
      </xdr:pic>
      <xdr:pic>
        <xdr:nvPicPr>
          <xdr:cNvPr id="9" name="Picture 8">
            <a:extLst>
              <a:ext uri="{FF2B5EF4-FFF2-40B4-BE49-F238E27FC236}">
                <a16:creationId xmlns:a16="http://schemas.microsoft.com/office/drawing/2014/main" id="{F6BC3CDE-95F8-E787-1A12-83D333CB2DE3}"/>
              </a:ext>
            </a:extLst>
          </xdr:cNvPr>
          <xdr:cNvPicPr>
            <a:picLocks noChangeAspect="1"/>
          </xdr:cNvPicPr>
        </xdr:nvPicPr>
        <xdr:blipFill>
          <a:blip xmlns:r="http://schemas.openxmlformats.org/officeDocument/2006/relationships" r:embed="rId5"/>
          <a:stretch>
            <a:fillRect/>
          </a:stretch>
        </xdr:blipFill>
        <xdr:spPr>
          <a:xfrm>
            <a:off x="14433776" y="17978126"/>
            <a:ext cx="2194153" cy="2211161"/>
          </a:xfrm>
          <a:prstGeom prst="rect">
            <a:avLst/>
          </a:prstGeom>
        </xdr:spPr>
      </xdr:pic>
    </xdr:grpSp>
    <xdr:clientData/>
  </xdr:twoCellAnchor>
  <xdr:twoCellAnchor editAs="oneCell">
    <xdr:from>
      <xdr:col>1</xdr:col>
      <xdr:colOff>279565</xdr:colOff>
      <xdr:row>91</xdr:row>
      <xdr:rowOff>108857</xdr:rowOff>
    </xdr:from>
    <xdr:to>
      <xdr:col>1</xdr:col>
      <xdr:colOff>2736708</xdr:colOff>
      <xdr:row>104</xdr:row>
      <xdr:rowOff>108547</xdr:rowOff>
    </xdr:to>
    <xdr:pic>
      <xdr:nvPicPr>
        <xdr:cNvPr id="11" name="Picture 10">
          <a:extLst>
            <a:ext uri="{FF2B5EF4-FFF2-40B4-BE49-F238E27FC236}">
              <a16:creationId xmlns:a16="http://schemas.microsoft.com/office/drawing/2014/main" id="{02D7BD34-2484-E3FA-A46E-E0583D2410B3}"/>
            </a:ext>
          </a:extLst>
        </xdr:cNvPr>
        <xdr:cNvPicPr>
          <a:picLocks noChangeAspect="1"/>
        </xdr:cNvPicPr>
      </xdr:nvPicPr>
      <xdr:blipFill>
        <a:blip xmlns:r="http://schemas.openxmlformats.org/officeDocument/2006/relationships" r:embed="rId5"/>
        <a:stretch>
          <a:fillRect/>
        </a:stretch>
      </xdr:blipFill>
      <xdr:spPr>
        <a:xfrm>
          <a:off x="891886" y="16872857"/>
          <a:ext cx="2457143" cy="2476190"/>
        </a:xfrm>
        <a:prstGeom prst="rect">
          <a:avLst/>
        </a:prstGeom>
      </xdr:spPr>
    </xdr:pic>
    <xdr:clientData/>
  </xdr:twoCellAnchor>
  <xdr:twoCellAnchor>
    <xdr:from>
      <xdr:col>0</xdr:col>
      <xdr:colOff>595311</xdr:colOff>
      <xdr:row>60</xdr:row>
      <xdr:rowOff>119061</xdr:rowOff>
    </xdr:from>
    <xdr:to>
      <xdr:col>13</xdr:col>
      <xdr:colOff>2299580</xdr:colOff>
      <xdr:row>74</xdr:row>
      <xdr:rowOff>123264</xdr:rowOff>
    </xdr:to>
    <xdr:grpSp>
      <xdr:nvGrpSpPr>
        <xdr:cNvPr id="13" name="Group 12">
          <a:extLst>
            <a:ext uri="{FF2B5EF4-FFF2-40B4-BE49-F238E27FC236}">
              <a16:creationId xmlns:a16="http://schemas.microsoft.com/office/drawing/2014/main" id="{7C8B06F1-F133-F3CB-D436-A7563BF72317}"/>
            </a:ext>
          </a:extLst>
        </xdr:cNvPr>
        <xdr:cNvGrpSpPr/>
      </xdr:nvGrpSpPr>
      <xdr:grpSpPr>
        <a:xfrm>
          <a:off x="595311" y="11576275"/>
          <a:ext cx="17992019" cy="2671203"/>
          <a:chOff x="595311" y="10977561"/>
          <a:chExt cx="17907975" cy="2671203"/>
        </a:xfrm>
      </xdr:grpSpPr>
      <xdr:pic>
        <xdr:nvPicPr>
          <xdr:cNvPr id="5" name="Picture 4">
            <a:extLst>
              <a:ext uri="{FF2B5EF4-FFF2-40B4-BE49-F238E27FC236}">
                <a16:creationId xmlns:a16="http://schemas.microsoft.com/office/drawing/2014/main" id="{2DA886C5-B2A1-D747-4060-1E3561A94C33}"/>
              </a:ext>
            </a:extLst>
          </xdr:cNvPr>
          <xdr:cNvPicPr>
            <a:picLocks noChangeAspect="1"/>
          </xdr:cNvPicPr>
        </xdr:nvPicPr>
        <xdr:blipFill>
          <a:blip xmlns:r="http://schemas.openxmlformats.org/officeDocument/2006/relationships" r:embed="rId6"/>
          <a:stretch>
            <a:fillRect/>
          </a:stretch>
        </xdr:blipFill>
        <xdr:spPr>
          <a:xfrm>
            <a:off x="595311" y="10977561"/>
            <a:ext cx="17907975" cy="2671203"/>
          </a:xfrm>
          <a:prstGeom prst="rect">
            <a:avLst/>
          </a:prstGeom>
        </xdr:spPr>
      </xdr:pic>
      <xdr:pic>
        <xdr:nvPicPr>
          <xdr:cNvPr id="12" name="Picture 11">
            <a:extLst>
              <a:ext uri="{FF2B5EF4-FFF2-40B4-BE49-F238E27FC236}">
                <a16:creationId xmlns:a16="http://schemas.microsoft.com/office/drawing/2014/main" id="{DFCA29EB-1228-FDEE-D555-BC69AE37F875}"/>
              </a:ext>
            </a:extLst>
          </xdr:cNvPr>
          <xdr:cNvPicPr>
            <a:picLocks noChangeAspect="1"/>
          </xdr:cNvPicPr>
        </xdr:nvPicPr>
        <xdr:blipFill>
          <a:blip xmlns:r="http://schemas.openxmlformats.org/officeDocument/2006/relationships" r:embed="rId5"/>
          <a:stretch>
            <a:fillRect/>
          </a:stretch>
        </xdr:blipFill>
        <xdr:spPr>
          <a:xfrm>
            <a:off x="651340" y="11493611"/>
            <a:ext cx="1893943" cy="190862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15</xdr:row>
      <xdr:rowOff>0</xdr:rowOff>
    </xdr:from>
    <xdr:to>
      <xdr:col>24</xdr:col>
      <xdr:colOff>405123</xdr:colOff>
      <xdr:row>31</xdr:row>
      <xdr:rowOff>21859</xdr:rowOff>
    </xdr:to>
    <xdr:pic>
      <xdr:nvPicPr>
        <xdr:cNvPr id="14" name="Picture 13">
          <a:extLst>
            <a:ext uri="{FF2B5EF4-FFF2-40B4-BE49-F238E27FC236}">
              <a16:creationId xmlns:a16="http://schemas.microsoft.com/office/drawing/2014/main" id="{3D6F69DC-9C23-4582-96D6-E49C4C6F6979}"/>
            </a:ext>
          </a:extLst>
        </xdr:cNvPr>
        <xdr:cNvPicPr>
          <a:picLocks noChangeAspect="1"/>
        </xdr:cNvPicPr>
      </xdr:nvPicPr>
      <xdr:blipFill>
        <a:blip xmlns:r="http://schemas.openxmlformats.org/officeDocument/2006/relationships" r:embed="rId1"/>
        <a:stretch>
          <a:fillRect/>
        </a:stretch>
      </xdr:blipFill>
      <xdr:spPr>
        <a:xfrm>
          <a:off x="23743227" y="3463636"/>
          <a:ext cx="14709941" cy="3052541"/>
        </a:xfrm>
        <a:prstGeom prst="rect">
          <a:avLst/>
        </a:prstGeom>
      </xdr:spPr>
    </xdr:pic>
    <xdr:clientData/>
  </xdr:twoCellAnchor>
  <xdr:twoCellAnchor editAs="oneCell">
    <xdr:from>
      <xdr:col>17</xdr:col>
      <xdr:colOff>0</xdr:colOff>
      <xdr:row>34</xdr:row>
      <xdr:rowOff>0</xdr:rowOff>
    </xdr:from>
    <xdr:to>
      <xdr:col>24</xdr:col>
      <xdr:colOff>344172</xdr:colOff>
      <xdr:row>49</xdr:row>
      <xdr:rowOff>185992</xdr:rowOff>
    </xdr:to>
    <xdr:pic>
      <xdr:nvPicPr>
        <xdr:cNvPr id="19" name="Picture 18">
          <a:extLst>
            <a:ext uri="{FF2B5EF4-FFF2-40B4-BE49-F238E27FC236}">
              <a16:creationId xmlns:a16="http://schemas.microsoft.com/office/drawing/2014/main" id="{3D176838-6000-4CA2-B9EF-596DBBF2AB91}"/>
            </a:ext>
          </a:extLst>
        </xdr:cNvPr>
        <xdr:cNvPicPr>
          <a:picLocks noChangeAspect="1"/>
        </xdr:cNvPicPr>
      </xdr:nvPicPr>
      <xdr:blipFill>
        <a:blip xmlns:r="http://schemas.openxmlformats.org/officeDocument/2006/relationships" r:embed="rId2"/>
        <a:stretch>
          <a:fillRect/>
        </a:stretch>
      </xdr:blipFill>
      <xdr:spPr>
        <a:xfrm>
          <a:off x="23743227" y="7065818"/>
          <a:ext cx="14648990" cy="3043492"/>
        </a:xfrm>
        <a:prstGeom prst="rect">
          <a:avLst/>
        </a:prstGeom>
      </xdr:spPr>
    </xdr:pic>
    <xdr:clientData/>
  </xdr:twoCellAnchor>
  <xdr:twoCellAnchor editAs="oneCell">
    <xdr:from>
      <xdr:col>26</xdr:col>
      <xdr:colOff>0</xdr:colOff>
      <xdr:row>15</xdr:row>
      <xdr:rowOff>0</xdr:rowOff>
    </xdr:from>
    <xdr:to>
      <xdr:col>33</xdr:col>
      <xdr:colOff>463936</xdr:colOff>
      <xdr:row>31</xdr:row>
      <xdr:rowOff>20621</xdr:rowOff>
    </xdr:to>
    <xdr:pic>
      <xdr:nvPicPr>
        <xdr:cNvPr id="21" name="Picture 20">
          <a:extLst>
            <a:ext uri="{FF2B5EF4-FFF2-40B4-BE49-F238E27FC236}">
              <a16:creationId xmlns:a16="http://schemas.microsoft.com/office/drawing/2014/main" id="{839D4770-38FD-440E-950D-E35A153776BE}"/>
            </a:ext>
          </a:extLst>
        </xdr:cNvPr>
        <xdr:cNvPicPr>
          <a:picLocks noChangeAspect="1"/>
        </xdr:cNvPicPr>
      </xdr:nvPicPr>
      <xdr:blipFill>
        <a:blip xmlns:r="http://schemas.openxmlformats.org/officeDocument/2006/relationships" r:embed="rId3"/>
        <a:stretch>
          <a:fillRect/>
        </a:stretch>
      </xdr:blipFill>
      <xdr:spPr>
        <a:xfrm>
          <a:off x="42135136" y="3463636"/>
          <a:ext cx="14768755" cy="3051303"/>
        </a:xfrm>
        <a:prstGeom prst="rect">
          <a:avLst/>
        </a:prstGeom>
      </xdr:spPr>
    </xdr:pic>
    <xdr:clientData/>
  </xdr:twoCellAnchor>
  <xdr:twoCellAnchor editAs="oneCell">
    <xdr:from>
      <xdr:col>26</xdr:col>
      <xdr:colOff>0</xdr:colOff>
      <xdr:row>34</xdr:row>
      <xdr:rowOff>0</xdr:rowOff>
    </xdr:from>
    <xdr:to>
      <xdr:col>33</xdr:col>
      <xdr:colOff>461996</xdr:colOff>
      <xdr:row>49</xdr:row>
      <xdr:rowOff>181360</xdr:rowOff>
    </xdr:to>
    <xdr:pic>
      <xdr:nvPicPr>
        <xdr:cNvPr id="22" name="Picture 21">
          <a:extLst>
            <a:ext uri="{FF2B5EF4-FFF2-40B4-BE49-F238E27FC236}">
              <a16:creationId xmlns:a16="http://schemas.microsoft.com/office/drawing/2014/main" id="{8982339F-3638-412F-BFDF-67D23C3494BA}"/>
            </a:ext>
          </a:extLst>
        </xdr:cNvPr>
        <xdr:cNvPicPr>
          <a:picLocks noChangeAspect="1"/>
        </xdr:cNvPicPr>
      </xdr:nvPicPr>
      <xdr:blipFill>
        <a:blip xmlns:r="http://schemas.openxmlformats.org/officeDocument/2006/relationships" r:embed="rId4"/>
        <a:stretch>
          <a:fillRect/>
        </a:stretch>
      </xdr:blipFill>
      <xdr:spPr>
        <a:xfrm>
          <a:off x="42135136" y="7065818"/>
          <a:ext cx="14766815" cy="3038860"/>
        </a:xfrm>
        <a:prstGeom prst="rect">
          <a:avLst/>
        </a:prstGeom>
      </xdr:spPr>
    </xdr:pic>
    <xdr:clientData/>
  </xdr:twoCellAnchor>
  <xdr:twoCellAnchor editAs="oneCell">
    <xdr:from>
      <xdr:col>17</xdr:col>
      <xdr:colOff>0</xdr:colOff>
      <xdr:row>56</xdr:row>
      <xdr:rowOff>0</xdr:rowOff>
    </xdr:from>
    <xdr:to>
      <xdr:col>22</xdr:col>
      <xdr:colOff>978696</xdr:colOff>
      <xdr:row>80</xdr:row>
      <xdr:rowOff>95346</xdr:rowOff>
    </xdr:to>
    <xdr:pic>
      <xdr:nvPicPr>
        <xdr:cNvPr id="23" name="Picture 22" descr="A picture containing text, scene, way, sky&#10;&#10;Description automatically generated">
          <a:extLst>
            <a:ext uri="{FF2B5EF4-FFF2-40B4-BE49-F238E27FC236}">
              <a16:creationId xmlns:a16="http://schemas.microsoft.com/office/drawing/2014/main" id="{4A31F777-20B5-441B-846F-A47075C5F3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669625" y="11263313"/>
          <a:ext cx="11218071" cy="4667346"/>
        </a:xfrm>
        <a:prstGeom prst="rect">
          <a:avLst/>
        </a:prstGeom>
      </xdr:spPr>
    </xdr:pic>
    <xdr:clientData/>
  </xdr:twoCellAnchor>
  <xdr:twoCellAnchor editAs="oneCell">
    <xdr:from>
      <xdr:col>26</xdr:col>
      <xdr:colOff>0</xdr:colOff>
      <xdr:row>56</xdr:row>
      <xdr:rowOff>0</xdr:rowOff>
    </xdr:from>
    <xdr:to>
      <xdr:col>31</xdr:col>
      <xdr:colOff>983672</xdr:colOff>
      <xdr:row>80</xdr:row>
      <xdr:rowOff>189213</xdr:rowOff>
    </xdr:to>
    <xdr:pic>
      <xdr:nvPicPr>
        <xdr:cNvPr id="26" name="Picture 25" descr="A highway with a bridge over it&#10;&#10;Description automatically generated with low confidence">
          <a:extLst>
            <a:ext uri="{FF2B5EF4-FFF2-40B4-BE49-F238E27FC236}">
              <a16:creationId xmlns:a16="http://schemas.microsoft.com/office/drawing/2014/main" id="{E6DD1C71-79B5-472F-B7B3-AC238B6A8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35136" y="11256818"/>
          <a:ext cx="11201400" cy="47612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15</xdr:row>
      <xdr:rowOff>0</xdr:rowOff>
    </xdr:from>
    <xdr:to>
      <xdr:col>24</xdr:col>
      <xdr:colOff>405123</xdr:colOff>
      <xdr:row>31</xdr:row>
      <xdr:rowOff>21859</xdr:rowOff>
    </xdr:to>
    <xdr:pic>
      <xdr:nvPicPr>
        <xdr:cNvPr id="14" name="Picture 13">
          <a:extLst>
            <a:ext uri="{FF2B5EF4-FFF2-40B4-BE49-F238E27FC236}">
              <a16:creationId xmlns:a16="http://schemas.microsoft.com/office/drawing/2014/main" id="{0852338A-E09A-48B4-BB50-02C80901EC3D}"/>
            </a:ext>
          </a:extLst>
        </xdr:cNvPr>
        <xdr:cNvPicPr>
          <a:picLocks noChangeAspect="1"/>
        </xdr:cNvPicPr>
      </xdr:nvPicPr>
      <xdr:blipFill>
        <a:blip xmlns:r="http://schemas.openxmlformats.org/officeDocument/2006/relationships" r:embed="rId1"/>
        <a:stretch>
          <a:fillRect/>
        </a:stretch>
      </xdr:blipFill>
      <xdr:spPr>
        <a:xfrm>
          <a:off x="23669625" y="3467100"/>
          <a:ext cx="14740248" cy="3060334"/>
        </a:xfrm>
        <a:prstGeom prst="rect">
          <a:avLst/>
        </a:prstGeom>
      </xdr:spPr>
    </xdr:pic>
    <xdr:clientData/>
  </xdr:twoCellAnchor>
  <xdr:twoCellAnchor editAs="oneCell">
    <xdr:from>
      <xdr:col>17</xdr:col>
      <xdr:colOff>0</xdr:colOff>
      <xdr:row>34</xdr:row>
      <xdr:rowOff>0</xdr:rowOff>
    </xdr:from>
    <xdr:to>
      <xdr:col>24</xdr:col>
      <xdr:colOff>344172</xdr:colOff>
      <xdr:row>49</xdr:row>
      <xdr:rowOff>185992</xdr:rowOff>
    </xdr:to>
    <xdr:pic>
      <xdr:nvPicPr>
        <xdr:cNvPr id="15" name="Picture 14">
          <a:extLst>
            <a:ext uri="{FF2B5EF4-FFF2-40B4-BE49-F238E27FC236}">
              <a16:creationId xmlns:a16="http://schemas.microsoft.com/office/drawing/2014/main" id="{59BB4303-E5AB-4BA5-BDB8-6FB4800F0786}"/>
            </a:ext>
          </a:extLst>
        </xdr:cNvPr>
        <xdr:cNvPicPr>
          <a:picLocks noChangeAspect="1"/>
        </xdr:cNvPicPr>
      </xdr:nvPicPr>
      <xdr:blipFill>
        <a:blip xmlns:r="http://schemas.openxmlformats.org/officeDocument/2006/relationships" r:embed="rId2"/>
        <a:stretch>
          <a:fillRect/>
        </a:stretch>
      </xdr:blipFill>
      <xdr:spPr>
        <a:xfrm>
          <a:off x="23669625" y="7077075"/>
          <a:ext cx="14679297" cy="3043492"/>
        </a:xfrm>
        <a:prstGeom prst="rect">
          <a:avLst/>
        </a:prstGeom>
      </xdr:spPr>
    </xdr:pic>
    <xdr:clientData/>
  </xdr:twoCellAnchor>
  <xdr:twoCellAnchor editAs="oneCell">
    <xdr:from>
      <xdr:col>26</xdr:col>
      <xdr:colOff>0</xdr:colOff>
      <xdr:row>15</xdr:row>
      <xdr:rowOff>0</xdr:rowOff>
    </xdr:from>
    <xdr:to>
      <xdr:col>33</xdr:col>
      <xdr:colOff>463936</xdr:colOff>
      <xdr:row>31</xdr:row>
      <xdr:rowOff>20621</xdr:rowOff>
    </xdr:to>
    <xdr:pic>
      <xdr:nvPicPr>
        <xdr:cNvPr id="16" name="Picture 15">
          <a:extLst>
            <a:ext uri="{FF2B5EF4-FFF2-40B4-BE49-F238E27FC236}">
              <a16:creationId xmlns:a16="http://schemas.microsoft.com/office/drawing/2014/main" id="{418872B6-F73B-479F-BA46-DA163CDA73BE}"/>
            </a:ext>
          </a:extLst>
        </xdr:cNvPr>
        <xdr:cNvPicPr>
          <a:picLocks noChangeAspect="1"/>
        </xdr:cNvPicPr>
      </xdr:nvPicPr>
      <xdr:blipFill>
        <a:blip xmlns:r="http://schemas.openxmlformats.org/officeDocument/2006/relationships" r:embed="rId3"/>
        <a:stretch>
          <a:fillRect/>
        </a:stretch>
      </xdr:blipFill>
      <xdr:spPr>
        <a:xfrm>
          <a:off x="42100500" y="3467100"/>
          <a:ext cx="14799061" cy="3059096"/>
        </a:xfrm>
        <a:prstGeom prst="rect">
          <a:avLst/>
        </a:prstGeom>
      </xdr:spPr>
    </xdr:pic>
    <xdr:clientData/>
  </xdr:twoCellAnchor>
  <xdr:twoCellAnchor editAs="oneCell">
    <xdr:from>
      <xdr:col>26</xdr:col>
      <xdr:colOff>0</xdr:colOff>
      <xdr:row>34</xdr:row>
      <xdr:rowOff>0</xdr:rowOff>
    </xdr:from>
    <xdr:to>
      <xdr:col>33</xdr:col>
      <xdr:colOff>461996</xdr:colOff>
      <xdr:row>49</xdr:row>
      <xdr:rowOff>181360</xdr:rowOff>
    </xdr:to>
    <xdr:pic>
      <xdr:nvPicPr>
        <xdr:cNvPr id="17" name="Picture 16">
          <a:extLst>
            <a:ext uri="{FF2B5EF4-FFF2-40B4-BE49-F238E27FC236}">
              <a16:creationId xmlns:a16="http://schemas.microsoft.com/office/drawing/2014/main" id="{B66F8083-F258-442C-80DD-C24F2EB86569}"/>
            </a:ext>
          </a:extLst>
        </xdr:cNvPr>
        <xdr:cNvPicPr>
          <a:picLocks noChangeAspect="1"/>
        </xdr:cNvPicPr>
      </xdr:nvPicPr>
      <xdr:blipFill>
        <a:blip xmlns:r="http://schemas.openxmlformats.org/officeDocument/2006/relationships" r:embed="rId4"/>
        <a:stretch>
          <a:fillRect/>
        </a:stretch>
      </xdr:blipFill>
      <xdr:spPr>
        <a:xfrm>
          <a:off x="42100500" y="7077075"/>
          <a:ext cx="14797121" cy="3038860"/>
        </a:xfrm>
        <a:prstGeom prst="rect">
          <a:avLst/>
        </a:prstGeom>
      </xdr:spPr>
    </xdr:pic>
    <xdr:clientData/>
  </xdr:twoCellAnchor>
  <xdr:twoCellAnchor editAs="oneCell">
    <xdr:from>
      <xdr:col>17</xdr:col>
      <xdr:colOff>0</xdr:colOff>
      <xdr:row>56</xdr:row>
      <xdr:rowOff>0</xdr:rowOff>
    </xdr:from>
    <xdr:to>
      <xdr:col>22</xdr:col>
      <xdr:colOff>978696</xdr:colOff>
      <xdr:row>80</xdr:row>
      <xdr:rowOff>95346</xdr:rowOff>
    </xdr:to>
    <xdr:pic>
      <xdr:nvPicPr>
        <xdr:cNvPr id="18" name="Picture 17" descr="A picture containing text, scene, way, sky&#10;&#10;Description automatically generated">
          <a:extLst>
            <a:ext uri="{FF2B5EF4-FFF2-40B4-BE49-F238E27FC236}">
              <a16:creationId xmlns:a16="http://schemas.microsoft.com/office/drawing/2014/main" id="{7E74715F-AB0B-412B-BF77-4024079E98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669625" y="11268075"/>
          <a:ext cx="11218071" cy="4667346"/>
        </a:xfrm>
        <a:prstGeom prst="rect">
          <a:avLst/>
        </a:prstGeom>
      </xdr:spPr>
    </xdr:pic>
    <xdr:clientData/>
  </xdr:twoCellAnchor>
  <xdr:twoCellAnchor editAs="oneCell">
    <xdr:from>
      <xdr:col>26</xdr:col>
      <xdr:colOff>0</xdr:colOff>
      <xdr:row>56</xdr:row>
      <xdr:rowOff>0</xdr:rowOff>
    </xdr:from>
    <xdr:to>
      <xdr:col>31</xdr:col>
      <xdr:colOff>983672</xdr:colOff>
      <xdr:row>80</xdr:row>
      <xdr:rowOff>189213</xdr:rowOff>
    </xdr:to>
    <xdr:pic>
      <xdr:nvPicPr>
        <xdr:cNvPr id="19" name="Picture 18" descr="A highway with a bridge over it&#10;&#10;Description automatically generated with low confidence">
          <a:extLst>
            <a:ext uri="{FF2B5EF4-FFF2-40B4-BE49-F238E27FC236}">
              <a16:creationId xmlns:a16="http://schemas.microsoft.com/office/drawing/2014/main" id="{A570AFC9-E93E-4FED-A5CF-A1031D3DA0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00500" y="11268075"/>
          <a:ext cx="11223047" cy="47612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15</xdr:row>
      <xdr:rowOff>0</xdr:rowOff>
    </xdr:from>
    <xdr:to>
      <xdr:col>24</xdr:col>
      <xdr:colOff>405123</xdr:colOff>
      <xdr:row>31</xdr:row>
      <xdr:rowOff>40909</xdr:rowOff>
    </xdr:to>
    <xdr:pic>
      <xdr:nvPicPr>
        <xdr:cNvPr id="8" name="Picture 7">
          <a:extLst>
            <a:ext uri="{FF2B5EF4-FFF2-40B4-BE49-F238E27FC236}">
              <a16:creationId xmlns:a16="http://schemas.microsoft.com/office/drawing/2014/main" id="{8A29390A-64E2-4BA9-80F0-B7B2834D9AC8}"/>
            </a:ext>
          </a:extLst>
        </xdr:cNvPr>
        <xdr:cNvPicPr>
          <a:picLocks noChangeAspect="1"/>
        </xdr:cNvPicPr>
      </xdr:nvPicPr>
      <xdr:blipFill>
        <a:blip xmlns:r="http://schemas.openxmlformats.org/officeDocument/2006/relationships" r:embed="rId1"/>
        <a:stretch>
          <a:fillRect/>
        </a:stretch>
      </xdr:blipFill>
      <xdr:spPr>
        <a:xfrm>
          <a:off x="22764750" y="3467100"/>
          <a:ext cx="14740248" cy="3060334"/>
        </a:xfrm>
        <a:prstGeom prst="rect">
          <a:avLst/>
        </a:prstGeom>
      </xdr:spPr>
    </xdr:pic>
    <xdr:clientData/>
  </xdr:twoCellAnchor>
  <xdr:twoCellAnchor editAs="oneCell">
    <xdr:from>
      <xdr:col>17</xdr:col>
      <xdr:colOff>0</xdr:colOff>
      <xdr:row>34</xdr:row>
      <xdr:rowOff>0</xdr:rowOff>
    </xdr:from>
    <xdr:to>
      <xdr:col>24</xdr:col>
      <xdr:colOff>344172</xdr:colOff>
      <xdr:row>49</xdr:row>
      <xdr:rowOff>185992</xdr:rowOff>
    </xdr:to>
    <xdr:pic>
      <xdr:nvPicPr>
        <xdr:cNvPr id="9" name="Picture 8">
          <a:extLst>
            <a:ext uri="{FF2B5EF4-FFF2-40B4-BE49-F238E27FC236}">
              <a16:creationId xmlns:a16="http://schemas.microsoft.com/office/drawing/2014/main" id="{C7788B25-0EF0-4682-88DD-F1AC3BB5A982}"/>
            </a:ext>
          </a:extLst>
        </xdr:cNvPr>
        <xdr:cNvPicPr>
          <a:picLocks noChangeAspect="1"/>
        </xdr:cNvPicPr>
      </xdr:nvPicPr>
      <xdr:blipFill>
        <a:blip xmlns:r="http://schemas.openxmlformats.org/officeDocument/2006/relationships" r:embed="rId2"/>
        <a:stretch>
          <a:fillRect/>
        </a:stretch>
      </xdr:blipFill>
      <xdr:spPr>
        <a:xfrm>
          <a:off x="22764750" y="7077075"/>
          <a:ext cx="14679297" cy="3043492"/>
        </a:xfrm>
        <a:prstGeom prst="rect">
          <a:avLst/>
        </a:prstGeom>
      </xdr:spPr>
    </xdr:pic>
    <xdr:clientData/>
  </xdr:twoCellAnchor>
  <xdr:twoCellAnchor editAs="oneCell">
    <xdr:from>
      <xdr:col>26</xdr:col>
      <xdr:colOff>0</xdr:colOff>
      <xdr:row>15</xdr:row>
      <xdr:rowOff>0</xdr:rowOff>
    </xdr:from>
    <xdr:to>
      <xdr:col>33</xdr:col>
      <xdr:colOff>463936</xdr:colOff>
      <xdr:row>31</xdr:row>
      <xdr:rowOff>39671</xdr:rowOff>
    </xdr:to>
    <xdr:pic>
      <xdr:nvPicPr>
        <xdr:cNvPr id="10" name="Picture 9">
          <a:extLst>
            <a:ext uri="{FF2B5EF4-FFF2-40B4-BE49-F238E27FC236}">
              <a16:creationId xmlns:a16="http://schemas.microsoft.com/office/drawing/2014/main" id="{3AAF167F-834A-440B-A24C-F1376D8E3BFA}"/>
            </a:ext>
          </a:extLst>
        </xdr:cNvPr>
        <xdr:cNvPicPr>
          <a:picLocks noChangeAspect="1"/>
        </xdr:cNvPicPr>
      </xdr:nvPicPr>
      <xdr:blipFill>
        <a:blip xmlns:r="http://schemas.openxmlformats.org/officeDocument/2006/relationships" r:embed="rId3"/>
        <a:stretch>
          <a:fillRect/>
        </a:stretch>
      </xdr:blipFill>
      <xdr:spPr>
        <a:xfrm>
          <a:off x="41195625" y="3467100"/>
          <a:ext cx="14799061" cy="3059096"/>
        </a:xfrm>
        <a:prstGeom prst="rect">
          <a:avLst/>
        </a:prstGeom>
      </xdr:spPr>
    </xdr:pic>
    <xdr:clientData/>
  </xdr:twoCellAnchor>
  <xdr:twoCellAnchor editAs="oneCell">
    <xdr:from>
      <xdr:col>26</xdr:col>
      <xdr:colOff>0</xdr:colOff>
      <xdr:row>34</xdr:row>
      <xdr:rowOff>0</xdr:rowOff>
    </xdr:from>
    <xdr:to>
      <xdr:col>33</xdr:col>
      <xdr:colOff>461996</xdr:colOff>
      <xdr:row>49</xdr:row>
      <xdr:rowOff>181360</xdr:rowOff>
    </xdr:to>
    <xdr:pic>
      <xdr:nvPicPr>
        <xdr:cNvPr id="17" name="Picture 16">
          <a:extLst>
            <a:ext uri="{FF2B5EF4-FFF2-40B4-BE49-F238E27FC236}">
              <a16:creationId xmlns:a16="http://schemas.microsoft.com/office/drawing/2014/main" id="{42091E09-6285-4E25-A7FF-92C12778761A}"/>
            </a:ext>
          </a:extLst>
        </xdr:cNvPr>
        <xdr:cNvPicPr>
          <a:picLocks noChangeAspect="1"/>
        </xdr:cNvPicPr>
      </xdr:nvPicPr>
      <xdr:blipFill>
        <a:blip xmlns:r="http://schemas.openxmlformats.org/officeDocument/2006/relationships" r:embed="rId4"/>
        <a:stretch>
          <a:fillRect/>
        </a:stretch>
      </xdr:blipFill>
      <xdr:spPr>
        <a:xfrm>
          <a:off x="41195625" y="7077075"/>
          <a:ext cx="14797121" cy="3038860"/>
        </a:xfrm>
        <a:prstGeom prst="rect">
          <a:avLst/>
        </a:prstGeom>
      </xdr:spPr>
    </xdr:pic>
    <xdr:clientData/>
  </xdr:twoCellAnchor>
  <xdr:twoCellAnchor editAs="oneCell">
    <xdr:from>
      <xdr:col>17</xdr:col>
      <xdr:colOff>0</xdr:colOff>
      <xdr:row>56</xdr:row>
      <xdr:rowOff>0</xdr:rowOff>
    </xdr:from>
    <xdr:to>
      <xdr:col>22</xdr:col>
      <xdr:colOff>978696</xdr:colOff>
      <xdr:row>80</xdr:row>
      <xdr:rowOff>95346</xdr:rowOff>
    </xdr:to>
    <xdr:pic>
      <xdr:nvPicPr>
        <xdr:cNvPr id="18" name="Picture 17" descr="A picture containing text, scene, way, sky&#10;&#10;Description automatically generated">
          <a:extLst>
            <a:ext uri="{FF2B5EF4-FFF2-40B4-BE49-F238E27FC236}">
              <a16:creationId xmlns:a16="http://schemas.microsoft.com/office/drawing/2014/main" id="{DAB01CB2-C9AD-4288-92BC-57A968CABD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64750" y="11268075"/>
          <a:ext cx="11218071" cy="4667346"/>
        </a:xfrm>
        <a:prstGeom prst="rect">
          <a:avLst/>
        </a:prstGeom>
      </xdr:spPr>
    </xdr:pic>
    <xdr:clientData/>
  </xdr:twoCellAnchor>
  <xdr:twoCellAnchor editAs="oneCell">
    <xdr:from>
      <xdr:col>26</xdr:col>
      <xdr:colOff>0</xdr:colOff>
      <xdr:row>56</xdr:row>
      <xdr:rowOff>0</xdr:rowOff>
    </xdr:from>
    <xdr:to>
      <xdr:col>31</xdr:col>
      <xdr:colOff>983672</xdr:colOff>
      <xdr:row>80</xdr:row>
      <xdr:rowOff>189213</xdr:rowOff>
    </xdr:to>
    <xdr:pic>
      <xdr:nvPicPr>
        <xdr:cNvPr id="19" name="Picture 18" descr="A highway with a bridge over it&#10;&#10;Description automatically generated with low confidence">
          <a:extLst>
            <a:ext uri="{FF2B5EF4-FFF2-40B4-BE49-F238E27FC236}">
              <a16:creationId xmlns:a16="http://schemas.microsoft.com/office/drawing/2014/main" id="{57AA0F11-1830-4AB8-84F7-6980870D2C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95625" y="11268075"/>
          <a:ext cx="11223047" cy="47612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0</xdr:colOff>
      <xdr:row>15</xdr:row>
      <xdr:rowOff>0</xdr:rowOff>
    </xdr:from>
    <xdr:to>
      <xdr:col>24</xdr:col>
      <xdr:colOff>405123</xdr:colOff>
      <xdr:row>31</xdr:row>
      <xdr:rowOff>21859</xdr:rowOff>
    </xdr:to>
    <xdr:pic>
      <xdr:nvPicPr>
        <xdr:cNvPr id="14" name="Picture 13">
          <a:extLst>
            <a:ext uri="{FF2B5EF4-FFF2-40B4-BE49-F238E27FC236}">
              <a16:creationId xmlns:a16="http://schemas.microsoft.com/office/drawing/2014/main" id="{4C44733F-467C-4A0D-8047-308B2D2DDE7D}"/>
            </a:ext>
          </a:extLst>
        </xdr:cNvPr>
        <xdr:cNvPicPr>
          <a:picLocks noChangeAspect="1"/>
        </xdr:cNvPicPr>
      </xdr:nvPicPr>
      <xdr:blipFill>
        <a:blip xmlns:r="http://schemas.openxmlformats.org/officeDocument/2006/relationships" r:embed="rId1"/>
        <a:stretch>
          <a:fillRect/>
        </a:stretch>
      </xdr:blipFill>
      <xdr:spPr>
        <a:xfrm>
          <a:off x="22764750" y="3467100"/>
          <a:ext cx="14740248" cy="3060334"/>
        </a:xfrm>
        <a:prstGeom prst="rect">
          <a:avLst/>
        </a:prstGeom>
      </xdr:spPr>
    </xdr:pic>
    <xdr:clientData/>
  </xdr:twoCellAnchor>
  <xdr:twoCellAnchor editAs="oneCell">
    <xdr:from>
      <xdr:col>17</xdr:col>
      <xdr:colOff>0</xdr:colOff>
      <xdr:row>34</xdr:row>
      <xdr:rowOff>0</xdr:rowOff>
    </xdr:from>
    <xdr:to>
      <xdr:col>24</xdr:col>
      <xdr:colOff>344172</xdr:colOff>
      <xdr:row>49</xdr:row>
      <xdr:rowOff>185992</xdr:rowOff>
    </xdr:to>
    <xdr:pic>
      <xdr:nvPicPr>
        <xdr:cNvPr id="15" name="Picture 14">
          <a:extLst>
            <a:ext uri="{FF2B5EF4-FFF2-40B4-BE49-F238E27FC236}">
              <a16:creationId xmlns:a16="http://schemas.microsoft.com/office/drawing/2014/main" id="{EDEFDDE8-54B4-4D05-9316-F69F619CAD48}"/>
            </a:ext>
          </a:extLst>
        </xdr:cNvPr>
        <xdr:cNvPicPr>
          <a:picLocks noChangeAspect="1"/>
        </xdr:cNvPicPr>
      </xdr:nvPicPr>
      <xdr:blipFill>
        <a:blip xmlns:r="http://schemas.openxmlformats.org/officeDocument/2006/relationships" r:embed="rId2"/>
        <a:stretch>
          <a:fillRect/>
        </a:stretch>
      </xdr:blipFill>
      <xdr:spPr>
        <a:xfrm>
          <a:off x="22764750" y="7058025"/>
          <a:ext cx="14679297" cy="3043492"/>
        </a:xfrm>
        <a:prstGeom prst="rect">
          <a:avLst/>
        </a:prstGeom>
      </xdr:spPr>
    </xdr:pic>
    <xdr:clientData/>
  </xdr:twoCellAnchor>
  <xdr:twoCellAnchor editAs="oneCell">
    <xdr:from>
      <xdr:col>26</xdr:col>
      <xdr:colOff>0</xdr:colOff>
      <xdr:row>15</xdr:row>
      <xdr:rowOff>0</xdr:rowOff>
    </xdr:from>
    <xdr:to>
      <xdr:col>33</xdr:col>
      <xdr:colOff>463936</xdr:colOff>
      <xdr:row>31</xdr:row>
      <xdr:rowOff>20621</xdr:rowOff>
    </xdr:to>
    <xdr:pic>
      <xdr:nvPicPr>
        <xdr:cNvPr id="16" name="Picture 15">
          <a:extLst>
            <a:ext uri="{FF2B5EF4-FFF2-40B4-BE49-F238E27FC236}">
              <a16:creationId xmlns:a16="http://schemas.microsoft.com/office/drawing/2014/main" id="{7A83B78A-146F-4FE4-A319-FF4BA13E0623}"/>
            </a:ext>
          </a:extLst>
        </xdr:cNvPr>
        <xdr:cNvPicPr>
          <a:picLocks noChangeAspect="1"/>
        </xdr:cNvPicPr>
      </xdr:nvPicPr>
      <xdr:blipFill>
        <a:blip xmlns:r="http://schemas.openxmlformats.org/officeDocument/2006/relationships" r:embed="rId3"/>
        <a:stretch>
          <a:fillRect/>
        </a:stretch>
      </xdr:blipFill>
      <xdr:spPr>
        <a:xfrm>
          <a:off x="41195625" y="3467100"/>
          <a:ext cx="14799061" cy="3059096"/>
        </a:xfrm>
        <a:prstGeom prst="rect">
          <a:avLst/>
        </a:prstGeom>
      </xdr:spPr>
    </xdr:pic>
    <xdr:clientData/>
  </xdr:twoCellAnchor>
  <xdr:twoCellAnchor editAs="oneCell">
    <xdr:from>
      <xdr:col>26</xdr:col>
      <xdr:colOff>0</xdr:colOff>
      <xdr:row>34</xdr:row>
      <xdr:rowOff>0</xdr:rowOff>
    </xdr:from>
    <xdr:to>
      <xdr:col>33</xdr:col>
      <xdr:colOff>461996</xdr:colOff>
      <xdr:row>49</xdr:row>
      <xdr:rowOff>181360</xdr:rowOff>
    </xdr:to>
    <xdr:pic>
      <xdr:nvPicPr>
        <xdr:cNvPr id="17" name="Picture 16">
          <a:extLst>
            <a:ext uri="{FF2B5EF4-FFF2-40B4-BE49-F238E27FC236}">
              <a16:creationId xmlns:a16="http://schemas.microsoft.com/office/drawing/2014/main" id="{B25C733B-D2AE-4892-8B25-59AF4BC3DAB5}"/>
            </a:ext>
          </a:extLst>
        </xdr:cNvPr>
        <xdr:cNvPicPr>
          <a:picLocks noChangeAspect="1"/>
        </xdr:cNvPicPr>
      </xdr:nvPicPr>
      <xdr:blipFill>
        <a:blip xmlns:r="http://schemas.openxmlformats.org/officeDocument/2006/relationships" r:embed="rId4"/>
        <a:stretch>
          <a:fillRect/>
        </a:stretch>
      </xdr:blipFill>
      <xdr:spPr>
        <a:xfrm>
          <a:off x="41195625" y="7072313"/>
          <a:ext cx="14797121" cy="3038860"/>
        </a:xfrm>
        <a:prstGeom prst="rect">
          <a:avLst/>
        </a:prstGeom>
      </xdr:spPr>
    </xdr:pic>
    <xdr:clientData/>
  </xdr:twoCellAnchor>
  <xdr:twoCellAnchor editAs="oneCell">
    <xdr:from>
      <xdr:col>17</xdr:col>
      <xdr:colOff>0</xdr:colOff>
      <xdr:row>56</xdr:row>
      <xdr:rowOff>0</xdr:rowOff>
    </xdr:from>
    <xdr:to>
      <xdr:col>22</xdr:col>
      <xdr:colOff>978696</xdr:colOff>
      <xdr:row>80</xdr:row>
      <xdr:rowOff>85821</xdr:rowOff>
    </xdr:to>
    <xdr:pic>
      <xdr:nvPicPr>
        <xdr:cNvPr id="18" name="Picture 17" descr="A picture containing text, scene, way, sky&#10;&#10;Description automatically generated">
          <a:extLst>
            <a:ext uri="{FF2B5EF4-FFF2-40B4-BE49-F238E27FC236}">
              <a16:creationId xmlns:a16="http://schemas.microsoft.com/office/drawing/2014/main" id="{35F4FC08-2907-4159-8515-5E9AE1220C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64750" y="11249025"/>
          <a:ext cx="11218071" cy="4667346"/>
        </a:xfrm>
        <a:prstGeom prst="rect">
          <a:avLst/>
        </a:prstGeom>
      </xdr:spPr>
    </xdr:pic>
    <xdr:clientData/>
  </xdr:twoCellAnchor>
  <xdr:twoCellAnchor editAs="oneCell">
    <xdr:from>
      <xdr:col>26</xdr:col>
      <xdr:colOff>0</xdr:colOff>
      <xdr:row>56</xdr:row>
      <xdr:rowOff>0</xdr:rowOff>
    </xdr:from>
    <xdr:to>
      <xdr:col>31</xdr:col>
      <xdr:colOff>983672</xdr:colOff>
      <xdr:row>80</xdr:row>
      <xdr:rowOff>179688</xdr:rowOff>
    </xdr:to>
    <xdr:pic>
      <xdr:nvPicPr>
        <xdr:cNvPr id="19" name="Picture 18" descr="A highway with a bridge over it&#10;&#10;Description automatically generated with low confidence">
          <a:extLst>
            <a:ext uri="{FF2B5EF4-FFF2-40B4-BE49-F238E27FC236}">
              <a16:creationId xmlns:a16="http://schemas.microsoft.com/office/drawing/2014/main" id="{B7478332-5040-4D2F-83C3-8DA9F56871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95625" y="11249025"/>
          <a:ext cx="11223047" cy="47612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65</xdr:row>
      <xdr:rowOff>0</xdr:rowOff>
    </xdr:from>
    <xdr:to>
      <xdr:col>9</xdr:col>
      <xdr:colOff>692727</xdr:colOff>
      <xdr:row>93</xdr:row>
      <xdr:rowOff>135213</xdr:rowOff>
    </xdr:to>
    <xdr:pic>
      <xdr:nvPicPr>
        <xdr:cNvPr id="3" name="Picture 2">
          <a:extLst>
            <a:ext uri="{FF2B5EF4-FFF2-40B4-BE49-F238E27FC236}">
              <a16:creationId xmlns:a16="http://schemas.microsoft.com/office/drawing/2014/main" id="{76F9F5E4-3409-4AA2-8A6A-D101C01A31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3471" y="12797118"/>
          <a:ext cx="6519785" cy="5469213"/>
        </a:xfrm>
        <a:prstGeom prst="rect">
          <a:avLst/>
        </a:prstGeom>
        <a:ln w="3175">
          <a:solidFill>
            <a:schemeClr val="bg1"/>
          </a:solid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0</xdr:colOff>
      <xdr:row>15</xdr:row>
      <xdr:rowOff>0</xdr:rowOff>
    </xdr:from>
    <xdr:ext cx="5481962" cy="1381223"/>
    <xdr:pic>
      <xdr:nvPicPr>
        <xdr:cNvPr id="10" name="Picture 9" descr="Equation">
          <a:extLst>
            <a:ext uri="{FF2B5EF4-FFF2-40B4-BE49-F238E27FC236}">
              <a16:creationId xmlns:a16="http://schemas.microsoft.com/office/drawing/2014/main" id="{F61864C5-4B29-401B-9AEC-0C8D95D62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52909" y="3325091"/>
          <a:ext cx="5481962" cy="1381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35</xdr:row>
      <xdr:rowOff>0</xdr:rowOff>
    </xdr:from>
    <xdr:to>
      <xdr:col>12</xdr:col>
      <xdr:colOff>1522286</xdr:colOff>
      <xdr:row>55</xdr:row>
      <xdr:rowOff>125063</xdr:rowOff>
    </xdr:to>
    <xdr:pic>
      <xdr:nvPicPr>
        <xdr:cNvPr id="2" name="Picture 1">
          <a:extLst>
            <a:ext uri="{FF2B5EF4-FFF2-40B4-BE49-F238E27FC236}">
              <a16:creationId xmlns:a16="http://schemas.microsoft.com/office/drawing/2014/main" id="{A70E3F3F-F822-70C3-4304-2D02064E11FD}"/>
            </a:ext>
          </a:extLst>
        </xdr:cNvPr>
        <xdr:cNvPicPr>
          <a:picLocks noChangeAspect="1"/>
        </xdr:cNvPicPr>
      </xdr:nvPicPr>
      <xdr:blipFill>
        <a:blip xmlns:r="http://schemas.openxmlformats.org/officeDocument/2006/relationships" r:embed="rId2"/>
        <a:stretch>
          <a:fillRect/>
        </a:stretch>
      </xdr:blipFill>
      <xdr:spPr>
        <a:xfrm>
          <a:off x="7879773" y="7135091"/>
          <a:ext cx="13714286" cy="39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10</xdr:row>
      <xdr:rowOff>0</xdr:rowOff>
    </xdr:from>
    <xdr:to>
      <xdr:col>21</xdr:col>
      <xdr:colOff>1010922</xdr:colOff>
      <xdr:row>25</xdr:row>
      <xdr:rowOff>176467</xdr:rowOff>
    </xdr:to>
    <xdr:pic>
      <xdr:nvPicPr>
        <xdr:cNvPr id="5" name="Picture 4">
          <a:extLst>
            <a:ext uri="{FF2B5EF4-FFF2-40B4-BE49-F238E27FC236}">
              <a16:creationId xmlns:a16="http://schemas.microsoft.com/office/drawing/2014/main" id="{733FB726-1170-429E-B1F9-9DF48F1D6B0F}"/>
            </a:ext>
          </a:extLst>
        </xdr:cNvPr>
        <xdr:cNvPicPr>
          <a:picLocks noChangeAspect="1"/>
        </xdr:cNvPicPr>
      </xdr:nvPicPr>
      <xdr:blipFill>
        <a:blip xmlns:r="http://schemas.openxmlformats.org/officeDocument/2006/relationships" r:embed="rId1"/>
        <a:stretch>
          <a:fillRect/>
        </a:stretch>
      </xdr:blipFill>
      <xdr:spPr>
        <a:xfrm>
          <a:off x="22764750" y="7077075"/>
          <a:ext cx="14679297" cy="3043492"/>
        </a:xfrm>
        <a:prstGeom prst="rect">
          <a:avLst/>
        </a:prstGeom>
      </xdr:spPr>
    </xdr:pic>
    <xdr:clientData/>
  </xdr:twoCellAnchor>
  <xdr:twoCellAnchor editAs="oneCell">
    <xdr:from>
      <xdr:col>14</xdr:col>
      <xdr:colOff>0</xdr:colOff>
      <xdr:row>29</xdr:row>
      <xdr:rowOff>0</xdr:rowOff>
    </xdr:from>
    <xdr:to>
      <xdr:col>21</xdr:col>
      <xdr:colOff>1128746</xdr:colOff>
      <xdr:row>44</xdr:row>
      <xdr:rowOff>181360</xdr:rowOff>
    </xdr:to>
    <xdr:pic>
      <xdr:nvPicPr>
        <xdr:cNvPr id="7" name="Picture 6">
          <a:extLst>
            <a:ext uri="{FF2B5EF4-FFF2-40B4-BE49-F238E27FC236}">
              <a16:creationId xmlns:a16="http://schemas.microsoft.com/office/drawing/2014/main" id="{E93BA005-39D1-4803-ACF8-FCE50788EC7E}"/>
            </a:ext>
          </a:extLst>
        </xdr:cNvPr>
        <xdr:cNvPicPr>
          <a:picLocks noChangeAspect="1"/>
        </xdr:cNvPicPr>
      </xdr:nvPicPr>
      <xdr:blipFill>
        <a:blip xmlns:r="http://schemas.openxmlformats.org/officeDocument/2006/relationships" r:embed="rId2"/>
        <a:stretch>
          <a:fillRect/>
        </a:stretch>
      </xdr:blipFill>
      <xdr:spPr>
        <a:xfrm>
          <a:off x="43410188" y="5524500"/>
          <a:ext cx="14797121" cy="30388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25</xdr:row>
      <xdr:rowOff>23504</xdr:rowOff>
    </xdr:from>
    <xdr:to>
      <xdr:col>22</xdr:col>
      <xdr:colOff>154208</xdr:colOff>
      <xdr:row>47</xdr:row>
      <xdr:rowOff>52668</xdr:rowOff>
    </xdr:to>
    <xdr:pic>
      <xdr:nvPicPr>
        <xdr:cNvPr id="3" name="Picture 2">
          <a:extLst>
            <a:ext uri="{FF2B5EF4-FFF2-40B4-BE49-F238E27FC236}">
              <a16:creationId xmlns:a16="http://schemas.microsoft.com/office/drawing/2014/main" id="{FE0CED64-2E04-43CB-8B9F-347B67399086}"/>
            </a:ext>
          </a:extLst>
        </xdr:cNvPr>
        <xdr:cNvPicPr>
          <a:picLocks noChangeAspect="1"/>
        </xdr:cNvPicPr>
      </xdr:nvPicPr>
      <xdr:blipFill>
        <a:blip xmlns:r="http://schemas.openxmlformats.org/officeDocument/2006/relationships" r:embed="rId1"/>
        <a:stretch>
          <a:fillRect/>
        </a:stretch>
      </xdr:blipFill>
      <xdr:spPr>
        <a:xfrm>
          <a:off x="0" y="785504"/>
          <a:ext cx="13012958" cy="4220164"/>
        </a:xfrm>
        <a:prstGeom prst="rect">
          <a:avLst/>
        </a:prstGeom>
      </xdr:spPr>
    </xdr:pic>
    <xdr:clientData/>
  </xdr:twoCellAnchor>
  <xdr:twoCellAnchor editAs="oneCell">
    <xdr:from>
      <xdr:col>7</xdr:col>
      <xdr:colOff>33617</xdr:colOff>
      <xdr:row>0</xdr:row>
      <xdr:rowOff>112059</xdr:rowOff>
    </xdr:from>
    <xdr:to>
      <xdr:col>28</xdr:col>
      <xdr:colOff>455438</xdr:colOff>
      <xdr:row>20</xdr:row>
      <xdr:rowOff>154669</xdr:rowOff>
    </xdr:to>
    <xdr:pic>
      <xdr:nvPicPr>
        <xdr:cNvPr id="2" name="Picture 1">
          <a:extLst>
            <a:ext uri="{FF2B5EF4-FFF2-40B4-BE49-F238E27FC236}">
              <a16:creationId xmlns:a16="http://schemas.microsoft.com/office/drawing/2014/main" id="{82F3EABE-92D7-6451-4680-7750E8F2ED93}"/>
            </a:ext>
          </a:extLst>
        </xdr:cNvPr>
        <xdr:cNvPicPr>
          <a:picLocks noChangeAspect="1"/>
        </xdr:cNvPicPr>
      </xdr:nvPicPr>
      <xdr:blipFill>
        <a:blip xmlns:r="http://schemas.openxmlformats.org/officeDocument/2006/relationships" r:embed="rId2"/>
        <a:stretch>
          <a:fillRect/>
        </a:stretch>
      </xdr:blipFill>
      <xdr:spPr>
        <a:xfrm>
          <a:off x="4269441" y="112059"/>
          <a:ext cx="12905173" cy="38974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fgroup.loc\DFSMapK\Trans\Grant%20Applications\2020%20Grants\INFRA\TH%2010%20Rum%20River\BCA\Copy%20of%20TH%2010%20Rum%20River%20BCA%20Workbook_updated%20cos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rans/Grant%20Applications/2022%20Grants/MPDG/NDDOT/BCA/I-94/I-94%20BCA%20Workbo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
      <sheetName val="Travel Time Cost"/>
      <sheetName val="Vehicle Operating Cost"/>
      <sheetName val="Travel Time During Construction"/>
      <sheetName val="Air Quality"/>
      <sheetName val="Safety"/>
      <sheetName val="Capital Cost and RCV"/>
      <sheetName val="Operating and Maintenance"/>
      <sheetName val="Traffic Volume Data"/>
      <sheetName val="Crash Analysis_19-21"/>
      <sheetName val="Crash Data"/>
      <sheetName val="I-94 Patch Work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mfclearinghouse.org/detail.cfm?facid=5216" TargetMode="External"/><Relationship Id="rId1" Type="http://schemas.openxmlformats.org/officeDocument/2006/relationships/hyperlink" Target="http://www.cmfclearinghouse.org/detail.cfm?facid=5216"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gis.ne.gov/portal/apps/mapviewer/index.html?webmap=9da1b7650dfe4f07af4911a5bdf95e6a"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ntip.nebraska.gov/Map" TargetMode="External"/><Relationship Id="rId1" Type="http://schemas.openxmlformats.org/officeDocument/2006/relationships/hyperlink" Target="https://ntip.nebraska.gov/Ma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ogle.com/maps/dir/40.8161715,-96.7738915/40.8217497,-96.9512471/@40.8289891,-96.885437,13.29z/data=!4m13!4m12!1m5!3m4!1m2!1d-96.8380474!2d40.8219744!3s0x8796c3e2280b2ee9:0x6af1d830381274eb!1m0!2m3!6e0!7e2!8j1651459500!3e0" TargetMode="External"/><Relationship Id="rId2" Type="http://schemas.openxmlformats.org/officeDocument/2006/relationships/hyperlink" Target="https://www.google.com/maps/dir/40.8215011,-96.951188/40.8160146,-96.7739027/@40.817682,-96.8975647,13z/data=!4m13!4m12!1m5!3m4!1m2!1d-96.8779864!2d40.8201305!3s0x8796c39a3dd2b87b:0x48561e4d4ea7c14a!1m0!2m3!6e0!7e2!8j1651459500!3e0" TargetMode="External"/><Relationship Id="rId1" Type="http://schemas.openxmlformats.org/officeDocument/2006/relationships/hyperlink" Target="https://www.google.com/maps/dir/40.8215011,-96.951188/40.8160146,-96.7739027/@40.817682,-96.8975647,13z/data=!3m1!4b1!4m13!4m12!1m5!3m4!1m2!1d-96.8779914!2d40.8139717!3s0x8796c30b32308ba9:0x6fc0566f5580b02f!1m0!2m3!6e0!7e2!8j1651459500!3e0"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s://www.google.com/maps/dir/40.8161715,-96.7738915/40.8217497,-96.9512471/@40.8289891,-96.885437,13.29z/data=!4m13!4m12!1m5!3m4!1m2!1d-96.8364462!2d40.8138765!3s0x8796c3df7aec850f:0x633f8f5c615f0e4a!1m0!2m3!6e0!7e2!8j1651459500!3e0"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ogle.com/maps/dir/40.8161715,-96.7738915/40.8217497,-96.9512471/@40.8289891,-96.885437,13.29z/data=!4m13!4m12!1m5!3m4!1m2!1d-96.8380474!2d40.8219744!3s0x8796c3e2280b2ee9:0x6af1d830381274eb!1m0!2m3!6e0!7e2!8j1651459500!3e0" TargetMode="External"/><Relationship Id="rId2" Type="http://schemas.openxmlformats.org/officeDocument/2006/relationships/hyperlink" Target="https://www.google.com/maps/dir/40.8215011,-96.951188/40.8160146,-96.7739027/@40.817682,-96.8975647,13z/data=!4m13!4m12!1m5!3m4!1m2!1d-96.8779864!2d40.8201305!3s0x8796c39a3dd2b87b:0x48561e4d4ea7c14a!1m0!2m3!6e0!7e2!8j1651459500!3e0" TargetMode="External"/><Relationship Id="rId1" Type="http://schemas.openxmlformats.org/officeDocument/2006/relationships/hyperlink" Target="https://www.google.com/maps/dir/40.8215011,-96.951188/40.8160146,-96.7739027/@40.817682,-96.8975647,13z/data=!3m1!4b1!4m13!4m12!1m5!3m4!1m2!1d-96.8779914!2d40.8139717!3s0x8796c30b32308ba9:0x6fc0566f5580b02f!1m0!2m3!6e0!7e2!8j1651459500!3e0"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google.com/maps/dir/40.8161715,-96.7738915/40.8217497,-96.9512471/@40.8289891,-96.885437,13.29z/data=!4m13!4m12!1m5!3m4!1m2!1d-96.8364462!2d40.8138765!3s0x8796c3df7aec850f:0x633f8f5c615f0e4a!1m0!2m3!6e0!7e2!8j1651459500!3e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ogle.com/maps/dir/40.8161715,-96.7738915/40.8217497,-96.9512471/@40.8289891,-96.885437,13.29z/data=!4m13!4m12!1m5!3m4!1m2!1d-96.8380474!2d40.8219744!3s0x8796c3e2280b2ee9:0x6af1d830381274eb!1m0!2m3!6e0!7e2!8j1651459500!3e0" TargetMode="External"/><Relationship Id="rId2" Type="http://schemas.openxmlformats.org/officeDocument/2006/relationships/hyperlink" Target="https://www.google.com/maps/dir/40.8215011,-96.951188/40.8160146,-96.7739027/@40.817682,-96.8975647,13z/data=!4m13!4m12!1m5!3m4!1m2!1d-96.8779864!2d40.8201305!3s0x8796c39a3dd2b87b:0x48561e4d4ea7c14a!1m0!2m3!6e0!7e2!8j1651459500!3e0" TargetMode="External"/><Relationship Id="rId1" Type="http://schemas.openxmlformats.org/officeDocument/2006/relationships/hyperlink" Target="https://www.google.com/maps/dir/40.8215011,-96.951188/40.8160146,-96.7739027/@40.817682,-96.8975647,13z/data=!3m1!4b1!4m13!4m12!1m5!3m4!1m2!1d-96.8779914!2d40.8139717!3s0x8796c30b32308ba9:0x6fc0566f5580b02f!1m0!2m3!6e0!7e2!8j1651459500!3e0"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google.com/maps/dir/40.8161715,-96.7738915/40.8217497,-96.9512471/@40.8289891,-96.885437,13.29z/data=!4m13!4m12!1m5!3m4!1m2!1d-96.8364462!2d40.8138765!3s0x8796c3df7aec850f:0x633f8f5c615f0e4a!1m0!2m3!6e0!7e2!8j1651459500!3e0"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ogle.com/maps/dir/40.8161715,-96.7738915/40.8217497,-96.9512471/@40.8289891,-96.885437,13.29z/data=!4m13!4m12!1m5!3m4!1m2!1d-96.8380474!2d40.8219744!3s0x8796c3e2280b2ee9:0x6af1d830381274eb!1m0!2m3!6e0!7e2!8j1651459500!3e0" TargetMode="External"/><Relationship Id="rId2" Type="http://schemas.openxmlformats.org/officeDocument/2006/relationships/hyperlink" Target="https://www.google.com/maps/dir/40.8215011,-96.951188/40.8160146,-96.7739027/@40.817682,-96.8975647,13z/data=!4m13!4m12!1m5!3m4!1m2!1d-96.8779864!2d40.8201305!3s0x8796c39a3dd2b87b:0x48561e4d4ea7c14a!1m0!2m3!6e0!7e2!8j1651459500!3e0" TargetMode="External"/><Relationship Id="rId1" Type="http://schemas.openxmlformats.org/officeDocument/2006/relationships/hyperlink" Target="https://www.google.com/maps/dir/40.8215011,-96.951188/40.8160146,-96.7739027/@40.817682,-96.8975647,13z/data=!3m1!4b1!4m13!4m12!1m5!3m4!1m2!1d-96.8779914!2d40.8139717!3s0x8796c30b32308ba9:0x6fc0566f5580b02f!1m0!2m3!6e0!7e2!8j1651459500!3e0"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google.com/maps/dir/40.8161715,-96.7738915/40.8217497,-96.9512471/@40.8289891,-96.885437,13.29z/data=!4m13!4m12!1m5!3m4!1m2!1d-96.8364462!2d40.8138765!3s0x8796c3df7aec850f:0x633f8f5c615f0e4a!1m0!2m3!6e0!7e2!8j1651459500!3e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mfclearinghouse.org/detail.cfm?facid=43" TargetMode="External"/><Relationship Id="rId2" Type="http://schemas.openxmlformats.org/officeDocument/2006/relationships/hyperlink" Target="http://www.cmfclearinghouse.org/detail.cfm?facid=42" TargetMode="External"/><Relationship Id="rId1" Type="http://schemas.openxmlformats.org/officeDocument/2006/relationships/hyperlink" Target="http://www.cmfclearinghouse.org/detail.cfm?facid=42"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https://www.cmfclearinghouse.org/detail.cfm?facid=793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2:V347"/>
  <sheetViews>
    <sheetView view="pageBreakPreview" zoomScaleNormal="100" zoomScaleSheetLayoutView="100" workbookViewId="0">
      <selection activeCell="D26" sqref="D26"/>
    </sheetView>
  </sheetViews>
  <sheetFormatPr defaultColWidth="10.7109375" defaultRowHeight="15" customHeight="1" x14ac:dyDescent="0.2"/>
  <cols>
    <col min="1" max="1" width="10.7109375" style="36"/>
    <col min="2" max="2" width="5.7109375" style="36" customWidth="1"/>
    <col min="3" max="3" width="54" style="36" bestFit="1" customWidth="1"/>
    <col min="4" max="4" width="20.5703125" style="36" bestFit="1" customWidth="1"/>
    <col min="5" max="5" width="15.7109375" style="36" customWidth="1"/>
    <col min="6" max="6" width="29.140625" style="36" bestFit="1" customWidth="1"/>
    <col min="7" max="8" width="15.7109375" style="36" customWidth="1"/>
    <col min="9" max="9" width="10.7109375" style="36"/>
    <col min="10" max="10" width="20.7109375" style="36" bestFit="1" customWidth="1"/>
    <col min="11" max="13" width="10.7109375" style="36"/>
    <col min="14" max="14" width="14.28515625" style="36" customWidth="1"/>
    <col min="15" max="15" width="11.7109375" style="38" bestFit="1" customWidth="1"/>
    <col min="16" max="21" width="10.7109375" style="38"/>
    <col min="22" max="16384" width="10.7109375" style="36"/>
  </cols>
  <sheetData>
    <row r="2" spans="2:22" ht="15" customHeight="1" x14ac:dyDescent="0.2">
      <c r="B2" s="44"/>
      <c r="C2" s="5" t="s">
        <v>17</v>
      </c>
      <c r="O2" s="36"/>
      <c r="P2" s="36"/>
      <c r="Q2" s="36"/>
      <c r="R2" s="36"/>
      <c r="S2" s="36"/>
      <c r="T2" s="36"/>
      <c r="U2" s="36"/>
    </row>
    <row r="3" spans="2:22" ht="15" customHeight="1" x14ac:dyDescent="0.35">
      <c r="C3" s="45" t="s">
        <v>188</v>
      </c>
      <c r="D3" s="318">
        <v>2022</v>
      </c>
      <c r="I3" s="93"/>
      <c r="O3" s="36"/>
      <c r="P3" s="36"/>
      <c r="Q3" s="36"/>
      <c r="R3" s="36"/>
      <c r="S3" s="36"/>
      <c r="T3" s="36"/>
      <c r="U3" s="36"/>
    </row>
    <row r="4" spans="2:22" ht="15" customHeight="1" x14ac:dyDescent="0.35">
      <c r="C4" s="45" t="s">
        <v>187</v>
      </c>
      <c r="D4" s="318">
        <v>2020</v>
      </c>
      <c r="I4" s="93"/>
      <c r="L4" s="39"/>
      <c r="O4" s="36"/>
      <c r="P4" s="36"/>
      <c r="Q4" s="36"/>
      <c r="R4" s="36"/>
      <c r="S4" s="36"/>
      <c r="T4" s="36"/>
      <c r="U4" s="36"/>
    </row>
    <row r="5" spans="2:22" ht="15" customHeight="1" x14ac:dyDescent="0.2">
      <c r="B5" s="37"/>
      <c r="C5" s="45" t="s">
        <v>699</v>
      </c>
      <c r="D5" s="85">
        <v>2026</v>
      </c>
      <c r="E5" s="37"/>
      <c r="F5" s="44" t="s">
        <v>640</v>
      </c>
      <c r="G5" s="37"/>
      <c r="H5" s="37"/>
      <c r="J5" s="44"/>
      <c r="K5" s="37"/>
      <c r="L5" s="37"/>
      <c r="M5" s="37"/>
      <c r="N5" s="37"/>
      <c r="O5" s="37"/>
      <c r="P5" s="37"/>
      <c r="Q5" s="37"/>
      <c r="S5" s="37"/>
    </row>
    <row r="6" spans="2:22" ht="15" customHeight="1" x14ac:dyDescent="0.2">
      <c r="B6" s="37"/>
      <c r="C6" s="45" t="s">
        <v>700</v>
      </c>
      <c r="D6" s="318">
        <v>2</v>
      </c>
      <c r="E6" s="37"/>
      <c r="F6" s="37"/>
      <c r="G6" s="37"/>
      <c r="H6" s="37"/>
      <c r="J6" s="44"/>
      <c r="K6" s="44"/>
      <c r="L6" s="44"/>
      <c r="M6" s="44"/>
      <c r="N6" s="44"/>
      <c r="O6" s="165"/>
      <c r="P6" s="44"/>
      <c r="Q6" s="37"/>
      <c r="S6" s="37"/>
    </row>
    <row r="7" spans="2:22" ht="15" customHeight="1" x14ac:dyDescent="0.2">
      <c r="B7" s="37"/>
      <c r="C7" s="45" t="s">
        <v>33</v>
      </c>
      <c r="D7" s="318">
        <v>30</v>
      </c>
      <c r="E7" s="37"/>
      <c r="F7" s="37"/>
      <c r="G7" s="37"/>
      <c r="H7" s="37"/>
      <c r="J7" s="44"/>
      <c r="K7" s="37"/>
      <c r="L7" s="37"/>
      <c r="M7" s="37"/>
      <c r="N7" s="44"/>
      <c r="O7" s="37"/>
      <c r="P7" s="37"/>
      <c r="Q7" s="37"/>
      <c r="R7" s="37"/>
      <c r="S7" s="37"/>
      <c r="T7" s="37"/>
    </row>
    <row r="8" spans="2:22" ht="15" customHeight="1" x14ac:dyDescent="0.2">
      <c r="B8" s="37"/>
      <c r="C8" s="45" t="s">
        <v>668</v>
      </c>
      <c r="D8" s="85">
        <f>D5+D6</f>
        <v>2028</v>
      </c>
      <c r="E8" s="37"/>
      <c r="F8" s="37"/>
      <c r="G8" s="37"/>
      <c r="H8" s="37"/>
      <c r="J8" s="39"/>
      <c r="K8" s="37"/>
      <c r="O8" s="36"/>
      <c r="P8" s="37"/>
      <c r="Q8" s="37"/>
      <c r="R8" s="37"/>
      <c r="S8" s="37"/>
      <c r="T8" s="37"/>
      <c r="U8" s="36"/>
    </row>
    <row r="9" spans="2:22" ht="15" customHeight="1" x14ac:dyDescent="0.2">
      <c r="C9" s="45" t="s">
        <v>18</v>
      </c>
      <c r="D9" s="85">
        <f>D8+D7-1</f>
        <v>2057</v>
      </c>
      <c r="E9" s="37"/>
      <c r="F9" s="37"/>
      <c r="G9" s="37"/>
      <c r="H9" s="37"/>
      <c r="J9" s="44"/>
      <c r="O9" s="36"/>
      <c r="P9" s="36"/>
      <c r="Q9" s="36"/>
      <c r="R9" s="36"/>
      <c r="S9" s="36"/>
      <c r="T9" s="36"/>
      <c r="U9" s="36"/>
    </row>
    <row r="10" spans="2:22" s="242" customFormat="1" ht="15" customHeight="1" x14ac:dyDescent="0.25"/>
    <row r="11" spans="2:22" ht="15" customHeight="1" x14ac:dyDescent="0.2">
      <c r="C11" s="5" t="s">
        <v>19</v>
      </c>
      <c r="E11" s="37"/>
      <c r="F11" s="37"/>
      <c r="G11" s="37"/>
      <c r="H11" s="37"/>
      <c r="I11" s="37"/>
      <c r="O11" s="36"/>
      <c r="P11" s="36"/>
      <c r="Q11" s="36"/>
      <c r="R11" s="36"/>
      <c r="S11" s="36"/>
      <c r="T11" s="36"/>
      <c r="U11" s="36"/>
    </row>
    <row r="12" spans="2:22" ht="15" customHeight="1" x14ac:dyDescent="0.2">
      <c r="C12" s="45"/>
      <c r="D12" s="47" t="s">
        <v>240</v>
      </c>
      <c r="E12" s="37"/>
      <c r="F12" s="37"/>
      <c r="G12" s="37"/>
      <c r="H12" s="37"/>
      <c r="I12" s="37"/>
      <c r="O12" s="36"/>
      <c r="P12" s="36"/>
      <c r="Q12" s="36"/>
      <c r="R12" s="36"/>
      <c r="S12" s="36"/>
      <c r="T12" s="36"/>
      <c r="U12" s="36"/>
    </row>
    <row r="13" spans="2:22" ht="15" customHeight="1" x14ac:dyDescent="0.2">
      <c r="C13" s="45" t="s">
        <v>669</v>
      </c>
      <c r="D13" s="126">
        <f>1-D14</f>
        <v>0.75</v>
      </c>
      <c r="E13" s="37"/>
      <c r="F13" s="37"/>
      <c r="G13" s="37"/>
      <c r="H13" s="37"/>
      <c r="I13" s="37"/>
      <c r="M13" s="60"/>
      <c r="N13" s="60"/>
      <c r="O13" s="36"/>
      <c r="P13" s="36"/>
      <c r="Q13" s="36"/>
      <c r="R13" s="36"/>
      <c r="S13" s="36"/>
      <c r="T13" s="36"/>
      <c r="U13" s="36"/>
    </row>
    <row r="14" spans="2:22" ht="15" customHeight="1" x14ac:dyDescent="0.2">
      <c r="C14" s="45" t="s">
        <v>670</v>
      </c>
      <c r="D14" s="126">
        <v>0.25</v>
      </c>
      <c r="E14" s="37"/>
      <c r="F14" s="37"/>
      <c r="G14" s="37"/>
      <c r="H14" s="37"/>
      <c r="O14" s="36"/>
      <c r="P14" s="36"/>
      <c r="Q14" s="36"/>
      <c r="R14" s="36"/>
      <c r="S14" s="36"/>
      <c r="T14" s="36"/>
      <c r="U14" s="36"/>
    </row>
    <row r="15" spans="2:22" ht="15" customHeight="1" x14ac:dyDescent="0.2">
      <c r="C15" s="45" t="s">
        <v>671</v>
      </c>
      <c r="D15" s="85">
        <v>1.67</v>
      </c>
      <c r="E15" s="37"/>
      <c r="F15" s="37"/>
      <c r="G15" s="37"/>
      <c r="H15" s="37"/>
      <c r="O15" s="36"/>
      <c r="P15" s="36"/>
      <c r="Q15" s="36"/>
      <c r="R15" s="36"/>
      <c r="S15" s="36"/>
      <c r="T15" s="36"/>
      <c r="U15" s="36"/>
      <c r="V15" s="37"/>
    </row>
    <row r="16" spans="2:22" ht="15" customHeight="1" x14ac:dyDescent="0.2">
      <c r="C16" s="45" t="s">
        <v>672</v>
      </c>
      <c r="D16" s="86">
        <v>1</v>
      </c>
      <c r="E16" s="37"/>
      <c r="F16" s="37"/>
      <c r="G16" s="37"/>
      <c r="H16" s="37"/>
      <c r="O16" s="36"/>
      <c r="P16" s="36"/>
      <c r="Q16" s="36"/>
      <c r="R16" s="36"/>
      <c r="S16" s="36"/>
      <c r="T16" s="36"/>
      <c r="U16" s="36"/>
    </row>
    <row r="17" spans="3:21" ht="15" customHeight="1" x14ac:dyDescent="0.2">
      <c r="C17" s="37"/>
      <c r="D17" s="37"/>
      <c r="E17" s="37"/>
      <c r="F17" s="37"/>
      <c r="G17" s="37"/>
      <c r="H17" s="37"/>
      <c r="O17" s="36"/>
      <c r="P17" s="36"/>
      <c r="Q17" s="36"/>
      <c r="R17" s="36"/>
      <c r="S17" s="36"/>
      <c r="T17" s="36"/>
      <c r="U17" s="36"/>
    </row>
    <row r="18" spans="3:21" ht="15" customHeight="1" x14ac:dyDescent="0.25">
      <c r="C18" s="5" t="s">
        <v>20</v>
      </c>
      <c r="D18" s="46"/>
      <c r="F18" s="242"/>
      <c r="G18" s="242"/>
      <c r="I18" s="37"/>
      <c r="O18" s="36"/>
      <c r="P18" s="36"/>
      <c r="Q18" s="36"/>
      <c r="R18" s="36"/>
      <c r="S18" s="36"/>
      <c r="T18" s="36"/>
      <c r="U18" s="36"/>
    </row>
    <row r="19" spans="3:21" ht="15" customHeight="1" x14ac:dyDescent="0.25">
      <c r="C19" s="45" t="s">
        <v>673</v>
      </c>
      <c r="D19" s="85">
        <v>365</v>
      </c>
      <c r="F19" s="242"/>
      <c r="G19" s="242"/>
      <c r="I19" s="37"/>
      <c r="O19" s="36"/>
      <c r="P19" s="36"/>
      <c r="Q19" s="36"/>
      <c r="R19" s="36"/>
      <c r="S19" s="36"/>
      <c r="T19" s="36"/>
      <c r="U19" s="36"/>
    </row>
    <row r="20" spans="3:21" ht="15" customHeight="1" x14ac:dyDescent="0.25">
      <c r="C20" s="45" t="s">
        <v>674</v>
      </c>
      <c r="D20" s="220">
        <v>17.8</v>
      </c>
      <c r="F20" s="242"/>
      <c r="G20" s="242"/>
      <c r="O20" s="36"/>
      <c r="P20" s="36"/>
      <c r="Q20" s="36"/>
      <c r="R20" s="36"/>
      <c r="S20" s="36"/>
      <c r="T20" s="36"/>
      <c r="U20" s="36"/>
    </row>
    <row r="21" spans="3:21" ht="15" customHeight="1" x14ac:dyDescent="0.25">
      <c r="C21" s="45" t="s">
        <v>675</v>
      </c>
      <c r="D21" s="220">
        <v>32</v>
      </c>
      <c r="F21" s="242"/>
      <c r="G21" s="242"/>
      <c r="O21" s="36"/>
      <c r="P21" s="36"/>
      <c r="Q21" s="36"/>
      <c r="R21" s="36"/>
      <c r="S21" s="36"/>
      <c r="T21" s="36"/>
      <c r="U21" s="36"/>
    </row>
    <row r="22" spans="3:21" ht="15" customHeight="1" x14ac:dyDescent="0.25">
      <c r="C22" s="45" t="s">
        <v>32</v>
      </c>
      <c r="D22" s="220">
        <f>(D20*D13*D15+D21*D14*D16)</f>
        <v>30.294500000000003</v>
      </c>
      <c r="F22" s="242"/>
      <c r="G22" s="242"/>
      <c r="I22" s="37"/>
      <c r="O22" s="36"/>
      <c r="P22" s="36"/>
      <c r="Q22" s="36"/>
      <c r="R22" s="36"/>
      <c r="S22" s="36"/>
      <c r="T22" s="36"/>
      <c r="U22" s="36"/>
    </row>
    <row r="23" spans="3:21" ht="15" customHeight="1" x14ac:dyDescent="0.25">
      <c r="C23" s="84" t="s">
        <v>676</v>
      </c>
      <c r="D23" s="221">
        <v>0.45</v>
      </c>
      <c r="F23" s="242"/>
      <c r="G23" s="242"/>
      <c r="O23" s="36"/>
      <c r="P23" s="36"/>
      <c r="Q23" s="36"/>
      <c r="R23" s="36"/>
      <c r="S23" s="36"/>
      <c r="T23" s="36"/>
      <c r="U23" s="36"/>
    </row>
    <row r="24" spans="3:21" ht="15" customHeight="1" x14ac:dyDescent="0.2">
      <c r="C24" s="84" t="s">
        <v>677</v>
      </c>
      <c r="D24" s="221">
        <v>0.94</v>
      </c>
      <c r="O24" s="36"/>
      <c r="P24" s="36"/>
      <c r="Q24" s="36"/>
      <c r="R24" s="36"/>
      <c r="S24" s="36"/>
      <c r="T24" s="36"/>
      <c r="U24" s="36"/>
    </row>
    <row r="25" spans="3:21" ht="15" customHeight="1" x14ac:dyDescent="0.2">
      <c r="I25" s="37"/>
      <c r="O25" s="36"/>
      <c r="P25" s="36"/>
      <c r="Q25" s="36"/>
      <c r="R25" s="36"/>
      <c r="S25" s="36"/>
      <c r="T25" s="36"/>
      <c r="U25" s="36"/>
    </row>
    <row r="26" spans="3:21" ht="15" customHeight="1" x14ac:dyDescent="0.2">
      <c r="C26" s="5" t="s">
        <v>176</v>
      </c>
      <c r="D26" s="266"/>
      <c r="O26" s="36"/>
      <c r="P26" s="36"/>
      <c r="Q26" s="36"/>
      <c r="R26" s="36"/>
      <c r="S26" s="36"/>
      <c r="T26" s="36"/>
      <c r="U26" s="36"/>
    </row>
    <row r="27" spans="3:21" ht="15" customHeight="1" x14ac:dyDescent="0.2">
      <c r="C27" s="84" t="s">
        <v>198</v>
      </c>
      <c r="D27" s="336">
        <v>1.5465961665565102E-2</v>
      </c>
      <c r="O27" s="36"/>
      <c r="P27" s="36"/>
      <c r="Q27" s="36"/>
      <c r="R27" s="36"/>
      <c r="S27" s="36"/>
      <c r="T27" s="36"/>
      <c r="U27" s="36"/>
    </row>
    <row r="28" spans="3:21" ht="15" customHeight="1" x14ac:dyDescent="0.2">
      <c r="C28" s="45" t="s">
        <v>237</v>
      </c>
      <c r="D28" s="318">
        <v>2045</v>
      </c>
      <c r="O28" s="36"/>
      <c r="P28" s="36"/>
      <c r="Q28" s="36"/>
      <c r="R28" s="36"/>
      <c r="S28" s="36"/>
      <c r="T28" s="36"/>
      <c r="U28" s="36"/>
    </row>
    <row r="29" spans="3:21" ht="15" customHeight="1" x14ac:dyDescent="0.2">
      <c r="C29" s="45" t="s">
        <v>238</v>
      </c>
      <c r="D29" s="85">
        <f>$D$28+1</f>
        <v>2046</v>
      </c>
      <c r="O29" s="36"/>
      <c r="P29" s="36"/>
      <c r="Q29" s="36"/>
      <c r="R29" s="36"/>
      <c r="S29" s="36"/>
      <c r="T29" s="36"/>
      <c r="U29" s="36"/>
    </row>
    <row r="30" spans="3:21" ht="15" customHeight="1" x14ac:dyDescent="0.2">
      <c r="C30" s="45" t="s">
        <v>678</v>
      </c>
      <c r="D30" s="394">
        <v>37825</v>
      </c>
      <c r="O30" s="36"/>
      <c r="P30" s="36"/>
      <c r="Q30" s="36"/>
      <c r="R30" s="36"/>
      <c r="S30" s="36"/>
      <c r="T30" s="36"/>
      <c r="U30" s="36"/>
    </row>
    <row r="31" spans="3:21" ht="15" customHeight="1" x14ac:dyDescent="0.2">
      <c r="C31" s="45" t="s">
        <v>679</v>
      </c>
      <c r="D31" s="394">
        <v>49525</v>
      </c>
      <c r="O31" s="36"/>
      <c r="P31" s="36"/>
      <c r="Q31" s="36"/>
      <c r="R31" s="36"/>
      <c r="S31" s="36"/>
      <c r="T31" s="36"/>
      <c r="U31" s="36"/>
    </row>
    <row r="32" spans="3:21" ht="15" customHeight="1" x14ac:dyDescent="0.2">
      <c r="O32" s="36"/>
      <c r="P32" s="36"/>
      <c r="Q32" s="36"/>
      <c r="R32" s="36"/>
      <c r="S32" s="36"/>
      <c r="T32" s="36"/>
      <c r="U32" s="36"/>
    </row>
    <row r="33" spans="2:21" ht="15" customHeight="1" x14ac:dyDescent="0.2">
      <c r="B33" s="11" t="s">
        <v>3</v>
      </c>
      <c r="C33" s="11"/>
      <c r="D33" s="11"/>
      <c r="O33" s="36"/>
      <c r="P33" s="36"/>
      <c r="Q33" s="36"/>
      <c r="R33" s="36"/>
      <c r="S33" s="36"/>
      <c r="T33" s="36"/>
      <c r="U33" s="36"/>
    </row>
    <row r="34" spans="2:21" ht="15" customHeight="1" x14ac:dyDescent="0.25">
      <c r="B34" s="52" t="s">
        <v>21</v>
      </c>
      <c r="C34" s="457" t="s">
        <v>692</v>
      </c>
      <c r="D34" s="457"/>
      <c r="E34" s="457"/>
      <c r="F34" s="457"/>
      <c r="G34" s="457"/>
      <c r="H34" s="457"/>
      <c r="I34" s="457"/>
      <c r="J34" s="457"/>
      <c r="O34" s="36"/>
      <c r="P34" s="36"/>
      <c r="Q34" s="36"/>
      <c r="R34" s="36"/>
      <c r="S34" s="36"/>
      <c r="T34" s="36"/>
      <c r="U34" s="36"/>
    </row>
    <row r="35" spans="2:21" ht="15" customHeight="1" x14ac:dyDescent="0.25">
      <c r="B35" s="53"/>
      <c r="C35" s="457"/>
      <c r="D35" s="457"/>
      <c r="E35" s="457"/>
      <c r="F35" s="457"/>
      <c r="G35" s="457"/>
      <c r="H35" s="457"/>
      <c r="I35" s="457"/>
      <c r="J35" s="457"/>
      <c r="O35" s="36"/>
      <c r="P35" s="36"/>
      <c r="Q35" s="36"/>
      <c r="R35" s="36"/>
      <c r="S35" s="36"/>
      <c r="T35" s="36"/>
      <c r="U35" s="36"/>
    </row>
    <row r="36" spans="2:21" ht="15" customHeight="1" x14ac:dyDescent="0.25">
      <c r="B36" s="53"/>
      <c r="C36" s="457"/>
      <c r="D36" s="457"/>
      <c r="E36" s="457"/>
      <c r="F36" s="457"/>
      <c r="G36" s="457"/>
      <c r="H36" s="457"/>
      <c r="I36" s="457"/>
      <c r="J36" s="457"/>
      <c r="O36" s="36"/>
      <c r="P36" s="36"/>
      <c r="Q36" s="36"/>
      <c r="R36" s="36"/>
      <c r="S36" s="36"/>
      <c r="T36" s="36"/>
      <c r="U36" s="36"/>
    </row>
    <row r="37" spans="2:21" ht="15" customHeight="1" x14ac:dyDescent="0.25">
      <c r="B37" s="53"/>
      <c r="C37" s="314"/>
      <c r="D37" s="314"/>
      <c r="E37" s="314"/>
      <c r="F37" s="314"/>
      <c r="G37" s="314"/>
      <c r="H37" s="314"/>
      <c r="I37" s="314"/>
      <c r="J37" s="314"/>
      <c r="O37" s="36"/>
      <c r="P37" s="36"/>
      <c r="Q37" s="36"/>
      <c r="R37" s="36"/>
      <c r="S37" s="36"/>
      <c r="T37" s="36"/>
      <c r="U37" s="36"/>
    </row>
    <row r="38" spans="2:21" ht="15" customHeight="1" x14ac:dyDescent="0.25">
      <c r="B38" s="52" t="s">
        <v>28</v>
      </c>
      <c r="C38" s="457" t="s">
        <v>644</v>
      </c>
      <c r="D38" s="457"/>
      <c r="E38" s="457"/>
      <c r="F38" s="457"/>
      <c r="G38" s="457"/>
      <c r="H38" s="457"/>
      <c r="I38" s="457"/>
      <c r="J38" s="457"/>
      <c r="O38" s="36"/>
      <c r="P38" s="36"/>
      <c r="Q38" s="36"/>
      <c r="R38" s="36"/>
      <c r="S38" s="36"/>
      <c r="T38" s="36"/>
      <c r="U38" s="36"/>
    </row>
    <row r="39" spans="2:21" ht="15" customHeight="1" x14ac:dyDescent="0.2">
      <c r="C39" s="457"/>
      <c r="D39" s="457"/>
      <c r="E39" s="457"/>
      <c r="F39" s="457"/>
      <c r="G39" s="457"/>
      <c r="H39" s="457"/>
      <c r="I39" s="457"/>
      <c r="J39" s="457"/>
      <c r="O39" s="36"/>
      <c r="P39" s="36"/>
      <c r="Q39" s="36"/>
      <c r="R39" s="36"/>
      <c r="S39" s="36"/>
      <c r="T39" s="36"/>
      <c r="U39" s="36"/>
    </row>
    <row r="40" spans="2:21" ht="15" customHeight="1" x14ac:dyDescent="0.2">
      <c r="C40" s="315"/>
      <c r="D40" s="315"/>
      <c r="E40" s="315"/>
      <c r="F40" s="315"/>
      <c r="G40" s="315"/>
      <c r="H40" s="315"/>
      <c r="I40" s="315"/>
      <c r="J40" s="315"/>
      <c r="O40" s="36"/>
      <c r="P40" s="36"/>
      <c r="Q40" s="36"/>
      <c r="R40" s="36"/>
      <c r="S40" s="36"/>
      <c r="T40" s="36"/>
      <c r="U40" s="36"/>
    </row>
    <row r="41" spans="2:21" ht="15" customHeight="1" x14ac:dyDescent="0.25">
      <c r="B41" s="52" t="s">
        <v>29</v>
      </c>
      <c r="C41" s="457" t="s">
        <v>614</v>
      </c>
      <c r="D41" s="457"/>
      <c r="E41" s="457"/>
      <c r="F41" s="457"/>
      <c r="G41" s="457"/>
      <c r="H41" s="457"/>
      <c r="I41" s="457"/>
      <c r="J41" s="457"/>
      <c r="O41" s="36"/>
      <c r="P41" s="36"/>
      <c r="Q41" s="36"/>
      <c r="R41" s="36"/>
      <c r="S41" s="36"/>
      <c r="T41" s="36"/>
      <c r="U41" s="36"/>
    </row>
    <row r="42" spans="2:21" ht="15" customHeight="1" x14ac:dyDescent="0.25">
      <c r="B42" s="52"/>
      <c r="C42" s="457"/>
      <c r="D42" s="457"/>
      <c r="E42" s="457"/>
      <c r="F42" s="457"/>
      <c r="G42" s="457"/>
      <c r="H42" s="457"/>
      <c r="I42" s="457"/>
      <c r="J42" s="457"/>
      <c r="O42" s="36"/>
      <c r="P42" s="36"/>
      <c r="Q42" s="36"/>
      <c r="R42" s="36"/>
      <c r="S42" s="36"/>
      <c r="T42" s="36"/>
      <c r="U42" s="36"/>
    </row>
    <row r="43" spans="2:21" ht="15" customHeight="1" x14ac:dyDescent="0.25">
      <c r="B43" s="52"/>
      <c r="C43" s="316"/>
      <c r="D43" s="316"/>
      <c r="E43" s="316"/>
      <c r="F43" s="316"/>
      <c r="G43" s="316"/>
      <c r="H43" s="316"/>
      <c r="I43" s="316"/>
      <c r="J43" s="316"/>
      <c r="O43" s="36"/>
      <c r="P43" s="36"/>
      <c r="Q43" s="36"/>
      <c r="R43" s="36"/>
      <c r="S43" s="36"/>
      <c r="T43" s="36"/>
      <c r="U43" s="36"/>
    </row>
    <row r="44" spans="2:21" ht="15" customHeight="1" x14ac:dyDescent="0.25">
      <c r="B44" s="52" t="s">
        <v>30</v>
      </c>
      <c r="C44" s="457" t="s">
        <v>91</v>
      </c>
      <c r="D44" s="457"/>
      <c r="E44" s="457"/>
      <c r="F44" s="457"/>
      <c r="G44" s="457"/>
      <c r="H44" s="457"/>
      <c r="I44" s="457"/>
      <c r="J44" s="457"/>
      <c r="O44" s="36"/>
      <c r="P44" s="36"/>
      <c r="Q44" s="36"/>
      <c r="R44" s="36"/>
      <c r="S44" s="36"/>
      <c r="T44" s="36"/>
      <c r="U44" s="36"/>
    </row>
    <row r="45" spans="2:21" ht="15" customHeight="1" x14ac:dyDescent="0.2">
      <c r="C45" s="457"/>
      <c r="D45" s="457"/>
      <c r="E45" s="457"/>
      <c r="F45" s="457"/>
      <c r="G45" s="457"/>
      <c r="H45" s="457"/>
      <c r="I45" s="457"/>
      <c r="J45" s="457"/>
      <c r="O45" s="36"/>
      <c r="P45" s="36"/>
      <c r="Q45" s="36"/>
      <c r="R45" s="36"/>
      <c r="S45" s="36"/>
      <c r="T45" s="36"/>
      <c r="U45" s="36"/>
    </row>
    <row r="46" spans="2:21" ht="15" customHeight="1" x14ac:dyDescent="0.25">
      <c r="B46" s="54" t="s">
        <v>31</v>
      </c>
      <c r="C46" s="457" t="s">
        <v>50</v>
      </c>
      <c r="D46" s="457"/>
      <c r="E46" s="457"/>
      <c r="F46" s="457"/>
      <c r="G46" s="457"/>
      <c r="H46" s="457"/>
      <c r="I46" s="457"/>
      <c r="J46" s="457"/>
      <c r="O46" s="36"/>
      <c r="P46" s="36"/>
      <c r="Q46" s="36"/>
      <c r="R46" s="36"/>
      <c r="S46" s="36"/>
      <c r="T46" s="36"/>
      <c r="U46" s="36"/>
    </row>
    <row r="47" spans="2:21" ht="15" customHeight="1" x14ac:dyDescent="0.2">
      <c r="C47" s="457"/>
      <c r="D47" s="457"/>
      <c r="E47" s="457"/>
      <c r="F47" s="457"/>
      <c r="G47" s="457"/>
      <c r="H47" s="457"/>
      <c r="I47" s="457"/>
      <c r="J47" s="457"/>
    </row>
    <row r="48" spans="2:21" ht="15" customHeight="1" x14ac:dyDescent="0.2">
      <c r="D48" s="317"/>
      <c r="E48" s="317"/>
      <c r="F48" s="317"/>
      <c r="G48" s="317"/>
      <c r="H48" s="317"/>
      <c r="I48" s="317"/>
      <c r="J48" s="317"/>
      <c r="O48" s="36"/>
      <c r="P48" s="36"/>
      <c r="Q48" s="36"/>
      <c r="R48" s="36"/>
      <c r="S48" s="36"/>
      <c r="T48" s="36"/>
      <c r="U48" s="36"/>
    </row>
    <row r="49" spans="2:22" ht="15" customHeight="1" x14ac:dyDescent="0.25">
      <c r="B49" s="54" t="s">
        <v>92</v>
      </c>
      <c r="C49" s="457" t="s">
        <v>645</v>
      </c>
      <c r="D49" s="457"/>
      <c r="E49" s="457"/>
      <c r="F49" s="457"/>
      <c r="G49" s="457"/>
      <c r="H49" s="457"/>
      <c r="I49" s="457"/>
      <c r="J49" s="457"/>
      <c r="O49" s="36"/>
      <c r="P49" s="36"/>
      <c r="Q49" s="36"/>
      <c r="R49" s="36"/>
      <c r="S49" s="36"/>
      <c r="T49" s="36"/>
      <c r="U49" s="36"/>
    </row>
    <row r="50" spans="2:22" ht="15" customHeight="1" x14ac:dyDescent="0.25">
      <c r="B50" s="54"/>
      <c r="C50" s="457"/>
      <c r="D50" s="457"/>
      <c r="E50" s="457"/>
      <c r="F50" s="457"/>
      <c r="G50" s="457"/>
      <c r="H50" s="457"/>
      <c r="I50" s="457"/>
      <c r="J50" s="457"/>
      <c r="O50" s="36"/>
      <c r="P50" s="36"/>
      <c r="Q50" s="36"/>
      <c r="R50" s="36"/>
      <c r="S50" s="36"/>
      <c r="T50" s="36"/>
      <c r="U50" s="36"/>
    </row>
    <row r="51" spans="2:22" ht="15" customHeight="1" x14ac:dyDescent="0.25">
      <c r="B51" s="54"/>
      <c r="C51" s="457"/>
      <c r="D51" s="457"/>
      <c r="E51" s="457"/>
      <c r="F51" s="457"/>
      <c r="G51" s="457"/>
      <c r="H51" s="457"/>
      <c r="I51" s="457"/>
      <c r="J51" s="457"/>
      <c r="O51" s="36"/>
      <c r="P51" s="36"/>
      <c r="Q51" s="36"/>
      <c r="R51" s="36"/>
      <c r="S51" s="36"/>
      <c r="T51" s="36"/>
      <c r="U51" s="36"/>
    </row>
    <row r="52" spans="2:22" ht="15" customHeight="1" x14ac:dyDescent="0.25">
      <c r="B52" s="54"/>
      <c r="C52" s="56"/>
      <c r="D52" s="56"/>
      <c r="E52" s="56"/>
      <c r="F52" s="56"/>
      <c r="G52" s="56"/>
      <c r="H52" s="56"/>
      <c r="I52" s="56"/>
      <c r="J52" s="56"/>
      <c r="O52" s="36"/>
      <c r="P52" s="36"/>
      <c r="Q52" s="36"/>
      <c r="R52" s="36"/>
      <c r="S52" s="36"/>
      <c r="T52" s="36"/>
      <c r="U52" s="36"/>
    </row>
    <row r="53" spans="2:22" ht="15" customHeight="1" x14ac:dyDescent="0.2">
      <c r="B53" s="55"/>
      <c r="C53" s="56"/>
      <c r="D53" s="56"/>
      <c r="E53" s="56"/>
      <c r="F53" s="56"/>
      <c r="G53" s="56"/>
      <c r="H53" s="56"/>
      <c r="I53" s="56"/>
      <c r="J53" s="56"/>
      <c r="K53" s="57"/>
      <c r="L53" s="35"/>
      <c r="M53" s="35"/>
      <c r="O53" s="36"/>
      <c r="P53" s="36"/>
      <c r="Q53" s="36"/>
      <c r="R53" s="36"/>
      <c r="S53" s="36"/>
      <c r="T53" s="36"/>
      <c r="U53" s="36"/>
    </row>
    <row r="54" spans="2:22" ht="15" customHeight="1" x14ac:dyDescent="0.2">
      <c r="C54" s="56"/>
      <c r="D54" s="56"/>
      <c r="E54" s="56"/>
      <c r="F54" s="56"/>
      <c r="G54" s="56"/>
      <c r="H54" s="56"/>
      <c r="I54" s="56"/>
      <c r="J54" s="56"/>
      <c r="K54" s="57"/>
      <c r="L54" s="35"/>
      <c r="M54" s="35"/>
      <c r="O54" s="36"/>
      <c r="P54" s="36"/>
      <c r="Q54" s="36"/>
      <c r="R54" s="36"/>
      <c r="S54" s="36"/>
      <c r="T54" s="36"/>
      <c r="U54" s="36"/>
    </row>
    <row r="55" spans="2:22" ht="15" customHeight="1" x14ac:dyDescent="0.2">
      <c r="B55" s="55"/>
      <c r="K55" s="35"/>
      <c r="O55" s="36"/>
      <c r="P55" s="36"/>
      <c r="Q55" s="36"/>
      <c r="R55" s="36"/>
      <c r="S55" s="36"/>
      <c r="T55" s="36"/>
      <c r="U55" s="36"/>
    </row>
    <row r="56" spans="2:22" ht="15" customHeight="1" x14ac:dyDescent="0.2">
      <c r="B56" s="55"/>
      <c r="K56" s="35"/>
      <c r="O56" s="36"/>
      <c r="P56" s="36"/>
      <c r="Q56" s="36"/>
      <c r="R56" s="36"/>
      <c r="S56" s="36"/>
      <c r="T56" s="36"/>
      <c r="U56" s="36"/>
    </row>
    <row r="57" spans="2:22" ht="15" customHeight="1" x14ac:dyDescent="0.2">
      <c r="B57" s="55"/>
      <c r="C57" s="166"/>
      <c r="D57" s="166"/>
      <c r="E57" s="166"/>
      <c r="F57" s="166"/>
      <c r="G57" s="166"/>
      <c r="H57" s="166"/>
      <c r="I57" s="166"/>
      <c r="J57" s="166"/>
      <c r="K57" s="35"/>
      <c r="O57" s="36"/>
      <c r="P57" s="36"/>
      <c r="Q57" s="36"/>
      <c r="R57" s="36"/>
      <c r="S57" s="36"/>
      <c r="T57" s="36"/>
      <c r="U57" s="36"/>
    </row>
    <row r="58" spans="2:22" ht="15" customHeight="1" x14ac:dyDescent="0.2">
      <c r="B58" s="55"/>
      <c r="C58" s="166"/>
      <c r="D58" s="166"/>
      <c r="E58" s="166"/>
      <c r="F58" s="166"/>
      <c r="G58" s="166"/>
      <c r="H58" s="166"/>
      <c r="I58" s="166"/>
      <c r="J58" s="166"/>
      <c r="K58" s="35"/>
      <c r="O58" s="36"/>
      <c r="P58" s="36"/>
      <c r="Q58" s="36"/>
      <c r="R58" s="36"/>
      <c r="S58" s="36"/>
      <c r="T58" s="36"/>
      <c r="U58" s="36"/>
    </row>
    <row r="59" spans="2:22" ht="15" customHeight="1" x14ac:dyDescent="0.2">
      <c r="B59" s="55"/>
      <c r="C59" s="166"/>
      <c r="D59" s="166"/>
      <c r="E59" s="166"/>
      <c r="F59" s="166"/>
      <c r="G59" s="166"/>
      <c r="H59" s="166"/>
      <c r="I59" s="166"/>
      <c r="J59" s="166"/>
      <c r="O59" s="36"/>
      <c r="P59" s="36"/>
      <c r="Q59" s="36"/>
      <c r="R59" s="36"/>
      <c r="S59" s="35"/>
      <c r="T59" s="35"/>
      <c r="U59" s="35"/>
      <c r="V59" s="35"/>
    </row>
    <row r="60" spans="2:22" ht="15" customHeight="1" x14ac:dyDescent="0.2">
      <c r="B60" s="55"/>
      <c r="C60" s="166"/>
      <c r="D60" s="166"/>
      <c r="E60" s="166"/>
      <c r="F60" s="166"/>
      <c r="G60" s="166"/>
      <c r="H60" s="166"/>
      <c r="I60" s="166"/>
      <c r="J60" s="166"/>
      <c r="N60" s="35"/>
      <c r="O60" s="35"/>
      <c r="P60" s="35"/>
      <c r="Q60" s="35"/>
      <c r="R60" s="35"/>
      <c r="S60" s="36"/>
      <c r="T60" s="36"/>
      <c r="U60" s="36"/>
    </row>
    <row r="61" spans="2:22" ht="15" customHeight="1" x14ac:dyDescent="0.2">
      <c r="B61" s="55"/>
      <c r="C61" s="166"/>
      <c r="D61" s="166"/>
      <c r="E61" s="166"/>
      <c r="F61" s="166"/>
      <c r="G61" s="166"/>
      <c r="H61" s="166"/>
      <c r="I61" s="166"/>
      <c r="J61" s="166"/>
      <c r="O61" s="36"/>
      <c r="P61" s="36"/>
      <c r="Q61" s="36"/>
      <c r="R61" s="36"/>
      <c r="S61" s="36"/>
      <c r="T61" s="36"/>
      <c r="U61" s="36"/>
    </row>
    <row r="62" spans="2:22" ht="15" customHeight="1" x14ac:dyDescent="0.2">
      <c r="B62" s="55"/>
      <c r="C62" s="166"/>
      <c r="D62" s="166"/>
      <c r="E62" s="166"/>
      <c r="F62" s="166"/>
      <c r="G62" s="166"/>
      <c r="H62" s="166"/>
      <c r="I62" s="166"/>
      <c r="J62" s="166"/>
      <c r="K62" s="35"/>
      <c r="O62" s="35"/>
      <c r="R62" s="36"/>
      <c r="S62" s="36"/>
      <c r="T62" s="36"/>
      <c r="U62" s="36"/>
    </row>
    <row r="63" spans="2:22" ht="15" customHeight="1" x14ac:dyDescent="0.2">
      <c r="B63" s="35"/>
      <c r="C63" s="166"/>
      <c r="D63" s="166"/>
      <c r="E63" s="166"/>
      <c r="F63" s="166"/>
      <c r="G63" s="166"/>
      <c r="H63" s="166"/>
      <c r="I63" s="166"/>
      <c r="J63" s="166"/>
      <c r="O63" s="35"/>
      <c r="P63" s="36"/>
      <c r="Q63" s="36"/>
      <c r="R63" s="36"/>
      <c r="S63" s="35"/>
      <c r="T63" s="35"/>
      <c r="U63" s="35"/>
    </row>
    <row r="64" spans="2:22" ht="15" customHeight="1" x14ac:dyDescent="0.2">
      <c r="B64" s="35"/>
      <c r="C64" s="166"/>
      <c r="D64" s="166"/>
      <c r="E64" s="166"/>
      <c r="F64" s="166"/>
      <c r="G64" s="166"/>
      <c r="H64" s="166"/>
      <c r="I64" s="166"/>
      <c r="J64" s="166"/>
      <c r="N64" s="35"/>
      <c r="O64" s="35"/>
      <c r="P64" s="35"/>
      <c r="Q64" s="35"/>
      <c r="R64" s="35"/>
      <c r="S64" s="36"/>
      <c r="T64" s="36"/>
      <c r="U64" s="36"/>
    </row>
    <row r="65" spans="2:21" ht="15" customHeight="1" x14ac:dyDescent="0.2">
      <c r="B65" s="35"/>
      <c r="C65" s="166"/>
      <c r="D65" s="166"/>
      <c r="E65" s="166"/>
      <c r="F65" s="166"/>
      <c r="G65" s="166"/>
      <c r="H65" s="166"/>
      <c r="I65" s="166"/>
      <c r="J65" s="166"/>
      <c r="O65" s="35"/>
      <c r="P65" s="36"/>
      <c r="Q65" s="36"/>
      <c r="R65" s="36"/>
      <c r="S65" s="36"/>
      <c r="T65" s="36"/>
      <c r="U65" s="36"/>
    </row>
    <row r="66" spans="2:21" ht="15" customHeight="1" x14ac:dyDescent="0.2">
      <c r="B66" s="58"/>
      <c r="C66" s="166"/>
      <c r="D66" s="166"/>
      <c r="E66" s="166"/>
      <c r="F66" s="166"/>
      <c r="G66" s="166"/>
      <c r="H66" s="166"/>
      <c r="I66" s="166"/>
      <c r="J66" s="166"/>
      <c r="O66" s="36"/>
      <c r="P66" s="36"/>
      <c r="Q66" s="36"/>
      <c r="R66" s="36"/>
      <c r="S66" s="36"/>
      <c r="T66" s="36"/>
      <c r="U66" s="36"/>
    </row>
    <row r="67" spans="2:21" ht="15" customHeight="1" x14ac:dyDescent="0.2">
      <c r="B67" s="35"/>
      <c r="O67" s="36"/>
      <c r="P67" s="36"/>
      <c r="Q67" s="36"/>
      <c r="R67" s="36"/>
      <c r="S67" s="36"/>
      <c r="T67" s="36"/>
      <c r="U67" s="36"/>
    </row>
    <row r="68" spans="2:21" ht="15" customHeight="1" x14ac:dyDescent="0.2">
      <c r="B68" s="35"/>
      <c r="E68" s="38"/>
      <c r="F68" s="38"/>
      <c r="G68" s="38"/>
      <c r="H68" s="38"/>
      <c r="I68" s="38"/>
      <c r="J68" s="38"/>
      <c r="O68" s="36"/>
      <c r="P68" s="36"/>
      <c r="Q68" s="36"/>
      <c r="R68" s="36"/>
      <c r="S68" s="36"/>
      <c r="T68" s="36"/>
      <c r="U68" s="36"/>
    </row>
    <row r="69" spans="2:21" ht="15" customHeight="1" x14ac:dyDescent="0.2">
      <c r="B69" s="35"/>
      <c r="E69" s="38"/>
      <c r="F69" s="38"/>
      <c r="G69" s="38"/>
      <c r="H69" s="38"/>
      <c r="I69" s="38"/>
      <c r="J69" s="38"/>
      <c r="O69" s="36"/>
      <c r="P69" s="36"/>
      <c r="Q69" s="36"/>
      <c r="R69" s="36"/>
      <c r="S69" s="36"/>
      <c r="T69" s="36"/>
      <c r="U69" s="36"/>
    </row>
    <row r="70" spans="2:21" ht="15" customHeight="1" x14ac:dyDescent="0.2">
      <c r="B70" s="35"/>
      <c r="O70" s="36"/>
      <c r="P70" s="36"/>
      <c r="Q70" s="36"/>
      <c r="R70" s="36"/>
      <c r="S70" s="36"/>
      <c r="T70" s="36"/>
      <c r="U70" s="36"/>
    </row>
    <row r="71" spans="2:21" ht="15" customHeight="1" x14ac:dyDescent="0.2">
      <c r="O71" s="36"/>
      <c r="P71" s="36"/>
      <c r="Q71" s="36"/>
      <c r="R71" s="36"/>
      <c r="S71" s="36"/>
      <c r="T71" s="36"/>
      <c r="U71" s="36"/>
    </row>
    <row r="72" spans="2:21" ht="15" customHeight="1" x14ac:dyDescent="0.2">
      <c r="O72" s="36"/>
      <c r="P72" s="36"/>
      <c r="Q72" s="36"/>
      <c r="R72" s="36"/>
      <c r="S72" s="36"/>
      <c r="T72" s="36"/>
      <c r="U72" s="36"/>
    </row>
    <row r="73" spans="2:21" ht="15" customHeight="1" x14ac:dyDescent="0.2">
      <c r="O73" s="36"/>
      <c r="P73" s="36"/>
      <c r="Q73" s="36"/>
      <c r="R73" s="36"/>
      <c r="S73" s="36"/>
      <c r="T73" s="36"/>
      <c r="U73" s="36"/>
    </row>
    <row r="74" spans="2:21" ht="15" customHeight="1" x14ac:dyDescent="0.2">
      <c r="O74" s="36"/>
      <c r="P74" s="36"/>
      <c r="Q74" s="36"/>
      <c r="R74" s="36"/>
      <c r="S74" s="36"/>
      <c r="T74" s="36"/>
      <c r="U74" s="36"/>
    </row>
    <row r="75" spans="2:21" ht="15" customHeight="1" x14ac:dyDescent="0.2">
      <c r="O75" s="36"/>
      <c r="P75" s="36"/>
      <c r="Q75" s="36"/>
      <c r="R75" s="36"/>
      <c r="S75" s="36"/>
      <c r="T75" s="36"/>
      <c r="U75" s="36"/>
    </row>
    <row r="76" spans="2:21" ht="15" customHeight="1" x14ac:dyDescent="0.2">
      <c r="O76" s="36"/>
      <c r="P76" s="36"/>
      <c r="Q76" s="36"/>
      <c r="R76" s="36"/>
      <c r="S76" s="36"/>
      <c r="T76" s="36"/>
      <c r="U76" s="36"/>
    </row>
    <row r="77" spans="2:21" ht="15" customHeight="1" x14ac:dyDescent="0.2">
      <c r="L77" s="39"/>
      <c r="O77" s="36"/>
      <c r="P77" s="36"/>
      <c r="Q77" s="36"/>
      <c r="R77" s="36"/>
      <c r="S77" s="36"/>
      <c r="T77" s="36"/>
      <c r="U77" s="36"/>
    </row>
    <row r="78" spans="2:21" ht="15" customHeight="1" x14ac:dyDescent="0.2">
      <c r="O78" s="36"/>
      <c r="P78" s="36"/>
      <c r="Q78" s="36"/>
      <c r="R78" s="36"/>
      <c r="S78" s="36"/>
      <c r="T78" s="36"/>
      <c r="U78" s="36"/>
    </row>
    <row r="79" spans="2:21" ht="15" customHeight="1" x14ac:dyDescent="0.2">
      <c r="L79" s="39"/>
      <c r="O79" s="36"/>
      <c r="P79" s="36"/>
      <c r="Q79" s="36"/>
      <c r="R79" s="36"/>
      <c r="S79" s="36"/>
      <c r="T79" s="36"/>
      <c r="U79" s="36"/>
    </row>
    <row r="80" spans="2:21" ht="15" customHeight="1" x14ac:dyDescent="0.2">
      <c r="L80" s="39"/>
      <c r="O80" s="36"/>
      <c r="P80" s="36"/>
      <c r="Q80" s="36"/>
      <c r="R80" s="36"/>
      <c r="S80" s="36"/>
      <c r="T80" s="36"/>
      <c r="U80" s="36"/>
    </row>
    <row r="81" spans="11:21" ht="15" customHeight="1" x14ac:dyDescent="0.2">
      <c r="K81" s="38"/>
      <c r="O81" s="36"/>
      <c r="P81" s="36"/>
      <c r="Q81" s="36"/>
      <c r="R81" s="36"/>
      <c r="S81" s="36"/>
      <c r="T81" s="36"/>
      <c r="U81" s="36"/>
    </row>
    <row r="82" spans="11:21" ht="15" customHeight="1" x14ac:dyDescent="0.2">
      <c r="K82" s="38"/>
      <c r="O82" s="36"/>
      <c r="P82" s="36"/>
      <c r="Q82" s="36"/>
      <c r="R82" s="36"/>
      <c r="S82" s="36"/>
      <c r="T82" s="36"/>
      <c r="U82" s="36"/>
    </row>
    <row r="83" spans="11:21" ht="15" customHeight="1" x14ac:dyDescent="0.2">
      <c r="O83" s="36"/>
      <c r="P83" s="36"/>
      <c r="Q83" s="36"/>
      <c r="R83" s="36"/>
      <c r="S83" s="36"/>
      <c r="T83" s="36"/>
      <c r="U83" s="36"/>
    </row>
    <row r="84" spans="11:21" ht="15" customHeight="1" x14ac:dyDescent="0.2">
      <c r="O84" s="36"/>
      <c r="P84" s="36"/>
      <c r="Q84" s="36"/>
      <c r="R84" s="36"/>
      <c r="S84" s="36"/>
      <c r="T84" s="36"/>
      <c r="U84" s="36"/>
    </row>
    <row r="85" spans="11:21" ht="15" customHeight="1" x14ac:dyDescent="0.2">
      <c r="O85" s="36"/>
      <c r="P85" s="36"/>
      <c r="Q85" s="36"/>
      <c r="R85" s="36"/>
      <c r="S85" s="36"/>
      <c r="T85" s="36"/>
      <c r="U85" s="36"/>
    </row>
    <row r="86" spans="11:21" ht="15" customHeight="1" x14ac:dyDescent="0.2">
      <c r="O86" s="36"/>
      <c r="P86" s="36"/>
      <c r="Q86" s="36"/>
      <c r="R86" s="36"/>
      <c r="S86" s="36"/>
      <c r="T86" s="36"/>
      <c r="U86" s="36"/>
    </row>
    <row r="87" spans="11:21" ht="15" customHeight="1" x14ac:dyDescent="0.2">
      <c r="O87" s="36"/>
      <c r="P87" s="36"/>
      <c r="Q87" s="36"/>
      <c r="R87" s="36"/>
      <c r="S87" s="36"/>
      <c r="T87" s="36"/>
      <c r="U87" s="36"/>
    </row>
    <row r="88" spans="11:21" ht="15" customHeight="1" x14ac:dyDescent="0.2">
      <c r="O88" s="36"/>
      <c r="P88" s="36"/>
      <c r="Q88" s="36"/>
      <c r="R88" s="36"/>
      <c r="S88" s="36"/>
      <c r="T88" s="36"/>
      <c r="U88" s="36"/>
    </row>
    <row r="89" spans="11:21" ht="15" customHeight="1" x14ac:dyDescent="0.2">
      <c r="O89" s="36"/>
      <c r="P89" s="35"/>
      <c r="Q89" s="36"/>
      <c r="R89" s="36"/>
      <c r="U89" s="36"/>
    </row>
    <row r="90" spans="11:21" ht="15" customHeight="1" x14ac:dyDescent="0.2">
      <c r="O90" s="36"/>
      <c r="P90" s="36"/>
      <c r="Q90" s="36"/>
      <c r="S90" s="36"/>
      <c r="T90" s="36"/>
      <c r="U90" s="36"/>
    </row>
    <row r="91" spans="11:21" ht="15" customHeight="1" x14ac:dyDescent="0.2">
      <c r="O91" s="35"/>
      <c r="P91" s="36"/>
      <c r="Q91" s="35"/>
      <c r="R91" s="36"/>
      <c r="S91" s="36"/>
      <c r="T91" s="36"/>
      <c r="U91" s="39"/>
    </row>
    <row r="92" spans="11:21" ht="15" customHeight="1" x14ac:dyDescent="0.2">
      <c r="O92" s="35"/>
      <c r="P92" s="35"/>
      <c r="Q92" s="36"/>
      <c r="R92" s="36"/>
      <c r="U92" s="39"/>
    </row>
    <row r="93" spans="11:21" ht="15" customHeight="1" x14ac:dyDescent="0.2">
      <c r="Q93" s="36"/>
      <c r="S93" s="36"/>
      <c r="T93" s="36"/>
    </row>
    <row r="94" spans="11:21" ht="15" customHeight="1" x14ac:dyDescent="0.2">
      <c r="Q94" s="35"/>
      <c r="R94" s="36"/>
    </row>
    <row r="98" spans="15:21" ht="15" customHeight="1" x14ac:dyDescent="0.2">
      <c r="O98" s="36"/>
      <c r="P98" s="36"/>
      <c r="U98" s="36"/>
    </row>
    <row r="99" spans="15:21" ht="15" customHeight="1" x14ac:dyDescent="0.2">
      <c r="O99" s="35"/>
      <c r="P99" s="36"/>
      <c r="S99" s="36"/>
      <c r="T99" s="36"/>
      <c r="U99" s="36"/>
    </row>
    <row r="100" spans="15:21" ht="15" customHeight="1" x14ac:dyDescent="0.2">
      <c r="O100" s="35"/>
      <c r="P100" s="35"/>
      <c r="Q100" s="36"/>
      <c r="R100" s="36"/>
      <c r="S100" s="36"/>
      <c r="T100" s="36"/>
      <c r="U100" s="36"/>
    </row>
    <row r="101" spans="15:21" ht="15" customHeight="1" x14ac:dyDescent="0.2">
      <c r="O101" s="35"/>
      <c r="P101" s="35"/>
      <c r="Q101" s="36"/>
      <c r="R101" s="36"/>
      <c r="S101" s="36"/>
      <c r="T101" s="36"/>
      <c r="U101" s="36"/>
    </row>
    <row r="102" spans="15:21" ht="15" customHeight="1" x14ac:dyDescent="0.2">
      <c r="O102" s="35"/>
      <c r="P102" s="36"/>
      <c r="Q102" s="35"/>
      <c r="R102" s="36"/>
      <c r="S102" s="36"/>
      <c r="T102" s="36"/>
      <c r="U102" s="36"/>
    </row>
    <row r="103" spans="15:21" ht="15" customHeight="1" x14ac:dyDescent="0.2">
      <c r="O103" s="35"/>
      <c r="P103" s="36"/>
      <c r="Q103" s="35"/>
      <c r="R103" s="36"/>
      <c r="S103" s="36"/>
      <c r="T103" s="36"/>
      <c r="U103" s="36"/>
    </row>
    <row r="104" spans="15:21" ht="15" customHeight="1" x14ac:dyDescent="0.2">
      <c r="Q104" s="36"/>
      <c r="R104" s="36"/>
      <c r="S104" s="36"/>
      <c r="T104" s="36"/>
      <c r="U104" s="36"/>
    </row>
    <row r="105" spans="15:21" ht="15" customHeight="1" x14ac:dyDescent="0.2">
      <c r="Q105" s="36"/>
      <c r="R105" s="36"/>
      <c r="U105" s="36"/>
    </row>
    <row r="106" spans="15:21" ht="15" customHeight="1" x14ac:dyDescent="0.2">
      <c r="S106" s="36"/>
      <c r="T106" s="36"/>
      <c r="U106" s="36"/>
    </row>
    <row r="107" spans="15:21" ht="15" customHeight="1" x14ac:dyDescent="0.2">
      <c r="O107" s="36"/>
      <c r="P107" s="36"/>
      <c r="R107" s="36"/>
      <c r="S107" s="36"/>
      <c r="T107" s="36"/>
      <c r="U107" s="36"/>
    </row>
    <row r="108" spans="15:21" ht="15" customHeight="1" x14ac:dyDescent="0.2">
      <c r="O108" s="36"/>
      <c r="P108" s="36"/>
      <c r="R108" s="36"/>
      <c r="S108" s="36"/>
      <c r="T108" s="36"/>
      <c r="U108" s="36"/>
    </row>
    <row r="109" spans="15:21" ht="15" customHeight="1" x14ac:dyDescent="0.2">
      <c r="O109" s="36"/>
      <c r="P109" s="36"/>
      <c r="Q109" s="36"/>
      <c r="R109" s="36"/>
      <c r="S109" s="36"/>
      <c r="T109" s="36"/>
      <c r="U109" s="36"/>
    </row>
    <row r="110" spans="15:21" ht="15" customHeight="1" x14ac:dyDescent="0.2">
      <c r="O110" s="35"/>
      <c r="Q110" s="36"/>
      <c r="R110" s="36"/>
      <c r="S110" s="36"/>
      <c r="T110" s="36"/>
      <c r="U110" s="36"/>
    </row>
    <row r="111" spans="15:21" ht="15" customHeight="1" x14ac:dyDescent="0.2">
      <c r="O111" s="35"/>
      <c r="Q111" s="36"/>
      <c r="R111" s="36"/>
      <c r="U111" s="36"/>
    </row>
    <row r="112" spans="15:21" ht="15" customHeight="1" x14ac:dyDescent="0.2">
      <c r="U112" s="36"/>
    </row>
    <row r="113" spans="15:21" ht="15" customHeight="1" x14ac:dyDescent="0.2">
      <c r="O113" s="36"/>
      <c r="P113" s="36"/>
      <c r="U113" s="36"/>
    </row>
    <row r="114" spans="15:21" s="36" customFormat="1" ht="15" customHeight="1" x14ac:dyDescent="0.2">
      <c r="Q114" s="38"/>
      <c r="R114" s="38"/>
    </row>
    <row r="115" spans="15:21" s="36" customFormat="1" ht="15" customHeight="1" x14ac:dyDescent="0.2"/>
    <row r="116" spans="15:21" s="36" customFormat="1" ht="15" customHeight="1" x14ac:dyDescent="0.2"/>
    <row r="117" spans="15:21" s="36" customFormat="1" ht="15" customHeight="1" x14ac:dyDescent="0.2"/>
    <row r="118" spans="15:21" s="36" customFormat="1" ht="15" customHeight="1" x14ac:dyDescent="0.2"/>
    <row r="119" spans="15:21" s="36" customFormat="1" ht="15" customHeight="1" x14ac:dyDescent="0.2"/>
    <row r="120" spans="15:21" s="36" customFormat="1" ht="15" customHeight="1" x14ac:dyDescent="0.2"/>
    <row r="121" spans="15:21" s="36" customFormat="1" ht="15" customHeight="1" x14ac:dyDescent="0.2"/>
    <row r="122" spans="15:21" s="36" customFormat="1" ht="15" customHeight="1" x14ac:dyDescent="0.2"/>
    <row r="123" spans="15:21" s="36" customFormat="1" ht="15" customHeight="1" x14ac:dyDescent="0.2"/>
    <row r="124" spans="15:21" s="36" customFormat="1" ht="15" customHeight="1" x14ac:dyDescent="0.2"/>
    <row r="125" spans="15:21" s="36" customFormat="1" ht="15" customHeight="1" x14ac:dyDescent="0.2"/>
    <row r="126" spans="15:21" s="36" customFormat="1" ht="15" customHeight="1" x14ac:dyDescent="0.2"/>
    <row r="127" spans="15:21" s="36" customFormat="1" ht="15" customHeight="1" x14ac:dyDescent="0.2"/>
    <row r="128" spans="15:21" s="36" customFormat="1" ht="15" customHeight="1" x14ac:dyDescent="0.2"/>
    <row r="129" s="36" customFormat="1" ht="15" customHeight="1" x14ac:dyDescent="0.2"/>
    <row r="130" s="36" customFormat="1" ht="15" customHeight="1" x14ac:dyDescent="0.2"/>
    <row r="131" s="36" customFormat="1" ht="15" customHeight="1" x14ac:dyDescent="0.2"/>
    <row r="132" s="36" customFormat="1" ht="15" customHeight="1" x14ac:dyDescent="0.2"/>
    <row r="133" s="36" customFormat="1" ht="15" customHeight="1" x14ac:dyDescent="0.2"/>
    <row r="134" s="36" customFormat="1" ht="15" customHeight="1" x14ac:dyDescent="0.2"/>
    <row r="135" s="36" customFormat="1" ht="15" customHeight="1" x14ac:dyDescent="0.2"/>
    <row r="136" s="36" customFormat="1" ht="15" customHeight="1" x14ac:dyDescent="0.2"/>
    <row r="137" s="36" customFormat="1" ht="15" customHeight="1" x14ac:dyDescent="0.2"/>
    <row r="138" s="36" customFormat="1" ht="15" customHeight="1" x14ac:dyDescent="0.2"/>
    <row r="139" s="36" customFormat="1" ht="15" customHeight="1" x14ac:dyDescent="0.2"/>
    <row r="140" s="36" customFormat="1" ht="15" customHeight="1" x14ac:dyDescent="0.2"/>
    <row r="141" s="36" customFormat="1" ht="15" customHeight="1" x14ac:dyDescent="0.2"/>
    <row r="142" s="36" customFormat="1" ht="15" customHeight="1" x14ac:dyDescent="0.2"/>
    <row r="143" s="36" customFormat="1" ht="15" customHeight="1" x14ac:dyDescent="0.2"/>
    <row r="144" s="36" customFormat="1" ht="15" customHeight="1" x14ac:dyDescent="0.2"/>
    <row r="145" s="36" customFormat="1" ht="15" customHeight="1" x14ac:dyDescent="0.2"/>
    <row r="146" s="36" customFormat="1" ht="15" customHeight="1" x14ac:dyDescent="0.2"/>
    <row r="147" s="36" customFormat="1" ht="15" customHeight="1" x14ac:dyDescent="0.2"/>
    <row r="148" s="36" customFormat="1" ht="15" customHeight="1" x14ac:dyDescent="0.2"/>
    <row r="149" s="36" customFormat="1" ht="15" customHeight="1" x14ac:dyDescent="0.2"/>
    <row r="150" s="36" customFormat="1" ht="15" customHeight="1" x14ac:dyDescent="0.2"/>
    <row r="151" s="36" customFormat="1" ht="15" customHeight="1" x14ac:dyDescent="0.2"/>
    <row r="152" s="36" customFormat="1" ht="15" customHeight="1" x14ac:dyDescent="0.2"/>
    <row r="153" s="36" customFormat="1" ht="15" customHeight="1" x14ac:dyDescent="0.2"/>
    <row r="154" s="36" customFormat="1" ht="15" customHeight="1" x14ac:dyDescent="0.2"/>
    <row r="155" s="36" customFormat="1" ht="15" customHeight="1" x14ac:dyDescent="0.2"/>
    <row r="156" s="36" customFormat="1" ht="15" customHeight="1" x14ac:dyDescent="0.2"/>
    <row r="157" s="36" customFormat="1" ht="15" customHeight="1" x14ac:dyDescent="0.2"/>
    <row r="158" s="36" customFormat="1" ht="15" customHeight="1" x14ac:dyDescent="0.2"/>
    <row r="159" s="36" customFormat="1" ht="15" customHeight="1" x14ac:dyDescent="0.2"/>
    <row r="160" s="36" customFormat="1" ht="15" customHeight="1" x14ac:dyDescent="0.2"/>
    <row r="161" s="36" customFormat="1" ht="15" customHeight="1" x14ac:dyDescent="0.2"/>
    <row r="162" s="36" customFormat="1" ht="15" customHeight="1" x14ac:dyDescent="0.2"/>
    <row r="163" s="36" customFormat="1" ht="15" customHeight="1" x14ac:dyDescent="0.2"/>
    <row r="164" s="36" customFormat="1" ht="15" customHeight="1" x14ac:dyDescent="0.2"/>
    <row r="165" s="36" customFormat="1" ht="15" customHeight="1" x14ac:dyDescent="0.2"/>
    <row r="166" s="36" customFormat="1" ht="15" customHeight="1" x14ac:dyDescent="0.2"/>
    <row r="167" s="36" customFormat="1" ht="15" customHeight="1" x14ac:dyDescent="0.2"/>
    <row r="168" s="36" customFormat="1" ht="15" customHeight="1" x14ac:dyDescent="0.2"/>
    <row r="169" s="36" customFormat="1" ht="15" customHeight="1" x14ac:dyDescent="0.2"/>
    <row r="170" s="36" customFormat="1" ht="15" customHeight="1" x14ac:dyDescent="0.2"/>
    <row r="171" s="36" customFormat="1" ht="15" customHeight="1" x14ac:dyDescent="0.2"/>
    <row r="172" s="36" customFormat="1" ht="15" customHeight="1" x14ac:dyDescent="0.2"/>
    <row r="173" s="36" customFormat="1" ht="15" customHeight="1" x14ac:dyDescent="0.2"/>
    <row r="174" s="36" customFormat="1" ht="15" customHeight="1" x14ac:dyDescent="0.2"/>
    <row r="175" s="36" customFormat="1" ht="15" customHeight="1" x14ac:dyDescent="0.2"/>
    <row r="176" s="36" customFormat="1" ht="15" customHeight="1" x14ac:dyDescent="0.2"/>
    <row r="177" s="36" customFormat="1" ht="15" customHeight="1" x14ac:dyDescent="0.2"/>
    <row r="178" s="36" customFormat="1" ht="15" customHeight="1" x14ac:dyDescent="0.2"/>
    <row r="179" s="36" customFormat="1" ht="15" customHeight="1" x14ac:dyDescent="0.2"/>
    <row r="180" s="36" customFormat="1" ht="15" customHeight="1" x14ac:dyDescent="0.2"/>
    <row r="181" s="36" customFormat="1" ht="15" customHeight="1" x14ac:dyDescent="0.2"/>
    <row r="182" s="36" customFormat="1" ht="15" customHeight="1" x14ac:dyDescent="0.2"/>
    <row r="183" s="36" customFormat="1" ht="15" customHeight="1" x14ac:dyDescent="0.2"/>
    <row r="184" s="36" customFormat="1" ht="15" customHeight="1" x14ac:dyDescent="0.2"/>
    <row r="185" s="36" customFormat="1" ht="15" customHeight="1" x14ac:dyDescent="0.2"/>
    <row r="186" s="36" customFormat="1" ht="15" customHeight="1" x14ac:dyDescent="0.2"/>
    <row r="187" s="36" customFormat="1" ht="15" customHeight="1" x14ac:dyDescent="0.2"/>
    <row r="188" s="36" customFormat="1" ht="15" customHeight="1" x14ac:dyDescent="0.2"/>
    <row r="189" s="36" customFormat="1" ht="15" customHeight="1" x14ac:dyDescent="0.2"/>
    <row r="190" s="36" customFormat="1" ht="15" customHeight="1" x14ac:dyDescent="0.2"/>
    <row r="191" s="36" customFormat="1" ht="15" customHeight="1" x14ac:dyDescent="0.2"/>
    <row r="192" s="36" customFormat="1" ht="15" customHeight="1" x14ac:dyDescent="0.2"/>
    <row r="193" s="36" customFormat="1" ht="15" customHeight="1" x14ac:dyDescent="0.2"/>
    <row r="194" s="36" customFormat="1" ht="15" customHeight="1" x14ac:dyDescent="0.2"/>
    <row r="195" s="36" customFormat="1" ht="15" customHeight="1" x14ac:dyDescent="0.2"/>
    <row r="196" s="36" customFormat="1" ht="15" customHeight="1" x14ac:dyDescent="0.2"/>
    <row r="197" s="36" customFormat="1" ht="15" customHeight="1" x14ac:dyDescent="0.2"/>
    <row r="198" s="36" customFormat="1" ht="15" customHeight="1" x14ac:dyDescent="0.2"/>
    <row r="199" s="36" customFormat="1" ht="15" customHeight="1" x14ac:dyDescent="0.2"/>
    <row r="200" s="36" customFormat="1" ht="15" customHeight="1" x14ac:dyDescent="0.2"/>
    <row r="201" s="36" customFormat="1" ht="15" customHeight="1" x14ac:dyDescent="0.2"/>
    <row r="202" s="36" customFormat="1" ht="15" customHeight="1" x14ac:dyDescent="0.2"/>
    <row r="203" s="36" customFormat="1" ht="15" customHeight="1" x14ac:dyDescent="0.2"/>
    <row r="204" s="36" customFormat="1" ht="15" customHeight="1" x14ac:dyDescent="0.2"/>
    <row r="205" s="36" customFormat="1" ht="15" customHeight="1" x14ac:dyDescent="0.2"/>
    <row r="206" s="36" customFormat="1" ht="15" customHeight="1" x14ac:dyDescent="0.2"/>
    <row r="207" s="36" customFormat="1" ht="15" customHeight="1" x14ac:dyDescent="0.2"/>
    <row r="208" s="36" customFormat="1" ht="15" customHeight="1" x14ac:dyDescent="0.2"/>
    <row r="209" s="36" customFormat="1" ht="15" customHeight="1" x14ac:dyDescent="0.2"/>
    <row r="210" s="36" customFormat="1" ht="15" customHeight="1" x14ac:dyDescent="0.2"/>
    <row r="211" s="36" customFormat="1" ht="15" customHeight="1" x14ac:dyDescent="0.2"/>
    <row r="212" s="36" customFormat="1" ht="15" customHeight="1" x14ac:dyDescent="0.2"/>
    <row r="213" s="36" customFormat="1" ht="15" customHeight="1" x14ac:dyDescent="0.2"/>
    <row r="214" s="36" customFormat="1" ht="15" customHeight="1" x14ac:dyDescent="0.2"/>
    <row r="215" s="36" customFormat="1" ht="15" customHeight="1" x14ac:dyDescent="0.2"/>
    <row r="216" s="36" customFormat="1" ht="15" customHeight="1" x14ac:dyDescent="0.2"/>
    <row r="217" s="36" customFormat="1" ht="15" customHeight="1" x14ac:dyDescent="0.2"/>
    <row r="218" s="36" customFormat="1" ht="15" customHeight="1" x14ac:dyDescent="0.2"/>
    <row r="219" s="36" customFormat="1" ht="15" customHeight="1" x14ac:dyDescent="0.2"/>
    <row r="220" s="36" customFormat="1" ht="15" customHeight="1" x14ac:dyDescent="0.2"/>
    <row r="221" s="36" customFormat="1" ht="15" customHeight="1" x14ac:dyDescent="0.2"/>
    <row r="222" s="36" customFormat="1" ht="15" customHeight="1" x14ac:dyDescent="0.2"/>
    <row r="223" s="36" customFormat="1" ht="15" customHeight="1" x14ac:dyDescent="0.2"/>
    <row r="224" s="36" customFormat="1" ht="15" customHeight="1" x14ac:dyDescent="0.2"/>
    <row r="225" s="36" customFormat="1" ht="15" customHeight="1" x14ac:dyDescent="0.2"/>
    <row r="226" s="36" customFormat="1" ht="15" customHeight="1" x14ac:dyDescent="0.2"/>
    <row r="227" s="36" customFormat="1" ht="15" customHeight="1" x14ac:dyDescent="0.2"/>
    <row r="228" s="36" customFormat="1" ht="15" customHeight="1" x14ac:dyDescent="0.2"/>
    <row r="229" s="36" customFormat="1" ht="15" customHeight="1" x14ac:dyDescent="0.2"/>
    <row r="230" s="36" customFormat="1" ht="15" customHeight="1" x14ac:dyDescent="0.2"/>
    <row r="231" s="36" customFormat="1" ht="15" customHeight="1" x14ac:dyDescent="0.2"/>
    <row r="232" s="36" customFormat="1" ht="15" customHeight="1" x14ac:dyDescent="0.2"/>
    <row r="233" s="36" customFormat="1" ht="15" customHeight="1" x14ac:dyDescent="0.2"/>
    <row r="234" s="36" customFormat="1" ht="15" customHeight="1" x14ac:dyDescent="0.2"/>
    <row r="235" s="36" customFormat="1" ht="15" customHeight="1" x14ac:dyDescent="0.2"/>
    <row r="236" s="36" customFormat="1" ht="15" customHeight="1" x14ac:dyDescent="0.2"/>
    <row r="237" s="36" customFormat="1" ht="15" customHeight="1" x14ac:dyDescent="0.2"/>
    <row r="238" s="36" customFormat="1" ht="15" customHeight="1" x14ac:dyDescent="0.2"/>
    <row r="239" s="36" customFormat="1" ht="15" customHeight="1" x14ac:dyDescent="0.2"/>
    <row r="240" s="36" customFormat="1" ht="15" customHeight="1" x14ac:dyDescent="0.2"/>
    <row r="241" s="36" customFormat="1" ht="15" customHeight="1" x14ac:dyDescent="0.2"/>
    <row r="242" s="36" customFormat="1" ht="15" customHeight="1" x14ac:dyDescent="0.2"/>
    <row r="243" s="36" customFormat="1" ht="15" customHeight="1" x14ac:dyDescent="0.2"/>
    <row r="244" s="36" customFormat="1" ht="15" customHeight="1" x14ac:dyDescent="0.2"/>
    <row r="245" s="36" customFormat="1" ht="15" customHeight="1" x14ac:dyDescent="0.2"/>
    <row r="246" s="36" customFormat="1" ht="15" customHeight="1" x14ac:dyDescent="0.2"/>
    <row r="247" s="36" customFormat="1" ht="15" customHeight="1" x14ac:dyDescent="0.2"/>
    <row r="248" s="36" customFormat="1" ht="15" customHeight="1" x14ac:dyDescent="0.2"/>
    <row r="249" s="36" customFormat="1" ht="15" customHeight="1" x14ac:dyDescent="0.2"/>
    <row r="250" s="36" customFormat="1" ht="15" customHeight="1" x14ac:dyDescent="0.2"/>
    <row r="251" s="36" customFormat="1" ht="15" customHeight="1" x14ac:dyDescent="0.2"/>
    <row r="252" s="36" customFormat="1" ht="15" customHeight="1" x14ac:dyDescent="0.2"/>
    <row r="253" s="36" customFormat="1" ht="15" customHeight="1" x14ac:dyDescent="0.2"/>
    <row r="254" s="36" customFormat="1" ht="15" customHeight="1" x14ac:dyDescent="0.2"/>
    <row r="255" s="36" customFormat="1" ht="15" customHeight="1" x14ac:dyDescent="0.2"/>
    <row r="256" s="36" customFormat="1" ht="15" customHeight="1" x14ac:dyDescent="0.2"/>
    <row r="257" s="36" customFormat="1" ht="15" customHeight="1" x14ac:dyDescent="0.2"/>
    <row r="258" s="36" customFormat="1" ht="15" customHeight="1" x14ac:dyDescent="0.2"/>
    <row r="259" s="36" customFormat="1" ht="15" customHeight="1" x14ac:dyDescent="0.2"/>
    <row r="260" s="36" customFormat="1" ht="15" customHeight="1" x14ac:dyDescent="0.2"/>
    <row r="261" s="36" customFormat="1" ht="15" customHeight="1" x14ac:dyDescent="0.2"/>
    <row r="262" s="36" customFormat="1" ht="15" customHeight="1" x14ac:dyDescent="0.2"/>
    <row r="263" s="36" customFormat="1" ht="15" customHeight="1" x14ac:dyDescent="0.2"/>
    <row r="264" s="36" customFormat="1" ht="15" customHeight="1" x14ac:dyDescent="0.2"/>
    <row r="265" s="36" customFormat="1" ht="15" customHeight="1" x14ac:dyDescent="0.2"/>
    <row r="266" s="36" customFormat="1" ht="15" customHeight="1" x14ac:dyDescent="0.2"/>
    <row r="267" s="36" customFormat="1" ht="15" customHeight="1" x14ac:dyDescent="0.2"/>
    <row r="268" s="36" customFormat="1" ht="15" customHeight="1" x14ac:dyDescent="0.2"/>
    <row r="269" s="36" customFormat="1" ht="15" customHeight="1" x14ac:dyDescent="0.2"/>
    <row r="270" s="36" customFormat="1" ht="15" customHeight="1" x14ac:dyDescent="0.2"/>
    <row r="271" s="36" customFormat="1" ht="15" customHeight="1" x14ac:dyDescent="0.2"/>
    <row r="272" s="36" customFormat="1" ht="15" customHeight="1" x14ac:dyDescent="0.2"/>
    <row r="273" s="36" customFormat="1" ht="15" customHeight="1" x14ac:dyDescent="0.2"/>
    <row r="274" s="36" customFormat="1" ht="15" customHeight="1" x14ac:dyDescent="0.2"/>
    <row r="275" s="36" customFormat="1" ht="15" customHeight="1" x14ac:dyDescent="0.2"/>
    <row r="276" s="36" customFormat="1" ht="15" customHeight="1" x14ac:dyDescent="0.2"/>
    <row r="277" s="36" customFormat="1" ht="15" customHeight="1" x14ac:dyDescent="0.2"/>
    <row r="278" s="36" customFormat="1" ht="15" customHeight="1" x14ac:dyDescent="0.2"/>
    <row r="279" s="36" customFormat="1" ht="15" customHeight="1" x14ac:dyDescent="0.2"/>
    <row r="280" s="36" customFormat="1" ht="15" customHeight="1" x14ac:dyDescent="0.2"/>
    <row r="281" s="36" customFormat="1" ht="15" customHeight="1" x14ac:dyDescent="0.2"/>
    <row r="282" s="36" customFormat="1" ht="15" customHeight="1" x14ac:dyDescent="0.2"/>
    <row r="283" s="36" customFormat="1" ht="15" customHeight="1" x14ac:dyDescent="0.2"/>
    <row r="284" s="36" customFormat="1" ht="15" customHeight="1" x14ac:dyDescent="0.2"/>
    <row r="285" s="36" customFormat="1" ht="15" customHeight="1" x14ac:dyDescent="0.2"/>
    <row r="286" s="36" customFormat="1" ht="15" customHeight="1" x14ac:dyDescent="0.2"/>
    <row r="287" s="36" customFormat="1" ht="15" customHeight="1" x14ac:dyDescent="0.2"/>
    <row r="288" s="36" customFormat="1" ht="15" customHeight="1" x14ac:dyDescent="0.2"/>
    <row r="289" s="36" customFormat="1" ht="15" customHeight="1" x14ac:dyDescent="0.2"/>
    <row r="290" s="36" customFormat="1" ht="15" customHeight="1" x14ac:dyDescent="0.2"/>
    <row r="291" s="36" customFormat="1" ht="15" customHeight="1" x14ac:dyDescent="0.2"/>
    <row r="292" s="36" customFormat="1" ht="15" customHeight="1" x14ac:dyDescent="0.2"/>
    <row r="293" s="36" customFormat="1" ht="15" customHeight="1" x14ac:dyDescent="0.2"/>
    <row r="294" s="36" customFormat="1" ht="15" customHeight="1" x14ac:dyDescent="0.2"/>
    <row r="295" s="36" customFormat="1" ht="15" customHeight="1" x14ac:dyDescent="0.2"/>
    <row r="296" s="36" customFormat="1" ht="15" customHeight="1" x14ac:dyDescent="0.2"/>
    <row r="297" s="36" customFormat="1" ht="15" customHeight="1" x14ac:dyDescent="0.2"/>
    <row r="298" s="36" customFormat="1" ht="15" customHeight="1" x14ac:dyDescent="0.2"/>
    <row r="299" s="36" customFormat="1" ht="15" customHeight="1" x14ac:dyDescent="0.2"/>
    <row r="300" s="36" customFormat="1" ht="15" customHeight="1" x14ac:dyDescent="0.2"/>
    <row r="301" s="36" customFormat="1" ht="15" customHeight="1" x14ac:dyDescent="0.2"/>
    <row r="302" s="36" customFormat="1" ht="15" customHeight="1" x14ac:dyDescent="0.2"/>
    <row r="303" s="36" customFormat="1" ht="15" customHeight="1" x14ac:dyDescent="0.2"/>
    <row r="304" s="36" customFormat="1" ht="15" customHeight="1" x14ac:dyDescent="0.2"/>
    <row r="305" s="36" customFormat="1" ht="15" customHeight="1" x14ac:dyDescent="0.2"/>
    <row r="306" s="36" customFormat="1" ht="15" customHeight="1" x14ac:dyDescent="0.2"/>
    <row r="307" s="36" customFormat="1" ht="15" customHeight="1" x14ac:dyDescent="0.2"/>
    <row r="308" s="36" customFormat="1" ht="15" customHeight="1" x14ac:dyDescent="0.2"/>
    <row r="309" s="36" customFormat="1" ht="15" customHeight="1" x14ac:dyDescent="0.2"/>
    <row r="310" s="36" customFormat="1" ht="15" customHeight="1" x14ac:dyDescent="0.2"/>
    <row r="311" s="36" customFormat="1" ht="15" customHeight="1" x14ac:dyDescent="0.2"/>
    <row r="312" s="36" customFormat="1" ht="15" customHeight="1" x14ac:dyDescent="0.2"/>
    <row r="313" s="36" customFormat="1" ht="15" customHeight="1" x14ac:dyDescent="0.2"/>
    <row r="314" s="36" customFormat="1" ht="15" customHeight="1" x14ac:dyDescent="0.2"/>
    <row r="315" s="36" customFormat="1" ht="15" customHeight="1" x14ac:dyDescent="0.2"/>
    <row r="316" s="36" customFormat="1" ht="15" customHeight="1" x14ac:dyDescent="0.2"/>
    <row r="317" s="36" customFormat="1" ht="15" customHeight="1" x14ac:dyDescent="0.2"/>
    <row r="318" s="36" customFormat="1" ht="15" customHeight="1" x14ac:dyDescent="0.2"/>
    <row r="319" s="36" customFormat="1" ht="15" customHeight="1" x14ac:dyDescent="0.2"/>
    <row r="320" s="36" customFormat="1" ht="15" customHeight="1" x14ac:dyDescent="0.2"/>
    <row r="321" s="36" customFormat="1" ht="15" customHeight="1" x14ac:dyDescent="0.2"/>
    <row r="322" s="36" customFormat="1" ht="15" customHeight="1" x14ac:dyDescent="0.2"/>
    <row r="323" s="36" customFormat="1" ht="15" customHeight="1" x14ac:dyDescent="0.2"/>
    <row r="324" s="36" customFormat="1" ht="15" customHeight="1" x14ac:dyDescent="0.2"/>
    <row r="325" s="36" customFormat="1" ht="15" customHeight="1" x14ac:dyDescent="0.2"/>
    <row r="326" s="36" customFormat="1" ht="15" customHeight="1" x14ac:dyDescent="0.2"/>
    <row r="327" s="36" customFormat="1" ht="15" customHeight="1" x14ac:dyDescent="0.2"/>
    <row r="328" s="36" customFormat="1" ht="15" customHeight="1" x14ac:dyDescent="0.2"/>
    <row r="329" s="36" customFormat="1" ht="15" customHeight="1" x14ac:dyDescent="0.2"/>
    <row r="330" s="36" customFormat="1" ht="15" customHeight="1" x14ac:dyDescent="0.2"/>
    <row r="331" s="36" customFormat="1" ht="15" customHeight="1" x14ac:dyDescent="0.2"/>
    <row r="332" s="36" customFormat="1" ht="15" customHeight="1" x14ac:dyDescent="0.2"/>
    <row r="333" s="36" customFormat="1" ht="15" customHeight="1" x14ac:dyDescent="0.2"/>
    <row r="334" s="36" customFormat="1" ht="15" customHeight="1" x14ac:dyDescent="0.2"/>
    <row r="335" s="36" customFormat="1" ht="15" customHeight="1" x14ac:dyDescent="0.2"/>
    <row r="336" s="36" customFormat="1" ht="15" customHeight="1" x14ac:dyDescent="0.2"/>
    <row r="337" spans="15:21" ht="15" customHeight="1" x14ac:dyDescent="0.2">
      <c r="O337" s="36"/>
      <c r="P337" s="36"/>
      <c r="Q337" s="36"/>
      <c r="R337" s="36"/>
      <c r="S337" s="36"/>
      <c r="T337" s="36"/>
      <c r="U337" s="36"/>
    </row>
    <row r="338" spans="15:21" ht="15" customHeight="1" x14ac:dyDescent="0.2">
      <c r="O338" s="36"/>
      <c r="P338" s="36"/>
      <c r="Q338" s="36"/>
      <c r="R338" s="36"/>
      <c r="S338" s="36"/>
      <c r="T338" s="36"/>
      <c r="U338" s="36"/>
    </row>
    <row r="339" spans="15:21" ht="15" customHeight="1" x14ac:dyDescent="0.2">
      <c r="O339" s="36"/>
      <c r="P339" s="36"/>
      <c r="Q339" s="36"/>
      <c r="R339" s="36"/>
      <c r="S339" s="36"/>
      <c r="T339" s="36"/>
      <c r="U339" s="36"/>
    </row>
    <row r="340" spans="15:21" ht="15" customHeight="1" x14ac:dyDescent="0.2">
      <c r="Q340" s="36"/>
      <c r="R340" s="36"/>
      <c r="S340" s="36"/>
      <c r="T340" s="36"/>
      <c r="U340" s="36"/>
    </row>
    <row r="341" spans="15:21" ht="15" customHeight="1" x14ac:dyDescent="0.2">
      <c r="Q341" s="36"/>
      <c r="R341" s="36"/>
    </row>
    <row r="344" spans="15:21" ht="15" customHeight="1" x14ac:dyDescent="0.2">
      <c r="O344" s="36"/>
      <c r="P344" s="36"/>
    </row>
    <row r="345" spans="15:21" ht="15" customHeight="1" x14ac:dyDescent="0.2">
      <c r="O345" s="36"/>
      <c r="P345" s="36"/>
      <c r="S345" s="36"/>
      <c r="T345" s="36"/>
      <c r="U345" s="36"/>
    </row>
    <row r="346" spans="15:21" ht="15" customHeight="1" x14ac:dyDescent="0.2">
      <c r="Q346" s="36"/>
      <c r="R346" s="36"/>
      <c r="S346" s="36"/>
      <c r="T346" s="36"/>
      <c r="U346" s="36"/>
    </row>
    <row r="347" spans="15:21" ht="15" customHeight="1" x14ac:dyDescent="0.2">
      <c r="Q347" s="36"/>
      <c r="R347" s="36"/>
    </row>
  </sheetData>
  <mergeCells count="6">
    <mergeCell ref="C49:J51"/>
    <mergeCell ref="C44:J45"/>
    <mergeCell ref="C46:J47"/>
    <mergeCell ref="C38:J39"/>
    <mergeCell ref="C34:J36"/>
    <mergeCell ref="C41:J42"/>
  </mergeCells>
  <printOptions horizontalCentered="1"/>
  <pageMargins left="0.25" right="0.25" top="0.75" bottom="0.75" header="0.3" footer="0.3"/>
  <pageSetup paperSize="3" scale="7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723F-F740-49FF-A1DC-1AFB75D24C22}">
  <sheetPr>
    <tabColor theme="6" tint="0.79998168889431442"/>
    <pageSetUpPr fitToPage="1"/>
  </sheetPr>
  <dimension ref="A1:Q76"/>
  <sheetViews>
    <sheetView topLeftCell="A2" zoomScale="70" zoomScaleNormal="70" zoomScaleSheetLayoutView="55" workbookViewId="0">
      <selection activeCell="E20" sqref="E20"/>
    </sheetView>
  </sheetViews>
  <sheetFormatPr defaultRowHeight="15" x14ac:dyDescent="0.25"/>
  <cols>
    <col min="1" max="1" width="3.5703125" style="178" customWidth="1"/>
    <col min="2" max="6" width="20.7109375" style="178" customWidth="1"/>
    <col min="7" max="7" width="10.7109375" style="178" customWidth="1"/>
    <col min="8" max="8" width="49" style="178" customWidth="1"/>
    <col min="9" max="9" width="33.7109375" style="178" bestFit="1" customWidth="1"/>
    <col min="10" max="11" width="34.7109375" style="178" bestFit="1" customWidth="1"/>
    <col min="12" max="13" width="30.28515625" style="178" bestFit="1" customWidth="1"/>
    <col min="14" max="14" width="19.85546875" style="178" customWidth="1"/>
    <col min="15" max="17" width="19.85546875" style="390" customWidth="1"/>
    <col min="18" max="16384" width="9.140625" style="178"/>
  </cols>
  <sheetData>
    <row r="1" spans="2:17" x14ac:dyDescent="0.25">
      <c r="B1" s="419">
        <v>1</v>
      </c>
      <c r="C1" s="419">
        <v>2</v>
      </c>
      <c r="D1" s="419">
        <v>3</v>
      </c>
      <c r="E1" s="419">
        <v>4</v>
      </c>
      <c r="F1" s="419">
        <v>5</v>
      </c>
    </row>
    <row r="2" spans="2:17" x14ac:dyDescent="0.25">
      <c r="B2" s="9" t="s">
        <v>681</v>
      </c>
      <c r="C2" s="9"/>
      <c r="D2" s="9"/>
      <c r="E2" s="9"/>
      <c r="F2" s="9"/>
      <c r="G2" s="9"/>
      <c r="H2" s="9"/>
      <c r="I2" s="9"/>
      <c r="J2" s="9"/>
      <c r="K2" s="9"/>
      <c r="L2" s="9"/>
      <c r="M2" s="9"/>
    </row>
    <row r="3" spans="2:17" ht="15.75" thickBot="1" x14ac:dyDescent="0.3">
      <c r="N3" s="12"/>
      <c r="O3" s="12"/>
      <c r="P3" s="12"/>
      <c r="Q3" s="12"/>
    </row>
    <row r="4" spans="2:17" ht="35.1" customHeight="1" x14ac:dyDescent="0.25">
      <c r="B4" s="488" t="s">
        <v>0</v>
      </c>
      <c r="C4" s="488" t="s">
        <v>153</v>
      </c>
      <c r="D4" s="488" t="s">
        <v>154</v>
      </c>
      <c r="E4" s="488" t="s">
        <v>105</v>
      </c>
      <c r="F4" s="534" t="s">
        <v>1</v>
      </c>
      <c r="G4" s="533"/>
      <c r="I4" s="12"/>
      <c r="J4" s="12"/>
      <c r="K4" s="12"/>
      <c r="L4" s="12"/>
      <c r="M4" s="12"/>
      <c r="N4" s="12"/>
      <c r="O4" s="12"/>
      <c r="P4" s="12"/>
      <c r="Q4" s="12"/>
    </row>
    <row r="5" spans="2:17" ht="35.1" customHeight="1" thickBot="1" x14ac:dyDescent="0.3">
      <c r="B5" s="489"/>
      <c r="C5" s="489"/>
      <c r="D5" s="489"/>
      <c r="E5" s="489"/>
      <c r="F5" s="535"/>
      <c r="G5" s="533"/>
      <c r="H5" s="161" t="s">
        <v>106</v>
      </c>
      <c r="I5" s="202"/>
      <c r="N5" s="12"/>
      <c r="O5" s="12"/>
      <c r="P5" s="12"/>
      <c r="Q5" s="12"/>
    </row>
    <row r="6" spans="2:17" x14ac:dyDescent="0.25">
      <c r="B6" s="205">
        <f>Assumptions!D8</f>
        <v>2028</v>
      </c>
      <c r="C6" s="137" cm="1">
        <f t="array" ref="C6">IF(B6&lt;=Assumptions!$D$9,IF(B6+1&lt;=Assumptions!$D$29,TREND($I$32:$J$32,$I$31:$J$31,B6),0),0)</f>
        <v>384372.6988323424</v>
      </c>
      <c r="D6" s="204">
        <f t="shared" ref="D6:D35" si="0">TREND($I$33:$J$33,$I$31:$J$31,B6)</f>
        <v>383696.21692249924</v>
      </c>
      <c r="E6" s="204">
        <f t="shared" ref="E6:E35" si="1">C6-D6</f>
        <v>676.4819098431617</v>
      </c>
      <c r="F6" s="203">
        <f>E6*(1+0.07)^-(B6-Assumptions!$D$4)</f>
        <v>393.71863060226559</v>
      </c>
      <c r="G6" s="189"/>
      <c r="H6" s="416" t="s">
        <v>168</v>
      </c>
      <c r="I6" s="407" t="s">
        <v>23</v>
      </c>
      <c r="J6" s="407" t="s">
        <v>24</v>
      </c>
      <c r="K6" s="407" t="s">
        <v>25</v>
      </c>
      <c r="L6" s="416" t="s">
        <v>26</v>
      </c>
      <c r="M6" s="416" t="s">
        <v>27</v>
      </c>
      <c r="N6" s="12"/>
      <c r="O6" s="12"/>
      <c r="P6" s="12"/>
      <c r="Q6" s="12"/>
    </row>
    <row r="7" spans="2:17" x14ac:dyDescent="0.25">
      <c r="B7" s="198">
        <f t="shared" ref="B7:B35" si="2">B6+1</f>
        <v>2029</v>
      </c>
      <c r="C7" s="196" cm="1">
        <f t="array" ref="C7">IF(B7&lt;=Assumptions!$D$9,IF(B7+1&lt;=Assumptions!$D$29,TREND($I$32:$J$32,$I$31:$J$31,B7),0),0)</f>
        <v>389812.59308217652</v>
      </c>
      <c r="D7" s="196">
        <f t="shared" si="0"/>
        <v>389126.5371571593</v>
      </c>
      <c r="E7" s="196">
        <f t="shared" si="1"/>
        <v>686.05592501722276</v>
      </c>
      <c r="F7" s="195">
        <f>E7*(1+0.07)^-(B7-Assumptions!$D$4)</f>
        <v>373.16896691664761</v>
      </c>
      <c r="G7" s="189"/>
      <c r="H7" s="416" t="s">
        <v>74</v>
      </c>
      <c r="I7" s="407">
        <v>12837400</v>
      </c>
      <c r="J7" s="407">
        <v>554800</v>
      </c>
      <c r="K7" s="407">
        <v>151100</v>
      </c>
      <c r="L7" s="407">
        <v>77200</v>
      </c>
      <c r="M7" s="407">
        <v>4600</v>
      </c>
      <c r="N7" s="12"/>
      <c r="O7" s="12"/>
      <c r="P7" s="12"/>
      <c r="Q7" s="12"/>
    </row>
    <row r="8" spans="2:17" x14ac:dyDescent="0.25">
      <c r="B8" s="198">
        <f t="shared" si="2"/>
        <v>2030</v>
      </c>
      <c r="C8" s="196" cm="1">
        <f t="array" ref="C8">IF(B8&lt;=Assumptions!$D$9,IF(B8+1&lt;=Assumptions!$D$29,TREND($I$32:$J$32,$I$31:$J$31,B8),0),0)</f>
        <v>395252.4873320125</v>
      </c>
      <c r="D8" s="196">
        <f t="shared" si="0"/>
        <v>394556.85739181936</v>
      </c>
      <c r="E8" s="196">
        <f t="shared" si="1"/>
        <v>695.62994019314647</v>
      </c>
      <c r="F8" s="195">
        <f>E8*(1+0.07)^-(B8-Assumptions!$D$4)</f>
        <v>353.62298768490211</v>
      </c>
      <c r="G8" s="189"/>
      <c r="H8" s="12"/>
      <c r="I8" s="202"/>
      <c r="N8" s="12"/>
      <c r="O8" s="12"/>
      <c r="P8" s="12"/>
      <c r="Q8" s="12"/>
    </row>
    <row r="9" spans="2:17" x14ac:dyDescent="0.25">
      <c r="B9" s="198">
        <f t="shared" si="2"/>
        <v>2031</v>
      </c>
      <c r="C9" s="200" cm="1">
        <f t="array" ref="C9">IF(B9&lt;=Assumptions!$D$9,IF(B9+1&lt;=Assumptions!$D$29,TREND($I$32:$J$32,$I$31:$J$31,B9),0),0)</f>
        <v>400692.38158184662</v>
      </c>
      <c r="D9" s="197">
        <f t="shared" si="0"/>
        <v>399987.17762647942</v>
      </c>
      <c r="E9" s="196">
        <f t="shared" si="1"/>
        <v>705.20395536720753</v>
      </c>
      <c r="F9" s="195">
        <f>E9*(1+0.07)^-(B9-Assumptions!$D$4)</f>
        <v>335.03731917899347</v>
      </c>
      <c r="G9" s="189"/>
      <c r="H9" s="9" t="s">
        <v>616</v>
      </c>
      <c r="I9" s="242"/>
      <c r="J9" s="242"/>
      <c r="K9" s="346"/>
      <c r="L9" s="242"/>
      <c r="M9" s="242"/>
    </row>
    <row r="10" spans="2:17" ht="15" customHeight="1" x14ac:dyDescent="0.25">
      <c r="B10" s="198">
        <f t="shared" si="2"/>
        <v>2032</v>
      </c>
      <c r="C10" s="200" cm="1">
        <f t="array" ref="C10">IF(B10&lt;=Assumptions!$D$9,IF(B10+1&lt;=Assumptions!$D$29,TREND($I$32:$J$32,$I$31:$J$31,B10),0),0)</f>
        <v>406132.27583168074</v>
      </c>
      <c r="D10" s="197">
        <f t="shared" si="0"/>
        <v>405417.49786113761</v>
      </c>
      <c r="E10" s="196">
        <f t="shared" si="1"/>
        <v>714.77797054313123</v>
      </c>
      <c r="F10" s="195">
        <f>E10*(1+0.07)^-(B10-Assumptions!$D$4)</f>
        <v>317.36996712297224</v>
      </c>
      <c r="G10" s="189"/>
      <c r="H10" s="408" t="s">
        <v>72</v>
      </c>
      <c r="I10" s="416" t="s">
        <v>102</v>
      </c>
      <c r="J10" s="416" t="s">
        <v>660</v>
      </c>
      <c r="K10" s="416" t="s">
        <v>170</v>
      </c>
      <c r="L10" s="406" t="s">
        <v>665</v>
      </c>
      <c r="M10" s="242"/>
    </row>
    <row r="11" spans="2:17" ht="14.25" customHeight="1" x14ac:dyDescent="0.25">
      <c r="B11" s="198">
        <f t="shared" si="2"/>
        <v>2033</v>
      </c>
      <c r="C11" s="200" cm="1">
        <f t="array" ref="C11">IF(B11&lt;=Assumptions!$D$9,IF(B11+1&lt;=Assumptions!$D$29,TREND($I$32:$J$32,$I$31:$J$31,B11),0),0)</f>
        <v>411572.17008151673</v>
      </c>
      <c r="D11" s="197">
        <f t="shared" si="0"/>
        <v>410847.81809579767</v>
      </c>
      <c r="E11" s="196">
        <f t="shared" si="1"/>
        <v>724.35198571905494</v>
      </c>
      <c r="F11" s="195">
        <f>E11*(1+0.07)^-(B11-Assumptions!$D$4)</f>
        <v>300.58032183087352</v>
      </c>
      <c r="G11" s="189"/>
      <c r="H11" s="405" t="s">
        <v>182</v>
      </c>
      <c r="I11" s="404">
        <v>400</v>
      </c>
      <c r="J11" s="403">
        <f>EXP(-4.55*(I11/5280))</f>
        <v>0.70843499821641265</v>
      </c>
      <c r="K11" s="403" t="s">
        <v>664</v>
      </c>
      <c r="L11" s="402" t="s">
        <v>666</v>
      </c>
      <c r="M11" s="242"/>
    </row>
    <row r="12" spans="2:17" ht="14.25" customHeight="1" x14ac:dyDescent="0.25">
      <c r="B12" s="198">
        <f t="shared" si="2"/>
        <v>2034</v>
      </c>
      <c r="C12" s="200" cm="1">
        <f t="array" ref="C12">IF(B12&lt;=Assumptions!$D$9,IF(B12+1&lt;=Assumptions!$D$29,TREND($I$32:$J$32,$I$31:$J$31,B12),0),0)</f>
        <v>417012.06433135085</v>
      </c>
      <c r="D12" s="197">
        <f t="shared" si="0"/>
        <v>416278.13833045773</v>
      </c>
      <c r="E12" s="196">
        <f t="shared" si="1"/>
        <v>733.926000893116</v>
      </c>
      <c r="F12" s="195">
        <f>E12*(1+0.07)^-(B12-Assumptions!$D$4)</f>
        <v>284.62915677724698</v>
      </c>
      <c r="G12" s="189"/>
      <c r="H12" s="405" t="s">
        <v>181</v>
      </c>
      <c r="I12" s="404">
        <v>600</v>
      </c>
      <c r="J12" s="403">
        <f>EXP(-4.55*(I12/5280))</f>
        <v>0.59627968339594772</v>
      </c>
      <c r="K12" s="403" t="s">
        <v>664</v>
      </c>
      <c r="L12" s="402" t="s">
        <v>666</v>
      </c>
      <c r="M12" s="242"/>
      <c r="N12" s="12"/>
      <c r="O12" s="12"/>
      <c r="P12" s="12"/>
      <c r="Q12" s="12"/>
    </row>
    <row r="13" spans="2:17" s="12" customFormat="1" x14ac:dyDescent="0.25">
      <c r="B13" s="198">
        <f t="shared" si="2"/>
        <v>2035</v>
      </c>
      <c r="C13" s="200" cm="1">
        <f t="array" ref="C13">IF(B13&lt;=Assumptions!$D$9,IF(B13+1&lt;=Assumptions!$D$29,TREND($I$32:$J$32,$I$31:$J$31,B13),0),0)</f>
        <v>422451.95858118683</v>
      </c>
      <c r="D13" s="197">
        <f t="shared" si="0"/>
        <v>421708.45856511779</v>
      </c>
      <c r="E13" s="196">
        <f t="shared" si="1"/>
        <v>743.5000160690397</v>
      </c>
      <c r="F13" s="195">
        <f>E13*(1+0.07)^-(B13-Assumptions!$D$4)</f>
        <v>269.47862142825392</v>
      </c>
      <c r="G13" s="189"/>
      <c r="H13" s="242"/>
      <c r="I13" s="242"/>
      <c r="J13" s="242"/>
      <c r="K13" s="242"/>
      <c r="L13" s="10"/>
      <c r="M13" s="242"/>
      <c r="N13" s="178"/>
      <c r="O13" s="390"/>
      <c r="P13" s="390"/>
      <c r="Q13" s="390"/>
    </row>
    <row r="14" spans="2:17" ht="15" customHeight="1" x14ac:dyDescent="0.25">
      <c r="B14" s="198">
        <f t="shared" si="2"/>
        <v>2036</v>
      </c>
      <c r="C14" s="196" cm="1">
        <f t="array" ref="C14">IF(B14&lt;=Assumptions!$D$9,IF(B14+1&lt;=Assumptions!$D$29,TREND($I$32:$J$32,$I$31:$J$31,B14),0),0)</f>
        <v>427891.85283102095</v>
      </c>
      <c r="D14" s="197">
        <f t="shared" si="0"/>
        <v>427138.77879977785</v>
      </c>
      <c r="E14" s="196">
        <f t="shared" si="1"/>
        <v>753.07403124310076</v>
      </c>
      <c r="F14" s="195">
        <f>E14*(1+0.07)^-(B14-Assumptions!$D$4)</f>
        <v>255.09222908419432</v>
      </c>
      <c r="G14" s="189"/>
      <c r="H14" s="242"/>
      <c r="I14" s="242" t="s">
        <v>667</v>
      </c>
      <c r="J14" s="242"/>
      <c r="K14" s="242"/>
      <c r="L14" s="242"/>
    </row>
    <row r="15" spans="2:17" x14ac:dyDescent="0.25">
      <c r="B15" s="198">
        <f t="shared" si="2"/>
        <v>2037</v>
      </c>
      <c r="C15" s="196" cm="1">
        <f t="array" ref="C15">IF(B15&lt;=Assumptions!$D$9,IF(B15+1&lt;=Assumptions!$D$29,TREND($I$32:$J$32,$I$31:$J$31,B15),0),0)</f>
        <v>433331.74708085507</v>
      </c>
      <c r="D15" s="197">
        <f t="shared" si="0"/>
        <v>432569.09903443791</v>
      </c>
      <c r="E15" s="196">
        <f t="shared" si="1"/>
        <v>762.64804641716182</v>
      </c>
      <c r="F15" s="195">
        <f>E15*(1+0.07)^-(B15-Assumptions!$D$4)</f>
        <v>241.4348404331574</v>
      </c>
      <c r="G15" s="189"/>
      <c r="H15" s="242"/>
      <c r="I15" s="242"/>
      <c r="J15" s="242"/>
      <c r="K15" s="242"/>
      <c r="L15" s="242"/>
      <c r="N15" s="12"/>
      <c r="O15" s="12"/>
      <c r="P15" s="12"/>
      <c r="Q15" s="12"/>
    </row>
    <row r="16" spans="2:17" x14ac:dyDescent="0.25">
      <c r="B16" s="198">
        <f t="shared" si="2"/>
        <v>2038</v>
      </c>
      <c r="C16" s="196" cm="1">
        <f t="array" ref="C16">IF(B16&lt;=Assumptions!$D$9,IF(B16+1&lt;=Assumptions!$D$29,TREND($I$32:$J$32,$I$31:$J$31,B16),0),0)</f>
        <v>438771.64133069105</v>
      </c>
      <c r="D16" s="197">
        <f t="shared" si="0"/>
        <v>437999.41926909797</v>
      </c>
      <c r="E16" s="196">
        <f t="shared" si="1"/>
        <v>772.22206159308553</v>
      </c>
      <c r="F16" s="195">
        <f>E16*(1+0.07)^-(B16-Assumptions!$D$4)</f>
        <v>228.47264341286873</v>
      </c>
      <c r="G16" s="189"/>
      <c r="H16" s="242"/>
      <c r="I16" s="242"/>
      <c r="J16" s="242"/>
      <c r="K16" s="242"/>
      <c r="L16" s="242"/>
      <c r="N16" s="12"/>
      <c r="O16" s="12"/>
      <c r="P16" s="12"/>
      <c r="Q16" s="12"/>
    </row>
    <row r="17" spans="1:17" x14ac:dyDescent="0.25">
      <c r="B17" s="198">
        <f t="shared" si="2"/>
        <v>2039</v>
      </c>
      <c r="C17" s="196" cm="1">
        <f t="array" ref="C17">IF(B17&lt;=Assumptions!$D$9,IF(B17+1&lt;=Assumptions!$D$29,TREND($I$32:$J$32,$I$31:$J$31,B17),0),0)</f>
        <v>444211.53558052517</v>
      </c>
      <c r="D17" s="197">
        <f t="shared" si="0"/>
        <v>443429.73950375617</v>
      </c>
      <c r="E17" s="196">
        <f t="shared" si="1"/>
        <v>781.79607676900923</v>
      </c>
      <c r="F17" s="195">
        <f>E17*(1+0.07)^-(B17-Assumptions!$D$4)</f>
        <v>216.17312994181304</v>
      </c>
      <c r="G17" s="189"/>
      <c r="H17" s="242"/>
      <c r="I17" s="242"/>
      <c r="J17" s="242"/>
      <c r="K17" s="242"/>
      <c r="L17" s="242"/>
      <c r="N17" s="12"/>
      <c r="O17" s="12"/>
      <c r="P17" s="12"/>
      <c r="Q17" s="12"/>
    </row>
    <row r="18" spans="1:17" x14ac:dyDescent="0.25">
      <c r="B18" s="198">
        <f t="shared" si="2"/>
        <v>2040</v>
      </c>
      <c r="C18" s="196" cm="1">
        <f t="array" ref="C18">IF(B18&lt;=Assumptions!$D$9,IF(B18+1&lt;=Assumptions!$D$29,TREND($I$32:$J$32,$I$31:$J$31,B18),0),0)</f>
        <v>449651.4298303593</v>
      </c>
      <c r="D18" s="197">
        <f t="shared" si="0"/>
        <v>448860.05973841622</v>
      </c>
      <c r="E18" s="196">
        <f t="shared" si="1"/>
        <v>791.37009194307029</v>
      </c>
      <c r="F18" s="195">
        <f>E18*(1+0.07)^-(B18-Assumptions!$D$4)</f>
        <v>204.50507001664781</v>
      </c>
      <c r="G18" s="189"/>
      <c r="H18" s="242"/>
      <c r="I18" s="242"/>
      <c r="J18" s="242"/>
      <c r="K18" s="242"/>
      <c r="L18" s="242"/>
    </row>
    <row r="19" spans="1:17" ht="15" customHeight="1" x14ac:dyDescent="0.25">
      <c r="B19" s="198">
        <f t="shared" si="2"/>
        <v>2041</v>
      </c>
      <c r="C19" s="196" cm="1">
        <f t="array" ref="C19">IF(B19&lt;=Assumptions!$D$9,IF(B19+1&lt;=Assumptions!$D$29,TREND($I$32:$J$32,$I$31:$J$31,B19),0),0)</f>
        <v>455091.32408019528</v>
      </c>
      <c r="D19" s="197">
        <f t="shared" si="0"/>
        <v>454290.37997307628</v>
      </c>
      <c r="E19" s="196">
        <f t="shared" si="1"/>
        <v>800.944107118994</v>
      </c>
      <c r="F19" s="195">
        <f>E19*(1+0.07)^-(B19-Assumptions!$D$4)</f>
        <v>193.43848361806997</v>
      </c>
      <c r="G19" s="189"/>
    </row>
    <row r="20" spans="1:17" x14ac:dyDescent="0.25">
      <c r="B20" s="198">
        <f t="shared" si="2"/>
        <v>2042</v>
      </c>
      <c r="C20" s="196" cm="1">
        <f t="array" ref="C20">IF(B20&lt;=Assumptions!$D$9,IF(B20+1&lt;=Assumptions!$D$29,TREND($I$32:$J$32,$I$31:$J$31,B20),0),0)</f>
        <v>460531.2183300294</v>
      </c>
      <c r="D20" s="197">
        <f t="shared" si="0"/>
        <v>459720.70020773634</v>
      </c>
      <c r="E20" s="196">
        <f t="shared" si="1"/>
        <v>810.51812229305506</v>
      </c>
      <c r="F20" s="195">
        <f>E20*(1+0.07)^-(B20-Assumptions!$D$4)</f>
        <v>182.9446108180108</v>
      </c>
      <c r="G20" s="189"/>
    </row>
    <row r="21" spans="1:17" x14ac:dyDescent="0.25">
      <c r="B21" s="198">
        <f t="shared" si="2"/>
        <v>2043</v>
      </c>
      <c r="C21" s="196" cm="1">
        <f t="array" ref="C21">IF(B21&lt;=Assumptions!$D$9,IF(B21+1&lt;=Assumptions!$D$29,TREND($I$32:$J$32,$I$31:$J$31,B21),0),0)</f>
        <v>465971.11257986352</v>
      </c>
      <c r="D21" s="197">
        <f t="shared" si="0"/>
        <v>465151.0204423964</v>
      </c>
      <c r="E21" s="196">
        <f t="shared" si="1"/>
        <v>820.09213746711612</v>
      </c>
      <c r="F21" s="195">
        <f>E21*(1+0.07)^-(B21-Assumptions!$D$4)</f>
        <v>172.99588045460141</v>
      </c>
      <c r="G21" s="189"/>
    </row>
    <row r="22" spans="1:17" x14ac:dyDescent="0.25">
      <c r="B22" s="198">
        <f t="shared" si="2"/>
        <v>2044</v>
      </c>
      <c r="C22" s="196" cm="1">
        <f t="array" ref="C22">IF(B22&lt;=Assumptions!$D$9,IF(B22+1&lt;=Assumptions!$D$29,TREND($I$32:$J$32,$I$31:$J$31,B22),0),0)</f>
        <v>471411.0068296995</v>
      </c>
      <c r="D22" s="197">
        <f t="shared" si="0"/>
        <v>470581.34067705646</v>
      </c>
      <c r="E22" s="196">
        <f t="shared" si="1"/>
        <v>829.66615264303982</v>
      </c>
      <c r="F22" s="195">
        <f>E22*(1+0.07)^-(B22-Assumptions!$D$4)</f>
        <v>163.56587767949745</v>
      </c>
      <c r="G22" s="189"/>
    </row>
    <row r="23" spans="1:17" ht="14.25" customHeight="1" x14ac:dyDescent="0.25">
      <c r="B23" s="198">
        <f t="shared" si="2"/>
        <v>2045</v>
      </c>
      <c r="C23" s="196" cm="1">
        <f t="array" ref="C23">IF(B23&lt;=Assumptions!$D$9,IF(B23+1&lt;=Assumptions!$D$29,TREND($I$32:$J$32,$I$31:$J$31,B23),0),0)</f>
        <v>476850.90107953362</v>
      </c>
      <c r="D23" s="197">
        <f t="shared" si="0"/>
        <v>476011.66091171466</v>
      </c>
      <c r="E23" s="196">
        <f t="shared" si="1"/>
        <v>839.24016781896353</v>
      </c>
      <c r="F23" s="195">
        <f>E23*(1+0.07)^-(B23-Assumptions!$D$4)</f>
        <v>154.62931066427035</v>
      </c>
      <c r="G23" s="189"/>
    </row>
    <row r="24" spans="1:17" x14ac:dyDescent="0.25">
      <c r="B24" s="198">
        <f t="shared" si="2"/>
        <v>2046</v>
      </c>
      <c r="C24" s="196" cm="1">
        <f t="array" ref="C24">IF(B24&lt;=Assumptions!$D$9,IF(B24+1&lt;=Assumptions!$D$29,TREND($I$32:$J$32,$I$31:$J$31,B24),0),0)</f>
        <v>0</v>
      </c>
      <c r="D24" s="197">
        <f t="shared" si="0"/>
        <v>481441.98114637472</v>
      </c>
      <c r="E24" s="196">
        <f t="shared" si="1"/>
        <v>-481441.98114637472</v>
      </c>
      <c r="F24" s="195">
        <f>E24*(1+0.07)^-(B24-Assumptions!$D$4)</f>
        <v>-82902.139299903851</v>
      </c>
      <c r="G24" s="189"/>
      <c r="H24" s="9" t="s">
        <v>680</v>
      </c>
      <c r="I24" s="242"/>
      <c r="J24" s="242"/>
      <c r="K24" s="242"/>
      <c r="L24" s="242"/>
      <c r="M24" s="242"/>
    </row>
    <row r="25" spans="1:17" ht="15" customHeight="1" x14ac:dyDescent="0.25">
      <c r="B25" s="198">
        <f t="shared" si="2"/>
        <v>2047</v>
      </c>
      <c r="C25" s="196" cm="1">
        <f t="array" ref="C25">IF(B25&lt;=Assumptions!$D$9,IF(B25+1&lt;=Assumptions!$D$29,TREND($I$32:$J$32,$I$31:$J$31,B25),0),0)</f>
        <v>0</v>
      </c>
      <c r="D25" s="197">
        <f t="shared" si="0"/>
        <v>486872.30138103478</v>
      </c>
      <c r="E25" s="196">
        <f t="shared" si="1"/>
        <v>-486872.30138103478</v>
      </c>
      <c r="F25" s="195">
        <f>E25*(1+0.07)^-(B25-Assumptions!$D$4)</f>
        <v>-78352.538289645905</v>
      </c>
      <c r="G25" s="189"/>
      <c r="H25" s="408" t="s">
        <v>100</v>
      </c>
      <c r="I25" s="416" t="s">
        <v>23</v>
      </c>
      <c r="J25" s="416" t="s">
        <v>24</v>
      </c>
      <c r="K25" s="416" t="s">
        <v>25</v>
      </c>
      <c r="L25" s="416" t="s">
        <v>26</v>
      </c>
      <c r="M25" s="416" t="s">
        <v>101</v>
      </c>
    </row>
    <row r="26" spans="1:17" x14ac:dyDescent="0.25">
      <c r="B26" s="198">
        <f t="shared" si="2"/>
        <v>2048</v>
      </c>
      <c r="C26" s="196" cm="1">
        <f t="array" ref="C26">IF(B26&lt;=Assumptions!$D$9,IF(B26+1&lt;=Assumptions!$D$29,TREND($I$32:$J$32,$I$31:$J$31,B26),0),0)</f>
        <v>0</v>
      </c>
      <c r="D26" s="197">
        <f t="shared" si="0"/>
        <v>492302.62161569484</v>
      </c>
      <c r="E26" s="196">
        <f t="shared" si="1"/>
        <v>-492302.62161569484</v>
      </c>
      <c r="F26" s="195">
        <f>E26*(1+0.07)^-(B26-Assumptions!$D$4)</f>
        <v>-74043.403476232343</v>
      </c>
      <c r="G26" s="189"/>
      <c r="H26" s="405" t="s">
        <v>600</v>
      </c>
      <c r="I26" s="404">
        <v>0</v>
      </c>
      <c r="J26" s="404">
        <v>0</v>
      </c>
      <c r="K26" s="404">
        <v>0</v>
      </c>
      <c r="L26" s="404">
        <v>0</v>
      </c>
      <c r="M26" s="404">
        <v>1</v>
      </c>
    </row>
    <row r="27" spans="1:17" x14ac:dyDescent="0.25">
      <c r="B27" s="198">
        <f t="shared" si="2"/>
        <v>2049</v>
      </c>
      <c r="C27" s="196" cm="1">
        <f t="array" ref="C27">IF(B27&lt;=Assumptions!$D$9,IF(B27+1&lt;=Assumptions!$D$29,TREND($I$32:$J$32,$I$31:$J$31,B27),0),0)</f>
        <v>0</v>
      </c>
      <c r="D27" s="197">
        <f t="shared" si="0"/>
        <v>497732.94185035489</v>
      </c>
      <c r="E27" s="196">
        <f t="shared" si="1"/>
        <v>-497732.94185035489</v>
      </c>
      <c r="F27" s="195">
        <f>E27*(1+0.07)^-(B27-Assumptions!$D$4)</f>
        <v>-69962.74360161701</v>
      </c>
      <c r="H27" s="405" t="s">
        <v>601</v>
      </c>
      <c r="I27" s="404">
        <v>0</v>
      </c>
      <c r="J27" s="404">
        <v>0</v>
      </c>
      <c r="K27" s="404">
        <v>0</v>
      </c>
      <c r="L27" s="404">
        <v>0</v>
      </c>
      <c r="M27" s="404">
        <v>0</v>
      </c>
    </row>
    <row r="28" spans="1:17" ht="15" customHeight="1" x14ac:dyDescent="0.25">
      <c r="A28" s="10"/>
      <c r="B28" s="198">
        <f t="shared" si="2"/>
        <v>2050</v>
      </c>
      <c r="C28" s="196" cm="1">
        <f t="array" ref="C28">IF(B28&lt;=Assumptions!$D$9,IF(B28+1&lt;=Assumptions!$D$29,TREND($I$32:$J$32,$I$31:$J$31,B28),0),0)</f>
        <v>0</v>
      </c>
      <c r="D28" s="197">
        <f t="shared" si="0"/>
        <v>503163.26208501495</v>
      </c>
      <c r="E28" s="196">
        <f t="shared" si="1"/>
        <v>-503163.26208501495</v>
      </c>
      <c r="F28" s="195">
        <f>E28*(1+0.07)^-(B28-Assumptions!$D$4)</f>
        <v>-66099.107198207741</v>
      </c>
      <c r="H28" s="405" t="s">
        <v>243</v>
      </c>
      <c r="I28" s="404">
        <v>0</v>
      </c>
      <c r="J28" s="404">
        <v>0</v>
      </c>
      <c r="K28" s="404">
        <v>0</v>
      </c>
      <c r="L28" s="404">
        <v>4</v>
      </c>
      <c r="M28" s="404">
        <v>9</v>
      </c>
    </row>
    <row r="29" spans="1:17" ht="15" customHeight="1" x14ac:dyDescent="0.25">
      <c r="A29" s="10"/>
      <c r="B29" s="198">
        <f t="shared" si="2"/>
        <v>2051</v>
      </c>
      <c r="C29" s="196" cm="1">
        <f t="array" ref="C29">IF(B29&lt;=Assumptions!$D$9,IF(B29+1&lt;=Assumptions!$D$29,TREND($I$32:$J$32,$I$31:$J$31,B29),0),0)</f>
        <v>0</v>
      </c>
      <c r="D29" s="197">
        <f t="shared" si="0"/>
        <v>508593.58231967501</v>
      </c>
      <c r="E29" s="196">
        <f t="shared" si="1"/>
        <v>-508593.58231967501</v>
      </c>
      <c r="F29" s="195">
        <f>E29*(1+0.07)^-(B29-Assumptions!$D$4)</f>
        <v>-62441.563282860981</v>
      </c>
      <c r="H29" s="349"/>
      <c r="I29" s="349"/>
      <c r="J29" s="349"/>
      <c r="K29" s="349"/>
      <c r="L29" s="349"/>
      <c r="M29" s="349"/>
    </row>
    <row r="30" spans="1:17" x14ac:dyDescent="0.25">
      <c r="A30" s="242"/>
      <c r="B30" s="198">
        <f t="shared" si="2"/>
        <v>2052</v>
      </c>
      <c r="C30" s="196" cm="1">
        <f t="array" ref="C30">IF(B30&lt;=Assumptions!$D$9,IF(B30+1&lt;=Assumptions!$D$29,TREND($I$32:$J$32,$I$31:$J$31,B30),0),0)</f>
        <v>0</v>
      </c>
      <c r="D30" s="197">
        <f t="shared" si="0"/>
        <v>514023.90255433321</v>
      </c>
      <c r="E30" s="196">
        <f t="shared" si="1"/>
        <v>-514023.90255433321</v>
      </c>
      <c r="F30" s="195">
        <f>E30*(1+0.07)^-(B30-Assumptions!$D$4)</f>
        <v>-58979.682266673539</v>
      </c>
      <c r="H30" s="243" t="s">
        <v>183</v>
      </c>
      <c r="I30" s="242"/>
      <c r="J30" s="242"/>
      <c r="K30" s="350"/>
      <c r="L30" s="350"/>
      <c r="M30" s="350"/>
    </row>
    <row r="31" spans="1:17" ht="15" customHeight="1" x14ac:dyDescent="0.25">
      <c r="A31" s="242"/>
      <c r="B31" s="198">
        <f t="shared" si="2"/>
        <v>2053</v>
      </c>
      <c r="C31" s="196" cm="1">
        <f t="array" ref="C31">IF(B31&lt;=Assumptions!$D$9,IF(B31+1&lt;=Assumptions!$D$29,TREND($I$32:$J$32,$I$31:$J$31,B31),0),0)</f>
        <v>0</v>
      </c>
      <c r="D31" s="197">
        <f t="shared" si="0"/>
        <v>519454.22278899327</v>
      </c>
      <c r="E31" s="196">
        <f t="shared" si="1"/>
        <v>-519454.22278899327</v>
      </c>
      <c r="F31" s="195">
        <f>E31*(1+0.07)^-(B31-Assumptions!$D$4)</f>
        <v>-55703.517134964299</v>
      </c>
      <c r="H31" s="401" t="s">
        <v>77</v>
      </c>
      <c r="I31" s="416">
        <v>2022</v>
      </c>
      <c r="J31" s="416">
        <v>2042</v>
      </c>
      <c r="K31" s="350"/>
      <c r="L31" s="350"/>
      <c r="M31" s="350"/>
    </row>
    <row r="32" spans="1:17" ht="15" customHeight="1" x14ac:dyDescent="0.25">
      <c r="A32" s="10"/>
      <c r="B32" s="198">
        <f t="shared" si="2"/>
        <v>2054</v>
      </c>
      <c r="C32" s="196" cm="1">
        <f t="array" ref="C32">IF(B32&lt;=Assumptions!$D$9,IF(B32+1&lt;=Assumptions!$D$29,TREND($I$32:$J$32,$I$31:$J$31,B32),0),0)</f>
        <v>0</v>
      </c>
      <c r="D32" s="197">
        <f t="shared" si="0"/>
        <v>524884.54302365333</v>
      </c>
      <c r="E32" s="196">
        <f t="shared" si="1"/>
        <v>-524884.54302365333</v>
      </c>
      <c r="F32" s="195">
        <f>E32*(1+0.07)^-(B32-Assumptions!$D$4)</f>
        <v>-52603.584943794267</v>
      </c>
      <c r="H32" s="401" t="s">
        <v>46</v>
      </c>
      <c r="I32" s="400">
        <f>(SUMPRODUCT($I$7:$M$7,$I$27:$M$27)/3)+(SUMPRODUCT($I$7:$M$7,$I$26:$M$26)/3)+SUMPRODUCT($I$7:$M$7,$I$28:$M$28)</f>
        <v>351733.33333333331</v>
      </c>
      <c r="J32" s="400">
        <f>I32+(I32*(J31-I31)*Assumptions!$D$27)</f>
        <v>460531.21833002858</v>
      </c>
      <c r="K32" s="242"/>
      <c r="L32" s="242"/>
    </row>
    <row r="33" spans="1:17" ht="15" customHeight="1" x14ac:dyDescent="0.25">
      <c r="B33" s="198">
        <f t="shared" si="2"/>
        <v>2055</v>
      </c>
      <c r="C33" s="196" cm="1">
        <f t="array" ref="C33">IF(B33&lt;=Assumptions!$D$9,IF(B33+1&lt;=Assumptions!$D$29,TREND($I$32:$J$32,$I$31:$J$31,B33),0),0)</f>
        <v>0</v>
      </c>
      <c r="D33" s="197">
        <f t="shared" si="0"/>
        <v>530314.86325831339</v>
      </c>
      <c r="E33" s="196">
        <f t="shared" si="1"/>
        <v>-530314.86325831339</v>
      </c>
      <c r="F33" s="195">
        <f>E33*(1+0.07)^-(B33-Assumptions!$D$4)</f>
        <v>-49670.848672159511</v>
      </c>
      <c r="H33" s="401" t="s">
        <v>15</v>
      </c>
      <c r="I33" s="400">
        <f>(SUMPRODUCT($I$7:$M$7,$I$27:$M$27)/3)+($J$12*SUMPRODUCT($I$7:$M$7,$I$26:$M$26)/3)+SUMPRODUCT($I$7:$M$7,$I$28:$M$28)</f>
        <v>351114.29551454046</v>
      </c>
      <c r="J33" s="400">
        <f>I33+(I33*(J31-I31)*Assumptions!$D$27)</f>
        <v>459720.70020773605</v>
      </c>
      <c r="K33" s="242"/>
      <c r="L33" s="242"/>
    </row>
    <row r="34" spans="1:17" ht="15" customHeight="1" x14ac:dyDescent="0.25">
      <c r="B34" s="198">
        <f t="shared" si="2"/>
        <v>2056</v>
      </c>
      <c r="C34" s="196" cm="1">
        <f t="array" ref="C34">IF(B34&lt;=Assumptions!$D$9,IF(B34+1&lt;=Assumptions!$D$29,TREND($I$32:$J$32,$I$31:$J$31,B34),0),0)</f>
        <v>0</v>
      </c>
      <c r="D34" s="197">
        <f t="shared" si="0"/>
        <v>535745.18349297345</v>
      </c>
      <c r="E34" s="196">
        <f t="shared" si="1"/>
        <v>-535745.18349297345</v>
      </c>
      <c r="F34" s="195">
        <f>E34*(1+0.07)^-(B34-Assumptions!$D$4)</f>
        <v>-46896.699462509474</v>
      </c>
    </row>
    <row r="35" spans="1:17" ht="15.75" thickBot="1" x14ac:dyDescent="0.3">
      <c r="A35" s="10"/>
      <c r="B35" s="194">
        <f t="shared" si="2"/>
        <v>2057</v>
      </c>
      <c r="C35" s="192" cm="1">
        <f t="array" ref="C35">IF(B35&lt;=Assumptions!$D$9,IF(B35+1&lt;=Assumptions!$D$29,TREND($I$32:$J$32,$I$31:$J$31,B35),0),0)</f>
        <v>0</v>
      </c>
      <c r="D35" s="193">
        <f t="shared" si="0"/>
        <v>541175.50372763351</v>
      </c>
      <c r="E35" s="192">
        <f t="shared" si="1"/>
        <v>-541175.50372763351</v>
      </c>
      <c r="F35" s="191">
        <f>E35*(1+0.07)^-(B35-Assumptions!$D$4)</f>
        <v>-44272.939276452751</v>
      </c>
      <c r="H35" s="9" t="s">
        <v>682</v>
      </c>
      <c r="L35" s="242"/>
    </row>
    <row r="36" spans="1:17" ht="17.25" customHeight="1" thickBot="1" x14ac:dyDescent="0.3">
      <c r="B36" s="4"/>
      <c r="C36" s="4"/>
      <c r="D36" s="4"/>
      <c r="E36" s="80" t="s">
        <v>2</v>
      </c>
      <c r="F36" s="190">
        <f>SUM(F6:F35)</f>
        <v>-737287.90885735641</v>
      </c>
      <c r="L36" s="242"/>
    </row>
    <row r="37" spans="1:17" ht="14.25" customHeight="1" x14ac:dyDescent="0.25">
      <c r="B37" s="177"/>
      <c r="C37" s="177"/>
      <c r="D37" s="177"/>
      <c r="E37" s="177"/>
      <c r="F37" s="177"/>
      <c r="L37" s="242"/>
    </row>
    <row r="38" spans="1:17" ht="15" customHeight="1" x14ac:dyDescent="0.25">
      <c r="B38" s="177"/>
      <c r="C38" s="177"/>
      <c r="D38" s="177"/>
      <c r="E38" s="177"/>
      <c r="F38" s="177"/>
      <c r="L38" s="242"/>
    </row>
    <row r="39" spans="1:17" ht="15" customHeight="1" x14ac:dyDescent="0.25">
      <c r="B39" s="81"/>
      <c r="C39" s="81"/>
      <c r="D39" s="81"/>
      <c r="E39" s="81"/>
      <c r="F39" s="81"/>
      <c r="L39" s="242"/>
    </row>
    <row r="40" spans="1:17" x14ac:dyDescent="0.25">
      <c r="A40" s="24"/>
      <c r="B40" s="26" t="s">
        <v>3</v>
      </c>
      <c r="C40" s="26"/>
      <c r="D40" s="26"/>
      <c r="E40" s="24"/>
      <c r="F40" s="24"/>
      <c r="G40" s="189"/>
      <c r="H40" s="242"/>
      <c r="I40" s="242"/>
      <c r="J40" s="242"/>
      <c r="K40" s="242"/>
      <c r="L40" s="242"/>
      <c r="M40" s="222"/>
    </row>
    <row r="41" spans="1:17" ht="15" customHeight="1" x14ac:dyDescent="0.25">
      <c r="A41" s="30" t="s">
        <v>21</v>
      </c>
      <c r="B41" s="501" t="s">
        <v>654</v>
      </c>
      <c r="C41" s="501"/>
      <c r="D41" s="501"/>
      <c r="E41" s="501"/>
      <c r="F41" s="501"/>
      <c r="H41" s="222"/>
      <c r="I41" s="222"/>
      <c r="J41" s="222"/>
      <c r="K41" s="222"/>
      <c r="L41" s="242"/>
      <c r="M41" s="222"/>
    </row>
    <row r="42" spans="1:17" ht="15" customHeight="1" x14ac:dyDescent="0.25">
      <c r="A42" s="24"/>
      <c r="B42" s="501"/>
      <c r="C42" s="501"/>
      <c r="D42" s="501"/>
      <c r="E42" s="501"/>
      <c r="F42" s="501"/>
      <c r="K42" s="222"/>
      <c r="L42" s="242"/>
      <c r="M42" s="222"/>
      <c r="N42" s="12"/>
      <c r="O42" s="12"/>
      <c r="P42" s="12"/>
      <c r="Q42" s="12"/>
    </row>
    <row r="43" spans="1:17" ht="15" customHeight="1" x14ac:dyDescent="0.25">
      <c r="A43" s="30"/>
      <c r="B43" s="501"/>
      <c r="C43" s="501"/>
      <c r="D43" s="501"/>
      <c r="E43" s="501"/>
      <c r="F43" s="501"/>
      <c r="K43" s="222"/>
      <c r="L43" s="222"/>
      <c r="M43" s="222"/>
    </row>
    <row r="44" spans="1:17" ht="15" customHeight="1" x14ac:dyDescent="0.25">
      <c r="A44" s="24"/>
      <c r="B44" s="501"/>
      <c r="C44" s="501"/>
      <c r="D44" s="501"/>
      <c r="E44" s="501"/>
      <c r="F44" s="501"/>
    </row>
    <row r="45" spans="1:17" x14ac:dyDescent="0.25">
      <c r="A45" s="24"/>
      <c r="B45" s="501"/>
      <c r="C45" s="501"/>
      <c r="D45" s="501"/>
      <c r="E45" s="501"/>
      <c r="F45" s="501"/>
      <c r="G45" s="9"/>
      <c r="K45" s="242"/>
      <c r="L45" s="242"/>
    </row>
    <row r="46" spans="1:17" ht="15" customHeight="1" x14ac:dyDescent="0.25">
      <c r="A46" s="222"/>
      <c r="B46" s="222"/>
      <c r="C46" s="222"/>
      <c r="D46" s="222"/>
      <c r="E46" s="222"/>
      <c r="F46" s="222"/>
      <c r="G46" s="65"/>
      <c r="H46" s="242"/>
      <c r="I46" s="242"/>
      <c r="J46" s="242"/>
      <c r="K46" s="242"/>
      <c r="L46" s="242"/>
    </row>
    <row r="47" spans="1:17" x14ac:dyDescent="0.25">
      <c r="A47" s="30" t="s">
        <v>28</v>
      </c>
      <c r="B47" s="492" t="s">
        <v>663</v>
      </c>
      <c r="C47" s="492"/>
      <c r="D47" s="492"/>
      <c r="E47" s="492"/>
      <c r="F47" s="492"/>
      <c r="G47" s="65"/>
      <c r="H47" s="242"/>
      <c r="I47" s="242"/>
      <c r="J47" s="242"/>
      <c r="K47" s="242"/>
      <c r="L47" s="242"/>
    </row>
    <row r="48" spans="1:17" x14ac:dyDescent="0.25">
      <c r="A48" s="222"/>
      <c r="B48" s="492"/>
      <c r="C48" s="492"/>
      <c r="D48" s="492"/>
      <c r="E48" s="492"/>
      <c r="F48" s="492"/>
      <c r="G48" s="65"/>
      <c r="H48" s="242"/>
      <c r="I48" s="242"/>
      <c r="J48" s="242"/>
      <c r="K48" s="242"/>
      <c r="L48" s="242"/>
    </row>
    <row r="49" spans="1:12" ht="15" customHeight="1" x14ac:dyDescent="0.25">
      <c r="A49" s="222"/>
      <c r="B49" s="492"/>
      <c r="C49" s="492"/>
      <c r="D49" s="492"/>
      <c r="E49" s="492"/>
      <c r="F49" s="492"/>
      <c r="G49" s="65"/>
      <c r="H49" s="242"/>
      <c r="I49" s="242"/>
      <c r="J49" s="242"/>
      <c r="K49" s="242"/>
      <c r="L49" s="242"/>
    </row>
    <row r="50" spans="1:12" x14ac:dyDescent="0.25">
      <c r="A50" s="222"/>
      <c r="B50" s="492"/>
      <c r="C50" s="492"/>
      <c r="D50" s="492"/>
      <c r="E50" s="492"/>
      <c r="F50" s="492"/>
      <c r="G50" s="65"/>
    </row>
    <row r="51" spans="1:12" x14ac:dyDescent="0.25">
      <c r="A51" s="222"/>
      <c r="B51" s="492"/>
      <c r="C51" s="492"/>
      <c r="D51" s="492"/>
      <c r="E51" s="492"/>
      <c r="F51" s="492"/>
      <c r="G51" s="65"/>
    </row>
    <row r="52" spans="1:12" x14ac:dyDescent="0.25">
      <c r="A52" s="222"/>
      <c r="B52" s="492"/>
      <c r="C52" s="492"/>
      <c r="D52" s="492"/>
      <c r="E52" s="492"/>
      <c r="F52" s="492"/>
    </row>
    <row r="53" spans="1:12" ht="15" customHeight="1" x14ac:dyDescent="0.25">
      <c r="A53" s="222"/>
      <c r="B53" s="222"/>
      <c r="C53" s="222"/>
      <c r="D53" s="222"/>
      <c r="E53" s="222"/>
      <c r="F53" s="222"/>
      <c r="G53" s="65"/>
    </row>
    <row r="54" spans="1:12" x14ac:dyDescent="0.25">
      <c r="A54" s="30" t="s">
        <v>29</v>
      </c>
      <c r="B54" s="509" t="s">
        <v>658</v>
      </c>
      <c r="C54" s="509"/>
      <c r="D54" s="509"/>
      <c r="E54" s="509"/>
      <c r="F54" s="509"/>
      <c r="G54" s="65"/>
    </row>
    <row r="55" spans="1:12" ht="15" customHeight="1" x14ac:dyDescent="0.25">
      <c r="A55" s="24"/>
      <c r="B55" s="509"/>
      <c r="C55" s="509"/>
      <c r="D55" s="509"/>
      <c r="E55" s="509"/>
      <c r="F55" s="509"/>
      <c r="G55" s="65"/>
    </row>
    <row r="56" spans="1:12" x14ac:dyDescent="0.25">
      <c r="A56" s="24"/>
      <c r="B56" s="509"/>
      <c r="C56" s="509"/>
      <c r="D56" s="509"/>
      <c r="E56" s="509"/>
      <c r="F56" s="509"/>
    </row>
    <row r="57" spans="1:12" x14ac:dyDescent="0.25">
      <c r="A57" s="24"/>
      <c r="B57" s="509"/>
      <c r="C57" s="509"/>
      <c r="D57" s="509"/>
      <c r="E57" s="509"/>
      <c r="F57" s="509"/>
    </row>
    <row r="58" spans="1:12" x14ac:dyDescent="0.25">
      <c r="A58" s="24"/>
      <c r="B58" s="509"/>
      <c r="C58" s="509"/>
      <c r="D58" s="509"/>
      <c r="E58" s="509"/>
      <c r="F58" s="509"/>
    </row>
    <row r="59" spans="1:12" x14ac:dyDescent="0.25">
      <c r="A59" s="24"/>
      <c r="B59" s="509"/>
      <c r="C59" s="509"/>
      <c r="D59" s="509"/>
      <c r="E59" s="509"/>
      <c r="F59" s="509"/>
      <c r="H59" s="242"/>
      <c r="I59" s="242"/>
      <c r="J59" s="242"/>
      <c r="K59" s="242"/>
      <c r="L59" s="242"/>
    </row>
    <row r="60" spans="1:12" x14ac:dyDescent="0.25">
      <c r="A60" s="24"/>
      <c r="B60" s="24"/>
      <c r="C60" s="24"/>
      <c r="D60" s="24"/>
      <c r="E60" s="24"/>
      <c r="F60" s="24"/>
    </row>
    <row r="61" spans="1:12" x14ac:dyDescent="0.25">
      <c r="A61" s="30" t="s">
        <v>30</v>
      </c>
      <c r="B61" s="509" t="s">
        <v>93</v>
      </c>
      <c r="C61" s="509"/>
      <c r="D61" s="509"/>
      <c r="E61" s="509"/>
      <c r="F61" s="509"/>
    </row>
    <row r="62" spans="1:12" x14ac:dyDescent="0.25">
      <c r="A62" s="24"/>
      <c r="B62" s="509"/>
      <c r="C62" s="509"/>
      <c r="D62" s="509"/>
      <c r="E62" s="509"/>
      <c r="F62" s="509"/>
    </row>
    <row r="63" spans="1:12" x14ac:dyDescent="0.25">
      <c r="A63" s="24"/>
      <c r="B63" s="509"/>
      <c r="C63" s="509"/>
      <c r="D63" s="509"/>
      <c r="E63" s="509"/>
      <c r="F63" s="509"/>
    </row>
    <row r="64" spans="1:12" x14ac:dyDescent="0.25">
      <c r="A64" s="24"/>
      <c r="B64" s="509"/>
      <c r="C64" s="509"/>
      <c r="D64" s="509"/>
      <c r="E64" s="509"/>
      <c r="F64" s="509"/>
    </row>
    <row r="65" spans="1:6" x14ac:dyDescent="0.25">
      <c r="A65" s="24"/>
      <c r="B65" s="48"/>
      <c r="C65" s="48"/>
      <c r="D65" s="48"/>
      <c r="E65" s="24"/>
      <c r="F65" s="24"/>
    </row>
    <row r="66" spans="1:6" x14ac:dyDescent="0.25">
      <c r="A66" s="10" t="s">
        <v>31</v>
      </c>
      <c r="B66" s="508" t="s">
        <v>659</v>
      </c>
      <c r="C66" s="508"/>
      <c r="D66" s="508"/>
      <c r="E66" s="508"/>
      <c r="F66" s="508"/>
    </row>
    <row r="67" spans="1:6" x14ac:dyDescent="0.25">
      <c r="A67" s="24"/>
      <c r="B67" s="508"/>
      <c r="C67" s="508"/>
      <c r="D67" s="508"/>
      <c r="E67" s="508"/>
      <c r="F67" s="508"/>
    </row>
    <row r="68" spans="1:6" x14ac:dyDescent="0.25">
      <c r="A68" s="24"/>
      <c r="B68" s="508"/>
      <c r="C68" s="508"/>
      <c r="D68" s="508"/>
      <c r="E68" s="508"/>
      <c r="F68" s="508"/>
    </row>
    <row r="69" spans="1:6" x14ac:dyDescent="0.25">
      <c r="A69" s="24"/>
      <c r="B69" s="508"/>
      <c r="C69" s="508"/>
      <c r="D69" s="508"/>
      <c r="E69" s="508"/>
      <c r="F69" s="508"/>
    </row>
    <row r="70" spans="1:6" x14ac:dyDescent="0.25">
      <c r="A70" s="24"/>
      <c r="B70" s="508"/>
      <c r="C70" s="508"/>
      <c r="D70" s="508"/>
      <c r="E70" s="508"/>
      <c r="F70" s="508"/>
    </row>
    <row r="71" spans="1:6" x14ac:dyDescent="0.25">
      <c r="A71" s="24"/>
      <c r="B71" s="24"/>
      <c r="C71" s="24"/>
      <c r="D71" s="24"/>
      <c r="E71" s="24"/>
      <c r="F71" s="24"/>
    </row>
    <row r="72" spans="1:6" x14ac:dyDescent="0.25">
      <c r="A72" s="10" t="s">
        <v>92</v>
      </c>
      <c r="B72" s="508" t="s">
        <v>661</v>
      </c>
      <c r="C72" s="508"/>
      <c r="D72" s="508"/>
      <c r="E72" s="508"/>
      <c r="F72" s="508"/>
    </row>
    <row r="73" spans="1:6" x14ac:dyDescent="0.25">
      <c r="A73" s="10"/>
      <c r="B73" s="508"/>
      <c r="C73" s="508"/>
      <c r="D73" s="508"/>
      <c r="E73" s="508"/>
      <c r="F73" s="508"/>
    </row>
    <row r="74" spans="1:6" x14ac:dyDescent="0.25">
      <c r="A74" s="24"/>
      <c r="B74" s="508"/>
      <c r="C74" s="508"/>
      <c r="D74" s="508"/>
      <c r="E74" s="508"/>
      <c r="F74" s="508"/>
    </row>
    <row r="75" spans="1:6" x14ac:dyDescent="0.25">
      <c r="A75" s="24"/>
      <c r="B75" s="508"/>
      <c r="C75" s="508"/>
      <c r="D75" s="508"/>
      <c r="E75" s="508"/>
      <c r="F75" s="508"/>
    </row>
    <row r="76" spans="1:6" x14ac:dyDescent="0.25">
      <c r="A76" s="24"/>
      <c r="B76" s="508"/>
      <c r="C76" s="508"/>
      <c r="D76" s="508"/>
      <c r="E76" s="508"/>
      <c r="F76" s="508"/>
    </row>
  </sheetData>
  <mergeCells count="12">
    <mergeCell ref="B54:F59"/>
    <mergeCell ref="B61:F64"/>
    <mergeCell ref="B66:F70"/>
    <mergeCell ref="B72:F76"/>
    <mergeCell ref="G4:G5"/>
    <mergeCell ref="B41:F45"/>
    <mergeCell ref="B4:B5"/>
    <mergeCell ref="C4:C5"/>
    <mergeCell ref="D4:D5"/>
    <mergeCell ref="E4:E5"/>
    <mergeCell ref="F4:F5"/>
    <mergeCell ref="B47:F52"/>
  </mergeCells>
  <hyperlinks>
    <hyperlink ref="L11" r:id="rId1" xr:uid="{BADFC9FA-FE9D-401D-B642-57E4E3F24CDF}"/>
    <hyperlink ref="L12" r:id="rId2" xr:uid="{D5A3E5DB-7624-4725-A0CD-1334F281C273}"/>
  </hyperlinks>
  <pageMargins left="0.25" right="0.25" top="0.75" bottom="0.75" header="0.3" footer="0.3"/>
  <pageSetup scale="34" orientation="landscape"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508DA-DC16-471C-BC79-3B3B67D82E90}">
  <sheetPr>
    <tabColor theme="6" tint="0.79998168889431442"/>
    <pageSetUpPr fitToPage="1"/>
  </sheetPr>
  <dimension ref="A1:AJ71"/>
  <sheetViews>
    <sheetView zoomScale="70" zoomScaleNormal="70" zoomScalePageLayoutView="70" workbookViewId="0">
      <selection activeCell="D27" sqref="D27"/>
    </sheetView>
  </sheetViews>
  <sheetFormatPr defaultRowHeight="15" x14ac:dyDescent="0.25"/>
  <cols>
    <col min="1" max="1" width="7.7109375" style="24" customWidth="1"/>
    <col min="2" max="2" width="25.28515625" style="24" customWidth="1"/>
    <col min="3" max="4" width="12.85546875" style="24" customWidth="1"/>
    <col min="5" max="5" width="15.7109375" style="24" customWidth="1"/>
    <col min="6" max="7" width="20.140625" style="24" customWidth="1"/>
    <col min="8" max="13" width="45.7109375" style="24" customWidth="1"/>
    <col min="14" max="18" width="35.7109375" style="24" customWidth="1"/>
    <col min="19" max="19" width="20.7109375" style="242" customWidth="1"/>
    <col min="20" max="24" width="20.7109375" style="366" customWidth="1"/>
    <col min="25" max="25" width="3.42578125" style="366" bestFit="1" customWidth="1"/>
    <col min="26" max="31" width="9.140625" style="24"/>
    <col min="37" max="37" width="9.140625" style="24"/>
    <col min="38" max="38" width="46.28515625" style="24" bestFit="1" customWidth="1"/>
    <col min="39" max="39" width="9.140625" style="24"/>
    <col min="40" max="40" width="24.140625" style="24" bestFit="1" customWidth="1"/>
    <col min="41" max="41" width="13.42578125" style="24" bestFit="1" customWidth="1"/>
    <col min="42" max="16384" width="9.140625" style="24"/>
  </cols>
  <sheetData>
    <row r="1" spans="1:28" ht="15" customHeight="1" x14ac:dyDescent="0.25">
      <c r="A1" s="42"/>
      <c r="B1" s="419">
        <v>1</v>
      </c>
      <c r="C1" s="419">
        <v>2</v>
      </c>
      <c r="D1" s="419">
        <v>3</v>
      </c>
      <c r="E1" s="419">
        <v>4</v>
      </c>
      <c r="F1" s="419">
        <v>5</v>
      </c>
      <c r="G1" s="12"/>
    </row>
    <row r="2" spans="1:28" ht="15.75" thickBot="1" x14ac:dyDescent="0.3">
      <c r="B2" s="9" t="s">
        <v>22</v>
      </c>
      <c r="C2" s="9"/>
      <c r="D2" s="9"/>
      <c r="H2" s="242"/>
      <c r="I2" s="242"/>
      <c r="J2" s="242"/>
      <c r="K2" s="242"/>
      <c r="L2" s="242"/>
      <c r="M2" s="366"/>
      <c r="N2" s="366"/>
      <c r="O2" s="366"/>
      <c r="P2" s="366"/>
      <c r="Q2" s="366"/>
      <c r="R2" s="366"/>
    </row>
    <row r="3" spans="1:28" ht="15.75" thickBot="1" x14ac:dyDescent="0.3">
      <c r="B3" s="9"/>
      <c r="C3" s="498" t="s">
        <v>604</v>
      </c>
      <c r="D3" s="499"/>
      <c r="E3" s="499"/>
      <c r="F3" s="500"/>
      <c r="G3" s="382"/>
      <c r="H3" s="242"/>
      <c r="I3" s="242"/>
      <c r="J3" s="242"/>
      <c r="K3" s="242"/>
      <c r="L3" s="242"/>
      <c r="M3" s="366"/>
      <c r="N3" s="366"/>
      <c r="O3" s="366"/>
      <c r="P3" s="366"/>
      <c r="Q3" s="366"/>
      <c r="R3" s="366"/>
    </row>
    <row r="4" spans="1:28" ht="30" customHeight="1" x14ac:dyDescent="0.25">
      <c r="B4" s="506" t="s">
        <v>0</v>
      </c>
      <c r="C4" s="506" t="s">
        <v>70</v>
      </c>
      <c r="D4" s="506" t="s">
        <v>71</v>
      </c>
      <c r="E4" s="502" t="s">
        <v>51</v>
      </c>
      <c r="F4" s="504" t="s">
        <v>1</v>
      </c>
      <c r="G4" s="145"/>
      <c r="H4" s="242"/>
      <c r="I4" s="242"/>
      <c r="J4" s="242"/>
      <c r="K4" s="242"/>
      <c r="L4" s="242"/>
      <c r="M4" s="366"/>
      <c r="N4" s="366"/>
      <c r="O4" s="366"/>
      <c r="P4" s="366"/>
      <c r="Q4" s="366"/>
      <c r="R4" s="366"/>
    </row>
    <row r="5" spans="1:28" ht="30" customHeight="1" thickBot="1" x14ac:dyDescent="0.3">
      <c r="B5" s="507"/>
      <c r="C5" s="507"/>
      <c r="D5" s="507"/>
      <c r="E5" s="503"/>
      <c r="F5" s="505"/>
      <c r="G5" s="145"/>
      <c r="H5" s="242"/>
      <c r="I5" s="242"/>
      <c r="J5" s="242"/>
      <c r="K5" s="242"/>
      <c r="L5" s="242"/>
      <c r="M5" s="366"/>
      <c r="N5" s="366"/>
      <c r="O5" s="366"/>
      <c r="P5" s="366"/>
      <c r="Q5" s="366"/>
      <c r="R5" s="366"/>
    </row>
    <row r="6" spans="1:28" x14ac:dyDescent="0.25">
      <c r="B6" s="40">
        <f>Assumptions!$D$8</f>
        <v>2028</v>
      </c>
      <c r="C6" s="137" cm="1">
        <f t="array" ref="C6">IF(B6&gt;=Assumptions!$D$29,IF(B6+1&gt;=Assumptions!$D$29,TREND($J$69:$J$70,$H$69:$H$70,B6),0),0)</f>
        <v>0</v>
      </c>
      <c r="D6" s="137" cm="1">
        <f t="array" ref="D6">IF(B6&gt;=Assumptions!$D$29,IF(B6+1&gt;=Assumptions!$D$29,TREND($I$69:$I$70,$H$69:$H$70,B6),0),0)</f>
        <v>0</v>
      </c>
      <c r="E6" s="94">
        <f t="shared" ref="E6:E24" si="0">C6-D6</f>
        <v>0</v>
      </c>
      <c r="F6" s="92">
        <f>E6*(1+0.07)^-(B6-Assumptions!$D$4)</f>
        <v>0</v>
      </c>
      <c r="G6" s="41"/>
      <c r="H6" s="262" t="s">
        <v>106</v>
      </c>
      <c r="I6" s="366"/>
      <c r="J6" s="366"/>
      <c r="K6" s="366"/>
      <c r="L6" s="366"/>
      <c r="M6" s="366"/>
      <c r="N6" s="366"/>
      <c r="O6" s="366"/>
      <c r="P6" s="366"/>
      <c r="Q6" s="366"/>
      <c r="R6" s="366"/>
    </row>
    <row r="7" spans="1:28" x14ac:dyDescent="0.25">
      <c r="B7" s="27">
        <f>+B6+1</f>
        <v>2029</v>
      </c>
      <c r="C7" s="138" cm="1">
        <f t="array" ref="C7">IF(B7&gt;=Assumptions!$D$29,IF(B7+1&gt;=Assumptions!$D$29,TREND($J$69:$J$70,$H$69:$H$70,B7),0),0)</f>
        <v>0</v>
      </c>
      <c r="D7" s="138" cm="1">
        <f t="array" ref="D7">IF(B7&gt;=Assumptions!$D$29,IF(B7+1&gt;=Assumptions!$D$29,TREND($I$69:$I$70,$H$69:$H$70,B7),0),0)</f>
        <v>0</v>
      </c>
      <c r="E7" s="95">
        <f t="shared" si="0"/>
        <v>0</v>
      </c>
      <c r="F7" s="87">
        <f>E7*(1+0.07)^-(B7-Assumptions!$D$4)</f>
        <v>0</v>
      </c>
      <c r="G7" s="41"/>
      <c r="H7" s="416" t="s">
        <v>168</v>
      </c>
      <c r="I7" s="416" t="s">
        <v>23</v>
      </c>
      <c r="J7" s="416" t="s">
        <v>24</v>
      </c>
      <c r="K7" s="416" t="s">
        <v>25</v>
      </c>
      <c r="L7" s="416" t="s">
        <v>26</v>
      </c>
      <c r="M7" s="416" t="s">
        <v>27</v>
      </c>
      <c r="N7" s="366"/>
      <c r="O7" s="348"/>
      <c r="P7" s="222"/>
      <c r="Q7" s="222"/>
      <c r="R7" s="222"/>
      <c r="S7" s="222"/>
      <c r="T7" s="222"/>
      <c r="U7" s="222"/>
      <c r="V7" s="222"/>
      <c r="W7" s="222"/>
      <c r="X7" s="348"/>
      <c r="Y7" s="222"/>
      <c r="Z7" s="222"/>
      <c r="AA7" s="222"/>
      <c r="AB7" s="222"/>
    </row>
    <row r="8" spans="1:28" ht="15" customHeight="1" x14ac:dyDescent="0.25">
      <c r="B8" s="27">
        <f t="shared" ref="B8:B35" si="1">+B7+1</f>
        <v>2030</v>
      </c>
      <c r="C8" s="138" cm="1">
        <f t="array" ref="C8">IF(B8&gt;=Assumptions!$D$29,IF(B8+1&gt;=Assumptions!$D$29,TREND($J$69:$J$70,$H$69:$H$70,B8),0),0)</f>
        <v>0</v>
      </c>
      <c r="D8" s="138" cm="1">
        <f t="array" ref="D8">IF(B8&gt;=Assumptions!$D$29,IF(B8+1&gt;=Assumptions!$D$29,TREND($I$69:$I$70,$H$69:$H$70,B8),0),0)</f>
        <v>0</v>
      </c>
      <c r="E8" s="95">
        <f t="shared" si="0"/>
        <v>0</v>
      </c>
      <c r="F8" s="87">
        <f>E8*(1+0.07)^-(B8-Assumptions!$D$4)</f>
        <v>0</v>
      </c>
      <c r="G8" s="41"/>
      <c r="H8" s="416" t="s">
        <v>74</v>
      </c>
      <c r="I8" s="407">
        <v>12837400</v>
      </c>
      <c r="J8" s="407">
        <v>554800</v>
      </c>
      <c r="K8" s="407">
        <v>151100</v>
      </c>
      <c r="L8" s="407">
        <v>77200</v>
      </c>
      <c r="M8" s="407">
        <v>4600</v>
      </c>
      <c r="N8" s="366"/>
      <c r="O8" s="222"/>
      <c r="P8" s="222"/>
      <c r="Q8" s="222"/>
      <c r="R8" s="222"/>
      <c r="S8" s="222"/>
      <c r="T8" s="222"/>
      <c r="U8" s="222"/>
      <c r="V8" s="222"/>
      <c r="W8" s="222"/>
      <c r="X8" s="222"/>
      <c r="Y8" s="222"/>
      <c r="Z8" s="222"/>
      <c r="AA8" s="222"/>
      <c r="AB8" s="222"/>
    </row>
    <row r="9" spans="1:28" x14ac:dyDescent="0.25">
      <c r="B9" s="27">
        <f t="shared" si="1"/>
        <v>2031</v>
      </c>
      <c r="C9" s="138" cm="1">
        <f t="array" ref="C9">IF(B9&gt;=Assumptions!$D$29,IF(B9+1&gt;=Assumptions!$D$29,TREND($J$69:$J$70,$H$69:$H$70,B9),0),0)</f>
        <v>0</v>
      </c>
      <c r="D9" s="138" cm="1">
        <f t="array" ref="D9">IF(B9&gt;=Assumptions!$D$29,IF(B9+1&gt;=Assumptions!$D$29,TREND($I$69:$I$70,$H$69:$H$70,B9),0),0)</f>
        <v>0</v>
      </c>
      <c r="E9" s="95">
        <f t="shared" si="0"/>
        <v>0</v>
      </c>
      <c r="F9" s="87">
        <f>E9*(1+0.07)^-(B9-Assumptions!$D$4)</f>
        <v>0</v>
      </c>
      <c r="G9" s="41"/>
      <c r="N9" s="366"/>
      <c r="O9" s="348" t="s">
        <v>234</v>
      </c>
      <c r="P9" s="372"/>
      <c r="Q9" s="372"/>
      <c r="R9" s="372"/>
      <c r="S9" s="372"/>
      <c r="T9" s="372"/>
      <c r="U9" s="222"/>
      <c r="V9" s="222"/>
      <c r="W9" s="222"/>
      <c r="X9" s="222"/>
      <c r="Y9" s="222"/>
      <c r="Z9" s="222"/>
      <c r="AA9" s="222"/>
      <c r="AB9" s="222"/>
    </row>
    <row r="10" spans="1:28" x14ac:dyDescent="0.25">
      <c r="B10" s="27">
        <f t="shared" si="1"/>
        <v>2032</v>
      </c>
      <c r="C10" s="138" cm="1">
        <f t="array" ref="C10">IF(B10&gt;=Assumptions!$D$29,IF(B10+1&gt;=Assumptions!$D$29,TREND($J$69:$J$70,$H$69:$H$70,B10),0),0)</f>
        <v>0</v>
      </c>
      <c r="D10" s="138" cm="1">
        <f t="array" ref="D10">IF(B10&gt;=Assumptions!$D$29,IF(B10+1&gt;=Assumptions!$D$29,TREND($I$69:$I$70,$H$69:$H$70,B10),0),0)</f>
        <v>0</v>
      </c>
      <c r="E10" s="95">
        <f t="shared" si="0"/>
        <v>0</v>
      </c>
      <c r="F10" s="87">
        <f>E10*(1+0.07)^-(B10-Assumptions!$D$4)</f>
        <v>0</v>
      </c>
      <c r="G10" s="41"/>
      <c r="H10" s="9" t="s">
        <v>632</v>
      </c>
      <c r="I10" s="366"/>
      <c r="J10" s="366"/>
      <c r="K10" s="366"/>
      <c r="L10" s="366"/>
      <c r="M10" s="366"/>
      <c r="N10" s="366"/>
      <c r="O10" s="372"/>
      <c r="P10" s="372"/>
      <c r="Q10" s="372"/>
      <c r="R10" s="372"/>
      <c r="S10" s="372"/>
      <c r="T10" s="372"/>
      <c r="U10" s="222"/>
      <c r="V10" s="222"/>
      <c r="W10" s="222"/>
      <c r="X10" s="222"/>
      <c r="Y10" s="222"/>
      <c r="Z10" s="222"/>
      <c r="AA10" s="222"/>
      <c r="AB10" s="222"/>
    </row>
    <row r="11" spans="1:28" x14ac:dyDescent="0.25">
      <c r="B11" s="27">
        <f t="shared" si="1"/>
        <v>2033</v>
      </c>
      <c r="C11" s="138" cm="1">
        <f t="array" ref="C11">IF(B11&gt;=Assumptions!$D$29,IF(B11+1&gt;=Assumptions!$D$29,TREND($J$69:$J$70,$H$69:$H$70,B11),0),0)</f>
        <v>0</v>
      </c>
      <c r="D11" s="138" cm="1">
        <f t="array" ref="D11">IF(B11&gt;=Assumptions!$D$29,IF(B11+1&gt;=Assumptions!$D$29,TREND($I$69:$I$70,$H$69:$H$70,B11),0),0)</f>
        <v>0</v>
      </c>
      <c r="E11" s="95">
        <f t="shared" si="0"/>
        <v>0</v>
      </c>
      <c r="F11" s="87">
        <f>E11*(1+0.07)^-(B11-Assumptions!$D$4)</f>
        <v>0</v>
      </c>
      <c r="G11" s="41"/>
      <c r="H11" s="416" t="s">
        <v>630</v>
      </c>
      <c r="I11" s="416" t="s">
        <v>630</v>
      </c>
      <c r="J11" s="416" t="s">
        <v>624</v>
      </c>
      <c r="K11" s="416" t="s">
        <v>620</v>
      </c>
      <c r="L11" s="366"/>
      <c r="M11" s="366"/>
      <c r="N11" s="366"/>
      <c r="O11" s="372"/>
      <c r="P11" s="372"/>
      <c r="Q11" s="372"/>
      <c r="R11" s="372"/>
      <c r="S11" s="372"/>
      <c r="T11" s="372"/>
      <c r="U11" s="222"/>
      <c r="V11" s="222"/>
      <c r="W11" s="222"/>
      <c r="X11" s="222"/>
      <c r="Y11" s="222"/>
      <c r="Z11" s="222"/>
      <c r="AA11" s="222"/>
      <c r="AB11" s="222"/>
    </row>
    <row r="12" spans="1:28" x14ac:dyDescent="0.25">
      <c r="B12" s="27">
        <f t="shared" si="1"/>
        <v>2034</v>
      </c>
      <c r="C12" s="138" cm="1">
        <f t="array" ref="C12">IF(B12&gt;=Assumptions!$D$29,IF(B12+1&gt;=Assumptions!$D$29,TREND($J$69:$J$70,$H$69:$H$70,B12),0),0)</f>
        <v>0</v>
      </c>
      <c r="D12" s="138" cm="1">
        <f t="array" ref="D12">IF(B12&gt;=Assumptions!$D$29,IF(B12+1&gt;=Assumptions!$D$29,TREND($I$69:$I$70,$H$69:$H$70,B12),0),0)</f>
        <v>0</v>
      </c>
      <c r="E12" s="95">
        <f t="shared" si="0"/>
        <v>0</v>
      </c>
      <c r="F12" s="87">
        <f>E12*(1+0.07)^-(B12-Assumptions!$D$4)</f>
        <v>0</v>
      </c>
      <c r="G12" s="41"/>
      <c r="H12" s="399">
        <v>460</v>
      </c>
      <c r="I12" s="399">
        <v>460</v>
      </c>
      <c r="J12" s="399">
        <v>1286</v>
      </c>
      <c r="K12" s="398">
        <f t="shared" ref="K12:K19" si="2">H12*J12*365/5280</f>
        <v>40893.82575757576</v>
      </c>
      <c r="L12" s="366"/>
      <c r="M12" s="366"/>
      <c r="N12" s="366"/>
      <c r="O12" s="372"/>
      <c r="P12" s="372"/>
      <c r="Q12" s="372"/>
      <c r="R12" s="372"/>
      <c r="S12" s="372"/>
      <c r="T12" s="372"/>
      <c r="U12" s="222"/>
      <c r="V12" s="222"/>
      <c r="W12" s="222"/>
      <c r="X12" s="222"/>
      <c r="Y12" s="222"/>
      <c r="Z12" s="222"/>
      <c r="AA12" s="222"/>
      <c r="AB12" s="222"/>
    </row>
    <row r="13" spans="1:28" x14ac:dyDescent="0.25">
      <c r="B13" s="27">
        <f t="shared" si="1"/>
        <v>2035</v>
      </c>
      <c r="C13" s="138" cm="1">
        <f t="array" ref="C13">IF(B13&gt;=Assumptions!$D$29,IF(B13+1&gt;=Assumptions!$D$29,TREND($J$69:$J$70,$H$69:$H$70,B13),0),0)</f>
        <v>0</v>
      </c>
      <c r="D13" s="138" cm="1">
        <f t="array" ref="D13">IF(B13&gt;=Assumptions!$D$29,IF(B13+1&gt;=Assumptions!$D$29,TREND($I$69:$I$70,$H$69:$H$70,B13),0),0)</f>
        <v>0</v>
      </c>
      <c r="E13" s="95">
        <f t="shared" si="0"/>
        <v>0</v>
      </c>
      <c r="F13" s="87">
        <f>E13*(1+0.07)^-(B13-Assumptions!$D$4)</f>
        <v>0</v>
      </c>
      <c r="G13" s="41"/>
      <c r="H13" s="383">
        <v>2660</v>
      </c>
      <c r="I13" s="383">
        <f>H13/2</f>
        <v>1330</v>
      </c>
      <c r="J13" s="383">
        <v>2080</v>
      </c>
      <c r="K13" s="384">
        <f t="shared" si="2"/>
        <v>382475.75757575757</v>
      </c>
      <c r="L13" s="366"/>
      <c r="M13" s="366"/>
      <c r="N13" s="366"/>
      <c r="O13" s="372"/>
      <c r="P13" s="372"/>
      <c r="Q13" s="372"/>
      <c r="R13" s="372"/>
      <c r="S13" s="372"/>
      <c r="T13" s="372"/>
      <c r="U13" s="222"/>
      <c r="V13" s="222"/>
      <c r="W13" s="222"/>
      <c r="X13" s="222"/>
      <c r="Y13" s="222"/>
      <c r="Z13" s="222"/>
      <c r="AA13" s="222"/>
      <c r="AB13" s="222"/>
    </row>
    <row r="14" spans="1:28" x14ac:dyDescent="0.25">
      <c r="B14" s="27">
        <f t="shared" si="1"/>
        <v>2036</v>
      </c>
      <c r="C14" s="138" cm="1">
        <f t="array" ref="C14">IF(B14&gt;=Assumptions!$D$29,IF(B14+1&gt;=Assumptions!$D$29,TREND($J$69:$J$70,$H$69:$H$70,B14),0),0)</f>
        <v>0</v>
      </c>
      <c r="D14" s="138" cm="1">
        <f t="array" ref="D14">IF(B14&gt;=Assumptions!$D$29,IF(B14+1&gt;=Assumptions!$D$29,TREND($I$69:$I$70,$H$69:$H$70,B14),0),0)</f>
        <v>0</v>
      </c>
      <c r="E14" s="95">
        <f t="shared" si="0"/>
        <v>0</v>
      </c>
      <c r="F14" s="87">
        <f>E14*(1+0.07)^-(B14-Assumptions!$D$4)</f>
        <v>0</v>
      </c>
      <c r="G14" s="41"/>
      <c r="H14" s="383">
        <v>1609</v>
      </c>
      <c r="I14" s="383">
        <f t="shared" ref="I14:I18" si="3">H14/2</f>
        <v>804.5</v>
      </c>
      <c r="J14" s="383">
        <v>15747</v>
      </c>
      <c r="K14" s="384">
        <f t="shared" si="2"/>
        <v>1751510.7755681819</v>
      </c>
      <c r="L14" s="366"/>
      <c r="M14" s="366"/>
      <c r="N14" s="366"/>
      <c r="O14" s="372"/>
      <c r="P14" s="372"/>
      <c r="Q14" s="372"/>
      <c r="R14" s="372"/>
      <c r="S14" s="372"/>
      <c r="T14" s="372"/>
      <c r="U14" s="222"/>
      <c r="V14" s="222"/>
      <c r="W14" s="222"/>
      <c r="X14" s="222"/>
      <c r="Y14" s="222"/>
      <c r="Z14" s="222"/>
      <c r="AA14" s="222"/>
      <c r="AB14" s="222"/>
    </row>
    <row r="15" spans="1:28" x14ac:dyDescent="0.25">
      <c r="B15" s="27">
        <f t="shared" si="1"/>
        <v>2037</v>
      </c>
      <c r="C15" s="138" cm="1">
        <f t="array" ref="C15">IF(B15&gt;=Assumptions!$D$29,IF(B15+1&gt;=Assumptions!$D$29,TREND($J$69:$J$70,$H$69:$H$70,B15),0),0)</f>
        <v>0</v>
      </c>
      <c r="D15" s="138" cm="1">
        <f t="array" ref="D15">IF(B15&gt;=Assumptions!$D$29,IF(B15+1&gt;=Assumptions!$D$29,TREND($I$69:$I$70,$H$69:$H$70,B15),0),0)</f>
        <v>0</v>
      </c>
      <c r="E15" s="95">
        <f t="shared" si="0"/>
        <v>0</v>
      </c>
      <c r="F15" s="87">
        <f>E15*(1+0.07)^-(B15-Assumptions!$D$4)</f>
        <v>0</v>
      </c>
      <c r="G15" s="41"/>
      <c r="H15" s="383">
        <v>2105</v>
      </c>
      <c r="I15" s="383">
        <f t="shared" si="3"/>
        <v>1052.5</v>
      </c>
      <c r="J15" s="383">
        <v>10559</v>
      </c>
      <c r="K15" s="384">
        <f t="shared" si="2"/>
        <v>1536504.4839015151</v>
      </c>
      <c r="L15" s="366"/>
      <c r="M15" s="366"/>
      <c r="N15" s="366"/>
      <c r="O15" s="372"/>
      <c r="P15" s="372"/>
      <c r="Q15" s="372"/>
      <c r="R15" s="372"/>
      <c r="S15" s="372"/>
      <c r="T15" s="372"/>
      <c r="U15" s="222"/>
      <c r="V15" s="222"/>
      <c r="W15" s="222"/>
      <c r="X15" s="222"/>
      <c r="Y15" s="222"/>
      <c r="Z15" s="222"/>
      <c r="AA15" s="222"/>
      <c r="AB15" s="222"/>
    </row>
    <row r="16" spans="1:28" x14ac:dyDescent="0.25">
      <c r="B16" s="27">
        <f t="shared" si="1"/>
        <v>2038</v>
      </c>
      <c r="C16" s="138" cm="1">
        <f t="array" ref="C16">IF(B16&gt;=Assumptions!$D$29,IF(B16+1&gt;=Assumptions!$D$29,TREND($J$69:$J$70,$H$69:$H$70,B16),0),0)</f>
        <v>0</v>
      </c>
      <c r="D16" s="138" cm="1">
        <f t="array" ref="D16">IF(B16&gt;=Assumptions!$D$29,IF(B16+1&gt;=Assumptions!$D$29,TREND($I$69:$I$70,$H$69:$H$70,B16),0),0)</f>
        <v>0</v>
      </c>
      <c r="E16" s="95">
        <f t="shared" si="0"/>
        <v>0</v>
      </c>
      <c r="F16" s="87">
        <f>E16*(1+0.07)^-(B16-Assumptions!$D$4)</f>
        <v>0</v>
      </c>
      <c r="G16" s="41"/>
      <c r="H16" s="383">
        <v>4060</v>
      </c>
      <c r="I16" s="383">
        <f t="shared" si="3"/>
        <v>2030</v>
      </c>
      <c r="J16" s="383">
        <v>10615</v>
      </c>
      <c r="K16" s="384">
        <f t="shared" si="2"/>
        <v>2979236.4583333335</v>
      </c>
      <c r="L16" s="366"/>
      <c r="M16" s="366"/>
      <c r="N16" s="366"/>
      <c r="O16" s="372"/>
      <c r="P16" s="372"/>
      <c r="Q16" s="372"/>
      <c r="R16" s="372"/>
      <c r="S16" s="372"/>
      <c r="T16" s="372"/>
      <c r="U16" s="222"/>
      <c r="V16" s="222"/>
      <c r="W16" s="222"/>
      <c r="X16" s="372"/>
      <c r="Y16" s="222"/>
      <c r="Z16" s="222"/>
      <c r="AA16" s="222"/>
      <c r="AB16" s="222"/>
    </row>
    <row r="17" spans="1:32" x14ac:dyDescent="0.25">
      <c r="B17" s="27">
        <f t="shared" si="1"/>
        <v>2039</v>
      </c>
      <c r="C17" s="138" cm="1">
        <f t="array" ref="C17">IF(B17&gt;=Assumptions!$D$29,IF(B17+1&gt;=Assumptions!$D$29,TREND($J$69:$J$70,$H$69:$H$70,B17),0),0)</f>
        <v>0</v>
      </c>
      <c r="D17" s="138" cm="1">
        <f t="array" ref="D17">IF(B17&gt;=Assumptions!$D$29,IF(B17+1&gt;=Assumptions!$D$29,TREND($I$69:$I$70,$H$69:$H$70,B17),0),0)</f>
        <v>0</v>
      </c>
      <c r="E17" s="95">
        <f t="shared" si="0"/>
        <v>0</v>
      </c>
      <c r="F17" s="87">
        <f>E17*(1+0.07)^-(B17-Assumptions!$D$4)</f>
        <v>0</v>
      </c>
      <c r="G17" s="41"/>
      <c r="H17" s="383">
        <v>6365</v>
      </c>
      <c r="I17" s="383">
        <f t="shared" si="3"/>
        <v>3182.5</v>
      </c>
      <c r="J17" s="383">
        <v>2444</v>
      </c>
      <c r="K17" s="384">
        <f t="shared" si="2"/>
        <v>1075371.571969697</v>
      </c>
      <c r="L17" s="366"/>
      <c r="M17" s="366"/>
      <c r="N17" s="366"/>
      <c r="O17" s="372"/>
      <c r="P17" s="372"/>
      <c r="Q17" s="372"/>
      <c r="R17" s="372"/>
      <c r="S17" s="372"/>
      <c r="T17" s="372"/>
      <c r="U17" s="222"/>
      <c r="V17" s="222"/>
      <c r="W17" s="222"/>
      <c r="X17" s="372"/>
      <c r="Y17" s="222"/>
      <c r="Z17" s="222"/>
      <c r="AA17" s="222"/>
      <c r="AB17" s="222"/>
    </row>
    <row r="18" spans="1:32" x14ac:dyDescent="0.25">
      <c r="B18" s="27">
        <f t="shared" si="1"/>
        <v>2040</v>
      </c>
      <c r="C18" s="138" cm="1">
        <f t="array" ref="C18">IF(B18&gt;=Assumptions!$D$29,IF(B18+1&gt;=Assumptions!$D$29,TREND($J$69:$J$70,$H$69:$H$70,B18),0),0)</f>
        <v>0</v>
      </c>
      <c r="D18" s="138" cm="1">
        <f t="array" ref="D18">IF(B18&gt;=Assumptions!$D$29,IF(B18+1&gt;=Assumptions!$D$29,TREND($I$69:$I$70,$H$69:$H$70,B18),0),0)</f>
        <v>0</v>
      </c>
      <c r="E18" s="95">
        <f t="shared" si="0"/>
        <v>0</v>
      </c>
      <c r="F18" s="87">
        <f>E18*(1+0.07)^-(B18-Assumptions!$D$4)</f>
        <v>0</v>
      </c>
      <c r="G18" s="41"/>
      <c r="H18" s="383">
        <v>10210</v>
      </c>
      <c r="I18" s="383">
        <f t="shared" si="3"/>
        <v>5105</v>
      </c>
      <c r="J18" s="383">
        <v>1153</v>
      </c>
      <c r="K18" s="384">
        <f t="shared" si="2"/>
        <v>813793.07765151514</v>
      </c>
      <c r="L18" s="366"/>
      <c r="M18" s="366"/>
      <c r="N18" s="366"/>
      <c r="O18" s="372"/>
      <c r="P18" s="372"/>
      <c r="Q18" s="372"/>
      <c r="R18" s="372"/>
      <c r="S18" s="372"/>
      <c r="T18" s="372"/>
      <c r="U18" s="222"/>
      <c r="V18" s="222"/>
      <c r="W18" s="222"/>
      <c r="X18" s="372"/>
      <c r="Y18" s="222"/>
      <c r="Z18" s="222"/>
      <c r="AA18" s="222"/>
      <c r="AB18" s="222"/>
    </row>
    <row r="19" spans="1:32" x14ac:dyDescent="0.25">
      <c r="B19" s="27">
        <f t="shared" si="1"/>
        <v>2041</v>
      </c>
      <c r="C19" s="138" cm="1">
        <f t="array" ref="C19">IF(B19&gt;=Assumptions!$D$29,IF(B19+1&gt;=Assumptions!$D$29,TREND($J$69:$J$70,$H$69:$H$70,B19),0),0)</f>
        <v>0</v>
      </c>
      <c r="D19" s="138" cm="1">
        <f t="array" ref="D19">IF(B19&gt;=Assumptions!$D$29,IF(B19+1&gt;=Assumptions!$D$29,TREND($I$69:$I$70,$H$69:$H$70,B19),0),0)</f>
        <v>0</v>
      </c>
      <c r="E19" s="95">
        <f t="shared" si="0"/>
        <v>0</v>
      </c>
      <c r="F19" s="87">
        <f>E19*(1+0.07)^-(B19-Assumptions!$D$4)</f>
        <v>0</v>
      </c>
      <c r="G19" s="41"/>
      <c r="H19" s="399">
        <v>5645</v>
      </c>
      <c r="I19" s="399">
        <v>5645</v>
      </c>
      <c r="J19" s="399">
        <v>1747</v>
      </c>
      <c r="K19" s="398">
        <f t="shared" si="2"/>
        <v>681735.31723484851</v>
      </c>
      <c r="L19" s="366"/>
      <c r="M19" s="366"/>
      <c r="N19" s="366"/>
      <c r="O19" s="372"/>
      <c r="P19" s="372"/>
      <c r="Q19" s="372"/>
      <c r="R19" s="372"/>
      <c r="S19" s="372"/>
      <c r="T19" s="372"/>
      <c r="U19" s="222"/>
      <c r="V19" s="222"/>
      <c r="W19" s="222"/>
      <c r="X19" s="372"/>
      <c r="Y19" s="222"/>
      <c r="Z19" s="222"/>
      <c r="AA19" s="222"/>
      <c r="AB19" s="222"/>
    </row>
    <row r="20" spans="1:32" x14ac:dyDescent="0.25">
      <c r="B20" s="27">
        <f t="shared" si="1"/>
        <v>2042</v>
      </c>
      <c r="C20" s="138" cm="1">
        <f t="array" ref="C20">IF(B20&gt;=Assumptions!$D$29,IF(B20+1&gt;=Assumptions!$D$29,TREND($J$69:$J$70,$H$69:$H$70,B20),0),0)</f>
        <v>0</v>
      </c>
      <c r="D20" s="138" cm="1">
        <f t="array" ref="D20">IF(B20&gt;=Assumptions!$D$29,IF(B20+1&gt;=Assumptions!$D$29,TREND($I$69:$I$70,$H$69:$H$70,B20),0),0)</f>
        <v>0</v>
      </c>
      <c r="E20" s="95">
        <f t="shared" si="0"/>
        <v>0</v>
      </c>
      <c r="F20" s="87">
        <f>E20*(1+0.07)^-(B20-Assumptions!$D$4)</f>
        <v>0</v>
      </c>
      <c r="G20" s="41"/>
      <c r="H20" s="383" t="s">
        <v>4</v>
      </c>
      <c r="I20" s="383">
        <f>SUMPRODUCT(I12:I19,J12:J19)/SUM(J12:J19)</f>
        <v>1582.5673116959961</v>
      </c>
      <c r="J20" s="383">
        <f>SUM(J12:J19)</f>
        <v>45631</v>
      </c>
      <c r="K20" s="383">
        <f>SUM(K12:K19)</f>
        <v>9261521.2679924238</v>
      </c>
      <c r="L20" s="366"/>
      <c r="M20" s="366"/>
      <c r="N20" s="366"/>
      <c r="O20" s="372"/>
      <c r="P20" s="372"/>
      <c r="Q20" s="372"/>
      <c r="R20" s="372"/>
      <c r="S20" s="372"/>
      <c r="T20" s="372"/>
      <c r="U20" s="222"/>
      <c r="V20" s="222"/>
      <c r="W20" s="222"/>
      <c r="X20" s="372"/>
      <c r="Y20" s="222"/>
      <c r="Z20" s="222"/>
      <c r="AA20" s="222"/>
      <c r="AB20" s="222"/>
    </row>
    <row r="21" spans="1:32" x14ac:dyDescent="0.25">
      <c r="B21" s="27">
        <f t="shared" si="1"/>
        <v>2043</v>
      </c>
      <c r="C21" s="138" cm="1">
        <f t="array" ref="C21">IF(B21&gt;=Assumptions!$D$29,IF(B21+1&gt;=Assumptions!$D$29,TREND($J$69:$J$70,$H$69:$H$70,B21),0),0)</f>
        <v>0</v>
      </c>
      <c r="D21" s="138" cm="1">
        <f t="array" ref="D21">IF(B21&gt;=Assumptions!$D$29,IF(B21+1&gt;=Assumptions!$D$29,TREND($I$69:$I$70,$H$69:$H$70,B21),0),0)</f>
        <v>0</v>
      </c>
      <c r="E21" s="95">
        <f t="shared" si="0"/>
        <v>0</v>
      </c>
      <c r="F21" s="87">
        <f>E21*(1+0.07)^-(B21-Assumptions!$D$4)</f>
        <v>0</v>
      </c>
      <c r="G21" s="41"/>
      <c r="H21" s="409" t="s">
        <v>683</v>
      </c>
      <c r="I21" s="409"/>
      <c r="J21" s="409"/>
      <c r="K21" s="409"/>
      <c r="L21" s="366"/>
      <c r="M21" s="366"/>
      <c r="N21" s="366"/>
      <c r="O21" s="372"/>
      <c r="P21" s="372"/>
      <c r="Q21" s="372"/>
      <c r="R21" s="372"/>
      <c r="S21" s="372"/>
      <c r="T21" s="372"/>
      <c r="U21" s="222"/>
      <c r="V21" s="222"/>
      <c r="W21" s="222"/>
      <c r="X21" s="372"/>
      <c r="Y21" s="222"/>
      <c r="Z21" s="222"/>
      <c r="AA21" s="222"/>
      <c r="AB21" s="222"/>
    </row>
    <row r="22" spans="1:32" ht="15" customHeight="1" x14ac:dyDescent="0.25">
      <c r="B22" s="27">
        <f t="shared" si="1"/>
        <v>2044</v>
      </c>
      <c r="C22" s="138" cm="1">
        <f t="array" ref="C22">IF(B22&gt;=Assumptions!$D$29,IF(B22+1&gt;=Assumptions!$D$29,TREND($J$69:$J$70,$H$69:$H$70,B22),0),0)</f>
        <v>0</v>
      </c>
      <c r="D22" s="138" cm="1">
        <f t="array" ref="D22">IF(B22&gt;=Assumptions!$D$29,IF(B22+1&gt;=Assumptions!$D$29,TREND($I$69:$I$70,$H$69:$H$70,B22),0),0)</f>
        <v>0</v>
      </c>
      <c r="E22" s="95">
        <f t="shared" si="0"/>
        <v>0</v>
      </c>
      <c r="F22" s="87">
        <f>E22*(1+0.07)^-(B22-Assumptions!$D$4)</f>
        <v>0</v>
      </c>
      <c r="G22" s="41"/>
      <c r="H22" s="414"/>
      <c r="K22" s="414"/>
      <c r="L22" s="222"/>
      <c r="N22" s="366"/>
      <c r="O22" s="372"/>
      <c r="P22" s="372"/>
      <c r="Q22" s="372"/>
      <c r="R22" s="372"/>
      <c r="S22" s="372"/>
      <c r="T22" s="372"/>
      <c r="U22" s="222"/>
      <c r="V22" s="222"/>
      <c r="W22" s="222"/>
      <c r="X22" s="372"/>
      <c r="Y22" s="222"/>
      <c r="Z22" s="222"/>
      <c r="AA22" s="222"/>
      <c r="AB22" s="222"/>
    </row>
    <row r="23" spans="1:32" ht="15.75" customHeight="1" x14ac:dyDescent="0.25">
      <c r="B23" s="27">
        <f t="shared" si="1"/>
        <v>2045</v>
      </c>
      <c r="C23" s="138" cm="1">
        <f t="array" ref="C23">IF(B23&gt;=Assumptions!$D$29,IF(B23+1&gt;=Assumptions!$D$29,TREND($J$69:$J$70,$H$69:$H$70,B23),0),0)</f>
        <v>0</v>
      </c>
      <c r="D23" s="138" cm="1">
        <f t="array" ref="D23">IF(B23&gt;=Assumptions!$D$29,IF(B23+1&gt;=Assumptions!$D$29,TREND($I$69:$I$70,$H$69:$H$70,B23),0),0)</f>
        <v>0</v>
      </c>
      <c r="E23" s="95">
        <f t="shared" si="0"/>
        <v>0</v>
      </c>
      <c r="F23" s="87">
        <f>E23*(1+0.07)^-(B23-Assumptions!$D$4)</f>
        <v>0</v>
      </c>
      <c r="G23" s="41"/>
      <c r="H23" s="410" t="s">
        <v>633</v>
      </c>
      <c r="I23" s="410"/>
      <c r="J23" s="409"/>
      <c r="K23" s="409"/>
      <c r="L23" s="366"/>
      <c r="M23" s="366"/>
      <c r="N23" s="366"/>
      <c r="O23" s="372"/>
      <c r="P23" s="372"/>
      <c r="Q23" s="372"/>
      <c r="R23" s="372"/>
      <c r="S23" s="372"/>
      <c r="T23" s="372"/>
      <c r="U23" s="222"/>
      <c r="V23" s="222"/>
      <c r="W23" s="222"/>
      <c r="X23" s="372"/>
      <c r="Y23" s="222"/>
      <c r="Z23" s="222"/>
      <c r="AA23" s="222"/>
      <c r="AB23" s="222"/>
      <c r="AC23" s="64"/>
      <c r="AD23" s="64"/>
      <c r="AE23" s="64"/>
    </row>
    <row r="24" spans="1:32" ht="15" customHeight="1" x14ac:dyDescent="0.25">
      <c r="B24" s="27">
        <f t="shared" si="1"/>
        <v>2046</v>
      </c>
      <c r="C24" s="138" cm="1">
        <f t="array" ref="C24">IF(B24&gt;=Assumptions!$D$29,IF(B24+1&gt;=Assumptions!$D$29,TREND($J$69:$J$70,$H$69:$H$70,B24),0),0)</f>
        <v>100947559.33402848</v>
      </c>
      <c r="D24" s="138" cm="1">
        <f t="array" ref="D24">IF(B24&gt;=Assumptions!$D$29,IF(B24+1&gt;=Assumptions!$D$29,TREND($I$69:$I$70,$H$69:$H$70,B24),0),0)</f>
        <v>8066964.3536581993</v>
      </c>
      <c r="E24" s="95">
        <f t="shared" si="0"/>
        <v>92880594.980370283</v>
      </c>
      <c r="F24" s="87">
        <f>E24*(1+0.07)^-(B24-Assumptions!$D$4)</f>
        <v>15993619.843840636</v>
      </c>
      <c r="G24" s="41"/>
      <c r="H24" s="416" t="s">
        <v>619</v>
      </c>
      <c r="I24" s="416" t="s">
        <v>631</v>
      </c>
      <c r="J24" s="416" t="s">
        <v>624</v>
      </c>
      <c r="K24" s="416" t="s">
        <v>620</v>
      </c>
      <c r="L24" s="366"/>
      <c r="M24" s="366"/>
      <c r="N24" s="366"/>
      <c r="O24" s="372"/>
      <c r="P24" s="372"/>
      <c r="Q24" s="372"/>
      <c r="R24" s="372"/>
      <c r="S24" s="372"/>
      <c r="T24" s="372"/>
      <c r="U24" s="222"/>
      <c r="V24" s="222"/>
      <c r="W24" s="222"/>
      <c r="X24" s="372"/>
      <c r="Y24" s="222"/>
      <c r="Z24" s="222"/>
      <c r="AA24" s="222"/>
      <c r="AB24" s="222"/>
    </row>
    <row r="25" spans="1:32" ht="15" customHeight="1" x14ac:dyDescent="0.25">
      <c r="A25" s="30"/>
      <c r="B25" s="27">
        <f t="shared" si="1"/>
        <v>2047</v>
      </c>
      <c r="C25" s="138" cm="1">
        <f t="array" ref="C25">IF(B25&gt;=Assumptions!$D$29,IF(B25+1&gt;=Assumptions!$D$29,TREND($J$69:$J$70,$H$69:$H$70,B25),0),0)</f>
        <v>102019816.95772576</v>
      </c>
      <c r="D25" s="138" cm="1">
        <f t="array" ref="D25">IF(B25&gt;=Assumptions!$D$29,IF(B25+1&gt;=Assumptions!$D$29,TREND($I$69:$I$70,$H$69:$H$70,B25),0),0)</f>
        <v>8157953.9255639017</v>
      </c>
      <c r="E25" s="95">
        <f t="shared" ref="E25:E32" si="4">C25-D25</f>
        <v>93861863.032161862</v>
      </c>
      <c r="F25" s="87">
        <f>E25*(1+0.07)^-(B25-Assumptions!$D$4)</f>
        <v>15105224.093266595</v>
      </c>
      <c r="G25" s="41"/>
      <c r="H25" s="399">
        <v>4270</v>
      </c>
      <c r="I25" s="399">
        <f>H25</f>
        <v>4270</v>
      </c>
      <c r="J25" s="399">
        <v>2476</v>
      </c>
      <c r="K25" s="398">
        <f t="shared" ref="K25:K33" si="5">H25*J25*365/5280</f>
        <v>730865.49242424243</v>
      </c>
      <c r="L25" s="366"/>
      <c r="M25" s="366"/>
      <c r="N25" s="366"/>
      <c r="O25" s="372"/>
      <c r="P25" s="372"/>
      <c r="Q25" s="372"/>
      <c r="R25" s="372"/>
      <c r="S25" s="372"/>
      <c r="T25" s="372"/>
      <c r="U25" s="222"/>
      <c r="V25" s="222"/>
      <c r="W25" s="222"/>
      <c r="X25" s="372"/>
      <c r="Y25" s="222"/>
      <c r="Z25" s="222"/>
      <c r="AA25" s="222"/>
      <c r="AB25" s="222"/>
    </row>
    <row r="26" spans="1:32" ht="15" customHeight="1" x14ac:dyDescent="0.25">
      <c r="B26" s="27">
        <f t="shared" si="1"/>
        <v>2048</v>
      </c>
      <c r="C26" s="138" cm="1">
        <f t="array" ref="C26">IF(B26&gt;=Assumptions!$D$29,IF(B26+1&gt;=Assumptions!$D$29,TREND($J$69:$J$70,$H$69:$H$70,B26),0),0)</f>
        <v>103092074.58142352</v>
      </c>
      <c r="D26" s="138" cm="1">
        <f t="array" ref="D26">IF(B26&gt;=Assumptions!$D$29,IF(B26+1&gt;=Assumptions!$D$29,TREND($I$69:$I$70,$H$69:$H$70,B26),0),0)</f>
        <v>8248943.4974696338</v>
      </c>
      <c r="E26" s="95">
        <f t="shared" si="4"/>
        <v>94843131.083953887</v>
      </c>
      <c r="F26" s="87">
        <f>E26*(1+0.07)^-(B26-Assumptions!$D$4)</f>
        <v>14264616.74884266</v>
      </c>
      <c r="G26" s="41"/>
      <c r="H26" s="383">
        <v>10210</v>
      </c>
      <c r="I26" s="383">
        <f t="shared" ref="I26:I32" si="6">H26/2</f>
        <v>5105</v>
      </c>
      <c r="J26" s="383">
        <v>683</v>
      </c>
      <c r="K26" s="384">
        <f t="shared" si="5"/>
        <v>482064.76325757575</v>
      </c>
      <c r="L26" s="366"/>
      <c r="M26" s="366"/>
      <c r="N26" s="366"/>
      <c r="O26" s="372"/>
      <c r="P26" s="372"/>
      <c r="Q26" s="372"/>
      <c r="R26" s="372"/>
      <c r="S26" s="372"/>
      <c r="T26" s="372"/>
      <c r="U26" s="222"/>
      <c r="V26" s="222"/>
      <c r="W26" s="222"/>
    </row>
    <row r="27" spans="1:32" ht="15" customHeight="1" x14ac:dyDescent="0.25">
      <c r="B27" s="27">
        <f t="shared" si="1"/>
        <v>2049</v>
      </c>
      <c r="C27" s="138" cm="1">
        <f t="array" ref="C27">IF(B27&gt;=Assumptions!$D$29,IF(B27+1&gt;=Assumptions!$D$29,TREND($J$69:$J$70,$H$69:$H$70,B27),0),0)</f>
        <v>104164332.20512128</v>
      </c>
      <c r="D27" s="138" cm="1">
        <f t="array" ref="D27">IF(B27&gt;=Assumptions!$D$29,IF(B27+1&gt;=Assumptions!$D$29,TREND($I$69:$I$70,$H$69:$H$70,B27),0),0)</f>
        <v>8339933.069375366</v>
      </c>
      <c r="E27" s="95">
        <f t="shared" si="4"/>
        <v>95824399.135745913</v>
      </c>
      <c r="F27" s="87">
        <f>E27*(1+0.07)^-(B27-Assumptions!$D$4)</f>
        <v>13469347.322261067</v>
      </c>
      <c r="G27" s="41"/>
      <c r="H27" s="383">
        <v>10210</v>
      </c>
      <c r="I27" s="383">
        <f t="shared" si="6"/>
        <v>5105</v>
      </c>
      <c r="J27" s="383">
        <v>1153</v>
      </c>
      <c r="K27" s="384">
        <f t="shared" si="5"/>
        <v>813793.07765151514</v>
      </c>
      <c r="L27" s="366"/>
      <c r="M27" s="366"/>
      <c r="N27" s="366"/>
      <c r="O27" s="372"/>
      <c r="P27" s="372"/>
      <c r="Q27" s="372"/>
      <c r="R27" s="372"/>
      <c r="S27" s="372"/>
      <c r="T27" s="372"/>
      <c r="U27" s="222"/>
      <c r="V27" s="222"/>
      <c r="W27" s="222"/>
    </row>
    <row r="28" spans="1:32" ht="15" customHeight="1" x14ac:dyDescent="0.25">
      <c r="B28" s="27">
        <f t="shared" si="1"/>
        <v>2050</v>
      </c>
      <c r="C28" s="138" cm="1">
        <f t="array" ref="C28">IF(B28&gt;=Assumptions!$D$29,IF(B28+1&gt;=Assumptions!$D$29,TREND($J$69:$J$70,$H$69:$H$70,B28),0),0)</f>
        <v>105236589.82881856</v>
      </c>
      <c r="D28" s="138" cm="1">
        <f t="array" ref="D28">IF(B28&gt;=Assumptions!$D$29,IF(B28+1&gt;=Assumptions!$D$29,TREND($I$69:$I$70,$H$69:$H$70,B28),0),0)</f>
        <v>8430922.6412810683</v>
      </c>
      <c r="E28" s="95">
        <f t="shared" si="4"/>
        <v>96805667.187537491</v>
      </c>
      <c r="F28" s="87">
        <f>E28*(1+0.07)^-(B28-Assumptions!$D$4)</f>
        <v>12717081.422653468</v>
      </c>
      <c r="G28" s="41"/>
      <c r="H28" s="383">
        <v>6365</v>
      </c>
      <c r="I28" s="383">
        <f t="shared" si="6"/>
        <v>3182.5</v>
      </c>
      <c r="J28" s="383">
        <v>2444</v>
      </c>
      <c r="K28" s="384">
        <f t="shared" si="5"/>
        <v>1075371.571969697</v>
      </c>
      <c r="L28" s="366"/>
      <c r="M28" s="366"/>
      <c r="N28" s="366"/>
      <c r="O28" s="348" t="s">
        <v>235</v>
      </c>
      <c r="P28" s="222"/>
      <c r="Q28" s="222"/>
      <c r="R28" s="222"/>
      <c r="S28" s="222"/>
      <c r="T28" s="24"/>
      <c r="U28" s="24"/>
      <c r="V28" s="24"/>
      <c r="W28"/>
      <c r="X28"/>
      <c r="Y28"/>
      <c r="Z28"/>
      <c r="AA28"/>
      <c r="AF28" s="24"/>
    </row>
    <row r="29" spans="1:32" ht="15" customHeight="1" x14ac:dyDescent="0.25">
      <c r="A29" s="30"/>
      <c r="B29" s="27">
        <f t="shared" si="1"/>
        <v>2051</v>
      </c>
      <c r="C29" s="138" cm="1">
        <f t="array" ref="C29">IF(B29&gt;=Assumptions!$D$29,IF(B29+1&gt;=Assumptions!$D$29,TREND($J$69:$J$70,$H$69:$H$70,B29),0),0)</f>
        <v>106308847.45251632</v>
      </c>
      <c r="D29" s="138" cm="1">
        <f t="array" ref="D29">IF(B29&gt;=Assumptions!$D$29,IF(B29+1&gt;=Assumptions!$D$29,TREND($I$69:$I$70,$H$69:$H$70,B29),0),0)</f>
        <v>8521912.2131868005</v>
      </c>
      <c r="E29" s="95">
        <f t="shared" si="4"/>
        <v>97786935.239329517</v>
      </c>
      <c r="F29" s="87">
        <f>E29*(1+0.07)^-(B29-Assumptions!$D$4)</f>
        <v>12005596.053993724</v>
      </c>
      <c r="G29" s="41"/>
      <c r="H29" s="383">
        <v>2105</v>
      </c>
      <c r="I29" s="383">
        <f t="shared" si="6"/>
        <v>1052.5</v>
      </c>
      <c r="J29" s="383">
        <v>10599</v>
      </c>
      <c r="K29" s="384">
        <f t="shared" si="5"/>
        <v>1542325.1278409092</v>
      </c>
      <c r="L29" s="366"/>
      <c r="M29" s="366"/>
      <c r="N29" s="366"/>
      <c r="O29" s="222"/>
      <c r="P29" s="222"/>
      <c r="Q29" s="222"/>
      <c r="R29" s="222"/>
      <c r="S29" s="222"/>
      <c r="T29" s="24"/>
      <c r="U29" s="24"/>
      <c r="V29" s="24"/>
      <c r="W29"/>
      <c r="X29"/>
      <c r="Y29"/>
      <c r="Z29"/>
      <c r="AA29"/>
      <c r="AF29" s="24"/>
    </row>
    <row r="30" spans="1:32" ht="15" customHeight="1" x14ac:dyDescent="0.25">
      <c r="B30" s="27">
        <f t="shared" si="1"/>
        <v>2052</v>
      </c>
      <c r="C30" s="138" cm="1">
        <f t="array" ref="C30">IF(B30&gt;=Assumptions!$D$29,IF(B30+1&gt;=Assumptions!$D$29,TREND($J$69:$J$70,$H$69:$H$70,B30),0),0)</f>
        <v>107381105.0762136</v>
      </c>
      <c r="D30" s="138" cm="1">
        <f t="array" ref="D30">IF(B30&gt;=Assumptions!$D$29,IF(B30+1&gt;=Assumptions!$D$29,TREND($I$69:$I$70,$H$69:$H$70,B30),0),0)</f>
        <v>8612901.7850925028</v>
      </c>
      <c r="E30" s="95">
        <f t="shared" si="4"/>
        <v>98768203.291121095</v>
      </c>
      <c r="F30" s="87">
        <f>E30*(1+0.07)^-(B30-Assumptions!$D$4)</f>
        <v>11332775.030913657</v>
      </c>
      <c r="G30" s="41"/>
      <c r="H30" s="383">
        <v>4060</v>
      </c>
      <c r="I30" s="383">
        <f t="shared" si="6"/>
        <v>2030</v>
      </c>
      <c r="J30" s="383">
        <v>10615</v>
      </c>
      <c r="K30" s="384">
        <f t="shared" si="5"/>
        <v>2979236.4583333335</v>
      </c>
      <c r="L30" s="366"/>
      <c r="M30" s="366"/>
      <c r="N30" s="366"/>
      <c r="O30" s="222"/>
      <c r="P30" s="222"/>
      <c r="Q30" s="222"/>
      <c r="R30" s="222"/>
      <c r="S30" s="222"/>
      <c r="T30" s="24"/>
      <c r="U30" s="24"/>
      <c r="V30" s="24"/>
      <c r="W30"/>
      <c r="X30"/>
      <c r="Y30"/>
      <c r="Z30"/>
      <c r="AA30"/>
      <c r="AF30" s="24"/>
    </row>
    <row r="31" spans="1:32" ht="15" customHeight="1" x14ac:dyDescent="0.25">
      <c r="B31" s="27">
        <f t="shared" si="1"/>
        <v>2053</v>
      </c>
      <c r="C31" s="138" cm="1">
        <f t="array" ref="C31">IF(B31&gt;=Assumptions!$D$29,IF(B31+1&gt;=Assumptions!$D$29,TREND($J$69:$J$70,$H$69:$H$70,B31),0),0)</f>
        <v>108453362.69991136</v>
      </c>
      <c r="D31" s="138" cm="1">
        <f t="array" ref="D31">IF(B31&gt;=Assumptions!$D$29,IF(B31+1&gt;=Assumptions!$D$29,TREND($I$69:$I$70,$H$69:$H$70,B31),0),0)</f>
        <v>8703891.356998235</v>
      </c>
      <c r="E31" s="95">
        <f t="shared" si="4"/>
        <v>99749471.342913121</v>
      </c>
      <c r="F31" s="87">
        <f>E31*(1+0.07)^-(B31-Assumptions!$D$4)</f>
        <v>10696604.517566213</v>
      </c>
      <c r="G31" s="41"/>
      <c r="H31" s="383">
        <v>1609</v>
      </c>
      <c r="I31" s="383">
        <f t="shared" si="6"/>
        <v>804.5</v>
      </c>
      <c r="J31" s="383">
        <v>15747</v>
      </c>
      <c r="K31" s="384">
        <f t="shared" si="5"/>
        <v>1751510.7755681819</v>
      </c>
      <c r="L31" s="366"/>
      <c r="M31" s="366"/>
      <c r="O31" s="222"/>
      <c r="P31" s="222"/>
      <c r="Q31" s="222"/>
      <c r="R31" s="222"/>
      <c r="S31" s="222"/>
      <c r="T31" s="24"/>
      <c r="U31" s="24"/>
      <c r="V31" s="24"/>
      <c r="W31"/>
      <c r="X31"/>
      <c r="Y31"/>
      <c r="Z31"/>
      <c r="AA31"/>
      <c r="AF31" s="24"/>
    </row>
    <row r="32" spans="1:32" ht="15" customHeight="1" x14ac:dyDescent="0.25">
      <c r="B32" s="27">
        <f t="shared" si="1"/>
        <v>2054</v>
      </c>
      <c r="C32" s="138" cm="1">
        <f t="array" ref="C32">IF(B32&gt;=Assumptions!$D$29,IF(B32+1&gt;=Assumptions!$D$29,TREND($J$69:$J$70,$H$69:$H$70,B32),0),0)</f>
        <v>109525620.32360864</v>
      </c>
      <c r="D32" s="138" cm="1">
        <f t="array" ref="D32">IF(B32&gt;=Assumptions!$D$29,IF(B32+1&gt;=Assumptions!$D$29,TREND($I$69:$I$70,$H$69:$H$70,B32),0),0)</f>
        <v>8794880.9289039373</v>
      </c>
      <c r="E32" s="95">
        <f t="shared" si="4"/>
        <v>100730739.3947047</v>
      </c>
      <c r="F32" s="87">
        <f>E32*(1+0.07)^-(B32-Assumptions!$D$4)</f>
        <v>10095168.693054404</v>
      </c>
      <c r="G32" s="41"/>
      <c r="H32" s="383">
        <v>2660</v>
      </c>
      <c r="I32" s="383">
        <f t="shared" si="6"/>
        <v>1330</v>
      </c>
      <c r="J32" s="383">
        <v>2080</v>
      </c>
      <c r="K32" s="384">
        <f t="shared" si="5"/>
        <v>382475.75757575757</v>
      </c>
      <c r="L32" s="366"/>
      <c r="M32" s="366"/>
      <c r="N32" s="366"/>
      <c r="O32" s="222"/>
      <c r="P32" s="222"/>
      <c r="Q32" s="222"/>
      <c r="R32" s="222"/>
      <c r="S32" s="222"/>
      <c r="T32" s="24"/>
      <c r="U32" s="24"/>
      <c r="V32" s="24"/>
      <c r="W32"/>
      <c r="X32"/>
      <c r="Y32"/>
      <c r="Z32"/>
      <c r="AA32"/>
      <c r="AF32" s="24"/>
    </row>
    <row r="33" spans="1:32" ht="15" customHeight="1" x14ac:dyDescent="0.25">
      <c r="B33" s="27">
        <f t="shared" si="1"/>
        <v>2055</v>
      </c>
      <c r="C33" s="138" cm="1">
        <f t="array" ref="C33">IF(B33&gt;=Assumptions!$D$29,IF(B33+1&gt;=Assumptions!$D$29,TREND($J$69:$J$70,$H$69:$H$70,B33),0),0)</f>
        <v>110597877.94730639</v>
      </c>
      <c r="D33" s="138" cm="1">
        <f t="array" ref="D33">IF(B33&gt;=Assumptions!$D$29,IF(B33+1&gt;=Assumptions!$D$29,TREND($I$69:$I$70,$H$69:$H$70,B33),0),0)</f>
        <v>8885870.5008096695</v>
      </c>
      <c r="E33" s="95">
        <f t="shared" ref="E33:E35" si="7">C33-D33</f>
        <v>101712007.44649673</v>
      </c>
      <c r="F33" s="87">
        <f>E33*(1+0.07)^-(B33-Assumptions!$D$4)</f>
        <v>9526645.5459605698</v>
      </c>
      <c r="G33" s="41"/>
      <c r="H33" s="399">
        <v>490</v>
      </c>
      <c r="I33" s="399">
        <f>H33</f>
        <v>490</v>
      </c>
      <c r="J33" s="399">
        <v>1216</v>
      </c>
      <c r="K33" s="399">
        <f t="shared" si="5"/>
        <v>41189.696969696968</v>
      </c>
      <c r="L33" s="366"/>
      <c r="M33" s="366"/>
      <c r="N33" s="366"/>
      <c r="O33" s="222"/>
      <c r="P33" s="222"/>
      <c r="Q33" s="222"/>
      <c r="R33" s="222"/>
      <c r="S33" s="222"/>
      <c r="T33" s="24"/>
      <c r="U33" s="24"/>
      <c r="V33" s="24"/>
      <c r="W33"/>
      <c r="X33"/>
      <c r="Y33"/>
      <c r="Z33"/>
      <c r="AA33"/>
      <c r="AF33" s="24"/>
    </row>
    <row r="34" spans="1:32" ht="15" customHeight="1" x14ac:dyDescent="0.25">
      <c r="B34" s="27">
        <f t="shared" si="1"/>
        <v>2056</v>
      </c>
      <c r="C34" s="138" cm="1">
        <f t="array" ref="C34">IF(B34&gt;=Assumptions!$D$29,IF(B34+1&gt;=Assumptions!$D$29,TREND($J$69:$J$70,$H$69:$H$70,B34),0),0)</f>
        <v>111670135.57100368</v>
      </c>
      <c r="D34" s="138" cm="1">
        <f t="array" ref="D34">IF(B34&gt;=Assumptions!$D$29,IF(B34+1&gt;=Assumptions!$D$29,TREND($I$69:$I$70,$H$69:$H$70,B34),0),0)</f>
        <v>8976860.0727153718</v>
      </c>
      <c r="E34" s="95">
        <f t="shared" si="7"/>
        <v>102693275.4982883</v>
      </c>
      <c r="F34" s="87">
        <f>E34*(1+0.07)^-(B34-Assumptions!$D$4)</f>
        <v>8989302.799634181</v>
      </c>
      <c r="G34" s="41"/>
      <c r="H34" s="383" t="s">
        <v>4</v>
      </c>
      <c r="I34" s="383">
        <f>SUMPRODUCT(I25:I33,J25:J33)/SUM(J25:J33)</f>
        <v>1626.31461510646</v>
      </c>
      <c r="J34" s="383">
        <f>SUM(J25:J33)</f>
        <v>47013</v>
      </c>
      <c r="K34" s="383">
        <f>SUM(K25:K33)</f>
        <v>9798832.7215909101</v>
      </c>
      <c r="L34" s="366"/>
      <c r="M34" s="366"/>
      <c r="N34" s="366"/>
      <c r="O34" s="222"/>
      <c r="P34" s="222"/>
      <c r="Q34" s="222"/>
      <c r="R34" s="222"/>
      <c r="S34" s="222"/>
      <c r="T34" s="24"/>
      <c r="U34" s="24"/>
      <c r="V34" s="24"/>
      <c r="W34"/>
      <c r="X34"/>
      <c r="Y34"/>
      <c r="Z34"/>
      <c r="AA34"/>
      <c r="AF34" s="24"/>
    </row>
    <row r="35" spans="1:32" ht="15" customHeight="1" thickBot="1" x14ac:dyDescent="0.3">
      <c r="B35" s="28">
        <f t="shared" si="1"/>
        <v>2057</v>
      </c>
      <c r="C35" s="139" cm="1">
        <f t="array" ref="C35">IF(B35&gt;=Assumptions!$D$29,IF(B35+1&gt;=Assumptions!$D$29,TREND($J$69:$J$70,$H$69:$H$70,B35),0),0)</f>
        <v>112742393.19470143</v>
      </c>
      <c r="D35" s="139" cm="1">
        <f t="array" ref="D35">IF(B35&gt;=Assumptions!$D$29,IF(B35+1&gt;=Assumptions!$D$29,TREND($I$69:$I$70,$H$69:$H$70,B35),0),0)</f>
        <v>9067849.644621104</v>
      </c>
      <c r="E35" s="96">
        <f t="shared" si="7"/>
        <v>103674543.55008033</v>
      </c>
      <c r="F35" s="88">
        <f>E35*(1+0.07)^-(B35-Assumptions!$D$4)</f>
        <v>8481493.9691297207</v>
      </c>
      <c r="G35" s="41"/>
      <c r="H35" s="409" t="s">
        <v>683</v>
      </c>
      <c r="L35" s="366"/>
      <c r="M35" s="366"/>
      <c r="N35" s="366"/>
      <c r="O35" s="222"/>
      <c r="P35" s="222"/>
      <c r="Q35" s="222"/>
      <c r="R35" s="222"/>
      <c r="S35" s="222"/>
      <c r="T35" s="24"/>
      <c r="U35" s="24"/>
      <c r="V35" s="24"/>
      <c r="W35"/>
      <c r="X35"/>
      <c r="Y35"/>
      <c r="Z35"/>
      <c r="AA35"/>
      <c r="AF35" s="24"/>
    </row>
    <row r="36" spans="1:32" ht="15.75" thickBot="1" x14ac:dyDescent="0.3">
      <c r="E36" s="80" t="s">
        <v>2</v>
      </c>
      <c r="F36" s="190">
        <f>SUM(F6:F35)</f>
        <v>142677476.04111689</v>
      </c>
      <c r="G36" s="388"/>
      <c r="I36" s="222"/>
      <c r="J36" s="222"/>
      <c r="N36" s="366"/>
      <c r="O36" s="222"/>
      <c r="P36" s="222"/>
      <c r="Q36" s="222"/>
      <c r="R36" s="222"/>
      <c r="S36" s="222"/>
      <c r="T36" s="24"/>
      <c r="U36" s="24"/>
      <c r="V36" s="24"/>
      <c r="W36"/>
      <c r="X36"/>
      <c r="Y36"/>
      <c r="Z36"/>
      <c r="AA36"/>
      <c r="AF36" s="24"/>
    </row>
    <row r="37" spans="1:32" ht="15" customHeight="1" x14ac:dyDescent="0.25">
      <c r="H37" s="26" t="s">
        <v>684</v>
      </c>
      <c r="M37" s="366"/>
      <c r="N37" s="366"/>
      <c r="O37" s="222"/>
      <c r="P37" s="222"/>
      <c r="Q37" s="222"/>
      <c r="R37" s="222"/>
      <c r="S37" s="222"/>
      <c r="T37" s="24"/>
      <c r="U37" s="24"/>
      <c r="V37" s="24"/>
      <c r="W37"/>
      <c r="X37"/>
      <c r="Y37"/>
      <c r="Z37"/>
      <c r="AA37"/>
      <c r="AF37" s="24"/>
    </row>
    <row r="38" spans="1:32" ht="15" customHeight="1" x14ac:dyDescent="0.25">
      <c r="H38" s="312" t="s">
        <v>621</v>
      </c>
      <c r="I38" s="312" t="s">
        <v>634</v>
      </c>
      <c r="J38" s="312" t="s">
        <v>685</v>
      </c>
      <c r="K38" s="415" t="s">
        <v>635</v>
      </c>
      <c r="L38" s="415" t="s">
        <v>686</v>
      </c>
      <c r="M38" s="366"/>
      <c r="N38" s="366"/>
      <c r="O38" s="222"/>
      <c r="P38" s="222"/>
      <c r="Q38" s="222"/>
      <c r="R38" s="222"/>
      <c r="S38" s="222"/>
      <c r="T38" s="24"/>
      <c r="U38" s="24"/>
      <c r="V38" s="24"/>
      <c r="W38"/>
      <c r="X38"/>
      <c r="Y38"/>
      <c r="Z38"/>
      <c r="AA38"/>
      <c r="AF38" s="24"/>
    </row>
    <row r="39" spans="1:32" x14ac:dyDescent="0.25">
      <c r="H39" s="312" t="s">
        <v>23</v>
      </c>
      <c r="I39" s="397">
        <v>1</v>
      </c>
      <c r="J39" s="385">
        <f>I39/$K$20/3</f>
        <v>3.5991207458036584E-8</v>
      </c>
      <c r="K39" s="397">
        <v>1</v>
      </c>
      <c r="L39" s="385">
        <f>K39/$K$34/3</f>
        <v>3.4017657286756321E-8</v>
      </c>
      <c r="M39" s="366"/>
      <c r="N39" s="366"/>
      <c r="O39" s="222"/>
      <c r="P39" s="222"/>
      <c r="Q39" s="222"/>
      <c r="R39" s="222"/>
      <c r="S39" s="222"/>
      <c r="T39" s="24"/>
      <c r="U39" s="24"/>
      <c r="V39" s="24"/>
      <c r="W39"/>
      <c r="X39"/>
      <c r="Y39"/>
      <c r="Z39"/>
      <c r="AA39"/>
      <c r="AF39" s="24"/>
    </row>
    <row r="40" spans="1:32" x14ac:dyDescent="0.25">
      <c r="B40" s="26" t="s">
        <v>3</v>
      </c>
      <c r="C40" s="26"/>
      <c r="D40" s="26"/>
      <c r="H40" s="367" t="s">
        <v>24</v>
      </c>
      <c r="I40" s="397">
        <v>2</v>
      </c>
      <c r="J40" s="385">
        <f>I40/$K$20/3</f>
        <v>7.1982414916073169E-8</v>
      </c>
      <c r="K40" s="397">
        <v>3</v>
      </c>
      <c r="L40" s="385">
        <f>K40/$K$34/3</f>
        <v>1.0205297186026897E-7</v>
      </c>
      <c r="M40" s="366"/>
      <c r="N40" s="366"/>
      <c r="O40" s="222"/>
      <c r="P40" s="222"/>
      <c r="Q40" s="222"/>
      <c r="R40" s="222"/>
      <c r="S40" s="222"/>
      <c r="T40" s="24"/>
      <c r="U40" s="24"/>
      <c r="V40" s="24"/>
      <c r="W40"/>
      <c r="X40"/>
      <c r="Y40"/>
      <c r="Z40"/>
      <c r="AA40"/>
      <c r="AF40" s="24"/>
    </row>
    <row r="41" spans="1:32" x14ac:dyDescent="0.25">
      <c r="A41" s="30" t="s">
        <v>21</v>
      </c>
      <c r="B41" s="501" t="s">
        <v>602</v>
      </c>
      <c r="C41" s="501"/>
      <c r="D41" s="501"/>
      <c r="E41" s="501"/>
      <c r="F41" s="501"/>
      <c r="G41" s="369"/>
      <c r="H41" s="367" t="s">
        <v>25</v>
      </c>
      <c r="I41" s="397">
        <v>7</v>
      </c>
      <c r="J41" s="385">
        <f>I41/$K$20/3</f>
        <v>2.5193845220625608E-7</v>
      </c>
      <c r="K41" s="397">
        <v>9</v>
      </c>
      <c r="L41" s="385">
        <f>K41/$K$34/3</f>
        <v>3.0615891558080691E-7</v>
      </c>
      <c r="M41" s="366"/>
      <c r="N41" s="366"/>
      <c r="O41" s="222"/>
      <c r="P41" s="222"/>
      <c r="Q41" s="222"/>
      <c r="R41" s="222"/>
      <c r="S41" s="222"/>
      <c r="T41" s="24"/>
      <c r="U41" s="24"/>
      <c r="V41" s="24"/>
      <c r="W41"/>
      <c r="X41"/>
      <c r="Y41"/>
      <c r="Z41"/>
      <c r="AA41"/>
      <c r="AF41" s="24"/>
    </row>
    <row r="42" spans="1:32" x14ac:dyDescent="0.25">
      <c r="B42" s="501"/>
      <c r="C42" s="501"/>
      <c r="D42" s="501"/>
      <c r="E42" s="501"/>
      <c r="F42" s="501"/>
      <c r="G42" s="369"/>
      <c r="H42" s="367" t="s">
        <v>26</v>
      </c>
      <c r="I42" s="397">
        <v>9</v>
      </c>
      <c r="J42" s="385">
        <f>I42/$K$20/3</f>
        <v>3.2392086712232927E-7</v>
      </c>
      <c r="K42" s="397">
        <v>11</v>
      </c>
      <c r="L42" s="385">
        <f>K42/$K$34/3</f>
        <v>3.7419423015431959E-7</v>
      </c>
      <c r="M42" s="366"/>
      <c r="N42" s="366"/>
      <c r="O42" s="222"/>
      <c r="P42" s="222"/>
      <c r="Q42" s="222"/>
      <c r="R42" s="222"/>
      <c r="S42" s="222"/>
      <c r="T42" s="24"/>
      <c r="U42" s="24"/>
      <c r="V42" s="24"/>
      <c r="W42"/>
      <c r="X42"/>
      <c r="Y42"/>
      <c r="Z42"/>
      <c r="AA42"/>
      <c r="AF42" s="24"/>
    </row>
    <row r="43" spans="1:32" ht="15" customHeight="1" x14ac:dyDescent="0.25">
      <c r="A43" s="30"/>
      <c r="B43" s="501"/>
      <c r="C43" s="501"/>
      <c r="D43" s="501"/>
      <c r="E43" s="501"/>
      <c r="F43" s="501"/>
      <c r="G43" s="369"/>
      <c r="H43" s="367" t="s">
        <v>101</v>
      </c>
      <c r="I43" s="397">
        <v>27</v>
      </c>
      <c r="J43" s="385">
        <f>I43/$K$20/3</f>
        <v>9.7176260136698774E-7</v>
      </c>
      <c r="K43" s="397">
        <v>43</v>
      </c>
      <c r="L43" s="385">
        <f>K43/$K$34/3</f>
        <v>1.4627592633305221E-6</v>
      </c>
      <c r="M43" s="366"/>
      <c r="N43" s="366"/>
      <c r="O43" s="222"/>
      <c r="P43" s="222"/>
      <c r="Q43" s="222"/>
      <c r="R43" s="222"/>
      <c r="S43" s="222"/>
      <c r="T43" s="24"/>
      <c r="U43" s="24"/>
      <c r="V43" s="24"/>
      <c r="W43"/>
      <c r="X43"/>
      <c r="Y43"/>
      <c r="Z43"/>
      <c r="AA43"/>
      <c r="AF43" s="24"/>
    </row>
    <row r="44" spans="1:32" ht="15" customHeight="1" x14ac:dyDescent="0.25">
      <c r="B44" s="164"/>
      <c r="C44" s="164"/>
      <c r="D44" s="164"/>
      <c r="E44" s="164"/>
      <c r="F44" s="164"/>
      <c r="G44" s="164"/>
      <c r="H44" s="366"/>
      <c r="L44" s="366"/>
      <c r="M44" s="366"/>
      <c r="N44" s="366"/>
      <c r="O44" s="222"/>
      <c r="P44" s="222"/>
      <c r="Q44" s="222"/>
      <c r="R44" s="222"/>
      <c r="S44" s="222"/>
      <c r="T44" s="24"/>
      <c r="U44" s="24"/>
      <c r="V44" s="24"/>
      <c r="W44"/>
      <c r="X44"/>
      <c r="Y44"/>
      <c r="Z44"/>
      <c r="AA44"/>
      <c r="AF44" s="24"/>
    </row>
    <row r="45" spans="1:32" ht="15" customHeight="1" x14ac:dyDescent="0.25">
      <c r="A45" s="30" t="s">
        <v>28</v>
      </c>
      <c r="B45" s="509" t="s">
        <v>239</v>
      </c>
      <c r="C45" s="509"/>
      <c r="D45" s="509"/>
      <c r="E45" s="509"/>
      <c r="F45" s="509"/>
      <c r="G45" s="370"/>
      <c r="H45" s="397" t="s">
        <v>697</v>
      </c>
      <c r="N45" s="366"/>
      <c r="O45" s="222"/>
      <c r="P45" s="222"/>
      <c r="Q45" s="222"/>
      <c r="R45" s="222"/>
      <c r="S45" s="222"/>
      <c r="T45" s="24"/>
      <c r="U45" s="24"/>
      <c r="V45" s="24"/>
      <c r="W45"/>
      <c r="X45"/>
      <c r="Y45"/>
      <c r="Z45"/>
      <c r="AA45"/>
      <c r="AF45" s="24"/>
    </row>
    <row r="46" spans="1:32" ht="15" customHeight="1" x14ac:dyDescent="0.25">
      <c r="B46" s="509"/>
      <c r="C46" s="509"/>
      <c r="D46" s="509"/>
      <c r="E46" s="509"/>
      <c r="F46" s="509"/>
      <c r="G46" s="370"/>
      <c r="N46" s="366"/>
      <c r="O46" s="222"/>
      <c r="P46" s="222"/>
      <c r="Q46" s="222"/>
      <c r="R46" s="222"/>
      <c r="S46" s="222"/>
      <c r="T46" s="24"/>
      <c r="U46" s="24"/>
      <c r="V46" s="24"/>
      <c r="W46"/>
      <c r="X46"/>
      <c r="Y46"/>
      <c r="Z46"/>
      <c r="AA46"/>
      <c r="AF46" s="24"/>
    </row>
    <row r="47" spans="1:32" x14ac:dyDescent="0.25">
      <c r="B47" s="509"/>
      <c r="C47" s="509"/>
      <c r="D47" s="509"/>
      <c r="E47" s="509"/>
      <c r="F47" s="509"/>
      <c r="G47" s="370"/>
      <c r="H47" s="26" t="s">
        <v>687</v>
      </c>
      <c r="I47" s="222"/>
      <c r="J47" s="222"/>
      <c r="K47" s="222"/>
      <c r="L47" s="222"/>
      <c r="M47" s="222"/>
      <c r="P47" s="25"/>
      <c r="Q47" s="31"/>
      <c r="S47" s="24"/>
      <c r="T47" s="24"/>
      <c r="U47" s="24"/>
      <c r="V47" s="24"/>
      <c r="W47"/>
      <c r="X47"/>
      <c r="Y47"/>
      <c r="Z47"/>
      <c r="AA47"/>
      <c r="AF47" s="24"/>
    </row>
    <row r="48" spans="1:32" x14ac:dyDescent="0.25">
      <c r="B48" s="509"/>
      <c r="C48" s="509"/>
      <c r="D48" s="509"/>
      <c r="E48" s="509"/>
      <c r="F48" s="509"/>
      <c r="G48" s="370"/>
      <c r="H48" s="367" t="s">
        <v>43</v>
      </c>
      <c r="I48" s="367" t="s">
        <v>627</v>
      </c>
      <c r="J48" s="367" t="s">
        <v>628</v>
      </c>
      <c r="K48" s="367" t="s">
        <v>629</v>
      </c>
      <c r="L48" s="367" t="s">
        <v>622</v>
      </c>
      <c r="M48" s="371" t="s">
        <v>629</v>
      </c>
      <c r="N48" s="366"/>
      <c r="O48" s="25"/>
      <c r="P48" s="25"/>
      <c r="Q48" s="31"/>
      <c r="S48" s="24"/>
      <c r="T48" s="24"/>
      <c r="U48" s="24"/>
      <c r="V48" s="24"/>
      <c r="W48"/>
      <c r="X48"/>
      <c r="Y48"/>
      <c r="Z48"/>
      <c r="AA48"/>
      <c r="AF48" s="24"/>
    </row>
    <row r="49" spans="1:26" ht="15" customHeight="1" x14ac:dyDescent="0.25">
      <c r="B49" s="164"/>
      <c r="C49" s="164"/>
      <c r="D49" s="164"/>
      <c r="E49" s="164"/>
      <c r="F49" s="164"/>
      <c r="G49" s="164"/>
      <c r="H49" s="367">
        <v>2022</v>
      </c>
      <c r="I49" s="150">
        <f>Assumptions!$D$30</f>
        <v>37825</v>
      </c>
      <c r="J49" s="150">
        <f>$I$49/2</f>
        <v>18912.5</v>
      </c>
      <c r="K49" s="150">
        <f>(I20+J49)*365*J20/5280</f>
        <v>64649962.504261367</v>
      </c>
      <c r="L49" s="150">
        <f>$I$49/2</f>
        <v>18912.5</v>
      </c>
      <c r="M49" s="150">
        <f>(I34+L49)*365*J34/5280</f>
        <v>66750155.567708336</v>
      </c>
      <c r="N49" s="366"/>
      <c r="V49" s="25"/>
      <c r="W49" s="25"/>
      <c r="X49" s="25"/>
      <c r="Y49" s="25"/>
      <c r="Z49" s="31"/>
    </row>
    <row r="50" spans="1:26" x14ac:dyDescent="0.25">
      <c r="A50" s="30" t="s">
        <v>29</v>
      </c>
      <c r="B50" s="509" t="s">
        <v>93</v>
      </c>
      <c r="C50" s="509"/>
      <c r="D50" s="509"/>
      <c r="E50" s="509"/>
      <c r="F50" s="509"/>
      <c r="G50" s="370"/>
      <c r="H50" s="367">
        <v>2042</v>
      </c>
      <c r="I50" s="150">
        <f>Assumptions!$D$31</f>
        <v>49525</v>
      </c>
      <c r="J50" s="150">
        <f>$I$50/2</f>
        <v>24762.5</v>
      </c>
      <c r="K50" s="150">
        <f>(I20+J50)*365*J20/5280</f>
        <v>83103294.464488626</v>
      </c>
      <c r="L50" s="150">
        <f>$I$50/2</f>
        <v>24762.5</v>
      </c>
      <c r="M50" s="150">
        <f>(I34+L50)*365*J34/5280</f>
        <v>85762373.03929925</v>
      </c>
      <c r="N50" s="366"/>
      <c r="V50" s="25"/>
      <c r="W50" s="25"/>
      <c r="X50" s="25"/>
      <c r="Y50" s="25"/>
    </row>
    <row r="51" spans="1:26" x14ac:dyDescent="0.25">
      <c r="B51" s="509"/>
      <c r="C51" s="509"/>
      <c r="D51" s="509"/>
      <c r="E51" s="509"/>
      <c r="F51" s="509"/>
      <c r="G51" s="370"/>
      <c r="H51" s="366"/>
      <c r="I51" s="366"/>
      <c r="J51" s="222"/>
      <c r="K51" s="222"/>
      <c r="L51" s="222"/>
      <c r="M51" s="222"/>
      <c r="V51" s="25"/>
      <c r="W51" s="25"/>
      <c r="X51" s="25"/>
      <c r="Y51" s="25"/>
      <c r="Z51" s="62"/>
    </row>
    <row r="52" spans="1:26" x14ac:dyDescent="0.25">
      <c r="A52" s="30"/>
      <c r="B52" s="509"/>
      <c r="C52" s="509"/>
      <c r="D52" s="509"/>
      <c r="E52" s="509"/>
      <c r="F52" s="509"/>
      <c r="G52" s="370"/>
      <c r="H52" s="9" t="s">
        <v>688</v>
      </c>
      <c r="Z52" s="62"/>
    </row>
    <row r="53" spans="1:26" ht="15" customHeight="1" x14ac:dyDescent="0.25">
      <c r="B53" s="509"/>
      <c r="C53" s="509"/>
      <c r="D53" s="509"/>
      <c r="E53" s="509"/>
      <c r="F53" s="509"/>
      <c r="G53" s="370"/>
      <c r="H53" s="386" t="s">
        <v>623</v>
      </c>
      <c r="I53" s="387">
        <f>Assumptions!$D$27</f>
        <v>1.5465961665565102E-2</v>
      </c>
    </row>
    <row r="54" spans="1:26" ht="15" customHeight="1" x14ac:dyDescent="0.25">
      <c r="A54" s="30"/>
      <c r="B54" s="48"/>
      <c r="C54" s="48"/>
      <c r="D54" s="48"/>
    </row>
    <row r="55" spans="1:26" x14ac:dyDescent="0.25">
      <c r="A55" s="10" t="s">
        <v>30</v>
      </c>
      <c r="B55" s="508" t="s">
        <v>639</v>
      </c>
      <c r="C55" s="508"/>
      <c r="D55" s="508"/>
      <c r="E55" s="508"/>
      <c r="F55" s="508"/>
      <c r="G55" s="368"/>
      <c r="H55" s="9" t="s">
        <v>690</v>
      </c>
      <c r="U55" s="24"/>
    </row>
    <row r="56" spans="1:26" x14ac:dyDescent="0.25">
      <c r="B56" s="508"/>
      <c r="C56" s="508"/>
      <c r="D56" s="508"/>
      <c r="E56" s="508"/>
      <c r="F56" s="508"/>
      <c r="G56" s="368"/>
      <c r="H56" s="540" t="s">
        <v>113</v>
      </c>
      <c r="I56" s="540"/>
      <c r="J56" s="540"/>
      <c r="K56" s="540"/>
      <c r="L56" s="540"/>
      <c r="M56" s="540"/>
      <c r="N56" s="222"/>
      <c r="O56" s="222"/>
      <c r="P56" s="222"/>
      <c r="Q56" s="222"/>
      <c r="R56" s="222"/>
      <c r="S56" s="24"/>
    </row>
    <row r="57" spans="1:26" x14ac:dyDescent="0.25">
      <c r="B57" s="508"/>
      <c r="C57" s="508"/>
      <c r="D57" s="508"/>
      <c r="E57" s="508"/>
      <c r="F57" s="508"/>
      <c r="G57" s="368"/>
      <c r="H57" s="367" t="s">
        <v>43</v>
      </c>
      <c r="I57" s="367" t="s">
        <v>23</v>
      </c>
      <c r="J57" s="367" t="s">
        <v>24</v>
      </c>
      <c r="K57" s="367" t="s">
        <v>25</v>
      </c>
      <c r="L57" s="367" t="s">
        <v>26</v>
      </c>
      <c r="M57" s="367" t="s">
        <v>101</v>
      </c>
      <c r="N57" s="222"/>
      <c r="O57" s="222"/>
      <c r="P57" s="222"/>
      <c r="Q57" s="222"/>
      <c r="R57" s="222"/>
      <c r="S57" s="24"/>
    </row>
    <row r="58" spans="1:26" ht="15" customHeight="1" x14ac:dyDescent="0.25">
      <c r="B58" s="508"/>
      <c r="C58" s="508"/>
      <c r="D58" s="508"/>
      <c r="E58" s="508"/>
      <c r="F58" s="508"/>
      <c r="G58" s="368"/>
      <c r="H58" s="367">
        <v>2022</v>
      </c>
      <c r="I58" s="199">
        <f>($K$49*J39)+($M$49*L39)</f>
        <v>4.5975141285851286</v>
      </c>
      <c r="J58" s="199">
        <f>($K$49*J40)+($M$49*L40)</f>
        <v>11.46571217311023</v>
      </c>
      <c r="K58" s="199">
        <f>($K$49*J41)+($M$49*L41)</f>
        <v>36.72396673197585</v>
      </c>
      <c r="L58" s="199">
        <f>($K$49*J42)+($M$49*L42)</f>
        <v>45.918994989146107</v>
      </c>
      <c r="M58" s="199">
        <f>($K$49*J43)+($M$49*L43)</f>
        <v>160.46382412683803</v>
      </c>
      <c r="N58" s="222"/>
      <c r="O58" s="222"/>
      <c r="P58" s="222"/>
      <c r="Q58" s="222"/>
      <c r="R58" s="222"/>
      <c r="S58" s="366"/>
    </row>
    <row r="59" spans="1:26" x14ac:dyDescent="0.25">
      <c r="B59" s="508"/>
      <c r="C59" s="508"/>
      <c r="D59" s="508"/>
      <c r="E59" s="508"/>
      <c r="F59" s="508"/>
      <c r="G59" s="368"/>
      <c r="H59" s="367">
        <v>2042</v>
      </c>
      <c r="I59" s="199">
        <f>($K$50*J39)+($M$50*L39)</f>
        <v>5.908422925667546</v>
      </c>
      <c r="J59" s="199">
        <f>($K$50*J40)+($M$50*L40)</f>
        <v>14.734280865484923</v>
      </c>
      <c r="K59" s="199">
        <f>($K$50*J41)+($M$50*L41)</f>
        <v>47.193830507972478</v>
      </c>
      <c r="L59" s="199">
        <f>($K$50*J42)+($M$50*L42)</f>
        <v>59.010676359307574</v>
      </c>
      <c r="M59" s="199">
        <f>($K$50*J43)+($M$50*L43)</f>
        <v>206.20637921942105</v>
      </c>
      <c r="N59" s="222"/>
      <c r="O59" s="222"/>
      <c r="P59" s="222"/>
      <c r="Q59" s="222"/>
      <c r="R59" s="222"/>
      <c r="S59" s="366"/>
    </row>
    <row r="60" spans="1:26" ht="15" customHeight="1" x14ac:dyDescent="0.25">
      <c r="S60" s="366"/>
    </row>
    <row r="61" spans="1:26" ht="15" customHeight="1" x14ac:dyDescent="0.25">
      <c r="A61" s="10" t="s">
        <v>31</v>
      </c>
      <c r="B61" s="24" t="s">
        <v>625</v>
      </c>
      <c r="H61" s="9" t="s">
        <v>689</v>
      </c>
      <c r="I61" s="366"/>
      <c r="J61" s="366"/>
      <c r="K61" s="366"/>
      <c r="L61" s="366"/>
      <c r="M61" s="366"/>
      <c r="S61" s="366"/>
    </row>
    <row r="62" spans="1:26" x14ac:dyDescent="0.25">
      <c r="H62" s="540" t="s">
        <v>114</v>
      </c>
      <c r="I62" s="540"/>
      <c r="J62" s="540"/>
      <c r="K62" s="540"/>
      <c r="L62" s="540"/>
      <c r="M62" s="540"/>
    </row>
    <row r="63" spans="1:26" x14ac:dyDescent="0.25">
      <c r="A63" s="10" t="s">
        <v>92</v>
      </c>
      <c r="B63" s="509" t="s">
        <v>626</v>
      </c>
      <c r="C63" s="509"/>
      <c r="D63" s="509"/>
      <c r="E63" s="509"/>
      <c r="F63" s="509"/>
      <c r="G63" s="25"/>
      <c r="H63" s="367" t="s">
        <v>43</v>
      </c>
      <c r="I63" s="367" t="s">
        <v>23</v>
      </c>
      <c r="J63" s="367" t="s">
        <v>24</v>
      </c>
      <c r="K63" s="367" t="s">
        <v>25</v>
      </c>
      <c r="L63" s="367" t="s">
        <v>26</v>
      </c>
      <c r="M63" s="367" t="s">
        <v>101</v>
      </c>
    </row>
    <row r="64" spans="1:26" x14ac:dyDescent="0.25">
      <c r="A64" s="25"/>
      <c r="B64" s="509"/>
      <c r="C64" s="509"/>
      <c r="D64" s="509"/>
      <c r="E64" s="509"/>
      <c r="F64" s="509"/>
      <c r="G64" s="25"/>
      <c r="H64" s="367">
        <v>2022</v>
      </c>
      <c r="I64" s="199">
        <f>((I20*J20/5280*365)*J39)+(($I$34*J34/5280*365)*L39)</f>
        <v>0.35946923545329745</v>
      </c>
      <c r="J64" s="199">
        <f>((I20*J20/5280*365)*J40)+(($I$34*J34/5280*365)*L40)</f>
        <v>0.89873689199289397</v>
      </c>
      <c r="K64" s="199">
        <f>((I20*J20/5280*365)*J41)+(($I$34*J34/5280*365)*L41)</f>
        <v>2.8758814903456802</v>
      </c>
      <c r="L64" s="199">
        <f>((I20*J20/5280*365)*J42)+(($I$34*J34/5280*365)*L42)</f>
        <v>3.5948199612522753</v>
      </c>
      <c r="M64" s="199">
        <f>((I20*J20/5280*365)*J43)+(($I$34*J34/5280*365)*L43)</f>
        <v>12.582444094619817</v>
      </c>
    </row>
    <row r="65" spans="1:13" x14ac:dyDescent="0.25">
      <c r="A65" s="25"/>
      <c r="B65" s="509"/>
      <c r="C65" s="509"/>
      <c r="D65" s="509"/>
      <c r="E65" s="509"/>
      <c r="F65" s="509"/>
      <c r="G65" s="25"/>
      <c r="H65" s="367">
        <v>2042</v>
      </c>
      <c r="I65" s="199">
        <f>I64+(I64*($H$65-$H$64)*$I$53)</f>
        <v>0.47065998376271134</v>
      </c>
      <c r="J65" s="199">
        <f>J64+(J64*($H$65-$H$64)*$I$53)</f>
        <v>1.1767334983727185</v>
      </c>
      <c r="K65" s="199">
        <f>K64+(K64*($H$65-$H$64)*$I$53)</f>
        <v>3.7654469480335706</v>
      </c>
      <c r="L65" s="199">
        <f>L64+(L64*($H$65-$H$64)*$I$53)</f>
        <v>4.706766915558994</v>
      </c>
      <c r="M65" s="199">
        <f>M64+(M64*($H$65-$H$64)*$I$53)</f>
        <v>16.474436055149937</v>
      </c>
    </row>
    <row r="66" spans="1:13" x14ac:dyDescent="0.25">
      <c r="A66" s="25"/>
      <c r="B66" s="25"/>
      <c r="C66" s="25"/>
      <c r="D66" s="25"/>
      <c r="E66" s="25"/>
      <c r="F66" s="25"/>
      <c r="G66" s="25"/>
    </row>
    <row r="67" spans="1:13" x14ac:dyDescent="0.25">
      <c r="A67" s="25"/>
      <c r="B67" s="25"/>
      <c r="C67" s="25"/>
      <c r="D67" s="25"/>
      <c r="E67" s="25"/>
      <c r="F67" s="25"/>
      <c r="G67" s="25"/>
      <c r="H67" s="410" t="s">
        <v>701</v>
      </c>
      <c r="I67" s="366"/>
      <c r="J67" s="222"/>
      <c r="K67" s="222"/>
      <c r="L67" s="222"/>
      <c r="M67" s="222"/>
    </row>
    <row r="68" spans="1:13" x14ac:dyDescent="0.25">
      <c r="A68" s="25"/>
      <c r="B68" s="25"/>
      <c r="C68" s="25"/>
      <c r="D68" s="25"/>
      <c r="E68" s="25"/>
      <c r="F68" s="25"/>
      <c r="G68" s="25"/>
      <c r="H68" s="367" t="s">
        <v>43</v>
      </c>
      <c r="I68" s="367" t="s">
        <v>15</v>
      </c>
      <c r="J68" s="367" t="s">
        <v>46</v>
      </c>
      <c r="K68" s="366"/>
      <c r="L68" s="366"/>
      <c r="M68" s="366"/>
    </row>
    <row r="69" spans="1:13" x14ac:dyDescent="0.25">
      <c r="A69" s="25"/>
      <c r="B69" s="25"/>
      <c r="C69" s="25"/>
      <c r="D69" s="25"/>
      <c r="E69" s="25"/>
      <c r="F69" s="25"/>
      <c r="G69" s="25"/>
      <c r="H69" s="367">
        <v>2022</v>
      </c>
      <c r="I69" s="269">
        <f>SUMPRODUCT($I$64:$M$64,$I$8:$M$8)</f>
        <v>5883214.6279209778</v>
      </c>
      <c r="J69" s="269">
        <f>SUMPRODUCT($I$8:$M$8,I58:M58)</f>
        <v>75213376.365287364</v>
      </c>
      <c r="K69" s="366"/>
      <c r="L69" s="366"/>
      <c r="M69" s="366"/>
    </row>
    <row r="70" spans="1:13" x14ac:dyDescent="0.25">
      <c r="A70" s="25"/>
      <c r="B70" s="25"/>
      <c r="C70" s="25"/>
      <c r="D70" s="25"/>
      <c r="E70" s="25"/>
      <c r="F70" s="25"/>
      <c r="G70" s="25"/>
      <c r="H70" s="367">
        <v>2042</v>
      </c>
      <c r="I70" s="269">
        <f>SUMPRODUCT($I$65:$M$65,$I$8:$M$8)</f>
        <v>7703006.0660353303</v>
      </c>
      <c r="J70" s="269">
        <f>SUMPRODUCT($I$8:$M$8,I59:M59)</f>
        <v>96658528.839238122</v>
      </c>
      <c r="K70" s="366"/>
      <c r="L70" s="366"/>
      <c r="M70" s="366"/>
    </row>
    <row r="71" spans="1:13" x14ac:dyDescent="0.25">
      <c r="H71" s="26"/>
    </row>
  </sheetData>
  <mergeCells count="13">
    <mergeCell ref="H56:M56"/>
    <mergeCell ref="B63:F65"/>
    <mergeCell ref="H62:M62"/>
    <mergeCell ref="C3:F3"/>
    <mergeCell ref="B4:B5"/>
    <mergeCell ref="C4:C5"/>
    <mergeCell ref="D4:D5"/>
    <mergeCell ref="E4:E5"/>
    <mergeCell ref="F4:F5"/>
    <mergeCell ref="B41:F43"/>
    <mergeCell ref="B55:F59"/>
    <mergeCell ref="B45:F48"/>
    <mergeCell ref="B50:F53"/>
  </mergeCells>
  <pageMargins left="0.25" right="0.25" top="0.75" bottom="0.75" header="0.3" footer="0.3"/>
  <pageSetup paperSize="3"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tabColor theme="6" tint="0.79998168889431442"/>
    <pageSetUpPr fitToPage="1"/>
  </sheetPr>
  <dimension ref="A1:K70"/>
  <sheetViews>
    <sheetView zoomScale="70" zoomScaleNormal="70" zoomScaleSheetLayoutView="100" workbookViewId="0">
      <selection activeCell="F40" sqref="F40"/>
    </sheetView>
  </sheetViews>
  <sheetFormatPr defaultRowHeight="15" x14ac:dyDescent="0.25"/>
  <cols>
    <col min="1" max="1" width="9.140625" style="70"/>
    <col min="2" max="6" width="15.7109375" style="70" customWidth="1"/>
    <col min="7" max="7" width="15.5703125" style="70" customWidth="1"/>
    <col min="8" max="8" width="40.5703125" style="70" customWidth="1"/>
    <col min="9" max="9" width="27.5703125" style="70" bestFit="1" customWidth="1"/>
    <col min="10" max="10" width="22.5703125" style="70" bestFit="1" customWidth="1"/>
    <col min="11" max="14" width="22.7109375" style="70" customWidth="1"/>
    <col min="15" max="16384" width="9.140625" style="70"/>
  </cols>
  <sheetData>
    <row r="1" spans="2:10" x14ac:dyDescent="0.25">
      <c r="B1" s="419">
        <v>1</v>
      </c>
      <c r="C1" s="419">
        <v>2</v>
      </c>
      <c r="D1" s="419">
        <v>3</v>
      </c>
      <c r="E1" s="419">
        <v>4</v>
      </c>
      <c r="F1" s="419">
        <v>6</v>
      </c>
    </row>
    <row r="2" spans="2:10" x14ac:dyDescent="0.25">
      <c r="B2" s="9" t="s">
        <v>6</v>
      </c>
    </row>
    <row r="3" spans="2:10" s="242" customFormat="1" ht="15.75" thickBot="1" x14ac:dyDescent="0.3">
      <c r="B3" s="9"/>
    </row>
    <row r="4" spans="2:10" ht="22.5" customHeight="1" x14ac:dyDescent="0.25">
      <c r="B4" s="488" t="s">
        <v>0</v>
      </c>
      <c r="C4" s="536" t="s">
        <v>95</v>
      </c>
      <c r="D4" s="534" t="s">
        <v>1</v>
      </c>
      <c r="E4" s="538" t="s">
        <v>5</v>
      </c>
      <c r="F4" s="534" t="s">
        <v>1</v>
      </c>
      <c r="G4" s="112"/>
    </row>
    <row r="5" spans="2:10" ht="22.5" customHeight="1" thickBot="1" x14ac:dyDescent="0.3">
      <c r="B5" s="489"/>
      <c r="C5" s="537"/>
      <c r="D5" s="535"/>
      <c r="E5" s="539"/>
      <c r="F5" s="535"/>
      <c r="G5" s="112"/>
    </row>
    <row r="6" spans="2:10" ht="15.75" customHeight="1" x14ac:dyDescent="0.25">
      <c r="B6" s="151">
        <v>2024</v>
      </c>
      <c r="C6" s="365">
        <f>IFERROR(VLOOKUP(B6,$H$16:$J$19,3,FALSE),0)</f>
        <v>4342421.9336414412</v>
      </c>
      <c r="D6" s="152">
        <f>C6*(1+0.07)^-($B6-Assumptions!$D$4)</f>
        <v>3312812.9018652118</v>
      </c>
      <c r="E6" s="155">
        <f t="shared" ref="E6:E35" si="0">IFERROR(VLOOKUP(B6,$I$27:$K$27,3,FALSE),0)</f>
        <v>0</v>
      </c>
      <c r="F6" s="129">
        <f>E6*(1+0.07)^-($B6-Assumptions!$D$4)</f>
        <v>0</v>
      </c>
    </row>
    <row r="7" spans="2:10" ht="15.75" customHeight="1" x14ac:dyDescent="0.25">
      <c r="B7" s="2">
        <f>B6+1</f>
        <v>2025</v>
      </c>
      <c r="C7" s="365">
        <f t="shared" ref="C7:C39" si="1">IFERROR(VLOOKUP(B7,$H$16:$J$19,3,FALSE),0)</f>
        <v>8064497.8767626761</v>
      </c>
      <c r="D7" s="7">
        <f>C7*(1+0.07)^-($B7-Assumptions!$D$4)</f>
        <v>5749875.530607176</v>
      </c>
      <c r="E7" s="153">
        <f t="shared" si="0"/>
        <v>0</v>
      </c>
      <c r="F7" s="7">
        <f>E7*(1+0.07)^-($B7-Assumptions!$D$4)</f>
        <v>0</v>
      </c>
      <c r="H7" s="9" t="s">
        <v>87</v>
      </c>
      <c r="I7" s="167"/>
    </row>
    <row r="8" spans="2:10" ht="15.75" customHeight="1" x14ac:dyDescent="0.25">
      <c r="B8" s="2">
        <f t="shared" ref="B8:B39" si="2">B7+1</f>
        <v>2026</v>
      </c>
      <c r="C8" s="365">
        <f t="shared" si="1"/>
        <v>55831139.146818526</v>
      </c>
      <c r="D8" s="7">
        <f>C8*(1+0.07)^-($B8-Assumptions!$D$4)</f>
        <v>37202645.417300202</v>
      </c>
      <c r="E8" s="153">
        <f t="shared" si="0"/>
        <v>0</v>
      </c>
      <c r="F8" s="7">
        <f>E8*(1+0.07)^-($B8-Assumptions!$D$4)</f>
        <v>0</v>
      </c>
      <c r="H8" s="324" t="s">
        <v>85</v>
      </c>
      <c r="I8" s="183">
        <f>113.648/118.357</f>
        <v>0.96021359108459992</v>
      </c>
    </row>
    <row r="9" spans="2:10" ht="15.75" customHeight="1" x14ac:dyDescent="0.25">
      <c r="B9" s="2">
        <f t="shared" si="2"/>
        <v>2027</v>
      </c>
      <c r="C9" s="365">
        <f t="shared" si="1"/>
        <v>55831139.146818526</v>
      </c>
      <c r="D9" s="7">
        <f>C9*(1+0.07)^-($B9-Assumptions!$D$4)</f>
        <v>34768827.492803924</v>
      </c>
      <c r="E9" s="153">
        <f t="shared" si="0"/>
        <v>0</v>
      </c>
      <c r="F9" s="7">
        <f>E9*(1+0.07)^-($B9-Assumptions!$D$4)</f>
        <v>0</v>
      </c>
    </row>
    <row r="10" spans="2:10" ht="15.75" customHeight="1" x14ac:dyDescent="0.25">
      <c r="B10" s="2">
        <f t="shared" si="2"/>
        <v>2028</v>
      </c>
      <c r="C10" s="365">
        <f t="shared" si="1"/>
        <v>0</v>
      </c>
      <c r="D10" s="7">
        <f>C10*(1+0.07)^-($B10-Assumptions!$D$4)</f>
        <v>0</v>
      </c>
      <c r="E10" s="153">
        <f t="shared" si="0"/>
        <v>0</v>
      </c>
      <c r="F10" s="7">
        <f>E10*(1+0.07)^-($B10-Assumptions!$D$4)</f>
        <v>0</v>
      </c>
      <c r="H10" s="9" t="s">
        <v>88</v>
      </c>
    </row>
    <row r="11" spans="2:10" ht="15.75" customHeight="1" x14ac:dyDescent="0.25">
      <c r="B11" s="2">
        <f t="shared" si="2"/>
        <v>2029</v>
      </c>
      <c r="C11" s="365">
        <f t="shared" si="1"/>
        <v>0</v>
      </c>
      <c r="D11" s="7">
        <f>C11*(1+0.07)^-($B11-Assumptions!$D$4)</f>
        <v>0</v>
      </c>
      <c r="E11" s="153">
        <f t="shared" si="0"/>
        <v>0</v>
      </c>
      <c r="F11" s="7">
        <f>E11*(1+0.07)^-($B11-Assumptions!$D$4)</f>
        <v>0</v>
      </c>
      <c r="H11" s="130" t="s">
        <v>90</v>
      </c>
      <c r="I11" s="182">
        <v>129210000</v>
      </c>
    </row>
    <row r="12" spans="2:10" ht="15.75" customHeight="1" x14ac:dyDescent="0.25">
      <c r="B12" s="2">
        <f t="shared" si="2"/>
        <v>2030</v>
      </c>
      <c r="C12" s="365">
        <f t="shared" si="1"/>
        <v>0</v>
      </c>
      <c r="D12" s="7">
        <f>C12*(1+0.07)^-($B12-Assumptions!$D$4)</f>
        <v>0</v>
      </c>
      <c r="E12" s="153">
        <f t="shared" si="0"/>
        <v>0</v>
      </c>
      <c r="F12" s="7">
        <f>E12*(1+0.07)^-($B12-Assumptions!$D$4)</f>
        <v>0</v>
      </c>
      <c r="H12" s="130" t="s">
        <v>86</v>
      </c>
      <c r="I12" s="323">
        <f>I8*I11</f>
        <v>124069198.10404116</v>
      </c>
      <c r="J12" s="242"/>
    </row>
    <row r="13" spans="2:10" ht="15.75" customHeight="1" x14ac:dyDescent="0.25">
      <c r="B13" s="2">
        <f t="shared" si="2"/>
        <v>2031</v>
      </c>
      <c r="C13" s="365">
        <f t="shared" si="1"/>
        <v>0</v>
      </c>
      <c r="D13" s="7">
        <f>C13*(1+0.07)^-($B13-Assumptions!$D$4)</f>
        <v>0</v>
      </c>
      <c r="E13" s="153">
        <f t="shared" si="0"/>
        <v>0</v>
      </c>
      <c r="F13" s="7">
        <f>E13*(1+0.07)^-($B13-Assumptions!$D$4)</f>
        <v>0</v>
      </c>
    </row>
    <row r="14" spans="2:10" ht="15.75" customHeight="1" x14ac:dyDescent="0.25">
      <c r="B14" s="2">
        <f t="shared" si="2"/>
        <v>2032</v>
      </c>
      <c r="C14" s="365">
        <f t="shared" si="1"/>
        <v>0</v>
      </c>
      <c r="D14" s="7">
        <f>C14*(1+0.07)^-($B14-Assumptions!$D$4)</f>
        <v>0</v>
      </c>
      <c r="E14" s="153">
        <f t="shared" si="0"/>
        <v>0</v>
      </c>
      <c r="F14" s="7">
        <f>E14*(1+0.07)^-($B14-Assumptions!$D$4)</f>
        <v>0</v>
      </c>
      <c r="H14" s="9" t="s">
        <v>89</v>
      </c>
    </row>
    <row r="15" spans="2:10" ht="15.75" customHeight="1" x14ac:dyDescent="0.25">
      <c r="B15" s="2">
        <f t="shared" si="2"/>
        <v>2033</v>
      </c>
      <c r="C15" s="365">
        <f t="shared" si="1"/>
        <v>0</v>
      </c>
      <c r="D15" s="7">
        <f>C15*(1+0.07)^-($B15-Assumptions!$D$4)</f>
        <v>0</v>
      </c>
      <c r="E15" s="153">
        <f t="shared" si="0"/>
        <v>0</v>
      </c>
      <c r="F15" s="7">
        <f>E15*(1+0.07)^-($B15-Assumptions!$D$4)</f>
        <v>0</v>
      </c>
      <c r="H15" s="396" t="s">
        <v>73</v>
      </c>
      <c r="I15" s="396" t="s">
        <v>693</v>
      </c>
      <c r="J15" s="396" t="s">
        <v>74</v>
      </c>
    </row>
    <row r="16" spans="2:10" ht="15.75" customHeight="1" x14ac:dyDescent="0.25">
      <c r="B16" s="2">
        <f t="shared" si="2"/>
        <v>2034</v>
      </c>
      <c r="C16" s="365">
        <f t="shared" si="1"/>
        <v>0</v>
      </c>
      <c r="D16" s="7">
        <f>C16*(1+0.07)^-($B16-Assumptions!$D$4)</f>
        <v>0</v>
      </c>
      <c r="E16" s="153">
        <f t="shared" si="0"/>
        <v>0</v>
      </c>
      <c r="F16" s="7">
        <f>E16*(1+0.07)^-($B16-Assumptions!$D$4)</f>
        <v>0</v>
      </c>
      <c r="H16" s="415">
        <v>2024</v>
      </c>
      <c r="I16" s="212">
        <v>3.5000000000000003E-2</v>
      </c>
      <c r="J16" s="417">
        <f>$I$12*$I16</f>
        <v>4342421.9336414412</v>
      </c>
    </row>
    <row r="17" spans="2:11" ht="15.75" customHeight="1" x14ac:dyDescent="0.25">
      <c r="B17" s="2">
        <f t="shared" si="2"/>
        <v>2035</v>
      </c>
      <c r="C17" s="365">
        <f t="shared" si="1"/>
        <v>0</v>
      </c>
      <c r="D17" s="7">
        <f>C17*(1+0.07)^-($B17-Assumptions!$D$4)</f>
        <v>0</v>
      </c>
      <c r="E17" s="153">
        <f t="shared" si="0"/>
        <v>0</v>
      </c>
      <c r="F17" s="7">
        <f>E17*(1+0.07)^-($B17-Assumptions!$D$4)</f>
        <v>0</v>
      </c>
      <c r="H17" s="415">
        <v>2025</v>
      </c>
      <c r="I17" s="212">
        <v>6.5000000000000002E-2</v>
      </c>
      <c r="J17" s="417">
        <f>$I$12*$I17</f>
        <v>8064497.8767626761</v>
      </c>
      <c r="K17" s="372"/>
    </row>
    <row r="18" spans="2:11" ht="15.75" customHeight="1" x14ac:dyDescent="0.25">
      <c r="B18" s="2">
        <f t="shared" si="2"/>
        <v>2036</v>
      </c>
      <c r="C18" s="365">
        <f t="shared" si="1"/>
        <v>0</v>
      </c>
      <c r="D18" s="7">
        <f>C18*(1+0.07)^-($B18-Assumptions!$D$4)</f>
        <v>0</v>
      </c>
      <c r="E18" s="153">
        <f t="shared" si="0"/>
        <v>0</v>
      </c>
      <c r="F18" s="7">
        <f>E18*(1+0.07)^-($B18-Assumptions!$D$4)</f>
        <v>0</v>
      </c>
      <c r="H18" s="415">
        <v>2026</v>
      </c>
      <c r="I18" s="212">
        <v>0.45</v>
      </c>
      <c r="J18" s="417">
        <f>$I$12*$I18</f>
        <v>55831139.146818526</v>
      </c>
    </row>
    <row r="19" spans="2:11" ht="15.75" customHeight="1" x14ac:dyDescent="0.25">
      <c r="B19" s="2">
        <f t="shared" si="2"/>
        <v>2037</v>
      </c>
      <c r="C19" s="365">
        <f t="shared" si="1"/>
        <v>0</v>
      </c>
      <c r="D19" s="7">
        <f>C19*(1+0.07)^-($B19-Assumptions!$D$4)</f>
        <v>0</v>
      </c>
      <c r="E19" s="153">
        <f t="shared" si="0"/>
        <v>0</v>
      </c>
      <c r="F19" s="7">
        <f>E19*(1+0.07)^-($B19-Assumptions!$D$4)</f>
        <v>0</v>
      </c>
      <c r="H19" s="415">
        <v>2027</v>
      </c>
      <c r="I19" s="212">
        <v>0.45</v>
      </c>
      <c r="J19" s="417">
        <f>$I$12*$I19</f>
        <v>55831139.146818526</v>
      </c>
    </row>
    <row r="20" spans="2:11" ht="15.75" customHeight="1" x14ac:dyDescent="0.25">
      <c r="B20" s="2">
        <f t="shared" si="2"/>
        <v>2038</v>
      </c>
      <c r="C20" s="365">
        <f t="shared" si="1"/>
        <v>0</v>
      </c>
      <c r="D20" s="7">
        <f>C20*(1+0.07)^-($B20-Assumptions!$D$4)</f>
        <v>0</v>
      </c>
      <c r="E20" s="153">
        <f t="shared" si="0"/>
        <v>0</v>
      </c>
      <c r="F20" s="7">
        <f>E20*(1+0.07)^-($B20-Assumptions!$D$4)</f>
        <v>0</v>
      </c>
    </row>
    <row r="21" spans="2:11" ht="15.75" customHeight="1" x14ac:dyDescent="0.25">
      <c r="B21" s="2">
        <f t="shared" si="2"/>
        <v>2039</v>
      </c>
      <c r="C21" s="365">
        <f t="shared" si="1"/>
        <v>0</v>
      </c>
      <c r="D21" s="7">
        <f>C21*(1+0.07)^-($B21-Assumptions!$D$4)</f>
        <v>0</v>
      </c>
      <c r="E21" s="153">
        <f t="shared" si="0"/>
        <v>0</v>
      </c>
      <c r="F21" s="7">
        <f>E21*(1+0.07)^-($B21-Assumptions!$D$4)</f>
        <v>0</v>
      </c>
      <c r="H21" s="9" t="s">
        <v>96</v>
      </c>
    </row>
    <row r="22" spans="2:11" ht="15.75" customHeight="1" x14ac:dyDescent="0.25">
      <c r="B22" s="2">
        <f t="shared" si="2"/>
        <v>2040</v>
      </c>
      <c r="C22" s="365">
        <f t="shared" si="1"/>
        <v>0</v>
      </c>
      <c r="D22" s="7">
        <f>C22*(1+0.07)^-($B22-Assumptions!$D$4)</f>
        <v>0</v>
      </c>
      <c r="E22" s="153">
        <f t="shared" si="0"/>
        <v>0</v>
      </c>
      <c r="F22" s="7">
        <f>E22*(1+0.07)^-($B22-Assumptions!$D$4)</f>
        <v>0</v>
      </c>
      <c r="H22" s="156" t="s">
        <v>202</v>
      </c>
      <c r="I22" s="156" t="s">
        <v>610</v>
      </c>
      <c r="J22" s="156" t="s">
        <v>74</v>
      </c>
    </row>
    <row r="23" spans="2:11" ht="15.75" customHeight="1" x14ac:dyDescent="0.25">
      <c r="B23" s="2">
        <f t="shared" si="2"/>
        <v>2041</v>
      </c>
      <c r="C23" s="365">
        <f t="shared" si="1"/>
        <v>0</v>
      </c>
      <c r="D23" s="7">
        <f>C23*(1+0.07)^-($B23-Assumptions!$D$4)</f>
        <v>0</v>
      </c>
      <c r="E23" s="153">
        <f t="shared" si="0"/>
        <v>0</v>
      </c>
      <c r="F23" s="7">
        <f>E23*(1+0.07)^-($B23-Assumptions!$D$4)</f>
        <v>0</v>
      </c>
      <c r="H23" s="325" t="s">
        <v>202</v>
      </c>
      <c r="I23" s="185">
        <v>2028</v>
      </c>
      <c r="J23" s="186">
        <f>SUM(J18:J19)</f>
        <v>111662278.29363705</v>
      </c>
    </row>
    <row r="24" spans="2:11" ht="15.75" customHeight="1" x14ac:dyDescent="0.25">
      <c r="B24" s="2">
        <f t="shared" si="2"/>
        <v>2042</v>
      </c>
      <c r="C24" s="365">
        <f t="shared" si="1"/>
        <v>0</v>
      </c>
      <c r="D24" s="7">
        <f>C24*(1+0.07)^-($B24-Assumptions!$D$4)</f>
        <v>0</v>
      </c>
      <c r="E24" s="153">
        <f t="shared" si="0"/>
        <v>0</v>
      </c>
      <c r="F24" s="7">
        <f>E24*(1+0.07)^-($B24-Assumptions!$D$4)</f>
        <v>0</v>
      </c>
      <c r="H24" s="372"/>
      <c r="I24" s="372"/>
      <c r="J24" s="372"/>
      <c r="K24" s="372"/>
    </row>
    <row r="25" spans="2:11" ht="15.75" customHeight="1" x14ac:dyDescent="0.25">
      <c r="B25" s="2">
        <f t="shared" si="2"/>
        <v>2043</v>
      </c>
      <c r="C25" s="365">
        <f t="shared" si="1"/>
        <v>0</v>
      </c>
      <c r="D25" s="7">
        <f>C25*(1+0.07)^-($B25-Assumptions!$D$4)</f>
        <v>0</v>
      </c>
      <c r="E25" s="153">
        <f t="shared" si="0"/>
        <v>0</v>
      </c>
      <c r="F25" s="7">
        <f>E25*(1+0.07)^-($B25-Assumptions!$D$4)</f>
        <v>0</v>
      </c>
      <c r="H25" s="9" t="s">
        <v>97</v>
      </c>
    </row>
    <row r="26" spans="2:11" ht="15.75" customHeight="1" x14ac:dyDescent="0.25">
      <c r="B26" s="2">
        <f t="shared" si="2"/>
        <v>2044</v>
      </c>
      <c r="C26" s="365">
        <f t="shared" si="1"/>
        <v>0</v>
      </c>
      <c r="D26" s="7">
        <f>C26*(1+0.07)^-($B26-Assumptions!$D$4)</f>
        <v>0</v>
      </c>
      <c r="E26" s="153">
        <f t="shared" si="0"/>
        <v>0</v>
      </c>
      <c r="F26" s="7">
        <f>E26*(1+0.07)^-($B26-Assumptions!$D$4)</f>
        <v>0</v>
      </c>
      <c r="H26" s="156" t="s">
        <v>16</v>
      </c>
      <c r="I26" s="156" t="s">
        <v>76</v>
      </c>
      <c r="J26" s="157" t="s">
        <v>75</v>
      </c>
      <c r="K26" s="156" t="s">
        <v>5</v>
      </c>
    </row>
    <row r="27" spans="2:11" ht="15.75" customHeight="1" x14ac:dyDescent="0.25">
      <c r="B27" s="2">
        <f t="shared" si="2"/>
        <v>2045</v>
      </c>
      <c r="C27" s="365">
        <f t="shared" si="1"/>
        <v>0</v>
      </c>
      <c r="D27" s="7">
        <f>C27*(1+0.07)^-($B27-Assumptions!$D$4)</f>
        <v>0</v>
      </c>
      <c r="E27" s="153">
        <f t="shared" si="0"/>
        <v>0</v>
      </c>
      <c r="F27" s="7">
        <f>E27*(1+0.07)^-($B27-Assumptions!$D$4)</f>
        <v>0</v>
      </c>
      <c r="H27" s="185">
        <v>50</v>
      </c>
      <c r="I27" s="325">
        <f>Assumptions!$D$9</f>
        <v>2057</v>
      </c>
      <c r="J27" s="393">
        <f>(I23+H27-I27-1)/H27</f>
        <v>0.4</v>
      </c>
      <c r="K27" s="326">
        <f>J23*J27</f>
        <v>44664911.317454822</v>
      </c>
    </row>
    <row r="28" spans="2:11" ht="15.75" customHeight="1" x14ac:dyDescent="0.25">
      <c r="B28" s="2">
        <f t="shared" si="2"/>
        <v>2046</v>
      </c>
      <c r="C28" s="365">
        <f t="shared" si="1"/>
        <v>0</v>
      </c>
      <c r="D28" s="7">
        <f>C28*(1+0.07)^-($B28-Assumptions!$D$4)</f>
        <v>0</v>
      </c>
      <c r="E28" s="153">
        <f t="shared" si="0"/>
        <v>0</v>
      </c>
      <c r="F28" s="7">
        <f>E28*(1+0.07)^-($B28-Assumptions!$D$4)</f>
        <v>0</v>
      </c>
    </row>
    <row r="29" spans="2:11" ht="15.75" customHeight="1" x14ac:dyDescent="0.25">
      <c r="B29" s="2">
        <f t="shared" si="2"/>
        <v>2047</v>
      </c>
      <c r="C29" s="365">
        <f t="shared" si="1"/>
        <v>0</v>
      </c>
      <c r="D29" s="7">
        <f>C29*(1+0.07)^-($B29-Assumptions!$D$4)</f>
        <v>0</v>
      </c>
      <c r="E29" s="153">
        <f t="shared" si="0"/>
        <v>0</v>
      </c>
      <c r="F29" s="7">
        <f>E29*(1+0.07)^-($B29-Assumptions!$D$4)</f>
        <v>0</v>
      </c>
    </row>
    <row r="30" spans="2:11" ht="15.75" customHeight="1" x14ac:dyDescent="0.25">
      <c r="B30" s="2">
        <f t="shared" si="2"/>
        <v>2048</v>
      </c>
      <c r="C30" s="365">
        <f t="shared" si="1"/>
        <v>0</v>
      </c>
      <c r="D30" s="7">
        <f>C30*(1+0.07)^-($B30-Assumptions!$D$4)</f>
        <v>0</v>
      </c>
      <c r="E30" s="153">
        <f t="shared" si="0"/>
        <v>0</v>
      </c>
      <c r="F30" s="7">
        <f>E30*(1+0.07)^-($B30-Assumptions!$D$4)</f>
        <v>0</v>
      </c>
    </row>
    <row r="31" spans="2:11" ht="15.75" customHeight="1" x14ac:dyDescent="0.25">
      <c r="B31" s="2">
        <f t="shared" si="2"/>
        <v>2049</v>
      </c>
      <c r="C31" s="365">
        <f t="shared" si="1"/>
        <v>0</v>
      </c>
      <c r="D31" s="7">
        <f>C31*(1+0.07)^-($B31-Assumptions!$D$4)</f>
        <v>0</v>
      </c>
      <c r="E31" s="153">
        <f t="shared" si="0"/>
        <v>0</v>
      </c>
      <c r="F31" s="7">
        <f>E31*(1+0.07)^-($B31-Assumptions!$D$4)</f>
        <v>0</v>
      </c>
    </row>
    <row r="32" spans="2:11" ht="15.75" customHeight="1" x14ac:dyDescent="0.25">
      <c r="B32" s="2">
        <f t="shared" si="2"/>
        <v>2050</v>
      </c>
      <c r="C32" s="365">
        <f t="shared" si="1"/>
        <v>0</v>
      </c>
      <c r="D32" s="7">
        <f>C32*(1+0.07)^-($B32-Assumptions!$D$4)</f>
        <v>0</v>
      </c>
      <c r="E32" s="153">
        <f t="shared" si="0"/>
        <v>0</v>
      </c>
      <c r="F32" s="7">
        <f>E32*(1+0.07)^-($B32-Assumptions!$D$4)</f>
        <v>0</v>
      </c>
    </row>
    <row r="33" spans="1:6" ht="15.75" customHeight="1" x14ac:dyDescent="0.25">
      <c r="B33" s="2">
        <f t="shared" si="2"/>
        <v>2051</v>
      </c>
      <c r="C33" s="365">
        <f t="shared" si="1"/>
        <v>0</v>
      </c>
      <c r="D33" s="7">
        <f>C33*(1+0.07)^-($B33-Assumptions!$D$4)</f>
        <v>0</v>
      </c>
      <c r="E33" s="153">
        <f t="shared" si="0"/>
        <v>0</v>
      </c>
      <c r="F33" s="7">
        <f>E33*(1+0.07)^-($B33-Assumptions!$D$4)</f>
        <v>0</v>
      </c>
    </row>
    <row r="34" spans="1:6" ht="15.75" customHeight="1" x14ac:dyDescent="0.25">
      <c r="B34" s="2">
        <f t="shared" si="2"/>
        <v>2052</v>
      </c>
      <c r="C34" s="365">
        <f t="shared" si="1"/>
        <v>0</v>
      </c>
      <c r="D34" s="7">
        <f>C34*(1+0.07)^-($B34-Assumptions!$D$4)</f>
        <v>0</v>
      </c>
      <c r="E34" s="153">
        <f t="shared" si="0"/>
        <v>0</v>
      </c>
      <c r="F34" s="7">
        <f>E34*(1+0.07)^-($B34-Assumptions!$D$4)</f>
        <v>0</v>
      </c>
    </row>
    <row r="35" spans="1:6" ht="15.75" customHeight="1" x14ac:dyDescent="0.25">
      <c r="B35" s="2">
        <f t="shared" si="2"/>
        <v>2053</v>
      </c>
      <c r="C35" s="365">
        <f t="shared" si="1"/>
        <v>0</v>
      </c>
      <c r="D35" s="7">
        <f>C35*(1+0.07)^-($B35-Assumptions!$D$4)</f>
        <v>0</v>
      </c>
      <c r="E35" s="153">
        <f t="shared" si="0"/>
        <v>0</v>
      </c>
      <c r="F35" s="7">
        <f>E35*(1+0.07)^-($B35-Assumptions!$D$4)</f>
        <v>0</v>
      </c>
    </row>
    <row r="36" spans="1:6" s="409" customFormat="1" ht="15.75" customHeight="1" x14ac:dyDescent="0.25">
      <c r="B36" s="2">
        <f t="shared" si="2"/>
        <v>2054</v>
      </c>
      <c r="C36" s="365">
        <f t="shared" si="1"/>
        <v>0</v>
      </c>
      <c r="D36" s="7">
        <f>C36*(1+0.07)^-($B36-Assumptions!$D$4)</f>
        <v>0</v>
      </c>
      <c r="E36" s="153">
        <f t="shared" ref="E36:E37" si="3">IFERROR(VLOOKUP(B36,$I$27:$K$27,3,FALSE),0)</f>
        <v>0</v>
      </c>
      <c r="F36" s="7">
        <f>E36*(1+0.07)^-($B36-Assumptions!$D$4)</f>
        <v>0</v>
      </c>
    </row>
    <row r="37" spans="1:6" s="409" customFormat="1" ht="15.75" customHeight="1" x14ac:dyDescent="0.25">
      <c r="B37" s="2">
        <f t="shared" si="2"/>
        <v>2055</v>
      </c>
      <c r="C37" s="365">
        <f t="shared" si="1"/>
        <v>0</v>
      </c>
      <c r="D37" s="7">
        <f>C37*(1+0.07)^-($B37-Assumptions!$D$4)</f>
        <v>0</v>
      </c>
      <c r="E37" s="153">
        <f t="shared" si="3"/>
        <v>0</v>
      </c>
      <c r="F37" s="7">
        <f>E37*(1+0.07)^-($B37-Assumptions!$D$4)</f>
        <v>0</v>
      </c>
    </row>
    <row r="38" spans="1:6" ht="15.75" customHeight="1" x14ac:dyDescent="0.25">
      <c r="B38" s="2">
        <f t="shared" si="2"/>
        <v>2056</v>
      </c>
      <c r="C38" s="365">
        <f t="shared" si="1"/>
        <v>0</v>
      </c>
      <c r="D38" s="7">
        <f>C38*(1+0.07)^-($B38-Assumptions!$D$4)</f>
        <v>0</v>
      </c>
      <c r="E38" s="153">
        <f>IFERROR(VLOOKUP(B38,$I$27:$K$27,3,FALSE),0)</f>
        <v>0</v>
      </c>
      <c r="F38" s="7">
        <f>E38*(1+0.07)^-($B38-Assumptions!$D$4)</f>
        <v>0</v>
      </c>
    </row>
    <row r="39" spans="1:6" ht="15.75" customHeight="1" thickBot="1" x14ac:dyDescent="0.3">
      <c r="B39" s="3">
        <f t="shared" si="2"/>
        <v>2057</v>
      </c>
      <c r="C39" s="418">
        <f t="shared" si="1"/>
        <v>0</v>
      </c>
      <c r="D39" s="8">
        <f>C39*(1+0.07)^-($B39-Assumptions!$D$4)</f>
        <v>0</v>
      </c>
      <c r="E39" s="154">
        <f>IFERROR(VLOOKUP(B39,$I$27:$K$27,3,FALSE),0)</f>
        <v>44664911.317454822</v>
      </c>
      <c r="F39" s="8">
        <f>E39*(1+0.07)^-($B39-Assumptions!$D$4)</f>
        <v>3653984.5076599172</v>
      </c>
    </row>
    <row r="40" spans="1:6" ht="15.75" customHeight="1" x14ac:dyDescent="0.25">
      <c r="B40" s="80" t="s">
        <v>4</v>
      </c>
      <c r="C40" s="6">
        <f>SUM(C6:C39)</f>
        <v>124069198.10404116</v>
      </c>
      <c r="D40" s="13">
        <f>SUM(D6:D39)</f>
        <v>81034161.342576504</v>
      </c>
      <c r="E40" s="13">
        <f>SUM(E6:E39)</f>
        <v>44664911.317454822</v>
      </c>
      <c r="F40" s="6">
        <f>SUM(F6:F39)</f>
        <v>3653984.5076599172</v>
      </c>
    </row>
    <row r="41" spans="1:6" ht="15.75" customHeight="1" x14ac:dyDescent="0.25"/>
    <row r="42" spans="1:6" ht="15.75" customHeight="1" x14ac:dyDescent="0.25">
      <c r="B42" s="9" t="s">
        <v>3</v>
      </c>
    </row>
    <row r="43" spans="1:6" ht="15.75" customHeight="1" x14ac:dyDescent="0.25">
      <c r="A43" s="10" t="s">
        <v>21</v>
      </c>
      <c r="B43" s="501" t="s">
        <v>728</v>
      </c>
      <c r="C43" s="501"/>
      <c r="D43" s="501"/>
      <c r="E43" s="501"/>
      <c r="F43" s="501"/>
    </row>
    <row r="44" spans="1:6" ht="15.75" customHeight="1" x14ac:dyDescent="0.25">
      <c r="B44" s="501"/>
      <c r="C44" s="501"/>
      <c r="D44" s="501"/>
      <c r="E44" s="501"/>
      <c r="F44" s="501"/>
    </row>
    <row r="45" spans="1:6" ht="15.75" customHeight="1" x14ac:dyDescent="0.25">
      <c r="B45" s="501"/>
      <c r="C45" s="501"/>
      <c r="D45" s="501"/>
      <c r="E45" s="501"/>
      <c r="F45" s="501"/>
    </row>
    <row r="46" spans="1:6" x14ac:dyDescent="0.25">
      <c r="B46" s="501"/>
      <c r="C46" s="501"/>
      <c r="D46" s="501"/>
      <c r="E46" s="501"/>
      <c r="F46" s="501"/>
    </row>
    <row r="47" spans="1:6" ht="15" customHeight="1" x14ac:dyDescent="0.25">
      <c r="B47" s="501"/>
      <c r="C47" s="501"/>
      <c r="D47" s="501"/>
      <c r="E47" s="501"/>
      <c r="F47" s="501"/>
    </row>
    <row r="48" spans="1:6" x14ac:dyDescent="0.25">
      <c r="A48" s="10"/>
      <c r="B48" s="65"/>
      <c r="C48" s="65"/>
      <c r="D48" s="65"/>
      <c r="E48" s="65"/>
      <c r="F48" s="65"/>
    </row>
    <row r="49" spans="1:6" x14ac:dyDescent="0.25">
      <c r="A49" s="411" t="s">
        <v>28</v>
      </c>
      <c r="B49" s="501" t="s">
        <v>692</v>
      </c>
      <c r="C49" s="501"/>
      <c r="D49" s="501"/>
      <c r="E49" s="501"/>
      <c r="F49" s="501"/>
    </row>
    <row r="50" spans="1:6" x14ac:dyDescent="0.25">
      <c r="A50" s="10"/>
      <c r="B50" s="501"/>
      <c r="C50" s="501"/>
      <c r="D50" s="501"/>
      <c r="E50" s="501"/>
      <c r="F50" s="501"/>
    </row>
    <row r="51" spans="1:6" x14ac:dyDescent="0.25">
      <c r="B51" s="501"/>
      <c r="C51" s="501"/>
      <c r="D51" s="501"/>
      <c r="E51" s="501"/>
      <c r="F51" s="501"/>
    </row>
    <row r="52" spans="1:6" x14ac:dyDescent="0.25">
      <c r="B52" s="501"/>
      <c r="C52" s="501"/>
      <c r="D52" s="501"/>
      <c r="E52" s="501"/>
      <c r="F52" s="501"/>
    </row>
    <row r="53" spans="1:6" x14ac:dyDescent="0.25">
      <c r="B53" s="501"/>
      <c r="C53" s="501"/>
      <c r="D53" s="501"/>
      <c r="E53" s="501"/>
      <c r="F53" s="501"/>
    </row>
    <row r="54" spans="1:6" x14ac:dyDescent="0.25">
      <c r="B54" s="65"/>
      <c r="C54" s="65"/>
      <c r="D54" s="65"/>
      <c r="E54" s="65"/>
      <c r="F54" s="65"/>
    </row>
    <row r="55" spans="1:6" ht="15" customHeight="1" x14ac:dyDescent="0.25">
      <c r="A55" s="411" t="s">
        <v>29</v>
      </c>
      <c r="B55" s="501" t="s">
        <v>732</v>
      </c>
      <c r="C55" s="501"/>
      <c r="D55" s="501"/>
      <c r="E55" s="501"/>
      <c r="F55" s="501"/>
    </row>
    <row r="56" spans="1:6" x14ac:dyDescent="0.25">
      <c r="B56" s="501"/>
      <c r="C56" s="501"/>
      <c r="D56" s="501"/>
      <c r="E56" s="501"/>
      <c r="F56" s="501"/>
    </row>
    <row r="57" spans="1:6" x14ac:dyDescent="0.25">
      <c r="B57" s="501"/>
      <c r="C57" s="501"/>
      <c r="D57" s="501"/>
      <c r="E57" s="501"/>
      <c r="F57" s="501"/>
    </row>
    <row r="58" spans="1:6" x14ac:dyDescent="0.25">
      <c r="B58" s="501"/>
      <c r="C58" s="501"/>
      <c r="D58" s="501"/>
      <c r="E58" s="501"/>
      <c r="F58" s="501"/>
    </row>
    <row r="59" spans="1:6" x14ac:dyDescent="0.25">
      <c r="B59" s="501"/>
      <c r="C59" s="501"/>
      <c r="D59" s="501"/>
      <c r="E59" s="501"/>
      <c r="F59" s="501"/>
    </row>
    <row r="60" spans="1:6" x14ac:dyDescent="0.25">
      <c r="B60" s="501"/>
      <c r="C60" s="501"/>
      <c r="D60" s="501"/>
      <c r="E60" s="501"/>
      <c r="F60" s="501"/>
    </row>
    <row r="61" spans="1:6" ht="15" customHeight="1" x14ac:dyDescent="0.25">
      <c r="B61" s="501"/>
      <c r="C61" s="501"/>
      <c r="D61" s="501"/>
      <c r="E61" s="501"/>
      <c r="F61" s="501"/>
    </row>
    <row r="62" spans="1:6" x14ac:dyDescent="0.25">
      <c r="B62" s="501"/>
      <c r="C62" s="501"/>
      <c r="D62" s="501"/>
      <c r="E62" s="501"/>
      <c r="F62" s="501"/>
    </row>
    <row r="63" spans="1:6" x14ac:dyDescent="0.25">
      <c r="B63" s="501"/>
      <c r="C63" s="501"/>
      <c r="D63" s="501"/>
      <c r="E63" s="501"/>
      <c r="F63" s="501"/>
    </row>
    <row r="64" spans="1:6" x14ac:dyDescent="0.25">
      <c r="A64" s="10"/>
      <c r="B64" s="501"/>
      <c r="C64" s="501"/>
      <c r="D64" s="501"/>
      <c r="E64" s="501"/>
      <c r="F64" s="501"/>
    </row>
    <row r="65" spans="1:6" x14ac:dyDescent="0.25">
      <c r="B65" s="501"/>
      <c r="C65" s="501"/>
      <c r="D65" s="501"/>
      <c r="E65" s="501"/>
      <c r="F65" s="501"/>
    </row>
    <row r="66" spans="1:6" x14ac:dyDescent="0.25">
      <c r="B66" s="164"/>
      <c r="C66" s="164"/>
      <c r="D66" s="164"/>
      <c r="E66" s="164"/>
      <c r="F66" s="164"/>
    </row>
    <row r="67" spans="1:6" x14ac:dyDescent="0.25">
      <c r="B67" s="164"/>
      <c r="C67" s="164"/>
      <c r="D67" s="164"/>
      <c r="E67" s="164"/>
      <c r="F67" s="164"/>
    </row>
    <row r="70" spans="1:6" x14ac:dyDescent="0.25">
      <c r="A70" s="10"/>
    </row>
  </sheetData>
  <mergeCells count="8">
    <mergeCell ref="B55:F65"/>
    <mergeCell ref="B49:F53"/>
    <mergeCell ref="B43:F47"/>
    <mergeCell ref="B4:B5"/>
    <mergeCell ref="C4:C5"/>
    <mergeCell ref="D4:D5"/>
    <mergeCell ref="F4:F5"/>
    <mergeCell ref="E4:E5"/>
  </mergeCells>
  <pageMargins left="0.25" right="0.25" top="0.75" bottom="0.75" header="0.3" footer="0.3"/>
  <pageSetup paperSize="3" scale="6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7C18-0D20-4218-BC48-A77CDA2AF84A}">
  <sheetPr>
    <tabColor theme="9" tint="0.79998168889431442"/>
  </sheetPr>
  <dimension ref="A1:AL81"/>
  <sheetViews>
    <sheetView topLeftCell="A20" zoomScale="85" zoomScaleNormal="85" workbookViewId="0">
      <selection activeCell="G50" sqref="G50"/>
    </sheetView>
  </sheetViews>
  <sheetFormatPr defaultRowHeight="15" x14ac:dyDescent="0.25"/>
  <cols>
    <col min="1" max="1" width="9.140625" style="424"/>
    <col min="2" max="2" width="15.7109375" style="424" customWidth="1"/>
    <col min="3" max="3" width="17.7109375" style="424" customWidth="1"/>
    <col min="4" max="5" width="15.7109375" style="424" customWidth="1"/>
    <col min="6" max="8" width="15.5703125" style="424" customWidth="1"/>
    <col min="9" max="9" width="42.5703125" style="424" customWidth="1"/>
    <col min="10" max="11" width="28.28515625" style="424" customWidth="1"/>
    <col min="12" max="12" width="33.85546875" style="424" customWidth="1"/>
    <col min="13" max="13" width="25.7109375" style="424" customWidth="1"/>
    <col min="14" max="14" width="13.5703125" style="424" bestFit="1" customWidth="1"/>
    <col min="15" max="15" width="9.140625" style="424"/>
  </cols>
  <sheetData>
    <row r="1" spans="2:38" x14ac:dyDescent="0.25">
      <c r="B1" s="441">
        <v>1</v>
      </c>
      <c r="C1" s="441">
        <v>2</v>
      </c>
      <c r="D1" s="441">
        <v>3</v>
      </c>
      <c r="E1" s="441">
        <v>4</v>
      </c>
      <c r="F1" s="441">
        <v>5</v>
      </c>
    </row>
    <row r="2" spans="2:38" ht="15.75" thickBot="1" x14ac:dyDescent="0.3">
      <c r="B2" s="410" t="s">
        <v>733</v>
      </c>
    </row>
    <row r="3" spans="2:38" s="424" customFormat="1" ht="35.1" customHeight="1" x14ac:dyDescent="0.25">
      <c r="B3" s="488" t="s">
        <v>0</v>
      </c>
      <c r="C3" s="488" t="s">
        <v>726</v>
      </c>
      <c r="D3" s="490" t="s">
        <v>721</v>
      </c>
      <c r="E3" s="488" t="s">
        <v>722</v>
      </c>
      <c r="F3" s="488" t="s">
        <v>1</v>
      </c>
      <c r="G3" s="496"/>
      <c r="H3" s="496"/>
      <c r="K3" s="496"/>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row>
    <row r="4" spans="2:38" s="424" customFormat="1" ht="43.5" customHeight="1" thickBot="1" x14ac:dyDescent="0.3">
      <c r="B4" s="489"/>
      <c r="C4" s="489"/>
      <c r="D4" s="491"/>
      <c r="E4" s="489"/>
      <c r="F4" s="489"/>
      <c r="G4" s="496"/>
      <c r="H4" s="496"/>
      <c r="I4" s="437"/>
      <c r="K4" s="496"/>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row>
    <row r="5" spans="2:38" x14ac:dyDescent="0.25">
      <c r="B5" s="428">
        <f>Assumptions!$D$3</f>
        <v>2022</v>
      </c>
      <c r="C5" s="429">
        <f>IF(B5&gt;=2028,-1*$K$43,0)</f>
        <v>0</v>
      </c>
      <c r="D5" s="430">
        <f>IFERROR(VLOOKUP(B5,$I$7:$J$18,2,FALSE),0)</f>
        <v>0</v>
      </c>
      <c r="E5" s="430">
        <f t="shared" ref="E5:E38" si="0">C5-D5</f>
        <v>0</v>
      </c>
      <c r="F5" s="430">
        <f>E5*(1+0.07)^-($B5-Assumptions!$D$4)</f>
        <v>0</v>
      </c>
      <c r="I5" s="423" t="s">
        <v>710</v>
      </c>
    </row>
    <row r="6" spans="2:38" x14ac:dyDescent="0.25">
      <c r="B6" s="431">
        <f>B5+1</f>
        <v>2023</v>
      </c>
      <c r="C6" s="432">
        <f t="shared" ref="C6:C60" si="1">IF(B6&gt;=2028,-1*$K$43,0)</f>
        <v>0</v>
      </c>
      <c r="D6" s="129">
        <f t="shared" ref="D6:D60" si="2">IFERROR(VLOOKUP(B6,$I$7:$J$18,2,FALSE),0)</f>
        <v>0</v>
      </c>
      <c r="E6" s="129">
        <f t="shared" si="0"/>
        <v>0</v>
      </c>
      <c r="F6" s="129">
        <f>E6*(1+0.07)^-($B6-Assumptions!$D$4)</f>
        <v>0</v>
      </c>
      <c r="I6" s="352" t="s">
        <v>43</v>
      </c>
      <c r="J6" s="352" t="s">
        <v>708</v>
      </c>
    </row>
    <row r="7" spans="2:38" x14ac:dyDescent="0.25">
      <c r="B7" s="2">
        <f t="shared" ref="B7:B38" si="3">+B6+1</f>
        <v>2024</v>
      </c>
      <c r="C7" s="434">
        <f t="shared" si="1"/>
        <v>0</v>
      </c>
      <c r="D7" s="7">
        <f t="shared" si="2"/>
        <v>0</v>
      </c>
      <c r="E7" s="7">
        <f t="shared" si="0"/>
        <v>0</v>
      </c>
      <c r="F7" s="7">
        <f>E7*(1+0.07)^-($B7-Assumptions!$D$4)</f>
        <v>0</v>
      </c>
      <c r="I7" s="425">
        <v>2028</v>
      </c>
      <c r="J7" s="443">
        <v>0</v>
      </c>
    </row>
    <row r="8" spans="2:38" x14ac:dyDescent="0.25">
      <c r="B8" s="2">
        <f t="shared" si="3"/>
        <v>2025</v>
      </c>
      <c r="C8" s="434">
        <f t="shared" si="1"/>
        <v>0</v>
      </c>
      <c r="D8" s="7">
        <f t="shared" si="2"/>
        <v>0</v>
      </c>
      <c r="E8" s="7">
        <f t="shared" si="0"/>
        <v>0</v>
      </c>
      <c r="F8" s="7">
        <f>E8*(1+0.07)^-($B8-Assumptions!$D$4)</f>
        <v>0</v>
      </c>
      <c r="I8" s="425">
        <v>2035</v>
      </c>
      <c r="J8" s="443">
        <f t="shared" ref="J8:J18" si="4">K29</f>
        <v>251130.00000000003</v>
      </c>
    </row>
    <row r="9" spans="2:38" x14ac:dyDescent="0.25">
      <c r="B9" s="2">
        <f t="shared" si="3"/>
        <v>2026</v>
      </c>
      <c r="C9" s="434">
        <f t="shared" si="1"/>
        <v>0</v>
      </c>
      <c r="D9" s="7">
        <f t="shared" si="2"/>
        <v>0</v>
      </c>
      <c r="E9" s="7">
        <f t="shared" si="0"/>
        <v>0</v>
      </c>
      <c r="F9" s="7">
        <f>E9*(1+0.07)^-($B9-Assumptions!$D$4)</f>
        <v>0</v>
      </c>
      <c r="I9" s="426">
        <v>2038</v>
      </c>
      <c r="J9" s="443">
        <f t="shared" si="4"/>
        <v>3013560.0000000005</v>
      </c>
    </row>
    <row r="10" spans="2:38" x14ac:dyDescent="0.25">
      <c r="B10" s="2">
        <f t="shared" si="3"/>
        <v>2027</v>
      </c>
      <c r="C10" s="434">
        <f t="shared" si="1"/>
        <v>0</v>
      </c>
      <c r="D10" s="7">
        <f t="shared" si="2"/>
        <v>0</v>
      </c>
      <c r="E10" s="7">
        <f t="shared" si="0"/>
        <v>0</v>
      </c>
      <c r="F10" s="7">
        <f>E10*(1+0.07)^-($B10-Assumptions!$D$4)</f>
        <v>0</v>
      </c>
      <c r="I10" s="426">
        <v>2043</v>
      </c>
      <c r="J10" s="443">
        <f t="shared" si="4"/>
        <v>1004520.0000000001</v>
      </c>
    </row>
    <row r="11" spans="2:38" x14ac:dyDescent="0.25">
      <c r="B11" s="2">
        <f t="shared" si="3"/>
        <v>2028</v>
      </c>
      <c r="C11" s="434">
        <f t="shared" si="1"/>
        <v>-545052.55200000014</v>
      </c>
      <c r="D11" s="7">
        <f t="shared" si="2"/>
        <v>0</v>
      </c>
      <c r="E11" s="7">
        <f t="shared" si="0"/>
        <v>-545052.55200000014</v>
      </c>
      <c r="F11" s="7">
        <f>E11*(1+0.07)^-($B11-Assumptions!$D$4)</f>
        <v>-317225.54773040913</v>
      </c>
      <c r="I11" s="426">
        <v>2047</v>
      </c>
      <c r="J11" s="443">
        <f t="shared" si="4"/>
        <v>8789550.0000000019</v>
      </c>
    </row>
    <row r="12" spans="2:38" x14ac:dyDescent="0.25">
      <c r="B12" s="2">
        <f t="shared" si="3"/>
        <v>2029</v>
      </c>
      <c r="C12" s="434">
        <f t="shared" si="1"/>
        <v>-545052.55200000014</v>
      </c>
      <c r="D12" s="7">
        <f t="shared" si="2"/>
        <v>0</v>
      </c>
      <c r="E12" s="7">
        <f t="shared" si="0"/>
        <v>-545052.55200000014</v>
      </c>
      <c r="F12" s="7">
        <f>E12*(1+0.07)^-($B12-Assumptions!$D$4)</f>
        <v>-296472.47451440105</v>
      </c>
      <c r="I12" s="426">
        <v>2052</v>
      </c>
      <c r="J12" s="443">
        <f t="shared" si="4"/>
        <v>251130.00000000003</v>
      </c>
    </row>
    <row r="13" spans="2:38" x14ac:dyDescent="0.25">
      <c r="B13" s="2">
        <f t="shared" si="3"/>
        <v>2030</v>
      </c>
      <c r="C13" s="434">
        <f t="shared" si="1"/>
        <v>-545052.55200000014</v>
      </c>
      <c r="D13" s="7">
        <f t="shared" si="2"/>
        <v>0</v>
      </c>
      <c r="E13" s="7">
        <f t="shared" si="0"/>
        <v>-545052.55200000014</v>
      </c>
      <c r="F13" s="7">
        <f>E13*(1+0.07)^-($B13-Assumptions!$D$4)</f>
        <v>-277077.07898542151</v>
      </c>
      <c r="I13" s="426">
        <v>2055</v>
      </c>
      <c r="J13" s="443">
        <f t="shared" si="4"/>
        <v>4269210.0000000009</v>
      </c>
    </row>
    <row r="14" spans="2:38" x14ac:dyDescent="0.25">
      <c r="B14" s="2">
        <f t="shared" si="3"/>
        <v>2031</v>
      </c>
      <c r="C14" s="434">
        <f t="shared" si="1"/>
        <v>-545052.55200000014</v>
      </c>
      <c r="D14" s="7">
        <f t="shared" si="2"/>
        <v>0</v>
      </c>
      <c r="E14" s="7">
        <f t="shared" si="0"/>
        <v>-545052.55200000014</v>
      </c>
      <c r="F14" s="7">
        <f>E14*(1+0.07)^-($B14-Assumptions!$D$4)</f>
        <v>-258950.54110787055</v>
      </c>
      <c r="I14" s="426">
        <v>2059</v>
      </c>
      <c r="J14" s="443">
        <f t="shared" si="4"/>
        <v>251130.00000000003</v>
      </c>
    </row>
    <row r="15" spans="2:38" x14ac:dyDescent="0.25">
      <c r="B15" s="2">
        <f t="shared" si="3"/>
        <v>2032</v>
      </c>
      <c r="C15" s="434">
        <f t="shared" si="1"/>
        <v>-545052.55200000014</v>
      </c>
      <c r="D15" s="7">
        <f t="shared" si="2"/>
        <v>0</v>
      </c>
      <c r="E15" s="7">
        <f t="shared" si="0"/>
        <v>-545052.55200000014</v>
      </c>
      <c r="F15" s="7">
        <f>E15*(1+0.07)^-($B15-Assumptions!$D$4)</f>
        <v>-242009.85150268281</v>
      </c>
      <c r="I15" s="426">
        <v>2063</v>
      </c>
      <c r="J15" s="443">
        <f t="shared" si="4"/>
        <v>10045200.000000002</v>
      </c>
    </row>
    <row r="16" spans="2:38" x14ac:dyDescent="0.25">
      <c r="B16" s="2">
        <f t="shared" si="3"/>
        <v>2033</v>
      </c>
      <c r="C16" s="434">
        <f t="shared" si="1"/>
        <v>-545052.55200000014</v>
      </c>
      <c r="D16" s="7">
        <f t="shared" si="2"/>
        <v>0</v>
      </c>
      <c r="E16" s="7">
        <f t="shared" si="0"/>
        <v>-545052.55200000014</v>
      </c>
      <c r="F16" s="7">
        <f>E16*(1+0.07)^-($B16-Assumptions!$D$4)</f>
        <v>-226177.43131091847</v>
      </c>
      <c r="I16" s="426">
        <v>2069</v>
      </c>
      <c r="J16" s="443">
        <f t="shared" si="4"/>
        <v>351582.00000000006</v>
      </c>
    </row>
    <row r="17" spans="2:11" x14ac:dyDescent="0.25">
      <c r="B17" s="2">
        <f t="shared" si="3"/>
        <v>2034</v>
      </c>
      <c r="C17" s="434">
        <f t="shared" si="1"/>
        <v>-545052.55200000014</v>
      </c>
      <c r="D17" s="7">
        <f t="shared" si="2"/>
        <v>0</v>
      </c>
      <c r="E17" s="7">
        <f t="shared" si="0"/>
        <v>-545052.55200000014</v>
      </c>
      <c r="F17" s="7">
        <f>E17*(1+0.07)^-($B17-Assumptions!$D$4)</f>
        <v>-211380.77692609208</v>
      </c>
      <c r="I17" s="426">
        <v>2073</v>
      </c>
      <c r="J17" s="443">
        <f t="shared" si="4"/>
        <v>13812150.000000002</v>
      </c>
    </row>
    <row r="18" spans="2:11" x14ac:dyDescent="0.25">
      <c r="B18" s="2">
        <f t="shared" si="3"/>
        <v>2035</v>
      </c>
      <c r="C18" s="434">
        <f t="shared" si="1"/>
        <v>-545052.55200000014</v>
      </c>
      <c r="D18" s="7">
        <f t="shared" si="2"/>
        <v>251130.00000000003</v>
      </c>
      <c r="E18" s="7">
        <f t="shared" si="0"/>
        <v>-796182.55200000014</v>
      </c>
      <c r="F18" s="7">
        <f>E18*(1+0.07)^-($B18-Assumptions!$D$4)</f>
        <v>-288573.19688109611</v>
      </c>
      <c r="I18" s="426">
        <v>2076</v>
      </c>
      <c r="J18" s="443">
        <f t="shared" si="4"/>
        <v>351582.00000000006</v>
      </c>
    </row>
    <row r="19" spans="2:11" x14ac:dyDescent="0.25">
      <c r="B19" s="2">
        <f t="shared" si="3"/>
        <v>2036</v>
      </c>
      <c r="C19" s="434">
        <f t="shared" si="1"/>
        <v>-545052.55200000014</v>
      </c>
      <c r="D19" s="7">
        <f t="shared" si="2"/>
        <v>0</v>
      </c>
      <c r="E19" s="7">
        <f t="shared" si="0"/>
        <v>-545052.55200000014</v>
      </c>
      <c r="F19" s="7">
        <f>E19*(1+0.07)^-($B19-Assumptions!$D$4)</f>
        <v>-184628.15697972931</v>
      </c>
      <c r="I19" s="427"/>
      <c r="J19" s="427"/>
    </row>
    <row r="20" spans="2:11" x14ac:dyDescent="0.25">
      <c r="B20" s="2">
        <f t="shared" si="3"/>
        <v>2037</v>
      </c>
      <c r="C20" s="434">
        <f t="shared" si="1"/>
        <v>-545052.55200000014</v>
      </c>
      <c r="D20" s="7">
        <f t="shared" si="2"/>
        <v>0</v>
      </c>
      <c r="E20" s="7">
        <f t="shared" si="0"/>
        <v>-545052.55200000014</v>
      </c>
      <c r="F20" s="7">
        <f>E20*(1+0.07)^-($B20-Assumptions!$D$4)</f>
        <v>-172549.67942030777</v>
      </c>
      <c r="I20" s="410" t="s">
        <v>711</v>
      </c>
    </row>
    <row r="21" spans="2:11" x14ac:dyDescent="0.25">
      <c r="B21" s="2">
        <f t="shared" si="3"/>
        <v>2038</v>
      </c>
      <c r="C21" s="434">
        <f t="shared" si="1"/>
        <v>-545052.55200000014</v>
      </c>
      <c r="D21" s="7">
        <f t="shared" si="2"/>
        <v>3013560.0000000005</v>
      </c>
      <c r="E21" s="7">
        <f t="shared" si="0"/>
        <v>-3558612.5520000006</v>
      </c>
      <c r="F21" s="7">
        <f>E21*(1+0.07)^-($B21-Assumptions!$D$4)</f>
        <v>-1052865.0463059174</v>
      </c>
      <c r="I21" s="324" t="s">
        <v>709</v>
      </c>
      <c r="J21" s="433">
        <v>1.1000000000000001</v>
      </c>
    </row>
    <row r="22" spans="2:11" x14ac:dyDescent="0.25">
      <c r="B22" s="2">
        <f t="shared" si="3"/>
        <v>2039</v>
      </c>
      <c r="C22" s="434">
        <f t="shared" si="1"/>
        <v>-545052.55200000014</v>
      </c>
      <c r="D22" s="7">
        <f t="shared" si="2"/>
        <v>0</v>
      </c>
      <c r="E22" s="7">
        <f t="shared" si="0"/>
        <v>-545052.55200000014</v>
      </c>
      <c r="F22" s="7">
        <f>E22*(1+0.07)^-($B22-Assumptions!$D$4)</f>
        <v>-150711.57255682396</v>
      </c>
    </row>
    <row r="23" spans="2:11" x14ac:dyDescent="0.25">
      <c r="B23" s="2">
        <f t="shared" si="3"/>
        <v>2040</v>
      </c>
      <c r="C23" s="434">
        <f t="shared" si="1"/>
        <v>-545052.55200000014</v>
      </c>
      <c r="D23" s="7">
        <f t="shared" si="2"/>
        <v>0</v>
      </c>
      <c r="E23" s="7">
        <f t="shared" si="0"/>
        <v>-545052.55200000014</v>
      </c>
      <c r="F23" s="7">
        <f>E23*(1+0.07)^-($B23-Assumptions!$D$4)</f>
        <v>-140851.93696899436</v>
      </c>
      <c r="I23" s="410" t="s">
        <v>724</v>
      </c>
    </row>
    <row r="24" spans="2:11" x14ac:dyDescent="0.25">
      <c r="B24" s="2">
        <f t="shared" si="3"/>
        <v>2041</v>
      </c>
      <c r="C24" s="434">
        <f t="shared" si="1"/>
        <v>-545052.55200000014</v>
      </c>
      <c r="D24" s="7">
        <f t="shared" si="2"/>
        <v>0</v>
      </c>
      <c r="E24" s="7">
        <f t="shared" si="0"/>
        <v>-545052.55200000014</v>
      </c>
      <c r="F24" s="7">
        <f>E24*(1+0.07)^-($B24-Assumptions!$D$4)</f>
        <v>-131637.32427008817</v>
      </c>
      <c r="I24" s="324" t="s">
        <v>712</v>
      </c>
      <c r="J24" s="439">
        <v>6</v>
      </c>
    </row>
    <row r="25" spans="2:11" x14ac:dyDescent="0.25">
      <c r="B25" s="2">
        <f t="shared" si="3"/>
        <v>2042</v>
      </c>
      <c r="C25" s="434">
        <f t="shared" si="1"/>
        <v>-545052.55200000014</v>
      </c>
      <c r="D25" s="7">
        <f t="shared" si="2"/>
        <v>0</v>
      </c>
      <c r="E25" s="7">
        <f t="shared" si="0"/>
        <v>-545052.55200000014</v>
      </c>
      <c r="F25" s="7">
        <f>E25*(1+0.07)^-($B25-Assumptions!$D$4)</f>
        <v>-123025.53670101699</v>
      </c>
      <c r="I25" s="324" t="s">
        <v>713</v>
      </c>
      <c r="J25" s="183">
        <v>7.61</v>
      </c>
    </row>
    <row r="26" spans="2:11" x14ac:dyDescent="0.25">
      <c r="B26" s="2">
        <f t="shared" si="3"/>
        <v>2043</v>
      </c>
      <c r="C26" s="434">
        <f t="shared" si="1"/>
        <v>-545052.55200000014</v>
      </c>
      <c r="D26" s="7">
        <f t="shared" si="2"/>
        <v>1004520.0000000001</v>
      </c>
      <c r="E26" s="7">
        <f t="shared" si="0"/>
        <v>-1549572.5520000001</v>
      </c>
      <c r="F26" s="7">
        <f>E26*(1+0.07)^-($B26-Assumptions!$D$4)</f>
        <v>-326877.50036168663</v>
      </c>
    </row>
    <row r="27" spans="2:11" x14ac:dyDescent="0.25">
      <c r="B27" s="2">
        <f t="shared" si="3"/>
        <v>2044</v>
      </c>
      <c r="C27" s="434">
        <f t="shared" si="1"/>
        <v>-545052.55200000014</v>
      </c>
      <c r="D27" s="7">
        <f t="shared" si="2"/>
        <v>0</v>
      </c>
      <c r="E27" s="7">
        <f t="shared" si="0"/>
        <v>-545052.55200000014</v>
      </c>
      <c r="F27" s="7">
        <f>E27*(1+0.07)^-($B27-Assumptions!$D$4)</f>
        <v>-107455.2683212656</v>
      </c>
      <c r="I27" s="319" t="s">
        <v>730</v>
      </c>
    </row>
    <row r="28" spans="2:11" x14ac:dyDescent="0.25">
      <c r="B28" s="2">
        <f t="shared" si="3"/>
        <v>2045</v>
      </c>
      <c r="C28" s="434">
        <f t="shared" si="1"/>
        <v>-545052.55200000014</v>
      </c>
      <c r="D28" s="7">
        <f t="shared" si="2"/>
        <v>0</v>
      </c>
      <c r="E28" s="7">
        <f t="shared" si="0"/>
        <v>-545052.55200000014</v>
      </c>
      <c r="F28" s="7">
        <f>E28*(1+0.07)^-($B28-Assumptions!$D$4)</f>
        <v>-100425.48441239774</v>
      </c>
      <c r="I28" s="425" t="s">
        <v>727</v>
      </c>
      <c r="J28" s="425" t="s">
        <v>714</v>
      </c>
      <c r="K28" s="425" t="s">
        <v>715</v>
      </c>
    </row>
    <row r="29" spans="2:11" x14ac:dyDescent="0.25">
      <c r="B29" s="2">
        <f t="shared" si="3"/>
        <v>2046</v>
      </c>
      <c r="C29" s="434">
        <f t="shared" si="1"/>
        <v>-545052.55200000014</v>
      </c>
      <c r="D29" s="7">
        <f t="shared" si="2"/>
        <v>0</v>
      </c>
      <c r="E29" s="7">
        <f t="shared" si="0"/>
        <v>-545052.55200000014</v>
      </c>
      <c r="F29" s="7">
        <f>E29*(1+0.07)^-($B29-Assumptions!$D$4)</f>
        <v>-93855.592908782957</v>
      </c>
      <c r="I29" s="425">
        <v>7</v>
      </c>
      <c r="J29" s="440">
        <v>5000</v>
      </c>
      <c r="K29" s="438">
        <f t="shared" ref="K29:K39" si="5">$J$21*$J$24*$J$25*J29</f>
        <v>251130.00000000003</v>
      </c>
    </row>
    <row r="30" spans="2:11" x14ac:dyDescent="0.25">
      <c r="B30" s="2">
        <f t="shared" si="3"/>
        <v>2047</v>
      </c>
      <c r="C30" s="434">
        <f t="shared" si="1"/>
        <v>-545052.55200000014</v>
      </c>
      <c r="D30" s="7">
        <f t="shared" si="2"/>
        <v>8789550.0000000019</v>
      </c>
      <c r="E30" s="7">
        <f t="shared" si="0"/>
        <v>-9334602.5520000011</v>
      </c>
      <c r="F30" s="7">
        <f>E30*(1+0.07)^-($B30-Assumptions!$D$4)</f>
        <v>-1502221.0172967059</v>
      </c>
      <c r="I30" s="425">
        <v>10</v>
      </c>
      <c r="J30" s="440">
        <v>60000</v>
      </c>
      <c r="K30" s="438">
        <f t="shared" si="5"/>
        <v>3013560.0000000005</v>
      </c>
    </row>
    <row r="31" spans="2:11" x14ac:dyDescent="0.25">
      <c r="B31" s="2">
        <f t="shared" si="3"/>
        <v>2048</v>
      </c>
      <c r="C31" s="434">
        <f t="shared" si="1"/>
        <v>-545052.55200000014</v>
      </c>
      <c r="D31" s="7">
        <f t="shared" si="2"/>
        <v>0</v>
      </c>
      <c r="E31" s="7">
        <f t="shared" si="0"/>
        <v>-545052.55200000014</v>
      </c>
      <c r="F31" s="7">
        <f>E31*(1+0.07)^-($B31-Assumptions!$D$4)</f>
        <v>-81977.109711575642</v>
      </c>
      <c r="I31" s="425">
        <v>15</v>
      </c>
      <c r="J31" s="440">
        <v>20000</v>
      </c>
      <c r="K31" s="438">
        <f t="shared" si="5"/>
        <v>1004520.0000000001</v>
      </c>
    </row>
    <row r="32" spans="2:11" x14ac:dyDescent="0.25">
      <c r="B32" s="2">
        <f t="shared" si="3"/>
        <v>2049</v>
      </c>
      <c r="C32" s="434">
        <f t="shared" si="1"/>
        <v>-545052.55200000014</v>
      </c>
      <c r="D32" s="7">
        <f t="shared" si="2"/>
        <v>0</v>
      </c>
      <c r="E32" s="7">
        <f t="shared" si="0"/>
        <v>-545052.55200000014</v>
      </c>
      <c r="F32" s="7">
        <f>E32*(1+0.07)^-($B32-Assumptions!$D$4)</f>
        <v>-76614.121225771625</v>
      </c>
      <c r="I32" s="425">
        <v>19</v>
      </c>
      <c r="J32" s="440">
        <v>175000</v>
      </c>
      <c r="K32" s="438">
        <f t="shared" si="5"/>
        <v>8789550.0000000019</v>
      </c>
    </row>
    <row r="33" spans="1:11" x14ac:dyDescent="0.25">
      <c r="B33" s="2">
        <f t="shared" si="3"/>
        <v>2050</v>
      </c>
      <c r="C33" s="434">
        <f t="shared" si="1"/>
        <v>-545052.55200000014</v>
      </c>
      <c r="D33" s="7">
        <f t="shared" si="2"/>
        <v>0</v>
      </c>
      <c r="E33" s="7">
        <f t="shared" si="0"/>
        <v>-545052.55200000014</v>
      </c>
      <c r="F33" s="7">
        <f>E33*(1+0.07)^-($B33-Assumptions!$D$4)</f>
        <v>-71601.982453992183</v>
      </c>
      <c r="I33" s="425">
        <v>24</v>
      </c>
      <c r="J33" s="440">
        <v>5000</v>
      </c>
      <c r="K33" s="438">
        <f t="shared" si="5"/>
        <v>251130.00000000003</v>
      </c>
    </row>
    <row r="34" spans="1:11" x14ac:dyDescent="0.25">
      <c r="B34" s="2">
        <f t="shared" si="3"/>
        <v>2051</v>
      </c>
      <c r="C34" s="434">
        <f t="shared" si="1"/>
        <v>-545052.55200000014</v>
      </c>
      <c r="D34" s="7">
        <f t="shared" si="2"/>
        <v>0</v>
      </c>
      <c r="E34" s="7">
        <f t="shared" si="0"/>
        <v>-545052.55200000014</v>
      </c>
      <c r="F34" s="7">
        <f>E34*(1+0.07)^-($B34-Assumptions!$D$4)</f>
        <v>-66917.740611207628</v>
      </c>
      <c r="I34" s="425">
        <v>27</v>
      </c>
      <c r="J34" s="440">
        <v>85000</v>
      </c>
      <c r="K34" s="438">
        <f t="shared" si="5"/>
        <v>4269210.0000000009</v>
      </c>
    </row>
    <row r="35" spans="1:11" x14ac:dyDescent="0.25">
      <c r="B35" s="2">
        <f t="shared" si="3"/>
        <v>2052</v>
      </c>
      <c r="C35" s="434">
        <f t="shared" si="1"/>
        <v>-545052.55200000014</v>
      </c>
      <c r="D35" s="7">
        <f t="shared" si="2"/>
        <v>251130.00000000003</v>
      </c>
      <c r="E35" s="7">
        <f t="shared" si="0"/>
        <v>-796182.55200000014</v>
      </c>
      <c r="F35" s="7">
        <f>E35*(1+0.07)^-($B35-Assumptions!$D$4)</f>
        <v>-91354.883906912655</v>
      </c>
      <c r="I35" s="425">
        <v>31</v>
      </c>
      <c r="J35" s="440">
        <v>5000</v>
      </c>
      <c r="K35" s="438">
        <f t="shared" si="5"/>
        <v>251130.00000000003</v>
      </c>
    </row>
    <row r="36" spans="1:11" x14ac:dyDescent="0.25">
      <c r="B36" s="2">
        <f t="shared" si="3"/>
        <v>2053</v>
      </c>
      <c r="C36" s="434">
        <f t="shared" si="1"/>
        <v>-545052.55200000014</v>
      </c>
      <c r="D36" s="7">
        <f t="shared" si="2"/>
        <v>0</v>
      </c>
      <c r="E36" s="7">
        <f t="shared" si="0"/>
        <v>-545052.55200000014</v>
      </c>
      <c r="F36" s="7">
        <f>E36*(1+0.07)^-($B36-Assumptions!$D$4)</f>
        <v>-58448.546258369839</v>
      </c>
      <c r="I36" s="425">
        <v>35</v>
      </c>
      <c r="J36" s="440">
        <v>200000</v>
      </c>
      <c r="K36" s="438">
        <f t="shared" si="5"/>
        <v>10045200.000000002</v>
      </c>
    </row>
    <row r="37" spans="1:11" x14ac:dyDescent="0.25">
      <c r="B37" s="2">
        <f t="shared" si="3"/>
        <v>2054</v>
      </c>
      <c r="C37" s="434">
        <f t="shared" si="1"/>
        <v>-545052.55200000014</v>
      </c>
      <c r="D37" s="7">
        <f t="shared" si="2"/>
        <v>0</v>
      </c>
      <c r="E37" s="7">
        <f t="shared" si="0"/>
        <v>-545052.55200000014</v>
      </c>
      <c r="F37" s="7">
        <f>E37*(1+0.07)^-($B37-Assumptions!$D$4)</f>
        <v>-54624.809587261538</v>
      </c>
      <c r="I37" s="425">
        <v>41</v>
      </c>
      <c r="J37" s="440">
        <v>7000</v>
      </c>
      <c r="K37" s="438">
        <f t="shared" si="5"/>
        <v>351582.00000000006</v>
      </c>
    </row>
    <row r="38" spans="1:11" x14ac:dyDescent="0.25">
      <c r="A38" s="411"/>
      <c r="B38" s="2">
        <f t="shared" si="3"/>
        <v>2055</v>
      </c>
      <c r="C38" s="434">
        <f t="shared" si="1"/>
        <v>-545052.55200000014</v>
      </c>
      <c r="D38" s="7">
        <f t="shared" si="2"/>
        <v>4269210.0000000009</v>
      </c>
      <c r="E38" s="7">
        <f t="shared" si="0"/>
        <v>-4814262.5520000011</v>
      </c>
      <c r="F38" s="7">
        <f>E38*(1+0.07)^-($B38-Assumptions!$D$4)</f>
        <v>-450917.97959273553</v>
      </c>
      <c r="I38" s="425">
        <v>45</v>
      </c>
      <c r="J38" s="440">
        <v>275000</v>
      </c>
      <c r="K38" s="438">
        <f t="shared" si="5"/>
        <v>13812150.000000002</v>
      </c>
    </row>
    <row r="39" spans="1:11" s="427" customFormat="1" x14ac:dyDescent="0.25">
      <c r="A39" s="411"/>
      <c r="B39" s="2">
        <f t="shared" ref="B39:B45" si="6">+B38+1</f>
        <v>2056</v>
      </c>
      <c r="C39" s="434">
        <f t="shared" si="1"/>
        <v>-545052.55200000014</v>
      </c>
      <c r="D39" s="7">
        <f t="shared" si="2"/>
        <v>0</v>
      </c>
      <c r="E39" s="7">
        <f t="shared" ref="E39:E45" si="7">C39-D39</f>
        <v>-545052.55200000014</v>
      </c>
      <c r="F39" s="7">
        <f>E39*(1+0.07)^-($B39-Assumptions!$D$4)</f>
        <v>-47711.42421806405</v>
      </c>
      <c r="I39" s="425">
        <v>48</v>
      </c>
      <c r="J39" s="440">
        <v>7000</v>
      </c>
      <c r="K39" s="438">
        <f t="shared" si="5"/>
        <v>351582.00000000006</v>
      </c>
    </row>
    <row r="40" spans="1:11" s="427" customFormat="1" x14ac:dyDescent="0.25">
      <c r="A40" s="411"/>
      <c r="B40" s="2">
        <f t="shared" si="6"/>
        <v>2057</v>
      </c>
      <c r="C40" s="434">
        <f t="shared" si="1"/>
        <v>-545052.55200000014</v>
      </c>
      <c r="D40" s="7">
        <f t="shared" si="2"/>
        <v>0</v>
      </c>
      <c r="E40" s="7">
        <f t="shared" si="7"/>
        <v>-545052.55200000014</v>
      </c>
      <c r="F40" s="7">
        <f>E40*(1+0.07)^-($B40-Assumptions!$D$4)</f>
        <v>-44590.116091648648</v>
      </c>
      <c r="K40" s="424"/>
    </row>
    <row r="41" spans="1:11" s="427" customFormat="1" x14ac:dyDescent="0.25">
      <c r="A41" s="411"/>
      <c r="B41" s="2">
        <f t="shared" si="6"/>
        <v>2058</v>
      </c>
      <c r="C41" s="434">
        <f t="shared" si="1"/>
        <v>-545052.55200000014</v>
      </c>
      <c r="D41" s="7">
        <f t="shared" si="2"/>
        <v>0</v>
      </c>
      <c r="E41" s="7">
        <f t="shared" si="7"/>
        <v>-545052.55200000014</v>
      </c>
      <c r="F41" s="7">
        <f>E41*(1+0.07)^-($B41-Assumptions!$D$4)</f>
        <v>-41673.005693129577</v>
      </c>
      <c r="I41" s="319" t="s">
        <v>723</v>
      </c>
      <c r="K41" s="424"/>
    </row>
    <row r="42" spans="1:11" s="427" customFormat="1" x14ac:dyDescent="0.25">
      <c r="A42" s="411"/>
      <c r="B42" s="2">
        <f t="shared" si="6"/>
        <v>2059</v>
      </c>
      <c r="C42" s="434">
        <f t="shared" si="1"/>
        <v>-545052.55200000014</v>
      </c>
      <c r="D42" s="7">
        <f t="shared" si="2"/>
        <v>251130.00000000003</v>
      </c>
      <c r="E42" s="7">
        <f t="shared" si="7"/>
        <v>-796182.55200000014</v>
      </c>
      <c r="F42" s="7">
        <f>E42*(1+0.07)^-($B42-Assumptions!$D$4)</f>
        <v>-56891.230372926642</v>
      </c>
      <c r="I42" s="442" t="s">
        <v>727</v>
      </c>
      <c r="J42" s="442" t="s">
        <v>714</v>
      </c>
      <c r="K42" s="442" t="s">
        <v>715</v>
      </c>
    </row>
    <row r="43" spans="1:11" s="427" customFormat="1" x14ac:dyDescent="0.25">
      <c r="A43" s="411"/>
      <c r="B43" s="2">
        <f t="shared" si="6"/>
        <v>2060</v>
      </c>
      <c r="C43" s="434">
        <f t="shared" si="1"/>
        <v>-545052.55200000014</v>
      </c>
      <c r="D43" s="7">
        <f t="shared" si="2"/>
        <v>0</v>
      </c>
      <c r="E43" s="7">
        <f t="shared" si="7"/>
        <v>-545052.55200000014</v>
      </c>
      <c r="F43" s="7">
        <f>E43*(1+0.07)^-($B43-Assumptions!$D$4)</f>
        <v>-36398.8170959294</v>
      </c>
      <c r="I43" s="127" t="s">
        <v>725</v>
      </c>
      <c r="J43" s="444">
        <v>10852</v>
      </c>
      <c r="K43" s="445">
        <f>$J$43*$J$21*$J$24*$J$25</f>
        <v>545052.55200000014</v>
      </c>
    </row>
    <row r="44" spans="1:11" s="427" customFormat="1" x14ac:dyDescent="0.25">
      <c r="A44" s="411"/>
      <c r="B44" s="2">
        <f t="shared" si="6"/>
        <v>2061</v>
      </c>
      <c r="C44" s="434">
        <f t="shared" si="1"/>
        <v>-545052.55200000014</v>
      </c>
      <c r="D44" s="7">
        <f t="shared" si="2"/>
        <v>0</v>
      </c>
      <c r="E44" s="7">
        <f t="shared" si="7"/>
        <v>-545052.55200000014</v>
      </c>
      <c r="F44" s="7">
        <f>E44*(1+0.07)^-($B44-Assumptions!$D$4)</f>
        <v>-34017.586070962061</v>
      </c>
      <c r="K44" s="424"/>
    </row>
    <row r="45" spans="1:11" s="427" customFormat="1" x14ac:dyDescent="0.25">
      <c r="A45" s="411"/>
      <c r="B45" s="2">
        <f t="shared" si="6"/>
        <v>2062</v>
      </c>
      <c r="C45" s="434">
        <f t="shared" si="1"/>
        <v>-545052.55200000014</v>
      </c>
      <c r="D45" s="7">
        <f t="shared" si="2"/>
        <v>0</v>
      </c>
      <c r="E45" s="7">
        <f t="shared" si="7"/>
        <v>-545052.55200000014</v>
      </c>
      <c r="F45" s="7">
        <f>E45*(1+0.07)^-($B45-Assumptions!$D$4)</f>
        <v>-31792.136514917813</v>
      </c>
      <c r="K45" s="424"/>
    </row>
    <row r="46" spans="1:11" s="427" customFormat="1" x14ac:dyDescent="0.25">
      <c r="A46" s="411"/>
      <c r="B46" s="2">
        <f t="shared" ref="B46:B57" si="8">+B45+1</f>
        <v>2063</v>
      </c>
      <c r="C46" s="434">
        <f t="shared" si="1"/>
        <v>-545052.55200000014</v>
      </c>
      <c r="D46" s="7">
        <f t="shared" si="2"/>
        <v>10045200.000000002</v>
      </c>
      <c r="E46" s="7">
        <f t="shared" ref="E46:E57" si="9">C46-D46</f>
        <v>-10590252.552000001</v>
      </c>
      <c r="F46" s="7">
        <f>E46*(1+0.07)^-($B46-Assumptions!$D$4)</f>
        <v>-577303.0828068601</v>
      </c>
      <c r="K46" s="424"/>
    </row>
    <row r="47" spans="1:11" s="427" customFormat="1" x14ac:dyDescent="0.25">
      <c r="A47" s="411"/>
      <c r="B47" s="2">
        <f t="shared" si="8"/>
        <v>2064</v>
      </c>
      <c r="C47" s="434">
        <f t="shared" si="1"/>
        <v>-545052.55200000014</v>
      </c>
      <c r="D47" s="7">
        <f t="shared" si="2"/>
        <v>0</v>
      </c>
      <c r="E47" s="7">
        <f t="shared" si="9"/>
        <v>-545052.55200000014</v>
      </c>
      <c r="F47" s="7">
        <f>E47*(1+0.07)^-($B47-Assumptions!$D$4)</f>
        <v>-27768.483286678151</v>
      </c>
      <c r="K47" s="424"/>
    </row>
    <row r="48" spans="1:11" s="427" customFormat="1" x14ac:dyDescent="0.25">
      <c r="A48" s="411"/>
      <c r="B48" s="2">
        <f t="shared" si="8"/>
        <v>2065</v>
      </c>
      <c r="C48" s="434">
        <f t="shared" si="1"/>
        <v>-545052.55200000014</v>
      </c>
      <c r="D48" s="7">
        <f t="shared" si="2"/>
        <v>0</v>
      </c>
      <c r="E48" s="7">
        <f t="shared" si="9"/>
        <v>-545052.55200000014</v>
      </c>
      <c r="F48" s="7">
        <f>E48*(1+0.07)^-($B48-Assumptions!$D$4)</f>
        <v>-25951.853538951538</v>
      </c>
      <c r="K48" s="424"/>
    </row>
    <row r="49" spans="1:11" s="427" customFormat="1" x14ac:dyDescent="0.25">
      <c r="A49" s="411"/>
      <c r="B49" s="2">
        <f t="shared" si="8"/>
        <v>2066</v>
      </c>
      <c r="C49" s="434">
        <f t="shared" si="1"/>
        <v>-545052.55200000014</v>
      </c>
      <c r="D49" s="7">
        <f t="shared" si="2"/>
        <v>0</v>
      </c>
      <c r="E49" s="7">
        <f t="shared" si="9"/>
        <v>-545052.55200000014</v>
      </c>
      <c r="F49" s="7">
        <f>E49*(1+0.07)^-($B49-Assumptions!$D$4)</f>
        <v>-24254.068727992093</v>
      </c>
      <c r="K49" s="424"/>
    </row>
    <row r="50" spans="1:11" s="427" customFormat="1" x14ac:dyDescent="0.25">
      <c r="A50" s="411"/>
      <c r="B50" s="2">
        <f t="shared" si="8"/>
        <v>2067</v>
      </c>
      <c r="C50" s="434">
        <f t="shared" si="1"/>
        <v>-545052.55200000014</v>
      </c>
      <c r="D50" s="7">
        <f t="shared" si="2"/>
        <v>0</v>
      </c>
      <c r="E50" s="7">
        <f t="shared" si="9"/>
        <v>-545052.55200000014</v>
      </c>
      <c r="F50" s="7">
        <f>E50*(1+0.07)^-($B50-Assumptions!$D$4)</f>
        <v>-22667.353951394478</v>
      </c>
      <c r="K50" s="424"/>
    </row>
    <row r="51" spans="1:11" s="427" customFormat="1" x14ac:dyDescent="0.25">
      <c r="A51" s="411"/>
      <c r="B51" s="2">
        <f t="shared" si="8"/>
        <v>2068</v>
      </c>
      <c r="C51" s="434">
        <f t="shared" si="1"/>
        <v>-545052.55200000014</v>
      </c>
      <c r="D51" s="7">
        <f t="shared" si="2"/>
        <v>0</v>
      </c>
      <c r="E51" s="7">
        <f t="shared" si="9"/>
        <v>-545052.55200000014</v>
      </c>
      <c r="F51" s="7">
        <f>E51*(1+0.07)^-($B51-Assumptions!$D$4)</f>
        <v>-21184.442945228486</v>
      </c>
      <c r="K51" s="424"/>
    </row>
    <row r="52" spans="1:11" s="427" customFormat="1" x14ac:dyDescent="0.25">
      <c r="A52" s="411"/>
      <c r="B52" s="2">
        <f t="shared" si="8"/>
        <v>2069</v>
      </c>
      <c r="C52" s="434">
        <f t="shared" si="1"/>
        <v>-545052.55200000014</v>
      </c>
      <c r="D52" s="7">
        <f t="shared" si="2"/>
        <v>351582.00000000006</v>
      </c>
      <c r="E52" s="7">
        <f t="shared" si="9"/>
        <v>-896634.55200000014</v>
      </c>
      <c r="F52" s="7">
        <f>E52*(1+0.07)^-($B52-Assumptions!$D$4)</f>
        <v>-32569.445440800686</v>
      </c>
      <c r="K52" s="424"/>
    </row>
    <row r="53" spans="1:11" s="456" customFormat="1" x14ac:dyDescent="0.25">
      <c r="A53" s="411"/>
      <c r="B53" s="2">
        <f t="shared" si="8"/>
        <v>2070</v>
      </c>
      <c r="C53" s="434">
        <f t="shared" si="1"/>
        <v>-545052.55200000014</v>
      </c>
      <c r="D53" s="7">
        <f t="shared" ref="D53:D55" si="10">IFERROR(VLOOKUP(B53,$I$7:$J$18,2,FALSE),0)</f>
        <v>0</v>
      </c>
      <c r="E53" s="7">
        <f t="shared" ref="E53:E55" si="11">C53-D53</f>
        <v>-545052.55200000014</v>
      </c>
      <c r="F53" s="7">
        <f>E53*(1+0.07)^-($B53-Assumptions!$D$4)</f>
        <v>-18503.312905256778</v>
      </c>
    </row>
    <row r="54" spans="1:11" s="427" customFormat="1" x14ac:dyDescent="0.25">
      <c r="A54" s="411"/>
      <c r="B54" s="2">
        <f t="shared" si="8"/>
        <v>2071</v>
      </c>
      <c r="C54" s="434">
        <f t="shared" si="1"/>
        <v>-545052.55200000014</v>
      </c>
      <c r="D54" s="7">
        <f t="shared" si="10"/>
        <v>0</v>
      </c>
      <c r="E54" s="7">
        <f t="shared" si="11"/>
        <v>-545052.55200000014</v>
      </c>
      <c r="F54" s="7">
        <f>E54*(1+0.07)^-($B54-Assumptions!$D$4)</f>
        <v>-17292.815799305401</v>
      </c>
      <c r="K54" s="424"/>
    </row>
    <row r="55" spans="1:11" s="427" customFormat="1" x14ac:dyDescent="0.25">
      <c r="A55" s="411"/>
      <c r="B55" s="2">
        <f t="shared" si="8"/>
        <v>2072</v>
      </c>
      <c r="C55" s="434">
        <f t="shared" si="1"/>
        <v>-545052.55200000014</v>
      </c>
      <c r="D55" s="7">
        <f t="shared" si="10"/>
        <v>0</v>
      </c>
      <c r="E55" s="7">
        <f t="shared" si="11"/>
        <v>-545052.55200000014</v>
      </c>
      <c r="F55" s="7">
        <f>E55*(1+0.07)^-($B55-Assumptions!$D$4)</f>
        <v>-16161.510092808785</v>
      </c>
      <c r="K55" s="424"/>
    </row>
    <row r="56" spans="1:11" s="427" customFormat="1" x14ac:dyDescent="0.25">
      <c r="A56" s="411"/>
      <c r="B56" s="2">
        <f t="shared" si="8"/>
        <v>2073</v>
      </c>
      <c r="C56" s="434">
        <f t="shared" si="1"/>
        <v>-545052.55200000014</v>
      </c>
      <c r="D56" s="7">
        <f t="shared" si="2"/>
        <v>13812150.000000002</v>
      </c>
      <c r="E56" s="7">
        <f t="shared" si="9"/>
        <v>-14357202.552000001</v>
      </c>
      <c r="F56" s="7">
        <f>E56*(1+0.07)^-($B56-Assumptions!$D$4)</f>
        <v>-397859.38791157625</v>
      </c>
      <c r="K56" s="424"/>
    </row>
    <row r="57" spans="1:11" s="427" customFormat="1" x14ac:dyDescent="0.25">
      <c r="A57" s="411"/>
      <c r="B57" s="2">
        <f t="shared" si="8"/>
        <v>2074</v>
      </c>
      <c r="C57" s="434">
        <f t="shared" si="1"/>
        <v>-545052.55200000014</v>
      </c>
      <c r="D57" s="7">
        <f t="shared" si="2"/>
        <v>0</v>
      </c>
      <c r="E57" s="7">
        <f t="shared" si="9"/>
        <v>-545052.55200000014</v>
      </c>
      <c r="F57" s="7">
        <f>E57*(1+0.07)^-($B57-Assumptions!$D$4)</f>
        <v>-14116.088822437579</v>
      </c>
      <c r="K57" s="424"/>
    </row>
    <row r="58" spans="1:11" s="427" customFormat="1" x14ac:dyDescent="0.25">
      <c r="A58" s="411"/>
      <c r="B58" s="2">
        <f t="shared" ref="B58:B60" si="12">+B57+1</f>
        <v>2075</v>
      </c>
      <c r="C58" s="434">
        <f t="shared" si="1"/>
        <v>-545052.55200000014</v>
      </c>
      <c r="D58" s="7">
        <f t="shared" si="2"/>
        <v>0</v>
      </c>
      <c r="E58" s="7">
        <f t="shared" ref="E58:E60" si="13">C58-D58</f>
        <v>-545052.55200000014</v>
      </c>
      <c r="F58" s="7">
        <f>E58*(1+0.07)^-($B58-Assumptions!$D$4)</f>
        <v>-13192.606376109887</v>
      </c>
      <c r="I58" s="424"/>
      <c r="J58" s="424"/>
      <c r="K58" s="424"/>
    </row>
    <row r="59" spans="1:11" s="427" customFormat="1" x14ac:dyDescent="0.25">
      <c r="A59" s="411"/>
      <c r="B59" s="2">
        <f t="shared" si="12"/>
        <v>2076</v>
      </c>
      <c r="C59" s="434">
        <f t="shared" si="1"/>
        <v>-545052.55200000014</v>
      </c>
      <c r="D59" s="7">
        <f t="shared" si="2"/>
        <v>351582.00000000006</v>
      </c>
      <c r="E59" s="7">
        <f t="shared" si="13"/>
        <v>-896634.55200000014</v>
      </c>
      <c r="F59" s="7">
        <f>E59*(1+0.07)^-($B59-Assumptions!$D$4)</f>
        <v>-20282.613741582903</v>
      </c>
      <c r="I59" s="424"/>
      <c r="J59" s="424"/>
      <c r="K59" s="424"/>
    </row>
    <row r="60" spans="1:11" s="427" customFormat="1" ht="15.75" thickBot="1" x14ac:dyDescent="0.3">
      <c r="A60" s="411"/>
      <c r="B60" s="3">
        <f t="shared" si="12"/>
        <v>2077</v>
      </c>
      <c r="C60" s="435">
        <f t="shared" si="1"/>
        <v>-545052.55200000014</v>
      </c>
      <c r="D60" s="8">
        <f t="shared" si="2"/>
        <v>0</v>
      </c>
      <c r="E60" s="8">
        <f t="shared" si="13"/>
        <v>-545052.55200000014</v>
      </c>
      <c r="F60" s="8">
        <f>E60*(1+0.07)^-($B60-Assumptions!$D$4)</f>
        <v>-11522.933335758484</v>
      </c>
    </row>
    <row r="61" spans="1:11" x14ac:dyDescent="0.25">
      <c r="B61" s="455" t="s">
        <v>4</v>
      </c>
      <c r="C61" s="6">
        <f>SUM(C5:C60)</f>
        <v>-27252627.600000039</v>
      </c>
      <c r="D61" s="13">
        <f>SUM(D5:D60)</f>
        <v>42390744.000000007</v>
      </c>
      <c r="E61" s="13">
        <f>SUM(E5:E60)</f>
        <v>-69643371.600000039</v>
      </c>
      <c r="F61" s="6">
        <f>SUM(F5:F60)</f>
        <v>-8691132.5045507569</v>
      </c>
      <c r="I61" s="427"/>
      <c r="J61" s="427"/>
      <c r="K61" s="427"/>
    </row>
    <row r="62" spans="1:11" x14ac:dyDescent="0.25">
      <c r="B62" s="436"/>
      <c r="C62" s="436"/>
      <c r="D62" s="436"/>
      <c r="E62" s="436"/>
      <c r="F62" s="436"/>
      <c r="I62" s="427"/>
      <c r="J62" s="427"/>
      <c r="K62" s="427"/>
    </row>
    <row r="63" spans="1:11" x14ac:dyDescent="0.25">
      <c r="B63" s="412"/>
      <c r="C63" s="412"/>
      <c r="D63" s="412"/>
      <c r="E63" s="412"/>
      <c r="I63" s="427"/>
      <c r="J63" s="427"/>
      <c r="K63" s="427"/>
    </row>
    <row r="64" spans="1:11" x14ac:dyDescent="0.25">
      <c r="B64" s="410" t="s">
        <v>3</v>
      </c>
      <c r="I64" s="427"/>
      <c r="J64" s="427"/>
      <c r="K64" s="427"/>
    </row>
    <row r="65" spans="1:11" ht="15" customHeight="1" x14ac:dyDescent="0.25">
      <c r="A65" s="411" t="s">
        <v>21</v>
      </c>
      <c r="B65" s="501" t="s">
        <v>729</v>
      </c>
      <c r="C65" s="501"/>
      <c r="D65" s="501"/>
      <c r="E65" s="501"/>
      <c r="F65" s="501"/>
      <c r="I65" s="427"/>
      <c r="J65" s="427"/>
      <c r="K65" s="427"/>
    </row>
    <row r="66" spans="1:11" x14ac:dyDescent="0.25">
      <c r="B66" s="501"/>
      <c r="C66" s="501"/>
      <c r="D66" s="501"/>
      <c r="E66" s="501"/>
      <c r="F66" s="501"/>
      <c r="I66" s="427"/>
      <c r="J66" s="427"/>
      <c r="K66" s="427"/>
    </row>
    <row r="67" spans="1:11" x14ac:dyDescent="0.25">
      <c r="B67" s="501"/>
      <c r="C67" s="501"/>
      <c r="D67" s="501"/>
      <c r="E67" s="501"/>
      <c r="F67" s="501"/>
      <c r="I67" s="427"/>
      <c r="J67" s="427"/>
      <c r="K67" s="427"/>
    </row>
    <row r="68" spans="1:11" x14ac:dyDescent="0.25">
      <c r="B68" s="501"/>
      <c r="C68" s="501"/>
      <c r="D68" s="501"/>
      <c r="E68" s="501"/>
      <c r="F68" s="501"/>
      <c r="I68" s="427"/>
      <c r="J68" s="427"/>
      <c r="K68" s="427"/>
    </row>
    <row r="69" spans="1:11" x14ac:dyDescent="0.25">
      <c r="A69" s="411"/>
      <c r="B69" s="501"/>
      <c r="C69" s="501"/>
      <c r="D69" s="501"/>
      <c r="E69" s="501"/>
      <c r="F69" s="501"/>
      <c r="I69" s="427"/>
      <c r="J69" s="427"/>
      <c r="K69" s="427"/>
    </row>
    <row r="70" spans="1:11" x14ac:dyDescent="0.25">
      <c r="B70" s="501"/>
      <c r="C70" s="501"/>
      <c r="D70" s="501"/>
      <c r="E70" s="501"/>
      <c r="F70" s="501"/>
      <c r="I70" s="427"/>
      <c r="J70" s="427"/>
      <c r="K70" s="427"/>
    </row>
    <row r="71" spans="1:11" x14ac:dyDescent="0.25">
      <c r="B71" s="501"/>
      <c r="C71" s="501"/>
      <c r="D71" s="501"/>
      <c r="E71" s="501"/>
      <c r="F71" s="501"/>
      <c r="I71" s="427"/>
      <c r="J71" s="427"/>
      <c r="K71" s="427"/>
    </row>
    <row r="72" spans="1:11" x14ac:dyDescent="0.25">
      <c r="B72" s="501"/>
      <c r="C72" s="501"/>
      <c r="D72" s="501"/>
      <c r="E72" s="501"/>
      <c r="F72" s="501"/>
      <c r="I72" s="427"/>
      <c r="J72" s="427"/>
      <c r="K72" s="427"/>
    </row>
    <row r="73" spans="1:11" x14ac:dyDescent="0.25">
      <c r="B73" s="501"/>
      <c r="C73" s="501"/>
      <c r="D73" s="501"/>
      <c r="E73" s="501"/>
      <c r="F73" s="501"/>
      <c r="I73" s="427"/>
      <c r="J73" s="427"/>
      <c r="K73" s="427"/>
    </row>
    <row r="74" spans="1:11" x14ac:dyDescent="0.25">
      <c r="I74" s="427"/>
      <c r="J74" s="427"/>
      <c r="K74" s="427"/>
    </row>
    <row r="75" spans="1:11" x14ac:dyDescent="0.25">
      <c r="A75" s="411"/>
      <c r="I75" s="427"/>
      <c r="J75" s="427"/>
      <c r="K75" s="427"/>
    </row>
    <row r="76" spans="1:11" x14ac:dyDescent="0.25">
      <c r="I76" s="427"/>
      <c r="J76" s="427"/>
      <c r="K76" s="427"/>
    </row>
    <row r="77" spans="1:11" x14ac:dyDescent="0.25">
      <c r="I77" s="427"/>
      <c r="J77" s="427"/>
      <c r="K77" s="427"/>
    </row>
    <row r="78" spans="1:11" x14ac:dyDescent="0.25">
      <c r="I78" s="427"/>
      <c r="J78" s="427"/>
      <c r="K78" s="427"/>
    </row>
    <row r="79" spans="1:11" x14ac:dyDescent="0.25">
      <c r="I79" s="427"/>
      <c r="J79" s="427"/>
      <c r="K79" s="427"/>
    </row>
    <row r="80" spans="1:11" x14ac:dyDescent="0.25">
      <c r="I80" s="427"/>
      <c r="J80" s="427"/>
      <c r="K80" s="427"/>
    </row>
    <row r="81" spans="1:1" x14ac:dyDescent="0.25">
      <c r="A81" s="411"/>
    </row>
  </sheetData>
  <mergeCells count="9">
    <mergeCell ref="B65:F73"/>
    <mergeCell ref="G3:G4"/>
    <mergeCell ref="H3:H4"/>
    <mergeCell ref="K3:K4"/>
    <mergeCell ref="B3:B4"/>
    <mergeCell ref="C3:C4"/>
    <mergeCell ref="D3:D4"/>
    <mergeCell ref="E3:E4"/>
    <mergeCell ref="F3:F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27011-213D-4ABD-A271-49D720C29142}">
  <sheetPr>
    <tabColor theme="0" tint="-0.34998626667073579"/>
  </sheetPr>
  <dimension ref="A1:X49"/>
  <sheetViews>
    <sheetView zoomScale="85" zoomScaleNormal="85" workbookViewId="0">
      <selection activeCell="N23" sqref="N23"/>
    </sheetView>
  </sheetViews>
  <sheetFormatPr defaultRowHeight="15" x14ac:dyDescent="0.25"/>
  <cols>
    <col min="1" max="1" width="9.140625" style="242"/>
    <col min="25" max="30" width="8.28515625" customWidth="1"/>
  </cols>
  <sheetData>
    <row r="1" spans="2:6" s="242" customFormat="1" x14ac:dyDescent="0.25"/>
    <row r="2" spans="2:6" x14ac:dyDescent="0.25">
      <c r="B2" s="246" t="s">
        <v>191</v>
      </c>
      <c r="C2" s="188"/>
      <c r="D2" s="188"/>
      <c r="E2" s="188"/>
      <c r="F2" s="188"/>
    </row>
    <row r="3" spans="2:6" x14ac:dyDescent="0.25">
      <c r="B3" s="247" t="s">
        <v>158</v>
      </c>
      <c r="C3" s="248"/>
      <c r="D3" s="188"/>
      <c r="E3" s="188"/>
      <c r="F3" s="188"/>
    </row>
    <row r="4" spans="2:6" x14ac:dyDescent="0.25">
      <c r="B4" s="249" t="s">
        <v>159</v>
      </c>
      <c r="C4" s="188"/>
      <c r="D4" s="188"/>
      <c r="E4" s="188"/>
      <c r="F4" s="188"/>
    </row>
    <row r="5" spans="2:6" x14ac:dyDescent="0.25">
      <c r="B5" s="188"/>
      <c r="C5" s="188"/>
      <c r="D5" s="188"/>
      <c r="E5" s="188"/>
      <c r="F5" s="188"/>
    </row>
    <row r="6" spans="2:6" x14ac:dyDescent="0.25">
      <c r="B6" s="249" t="s">
        <v>160</v>
      </c>
      <c r="C6" s="188" t="s">
        <v>161</v>
      </c>
      <c r="D6" s="188"/>
      <c r="E6" s="188"/>
      <c r="F6" s="188"/>
    </row>
    <row r="7" spans="2:6" x14ac:dyDescent="0.25">
      <c r="B7" s="249" t="s">
        <v>72</v>
      </c>
      <c r="C7" s="188" t="s">
        <v>162</v>
      </c>
      <c r="D7" s="188"/>
      <c r="E7" s="188"/>
      <c r="F7" s="188"/>
    </row>
    <row r="8" spans="2:6" ht="15.75" thickBot="1" x14ac:dyDescent="0.3">
      <c r="B8" s="188"/>
      <c r="C8" s="188"/>
      <c r="D8" s="188"/>
      <c r="E8" s="188"/>
      <c r="F8" s="188"/>
    </row>
    <row r="9" spans="2:6" ht="15.75" thickBot="1" x14ac:dyDescent="0.3">
      <c r="B9" s="250" t="s">
        <v>43</v>
      </c>
      <c r="C9" s="251" t="s">
        <v>163</v>
      </c>
      <c r="D9" s="251" t="s">
        <v>164</v>
      </c>
      <c r="E9" s="252" t="s">
        <v>165</v>
      </c>
      <c r="F9" s="188"/>
    </row>
    <row r="10" spans="2:6" ht="15.75" thickTop="1" x14ac:dyDescent="0.25">
      <c r="B10" s="253">
        <v>2022</v>
      </c>
      <c r="C10" s="254">
        <v>37825</v>
      </c>
      <c r="D10" s="254">
        <v>4390</v>
      </c>
      <c r="E10" s="255">
        <v>0.25</v>
      </c>
      <c r="F10" s="188"/>
    </row>
    <row r="11" spans="2:6" x14ac:dyDescent="0.25">
      <c r="B11" s="256">
        <v>2032</v>
      </c>
      <c r="C11" s="257">
        <v>43675</v>
      </c>
      <c r="D11" s="257">
        <v>5065</v>
      </c>
      <c r="E11" s="258">
        <v>0.25</v>
      </c>
      <c r="F11" s="188"/>
    </row>
    <row r="12" spans="2:6" ht="15.75" thickBot="1" x14ac:dyDescent="0.3">
      <c r="B12" s="259">
        <v>2042</v>
      </c>
      <c r="C12" s="260">
        <v>49525</v>
      </c>
      <c r="D12" s="260">
        <v>5745</v>
      </c>
      <c r="E12" s="261">
        <v>0.25</v>
      </c>
      <c r="F12" s="188"/>
    </row>
    <row r="13" spans="2:6" x14ac:dyDescent="0.25">
      <c r="B13" s="188"/>
      <c r="C13" s="188"/>
      <c r="D13" s="188"/>
      <c r="E13" s="188"/>
      <c r="F13" s="188"/>
    </row>
    <row r="14" spans="2:6" x14ac:dyDescent="0.25">
      <c r="B14" s="246" t="s">
        <v>166</v>
      </c>
      <c r="C14" s="188"/>
      <c r="D14" s="188"/>
      <c r="E14" s="188"/>
      <c r="F14" s="188"/>
    </row>
    <row r="15" spans="2:6" x14ac:dyDescent="0.25">
      <c r="B15" s="188"/>
      <c r="C15" s="188"/>
      <c r="D15" s="188"/>
      <c r="E15" s="188"/>
      <c r="F15" s="188"/>
    </row>
    <row r="16" spans="2:6" x14ac:dyDescent="0.25">
      <c r="B16" s="290">
        <f>(C12-C10)/(C10*(B12-B10))</f>
        <v>1.5465961665565102E-2</v>
      </c>
      <c r="C16" s="249" t="s">
        <v>167</v>
      </c>
      <c r="D16" s="188"/>
      <c r="E16" s="188"/>
      <c r="F16" s="188"/>
    </row>
    <row r="17" spans="2:24" s="242" customFormat="1" x14ac:dyDescent="0.25"/>
    <row r="18" spans="2:24" s="242" customFormat="1" x14ac:dyDescent="0.25">
      <c r="B18" s="541" t="s">
        <v>192</v>
      </c>
      <c r="C18" s="541"/>
      <c r="D18" s="541"/>
    </row>
    <row r="22" spans="2:24" x14ac:dyDescent="0.25">
      <c r="B22" s="9" t="s">
        <v>694</v>
      </c>
    </row>
    <row r="23" spans="2:24" s="242" customFormat="1" x14ac:dyDescent="0.25">
      <c r="B23" s="10" t="s">
        <v>155</v>
      </c>
      <c r="C23" s="160" t="s">
        <v>156</v>
      </c>
      <c r="D23"/>
      <c r="E23"/>
      <c r="F23"/>
      <c r="G23"/>
      <c r="H23"/>
      <c r="I23"/>
      <c r="J23"/>
      <c r="K23"/>
      <c r="L23"/>
      <c r="M23"/>
      <c r="N23"/>
      <c r="O23"/>
      <c r="P23"/>
      <c r="Q23"/>
      <c r="R23"/>
      <c r="S23"/>
      <c r="T23"/>
      <c r="U23"/>
      <c r="V23"/>
      <c r="W23"/>
      <c r="X23"/>
    </row>
    <row r="24" spans="2:24" s="242" customFormat="1" x14ac:dyDescent="0.25">
      <c r="B24"/>
      <c r="C24"/>
      <c r="D24"/>
      <c r="E24"/>
      <c r="F24"/>
      <c r="G24"/>
      <c r="H24"/>
      <c r="I24"/>
      <c r="J24"/>
      <c r="K24"/>
      <c r="L24"/>
      <c r="M24"/>
      <c r="N24"/>
      <c r="O24"/>
      <c r="P24"/>
      <c r="Q24"/>
      <c r="R24"/>
      <c r="S24"/>
      <c r="T24"/>
      <c r="U24"/>
      <c r="V24"/>
      <c r="W24"/>
      <c r="X24"/>
    </row>
    <row r="25" spans="2:24" s="242" customFormat="1" x14ac:dyDescent="0.25">
      <c r="B25" t="s">
        <v>157</v>
      </c>
      <c r="C25"/>
      <c r="D25"/>
      <c r="E25"/>
      <c r="F25"/>
      <c r="G25"/>
      <c r="H25"/>
      <c r="I25"/>
      <c r="J25"/>
      <c r="K25"/>
      <c r="L25"/>
      <c r="M25"/>
      <c r="N25"/>
      <c r="O25"/>
      <c r="P25"/>
      <c r="Q25"/>
      <c r="R25"/>
      <c r="S25"/>
      <c r="T25"/>
      <c r="U25"/>
      <c r="V25"/>
      <c r="W25"/>
      <c r="X25"/>
    </row>
    <row r="26" spans="2:24" s="242" customFormat="1" x14ac:dyDescent="0.25">
      <c r="B26"/>
      <c r="C26"/>
      <c r="D26"/>
      <c r="E26"/>
      <c r="F26"/>
      <c r="G26"/>
      <c r="H26"/>
      <c r="I26"/>
      <c r="J26"/>
      <c r="K26"/>
      <c r="L26"/>
      <c r="M26"/>
      <c r="N26"/>
      <c r="O26"/>
      <c r="P26"/>
      <c r="Q26"/>
      <c r="R26"/>
      <c r="S26"/>
      <c r="T26"/>
      <c r="U26"/>
      <c r="V26"/>
      <c r="W26"/>
      <c r="X26"/>
    </row>
    <row r="46" spans="2:24" x14ac:dyDescent="0.25">
      <c r="B46" s="242"/>
      <c r="C46" s="242"/>
      <c r="D46" s="242"/>
      <c r="E46" s="242"/>
      <c r="F46" s="242"/>
      <c r="G46" s="242"/>
      <c r="H46" s="242"/>
      <c r="I46" s="242"/>
      <c r="J46" s="242"/>
      <c r="K46" s="242"/>
      <c r="L46" s="242"/>
      <c r="M46" s="242"/>
      <c r="N46" s="242"/>
      <c r="O46" s="242"/>
      <c r="P46" s="242"/>
      <c r="Q46" s="242"/>
      <c r="R46" s="242"/>
      <c r="S46" s="242"/>
      <c r="T46" s="242"/>
      <c r="U46" s="242"/>
      <c r="V46" s="242"/>
      <c r="W46" s="242"/>
      <c r="X46" s="242"/>
    </row>
    <row r="47" spans="2:24" x14ac:dyDescent="0.25">
      <c r="B47" s="242"/>
      <c r="C47" s="242"/>
      <c r="D47" s="242"/>
      <c r="E47" s="242"/>
      <c r="F47" s="242"/>
      <c r="G47" s="242"/>
      <c r="H47" s="242"/>
      <c r="I47" s="242"/>
      <c r="J47" s="242"/>
      <c r="K47" s="242"/>
      <c r="L47" s="242"/>
      <c r="M47" s="242"/>
      <c r="N47" s="242"/>
      <c r="O47" s="242"/>
      <c r="P47" s="242"/>
      <c r="Q47" s="242"/>
      <c r="R47" s="242"/>
      <c r="S47" s="242"/>
      <c r="T47" s="242"/>
      <c r="U47" s="242"/>
      <c r="V47" s="242"/>
      <c r="W47" s="242"/>
      <c r="X47" s="242"/>
    </row>
    <row r="48" spans="2:24" x14ac:dyDescent="0.25">
      <c r="B48" s="242"/>
      <c r="C48" s="242"/>
      <c r="D48" s="242"/>
      <c r="E48" s="242"/>
      <c r="F48" s="242"/>
      <c r="G48" s="242"/>
      <c r="H48" s="242"/>
      <c r="I48" s="242"/>
      <c r="J48" s="242"/>
      <c r="K48" s="242"/>
      <c r="L48" s="242"/>
      <c r="M48" s="242"/>
      <c r="N48" s="242"/>
      <c r="O48" s="242"/>
      <c r="P48" s="242"/>
      <c r="Q48" s="242"/>
      <c r="R48" s="242"/>
      <c r="S48" s="242"/>
      <c r="T48" s="242"/>
      <c r="U48" s="242"/>
      <c r="V48" s="242"/>
      <c r="W48" s="242"/>
      <c r="X48" s="242"/>
    </row>
    <row r="49" spans="2:24" x14ac:dyDescent="0.25">
      <c r="B49" s="242"/>
      <c r="C49" s="242"/>
      <c r="D49" s="242"/>
      <c r="E49" s="242"/>
      <c r="F49" s="242"/>
      <c r="G49" s="242"/>
      <c r="H49" s="242"/>
      <c r="I49" s="242"/>
      <c r="J49" s="242"/>
      <c r="K49" s="242"/>
      <c r="L49" s="242"/>
      <c r="M49" s="242"/>
      <c r="N49" s="242"/>
      <c r="O49" s="242"/>
      <c r="P49" s="242"/>
      <c r="Q49" s="242"/>
      <c r="R49" s="242"/>
      <c r="S49" s="242"/>
      <c r="T49" s="242"/>
      <c r="U49" s="242"/>
      <c r="V49" s="242"/>
      <c r="W49" s="242"/>
      <c r="X49" s="242"/>
    </row>
  </sheetData>
  <mergeCells count="1">
    <mergeCell ref="B18:D18"/>
  </mergeCells>
  <hyperlinks>
    <hyperlink ref="C23" r:id="rId1" xr:uid="{EBE453DB-0259-42FE-8375-362B3BBB6D11}"/>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07426-AA08-43DB-B419-FF28C8DFFFBD}">
  <sheetPr>
    <tabColor theme="0" tint="-0.34998626667073579"/>
  </sheetPr>
  <dimension ref="A1:S136"/>
  <sheetViews>
    <sheetView workbookViewId="0">
      <selection activeCell="F24" sqref="F24"/>
    </sheetView>
  </sheetViews>
  <sheetFormatPr defaultRowHeight="15" x14ac:dyDescent="0.25"/>
  <cols>
    <col min="1" max="1" width="17.7109375" style="12" bestFit="1" customWidth="1"/>
    <col min="2" max="2" width="10.7109375" style="12" bestFit="1" customWidth="1"/>
    <col min="3" max="3" width="12.28515625" style="12" bestFit="1" customWidth="1"/>
    <col min="4" max="4" width="11.42578125" style="12" bestFit="1" customWidth="1"/>
    <col min="5" max="5" width="16.7109375" style="12" bestFit="1" customWidth="1"/>
    <col min="6" max="6" width="51" style="12" bestFit="1" customWidth="1"/>
    <col min="7" max="7" width="13.7109375" style="12" bestFit="1" customWidth="1"/>
    <col min="8" max="8" width="15.28515625" style="12" bestFit="1" customWidth="1"/>
    <col min="9" max="9" width="15.42578125" style="12" bestFit="1" customWidth="1"/>
    <col min="10" max="10" width="29.28515625" style="12" bestFit="1" customWidth="1"/>
    <col min="11" max="11" width="14.5703125" style="12" bestFit="1" customWidth="1"/>
    <col min="12" max="12" width="18.85546875" style="12" bestFit="1" customWidth="1"/>
    <col min="13" max="13" width="18.140625" style="12" bestFit="1" customWidth="1"/>
    <col min="14" max="14" width="22" style="12" bestFit="1" customWidth="1"/>
    <col min="15" max="15" width="15.140625" style="12" bestFit="1" customWidth="1"/>
    <col min="16" max="16" width="8.85546875" style="12" bestFit="1" customWidth="1"/>
    <col min="17" max="17" width="55" style="12" bestFit="1" customWidth="1"/>
    <col min="18" max="18" width="10.28515625" style="12" bestFit="1" customWidth="1"/>
    <col min="19" max="19" width="57.5703125" style="12" bestFit="1" customWidth="1"/>
  </cols>
  <sheetData>
    <row r="1" spans="1:19" x14ac:dyDescent="0.25">
      <c r="A1" s="343" t="s">
        <v>244</v>
      </c>
      <c r="B1" s="343" t="s">
        <v>245</v>
      </c>
      <c r="C1" s="343" t="s">
        <v>246</v>
      </c>
      <c r="D1" s="343" t="s">
        <v>247</v>
      </c>
      <c r="E1" s="343" t="s">
        <v>248</v>
      </c>
      <c r="F1" s="343" t="s">
        <v>249</v>
      </c>
      <c r="G1" s="343" t="s">
        <v>104</v>
      </c>
      <c r="H1" s="343" t="s">
        <v>250</v>
      </c>
      <c r="I1" s="343" t="s">
        <v>251</v>
      </c>
      <c r="J1" s="343" t="s">
        <v>252</v>
      </c>
      <c r="K1" s="343" t="s">
        <v>253</v>
      </c>
      <c r="L1" s="343" t="s">
        <v>254</v>
      </c>
      <c r="M1" s="343" t="s">
        <v>255</v>
      </c>
      <c r="N1" s="343" t="s">
        <v>256</v>
      </c>
      <c r="O1" s="343" t="s">
        <v>257</v>
      </c>
      <c r="P1" s="343" t="s">
        <v>168</v>
      </c>
      <c r="Q1" s="343" t="s">
        <v>258</v>
      </c>
      <c r="R1" s="343" t="s">
        <v>259</v>
      </c>
      <c r="S1" s="343" t="s">
        <v>702</v>
      </c>
    </row>
    <row r="2" spans="1:19" x14ac:dyDescent="0.25">
      <c r="A2" s="12">
        <v>217051235</v>
      </c>
      <c r="B2" s="12" t="s">
        <v>260</v>
      </c>
      <c r="C2" s="12" t="s">
        <v>261</v>
      </c>
      <c r="D2" s="12" t="s">
        <v>262</v>
      </c>
      <c r="E2" s="12">
        <v>387.6</v>
      </c>
      <c r="F2" s="12" t="s">
        <v>263</v>
      </c>
      <c r="G2" s="12" t="s">
        <v>27</v>
      </c>
      <c r="H2" s="12">
        <v>0</v>
      </c>
      <c r="I2" s="12">
        <v>0</v>
      </c>
      <c r="J2" s="12" t="s">
        <v>264</v>
      </c>
      <c r="K2" s="12" t="s">
        <v>265</v>
      </c>
      <c r="L2" s="12" t="s">
        <v>266</v>
      </c>
      <c r="M2" s="12" t="s">
        <v>267</v>
      </c>
      <c r="N2" s="12" t="s">
        <v>268</v>
      </c>
      <c r="O2" s="12" t="s">
        <v>269</v>
      </c>
      <c r="P2" s="12" t="s">
        <v>80</v>
      </c>
      <c r="Q2" s="12" t="s">
        <v>270</v>
      </c>
      <c r="R2" s="12">
        <v>2017</v>
      </c>
      <c r="S2" s="12" t="s">
        <v>271</v>
      </c>
    </row>
    <row r="3" spans="1:19" x14ac:dyDescent="0.25">
      <c r="A3" s="12">
        <v>219044698</v>
      </c>
      <c r="B3" s="12" t="s">
        <v>272</v>
      </c>
      <c r="C3" s="12" t="s">
        <v>273</v>
      </c>
      <c r="D3" s="12" t="s">
        <v>274</v>
      </c>
      <c r="E3" s="12">
        <v>387.61</v>
      </c>
      <c r="F3" s="12" t="s">
        <v>275</v>
      </c>
      <c r="G3" s="12" t="s">
        <v>27</v>
      </c>
      <c r="H3" s="12">
        <v>0</v>
      </c>
      <c r="I3" s="12">
        <v>0</v>
      </c>
      <c r="J3" s="12" t="s">
        <v>264</v>
      </c>
      <c r="K3" s="12" t="s">
        <v>265</v>
      </c>
      <c r="L3" s="12" t="s">
        <v>206</v>
      </c>
      <c r="M3" s="12" t="s">
        <v>276</v>
      </c>
      <c r="N3" s="12" t="s">
        <v>268</v>
      </c>
      <c r="O3" s="12" t="s">
        <v>269</v>
      </c>
      <c r="P3" s="12" t="s">
        <v>80</v>
      </c>
      <c r="Q3" s="12" t="s">
        <v>270</v>
      </c>
      <c r="R3" s="12">
        <v>2019</v>
      </c>
      <c r="S3" s="12" t="s">
        <v>271</v>
      </c>
    </row>
    <row r="4" spans="1:19" x14ac:dyDescent="0.25">
      <c r="A4" s="12">
        <v>218055733</v>
      </c>
      <c r="B4" s="12" t="s">
        <v>277</v>
      </c>
      <c r="C4" s="12" t="s">
        <v>278</v>
      </c>
      <c r="D4" s="12" t="s">
        <v>279</v>
      </c>
      <c r="E4" s="12">
        <v>387.64</v>
      </c>
      <c r="F4" s="12" t="s">
        <v>263</v>
      </c>
      <c r="G4" s="12" t="s">
        <v>27</v>
      </c>
      <c r="H4" s="12">
        <v>0</v>
      </c>
      <c r="I4" s="12">
        <v>0</v>
      </c>
      <c r="J4" s="12" t="s">
        <v>280</v>
      </c>
      <c r="K4" s="12" t="s">
        <v>281</v>
      </c>
      <c r="L4" s="12" t="s">
        <v>266</v>
      </c>
      <c r="M4" s="12" t="s">
        <v>267</v>
      </c>
      <c r="N4" s="12" t="s">
        <v>282</v>
      </c>
      <c r="O4" s="12" t="s">
        <v>269</v>
      </c>
      <c r="P4" s="12" t="s">
        <v>80</v>
      </c>
      <c r="Q4" s="12" t="s">
        <v>270</v>
      </c>
      <c r="R4" s="12">
        <v>2018</v>
      </c>
      <c r="S4" s="12" t="s">
        <v>271</v>
      </c>
    </row>
    <row r="5" spans="1:19" x14ac:dyDescent="0.25">
      <c r="A5" s="12">
        <v>217022439</v>
      </c>
      <c r="B5" s="12" t="s">
        <v>283</v>
      </c>
      <c r="C5" s="12" t="s">
        <v>284</v>
      </c>
      <c r="D5" s="12" t="s">
        <v>285</v>
      </c>
      <c r="E5" s="12">
        <v>387.64</v>
      </c>
      <c r="F5" s="12" t="s">
        <v>286</v>
      </c>
      <c r="G5" s="12" t="s">
        <v>287</v>
      </c>
      <c r="H5" s="12">
        <v>0</v>
      </c>
      <c r="I5" s="12">
        <v>0</v>
      </c>
      <c r="J5" s="12" t="s">
        <v>288</v>
      </c>
      <c r="K5" s="12" t="s">
        <v>281</v>
      </c>
      <c r="L5" s="12" t="s">
        <v>289</v>
      </c>
      <c r="M5" s="12" t="s">
        <v>267</v>
      </c>
      <c r="N5" s="12" t="s">
        <v>268</v>
      </c>
      <c r="O5" s="12" t="s">
        <v>269</v>
      </c>
      <c r="P5" s="12" t="s">
        <v>189</v>
      </c>
      <c r="Q5" s="12" t="s">
        <v>270</v>
      </c>
      <c r="R5" s="12">
        <v>2017</v>
      </c>
      <c r="S5" s="12" t="s">
        <v>290</v>
      </c>
    </row>
    <row r="6" spans="1:19" x14ac:dyDescent="0.25">
      <c r="A6" s="12">
        <v>217048907</v>
      </c>
      <c r="B6" s="12" t="s">
        <v>291</v>
      </c>
      <c r="C6" s="12" t="s">
        <v>292</v>
      </c>
      <c r="D6" s="12" t="s">
        <v>293</v>
      </c>
      <c r="E6" s="12">
        <v>387.64</v>
      </c>
      <c r="F6" s="12" t="s">
        <v>294</v>
      </c>
      <c r="G6" s="12" t="s">
        <v>27</v>
      </c>
      <c r="H6" s="12">
        <v>0</v>
      </c>
      <c r="I6" s="12">
        <v>0</v>
      </c>
      <c r="J6" s="12" t="s">
        <v>264</v>
      </c>
      <c r="K6" s="12" t="s">
        <v>281</v>
      </c>
      <c r="L6" s="12" t="s">
        <v>206</v>
      </c>
      <c r="M6" s="12" t="s">
        <v>295</v>
      </c>
      <c r="N6" s="12" t="s">
        <v>268</v>
      </c>
      <c r="O6" s="12" t="s">
        <v>269</v>
      </c>
      <c r="P6" s="12" t="s">
        <v>80</v>
      </c>
      <c r="Q6" s="12" t="s">
        <v>270</v>
      </c>
      <c r="R6" s="12">
        <v>2017</v>
      </c>
      <c r="S6" s="12" t="s">
        <v>271</v>
      </c>
    </row>
    <row r="7" spans="1:19" x14ac:dyDescent="0.25">
      <c r="A7" s="12">
        <v>219000826</v>
      </c>
      <c r="B7" s="12" t="s">
        <v>296</v>
      </c>
      <c r="C7" s="12" t="s">
        <v>273</v>
      </c>
      <c r="D7" s="12" t="s">
        <v>297</v>
      </c>
      <c r="E7" s="12">
        <v>387.71</v>
      </c>
      <c r="F7" s="12" t="s">
        <v>298</v>
      </c>
      <c r="G7" s="12" t="s">
        <v>27</v>
      </c>
      <c r="H7" s="12">
        <v>0</v>
      </c>
      <c r="I7" s="12">
        <v>0</v>
      </c>
      <c r="J7" s="12" t="s">
        <v>264</v>
      </c>
      <c r="K7" s="12" t="s">
        <v>281</v>
      </c>
      <c r="L7" s="12" t="s">
        <v>289</v>
      </c>
      <c r="M7" s="12" t="s">
        <v>267</v>
      </c>
      <c r="N7" s="12" t="s">
        <v>268</v>
      </c>
      <c r="O7" s="12" t="s">
        <v>269</v>
      </c>
      <c r="P7" s="12" t="s">
        <v>80</v>
      </c>
      <c r="Q7" s="12" t="s">
        <v>270</v>
      </c>
      <c r="R7" s="12">
        <v>2019</v>
      </c>
      <c r="S7" s="12" t="s">
        <v>271</v>
      </c>
    </row>
    <row r="8" spans="1:19" x14ac:dyDescent="0.25">
      <c r="A8" s="12">
        <v>218004804</v>
      </c>
      <c r="B8" s="12" t="s">
        <v>301</v>
      </c>
      <c r="C8" s="12" t="s">
        <v>302</v>
      </c>
      <c r="D8" s="12" t="s">
        <v>303</v>
      </c>
      <c r="E8" s="12">
        <v>387.91</v>
      </c>
      <c r="F8" s="12" t="s">
        <v>304</v>
      </c>
      <c r="G8" s="12" t="s">
        <v>287</v>
      </c>
      <c r="H8" s="12">
        <v>0</v>
      </c>
      <c r="I8" s="12">
        <v>0</v>
      </c>
      <c r="J8" s="12" t="s">
        <v>305</v>
      </c>
      <c r="K8" s="12" t="s">
        <v>306</v>
      </c>
      <c r="L8" s="12" t="s">
        <v>206</v>
      </c>
      <c r="M8" s="12" t="s">
        <v>307</v>
      </c>
      <c r="N8" s="12" t="s">
        <v>308</v>
      </c>
      <c r="O8" s="12" t="s">
        <v>269</v>
      </c>
      <c r="P8" s="12" t="s">
        <v>189</v>
      </c>
      <c r="Q8" s="12" t="s">
        <v>309</v>
      </c>
      <c r="R8" s="12">
        <v>2018</v>
      </c>
      <c r="S8" s="12" t="s">
        <v>271</v>
      </c>
    </row>
    <row r="9" spans="1:19" x14ac:dyDescent="0.25">
      <c r="A9" s="12">
        <v>217025452</v>
      </c>
      <c r="B9" s="12" t="s">
        <v>311</v>
      </c>
      <c r="C9" s="12" t="s">
        <v>261</v>
      </c>
      <c r="D9" s="12" t="s">
        <v>312</v>
      </c>
      <c r="E9" s="12">
        <v>387.94</v>
      </c>
      <c r="F9" s="12" t="s">
        <v>304</v>
      </c>
      <c r="G9" s="12" t="s">
        <v>27</v>
      </c>
      <c r="H9" s="12">
        <v>0</v>
      </c>
      <c r="I9" s="12">
        <v>0</v>
      </c>
      <c r="J9" s="12" t="s">
        <v>264</v>
      </c>
      <c r="K9" s="12" t="s">
        <v>306</v>
      </c>
      <c r="L9" s="12" t="s">
        <v>206</v>
      </c>
      <c r="M9" s="12" t="s">
        <v>276</v>
      </c>
      <c r="N9" s="12" t="s">
        <v>268</v>
      </c>
      <c r="O9" s="12" t="s">
        <v>269</v>
      </c>
      <c r="P9" s="12" t="s">
        <v>189</v>
      </c>
      <c r="Q9" s="12" t="s">
        <v>309</v>
      </c>
      <c r="R9" s="12">
        <v>2017</v>
      </c>
      <c r="S9" s="12" t="s">
        <v>271</v>
      </c>
    </row>
    <row r="10" spans="1:19" x14ac:dyDescent="0.25">
      <c r="A10" s="12">
        <v>217011269</v>
      </c>
      <c r="B10" s="12" t="s">
        <v>313</v>
      </c>
      <c r="C10" s="12" t="s">
        <v>314</v>
      </c>
      <c r="D10" s="12" t="s">
        <v>315</v>
      </c>
      <c r="E10" s="12">
        <v>387.98</v>
      </c>
      <c r="F10" s="12" t="s">
        <v>304</v>
      </c>
      <c r="G10" s="12" t="s">
        <v>27</v>
      </c>
      <c r="H10" s="12">
        <v>0</v>
      </c>
      <c r="I10" s="12">
        <v>0</v>
      </c>
      <c r="J10" s="12" t="s">
        <v>305</v>
      </c>
      <c r="K10" s="12" t="s">
        <v>281</v>
      </c>
      <c r="L10" s="12" t="s">
        <v>289</v>
      </c>
      <c r="M10" s="12" t="s">
        <v>267</v>
      </c>
      <c r="N10" s="12" t="s">
        <v>300</v>
      </c>
      <c r="O10" s="12" t="s">
        <v>269</v>
      </c>
      <c r="P10" s="12" t="s">
        <v>189</v>
      </c>
      <c r="Q10" s="12" t="s">
        <v>309</v>
      </c>
      <c r="R10" s="12">
        <v>2017</v>
      </c>
      <c r="S10" s="12" t="s">
        <v>271</v>
      </c>
    </row>
    <row r="11" spans="1:19" x14ac:dyDescent="0.25">
      <c r="A11" s="12">
        <v>218021740</v>
      </c>
      <c r="B11" s="12" t="s">
        <v>316</v>
      </c>
      <c r="C11" s="12" t="s">
        <v>273</v>
      </c>
      <c r="D11" s="12" t="s">
        <v>317</v>
      </c>
      <c r="E11" s="12">
        <v>387.98</v>
      </c>
      <c r="F11" s="12" t="s">
        <v>304</v>
      </c>
      <c r="G11" s="12" t="s">
        <v>27</v>
      </c>
      <c r="H11" s="12">
        <v>0</v>
      </c>
      <c r="I11" s="12">
        <v>0</v>
      </c>
      <c r="J11" s="12" t="s">
        <v>264</v>
      </c>
      <c r="K11" s="12" t="s">
        <v>265</v>
      </c>
      <c r="L11" s="12" t="s">
        <v>206</v>
      </c>
      <c r="M11" s="12" t="s">
        <v>276</v>
      </c>
      <c r="N11" s="12" t="s">
        <v>268</v>
      </c>
      <c r="O11" s="12" t="s">
        <v>269</v>
      </c>
      <c r="P11" s="12" t="s">
        <v>189</v>
      </c>
      <c r="Q11" s="12" t="s">
        <v>309</v>
      </c>
      <c r="R11" s="12">
        <v>2018</v>
      </c>
      <c r="S11" s="12" t="s">
        <v>271</v>
      </c>
    </row>
    <row r="12" spans="1:19" x14ac:dyDescent="0.25">
      <c r="A12" s="12">
        <v>218039808</v>
      </c>
      <c r="B12" s="12" t="s">
        <v>318</v>
      </c>
      <c r="C12" s="12" t="s">
        <v>273</v>
      </c>
      <c r="D12" s="12" t="s">
        <v>319</v>
      </c>
      <c r="E12" s="12">
        <v>387.99</v>
      </c>
      <c r="F12" s="12" t="s">
        <v>304</v>
      </c>
      <c r="G12" s="12" t="s">
        <v>320</v>
      </c>
      <c r="H12" s="12">
        <v>1</v>
      </c>
      <c r="I12" s="12">
        <v>0</v>
      </c>
      <c r="J12" s="12" t="s">
        <v>264</v>
      </c>
      <c r="K12" s="12" t="s">
        <v>281</v>
      </c>
      <c r="L12" s="12" t="s">
        <v>206</v>
      </c>
      <c r="M12" s="12" t="s">
        <v>321</v>
      </c>
      <c r="N12" s="12" t="s">
        <v>268</v>
      </c>
      <c r="O12" s="12" t="s">
        <v>269</v>
      </c>
      <c r="P12" s="12" t="s">
        <v>189</v>
      </c>
      <c r="Q12" s="12" t="s">
        <v>309</v>
      </c>
      <c r="R12" s="12">
        <v>2018</v>
      </c>
      <c r="S12" s="12" t="s">
        <v>271</v>
      </c>
    </row>
    <row r="13" spans="1:19" x14ac:dyDescent="0.25">
      <c r="A13" s="12">
        <v>217031709</v>
      </c>
      <c r="B13" s="12" t="s">
        <v>323</v>
      </c>
      <c r="C13" s="12" t="s">
        <v>273</v>
      </c>
      <c r="D13" s="12" t="s">
        <v>324</v>
      </c>
      <c r="E13" s="12">
        <v>388</v>
      </c>
      <c r="F13" s="12" t="s">
        <v>304</v>
      </c>
      <c r="G13" s="12" t="s">
        <v>27</v>
      </c>
      <c r="H13" s="12">
        <v>0</v>
      </c>
      <c r="I13" s="12">
        <v>0</v>
      </c>
      <c r="J13" s="12" t="s">
        <v>264</v>
      </c>
      <c r="K13" s="12" t="s">
        <v>281</v>
      </c>
      <c r="L13" s="12" t="s">
        <v>289</v>
      </c>
      <c r="M13" s="12" t="s">
        <v>267</v>
      </c>
      <c r="N13" s="12" t="s">
        <v>268</v>
      </c>
      <c r="O13" s="12" t="s">
        <v>269</v>
      </c>
      <c r="P13" s="12" t="s">
        <v>189</v>
      </c>
      <c r="Q13" s="12" t="s">
        <v>309</v>
      </c>
      <c r="R13" s="12">
        <v>2017</v>
      </c>
      <c r="S13" s="12" t="s">
        <v>271</v>
      </c>
    </row>
    <row r="14" spans="1:19" x14ac:dyDescent="0.25">
      <c r="A14" s="12">
        <v>218014845</v>
      </c>
      <c r="B14" s="12" t="s">
        <v>325</v>
      </c>
      <c r="C14" s="12" t="s">
        <v>278</v>
      </c>
      <c r="D14" s="12" t="s">
        <v>326</v>
      </c>
      <c r="E14" s="12">
        <v>388</v>
      </c>
      <c r="F14" s="12" t="s">
        <v>304</v>
      </c>
      <c r="G14" s="12" t="s">
        <v>27</v>
      </c>
      <c r="H14" s="12">
        <v>0</v>
      </c>
      <c r="I14" s="12">
        <v>0</v>
      </c>
      <c r="J14" s="12" t="s">
        <v>264</v>
      </c>
      <c r="K14" s="12" t="s">
        <v>265</v>
      </c>
      <c r="L14" s="12" t="s">
        <v>266</v>
      </c>
      <c r="M14" s="12" t="s">
        <v>267</v>
      </c>
      <c r="N14" s="12" t="s">
        <v>268</v>
      </c>
      <c r="O14" s="12" t="s">
        <v>327</v>
      </c>
      <c r="P14" s="12" t="s">
        <v>189</v>
      </c>
      <c r="Q14" s="12" t="s">
        <v>309</v>
      </c>
      <c r="R14" s="12">
        <v>2018</v>
      </c>
      <c r="S14" s="12" t="s">
        <v>271</v>
      </c>
    </row>
    <row r="15" spans="1:19" x14ac:dyDescent="0.25">
      <c r="A15" s="12">
        <v>218020192</v>
      </c>
      <c r="B15" s="12" t="s">
        <v>328</v>
      </c>
      <c r="C15" s="12" t="s">
        <v>314</v>
      </c>
      <c r="D15" s="12" t="s">
        <v>329</v>
      </c>
      <c r="E15" s="12">
        <v>388.04</v>
      </c>
      <c r="F15" s="12" t="s">
        <v>304</v>
      </c>
      <c r="G15" s="12" t="s">
        <v>320</v>
      </c>
      <c r="H15" s="12">
        <v>1</v>
      </c>
      <c r="I15" s="12">
        <v>0</v>
      </c>
      <c r="J15" s="12" t="s">
        <v>288</v>
      </c>
      <c r="K15" s="12" t="s">
        <v>330</v>
      </c>
      <c r="L15" s="12" t="s">
        <v>331</v>
      </c>
      <c r="M15" s="12" t="s">
        <v>267</v>
      </c>
      <c r="N15" s="12" t="s">
        <v>308</v>
      </c>
      <c r="O15" s="12" t="s">
        <v>269</v>
      </c>
      <c r="P15" s="12" t="s">
        <v>189</v>
      </c>
      <c r="Q15" s="12" t="s">
        <v>309</v>
      </c>
      <c r="R15" s="12">
        <v>2018</v>
      </c>
      <c r="S15" s="12" t="s">
        <v>271</v>
      </c>
    </row>
    <row r="16" spans="1:19" x14ac:dyDescent="0.25">
      <c r="A16" s="12">
        <v>218012934</v>
      </c>
      <c r="B16" s="12" t="s">
        <v>328</v>
      </c>
      <c r="C16" s="12" t="s">
        <v>314</v>
      </c>
      <c r="D16" s="12" t="s">
        <v>329</v>
      </c>
      <c r="E16" s="12">
        <v>388.12</v>
      </c>
      <c r="F16" s="12" t="s">
        <v>332</v>
      </c>
      <c r="G16" s="12" t="s">
        <v>320</v>
      </c>
      <c r="H16" s="12">
        <v>1</v>
      </c>
      <c r="I16" s="12">
        <v>0</v>
      </c>
      <c r="J16" s="12" t="s">
        <v>288</v>
      </c>
      <c r="K16" s="12" t="s">
        <v>330</v>
      </c>
      <c r="L16" s="12" t="s">
        <v>206</v>
      </c>
      <c r="M16" s="12" t="s">
        <v>333</v>
      </c>
      <c r="N16" s="12" t="s">
        <v>308</v>
      </c>
      <c r="O16" s="12" t="s">
        <v>269</v>
      </c>
      <c r="P16" s="12" t="s">
        <v>189</v>
      </c>
      <c r="Q16" s="12" t="s">
        <v>309</v>
      </c>
      <c r="R16" s="12">
        <v>2018</v>
      </c>
      <c r="S16" s="12" t="s">
        <v>271</v>
      </c>
    </row>
    <row r="17" spans="1:19" x14ac:dyDescent="0.25">
      <c r="A17" s="12">
        <v>218011145</v>
      </c>
      <c r="B17" s="12" t="s">
        <v>328</v>
      </c>
      <c r="C17" s="12" t="s">
        <v>314</v>
      </c>
      <c r="D17" s="12" t="s">
        <v>329</v>
      </c>
      <c r="E17" s="12">
        <v>388.12</v>
      </c>
      <c r="F17" s="12" t="s">
        <v>332</v>
      </c>
      <c r="G17" s="12" t="s">
        <v>27</v>
      </c>
      <c r="H17" s="12">
        <v>0</v>
      </c>
      <c r="I17" s="12">
        <v>0</v>
      </c>
      <c r="J17" s="12" t="s">
        <v>288</v>
      </c>
      <c r="K17" s="12" t="s">
        <v>330</v>
      </c>
      <c r="L17" s="12" t="s">
        <v>331</v>
      </c>
      <c r="M17" s="12" t="s">
        <v>267</v>
      </c>
      <c r="N17" s="12" t="s">
        <v>308</v>
      </c>
      <c r="O17" s="12" t="s">
        <v>269</v>
      </c>
      <c r="P17" s="12" t="s">
        <v>189</v>
      </c>
      <c r="Q17" s="12" t="s">
        <v>309</v>
      </c>
      <c r="R17" s="12">
        <v>2018</v>
      </c>
      <c r="S17" s="12" t="s">
        <v>271</v>
      </c>
    </row>
    <row r="18" spans="1:19" x14ac:dyDescent="0.25">
      <c r="A18" s="12">
        <v>217013249</v>
      </c>
      <c r="B18" s="12" t="s">
        <v>313</v>
      </c>
      <c r="C18" s="12" t="s">
        <v>314</v>
      </c>
      <c r="D18" s="12" t="s">
        <v>334</v>
      </c>
      <c r="E18" s="12">
        <v>388.21</v>
      </c>
      <c r="F18" s="12" t="s">
        <v>335</v>
      </c>
      <c r="G18" s="12" t="s">
        <v>27</v>
      </c>
      <c r="H18" s="12">
        <v>0</v>
      </c>
      <c r="I18" s="12">
        <v>0</v>
      </c>
      <c r="J18" s="12" t="s">
        <v>264</v>
      </c>
      <c r="K18" s="12" t="s">
        <v>281</v>
      </c>
      <c r="L18" s="12" t="s">
        <v>206</v>
      </c>
      <c r="M18" s="12" t="s">
        <v>336</v>
      </c>
      <c r="N18" s="12" t="s">
        <v>282</v>
      </c>
      <c r="O18" s="12" t="s">
        <v>269</v>
      </c>
      <c r="P18" s="12" t="s">
        <v>189</v>
      </c>
      <c r="Q18" s="12" t="s">
        <v>309</v>
      </c>
      <c r="R18" s="12">
        <v>2017</v>
      </c>
      <c r="S18" s="12" t="s">
        <v>337</v>
      </c>
    </row>
    <row r="19" spans="1:19" x14ac:dyDescent="0.25">
      <c r="A19" s="12">
        <v>219033414</v>
      </c>
      <c r="B19" s="12" t="s">
        <v>338</v>
      </c>
      <c r="C19" s="12" t="s">
        <v>284</v>
      </c>
      <c r="D19" s="12" t="s">
        <v>339</v>
      </c>
      <c r="E19" s="12">
        <v>388.29</v>
      </c>
      <c r="F19" s="12" t="s">
        <v>322</v>
      </c>
      <c r="G19" s="12" t="s">
        <v>320</v>
      </c>
      <c r="H19" s="12">
        <v>2</v>
      </c>
      <c r="I19" s="12">
        <v>0</v>
      </c>
      <c r="J19" s="12" t="s">
        <v>264</v>
      </c>
      <c r="K19" s="12" t="s">
        <v>265</v>
      </c>
      <c r="L19" s="12" t="s">
        <v>266</v>
      </c>
      <c r="M19" s="12" t="s">
        <v>267</v>
      </c>
      <c r="N19" s="12" t="s">
        <v>268</v>
      </c>
      <c r="O19" s="12" t="s">
        <v>269</v>
      </c>
      <c r="P19" s="12" t="s">
        <v>189</v>
      </c>
      <c r="Q19" s="12" t="s">
        <v>309</v>
      </c>
      <c r="R19" s="12">
        <v>2019</v>
      </c>
      <c r="S19" s="12" t="s">
        <v>337</v>
      </c>
    </row>
    <row r="20" spans="1:19" x14ac:dyDescent="0.25">
      <c r="A20" s="12">
        <v>219024217</v>
      </c>
      <c r="B20" s="12" t="s">
        <v>342</v>
      </c>
      <c r="C20" s="12" t="s">
        <v>292</v>
      </c>
      <c r="D20" s="12" t="s">
        <v>343</v>
      </c>
      <c r="E20" s="12">
        <v>388.33</v>
      </c>
      <c r="F20" s="12" t="s">
        <v>322</v>
      </c>
      <c r="G20" s="12" t="s">
        <v>27</v>
      </c>
      <c r="H20" s="12">
        <v>0</v>
      </c>
      <c r="I20" s="12">
        <v>0</v>
      </c>
      <c r="J20" s="12" t="s">
        <v>264</v>
      </c>
      <c r="K20" s="12" t="s">
        <v>281</v>
      </c>
      <c r="L20" s="12" t="s">
        <v>206</v>
      </c>
      <c r="M20" s="12" t="s">
        <v>344</v>
      </c>
      <c r="N20" s="12" t="s">
        <v>268</v>
      </c>
      <c r="O20" s="12" t="s">
        <v>269</v>
      </c>
      <c r="P20" s="12" t="s">
        <v>189</v>
      </c>
      <c r="Q20" s="12" t="s">
        <v>309</v>
      </c>
      <c r="R20" s="12">
        <v>2019</v>
      </c>
      <c r="S20" s="12" t="s">
        <v>337</v>
      </c>
    </row>
    <row r="21" spans="1:19" x14ac:dyDescent="0.25">
      <c r="A21" s="12">
        <v>217054567</v>
      </c>
      <c r="B21" s="12" t="s">
        <v>345</v>
      </c>
      <c r="C21" s="12" t="s">
        <v>273</v>
      </c>
      <c r="D21" s="12" t="s">
        <v>346</v>
      </c>
      <c r="E21" s="12">
        <v>388.34</v>
      </c>
      <c r="F21" s="12" t="s">
        <v>322</v>
      </c>
      <c r="G21" s="12" t="s">
        <v>27</v>
      </c>
      <c r="H21" s="12">
        <v>0</v>
      </c>
      <c r="I21" s="12">
        <v>0</v>
      </c>
      <c r="J21" s="12" t="s">
        <v>264</v>
      </c>
      <c r="K21" s="12" t="s">
        <v>265</v>
      </c>
      <c r="L21" s="12" t="s">
        <v>266</v>
      </c>
      <c r="M21" s="12" t="s">
        <v>267</v>
      </c>
      <c r="N21" s="12" t="s">
        <v>268</v>
      </c>
      <c r="O21" s="12" t="s">
        <v>269</v>
      </c>
      <c r="P21" s="12" t="s">
        <v>189</v>
      </c>
      <c r="Q21" s="12" t="s">
        <v>309</v>
      </c>
      <c r="R21" s="12">
        <v>2017</v>
      </c>
      <c r="S21" s="12" t="s">
        <v>337</v>
      </c>
    </row>
    <row r="22" spans="1:19" x14ac:dyDescent="0.25">
      <c r="A22" s="12">
        <v>218024721</v>
      </c>
      <c r="B22" s="12" t="s">
        <v>347</v>
      </c>
      <c r="C22" s="12" t="s">
        <v>302</v>
      </c>
      <c r="D22" s="12" t="s">
        <v>348</v>
      </c>
      <c r="E22" s="12">
        <v>388.45</v>
      </c>
      <c r="F22" s="12" t="s">
        <v>349</v>
      </c>
      <c r="G22" s="12" t="s">
        <v>27</v>
      </c>
      <c r="H22" s="12">
        <v>0</v>
      </c>
      <c r="I22" s="12">
        <v>0</v>
      </c>
      <c r="J22" s="12" t="s">
        <v>264</v>
      </c>
      <c r="K22" s="12" t="s">
        <v>281</v>
      </c>
      <c r="L22" s="12" t="s">
        <v>289</v>
      </c>
      <c r="M22" s="12" t="s">
        <v>267</v>
      </c>
      <c r="N22" s="12" t="s">
        <v>268</v>
      </c>
      <c r="O22" s="12" t="s">
        <v>269</v>
      </c>
      <c r="P22" s="12" t="s">
        <v>189</v>
      </c>
      <c r="Q22" s="12" t="s">
        <v>309</v>
      </c>
      <c r="R22" s="12">
        <v>2018</v>
      </c>
      <c r="S22" s="12" t="s">
        <v>350</v>
      </c>
    </row>
    <row r="23" spans="1:19" x14ac:dyDescent="0.25">
      <c r="A23" s="12">
        <v>217024638</v>
      </c>
      <c r="B23" s="12" t="s">
        <v>353</v>
      </c>
      <c r="C23" s="12" t="s">
        <v>278</v>
      </c>
      <c r="D23" s="12" t="s">
        <v>354</v>
      </c>
      <c r="E23" s="12">
        <v>388.5</v>
      </c>
      <c r="F23" s="12" t="s">
        <v>352</v>
      </c>
      <c r="G23" s="12" t="s">
        <v>320</v>
      </c>
      <c r="H23" s="12">
        <v>1</v>
      </c>
      <c r="I23" s="12">
        <v>0</v>
      </c>
      <c r="J23" s="12" t="s">
        <v>264</v>
      </c>
      <c r="K23" s="12" t="s">
        <v>265</v>
      </c>
      <c r="L23" s="12" t="s">
        <v>266</v>
      </c>
      <c r="M23" s="12" t="s">
        <v>267</v>
      </c>
      <c r="N23" s="12" t="s">
        <v>268</v>
      </c>
      <c r="O23" s="12" t="s">
        <v>269</v>
      </c>
      <c r="P23" s="12" t="s">
        <v>80</v>
      </c>
      <c r="Q23" s="12" t="s">
        <v>270</v>
      </c>
      <c r="R23" s="12">
        <v>2017</v>
      </c>
      <c r="S23" s="12" t="s">
        <v>337</v>
      </c>
    </row>
    <row r="24" spans="1:19" x14ac:dyDescent="0.25">
      <c r="A24" s="12">
        <v>219048081</v>
      </c>
      <c r="B24" s="12" t="s">
        <v>356</v>
      </c>
      <c r="C24" s="12" t="s">
        <v>292</v>
      </c>
      <c r="D24" s="12" t="s">
        <v>357</v>
      </c>
      <c r="E24" s="12">
        <v>388.64</v>
      </c>
      <c r="F24" s="12" t="s">
        <v>355</v>
      </c>
      <c r="G24" s="12" t="s">
        <v>27</v>
      </c>
      <c r="H24" s="12">
        <v>0</v>
      </c>
      <c r="I24" s="12">
        <v>0</v>
      </c>
      <c r="J24" s="12" t="s">
        <v>264</v>
      </c>
      <c r="K24" s="12" t="s">
        <v>330</v>
      </c>
      <c r="L24" s="12" t="s">
        <v>266</v>
      </c>
      <c r="M24" s="12" t="s">
        <v>267</v>
      </c>
      <c r="N24" s="12" t="s">
        <v>268</v>
      </c>
      <c r="O24" s="12" t="s">
        <v>269</v>
      </c>
      <c r="P24" s="12" t="s">
        <v>80</v>
      </c>
      <c r="Q24" s="12" t="s">
        <v>270</v>
      </c>
      <c r="R24" s="12">
        <v>2019</v>
      </c>
      <c r="S24" s="12" t="s">
        <v>337</v>
      </c>
    </row>
    <row r="25" spans="1:19" x14ac:dyDescent="0.25">
      <c r="A25" s="12">
        <v>217018910</v>
      </c>
      <c r="B25" s="12" t="s">
        <v>360</v>
      </c>
      <c r="C25" s="12" t="s">
        <v>278</v>
      </c>
      <c r="D25" s="12" t="s">
        <v>361</v>
      </c>
      <c r="E25" s="12">
        <v>388.99</v>
      </c>
      <c r="F25" s="12" t="s">
        <v>352</v>
      </c>
      <c r="G25" s="12" t="s">
        <v>320</v>
      </c>
      <c r="H25" s="12">
        <v>1</v>
      </c>
      <c r="I25" s="12">
        <v>0</v>
      </c>
      <c r="J25" s="12" t="s">
        <v>305</v>
      </c>
      <c r="K25" s="12" t="s">
        <v>265</v>
      </c>
      <c r="L25" s="12" t="s">
        <v>362</v>
      </c>
      <c r="M25" s="12" t="s">
        <v>267</v>
      </c>
      <c r="N25" s="12" t="s">
        <v>282</v>
      </c>
      <c r="O25" s="12" t="s">
        <v>269</v>
      </c>
      <c r="P25" s="12" t="s">
        <v>80</v>
      </c>
      <c r="Q25" s="12" t="s">
        <v>270</v>
      </c>
      <c r="R25" s="12">
        <v>2017</v>
      </c>
      <c r="S25" s="12" t="s">
        <v>337</v>
      </c>
    </row>
    <row r="26" spans="1:19" x14ac:dyDescent="0.25">
      <c r="A26" s="12">
        <v>217028134</v>
      </c>
      <c r="B26" s="12" t="s">
        <v>364</v>
      </c>
      <c r="C26" s="12" t="s">
        <v>273</v>
      </c>
      <c r="D26" s="12" t="s">
        <v>365</v>
      </c>
      <c r="E26" s="12">
        <v>389.1</v>
      </c>
      <c r="F26" s="12" t="s">
        <v>352</v>
      </c>
      <c r="G26" s="12" t="s">
        <v>27</v>
      </c>
      <c r="H26" s="12">
        <v>0</v>
      </c>
      <c r="I26" s="12">
        <v>0</v>
      </c>
      <c r="J26" s="12" t="s">
        <v>264</v>
      </c>
      <c r="K26" s="12" t="s">
        <v>265</v>
      </c>
      <c r="L26" s="12" t="s">
        <v>289</v>
      </c>
      <c r="M26" s="12" t="s">
        <v>267</v>
      </c>
      <c r="N26" s="12" t="s">
        <v>366</v>
      </c>
      <c r="O26" s="12" t="s">
        <v>269</v>
      </c>
      <c r="P26" s="12" t="s">
        <v>80</v>
      </c>
      <c r="Q26" s="12" t="s">
        <v>270</v>
      </c>
      <c r="R26" s="12">
        <v>2017</v>
      </c>
      <c r="S26" s="12" t="s">
        <v>337</v>
      </c>
    </row>
    <row r="27" spans="1:19" x14ac:dyDescent="0.25">
      <c r="A27" s="12">
        <v>218046745</v>
      </c>
      <c r="B27" s="12" t="s">
        <v>367</v>
      </c>
      <c r="C27" s="12" t="s">
        <v>314</v>
      </c>
      <c r="D27" s="12" t="s">
        <v>368</v>
      </c>
      <c r="E27" s="12">
        <v>389.1</v>
      </c>
      <c r="F27" s="12" t="s">
        <v>352</v>
      </c>
      <c r="G27" s="12" t="s">
        <v>27</v>
      </c>
      <c r="H27" s="12">
        <v>0</v>
      </c>
      <c r="I27" s="12">
        <v>0</v>
      </c>
      <c r="J27" s="12" t="s">
        <v>264</v>
      </c>
      <c r="K27" s="12" t="s">
        <v>265</v>
      </c>
      <c r="L27" s="12" t="s">
        <v>206</v>
      </c>
      <c r="M27" s="12" t="s">
        <v>276</v>
      </c>
      <c r="N27" s="12" t="s">
        <v>268</v>
      </c>
      <c r="O27" s="12" t="s">
        <v>269</v>
      </c>
      <c r="P27" s="12" t="s">
        <v>80</v>
      </c>
      <c r="Q27" s="12" t="s">
        <v>270</v>
      </c>
      <c r="R27" s="12">
        <v>2018</v>
      </c>
      <c r="S27" s="12" t="s">
        <v>337</v>
      </c>
    </row>
    <row r="28" spans="1:19" x14ac:dyDescent="0.25">
      <c r="A28" s="12">
        <v>219003136</v>
      </c>
      <c r="B28" s="12" t="s">
        <v>369</v>
      </c>
      <c r="C28" s="12" t="s">
        <v>314</v>
      </c>
      <c r="D28" s="12" t="s">
        <v>370</v>
      </c>
      <c r="E28" s="12">
        <v>389.12</v>
      </c>
      <c r="F28" s="12" t="s">
        <v>352</v>
      </c>
      <c r="G28" s="12" t="s">
        <v>320</v>
      </c>
      <c r="H28" s="12">
        <v>1</v>
      </c>
      <c r="I28" s="12">
        <v>0</v>
      </c>
      <c r="J28" s="12" t="s">
        <v>358</v>
      </c>
      <c r="K28" s="12" t="s">
        <v>265</v>
      </c>
      <c r="L28" s="12" t="s">
        <v>206</v>
      </c>
      <c r="M28" s="12" t="s">
        <v>321</v>
      </c>
      <c r="N28" s="12" t="s">
        <v>308</v>
      </c>
      <c r="O28" s="12" t="s">
        <v>269</v>
      </c>
      <c r="P28" s="12" t="s">
        <v>80</v>
      </c>
      <c r="Q28" s="12" t="s">
        <v>270</v>
      </c>
      <c r="R28" s="12">
        <v>2019</v>
      </c>
      <c r="S28" s="12" t="s">
        <v>337</v>
      </c>
    </row>
    <row r="29" spans="1:19" x14ac:dyDescent="0.25">
      <c r="A29" s="12">
        <v>218050026</v>
      </c>
      <c r="B29" s="12" t="s">
        <v>371</v>
      </c>
      <c r="C29" s="12" t="s">
        <v>284</v>
      </c>
      <c r="D29" s="12" t="s">
        <v>372</v>
      </c>
      <c r="E29" s="12">
        <v>389.34</v>
      </c>
      <c r="F29" s="12" t="s">
        <v>373</v>
      </c>
      <c r="G29" s="12" t="s">
        <v>27</v>
      </c>
      <c r="H29" s="12">
        <v>0</v>
      </c>
      <c r="I29" s="12">
        <v>0</v>
      </c>
      <c r="J29" s="12" t="s">
        <v>288</v>
      </c>
      <c r="K29" s="12" t="s">
        <v>265</v>
      </c>
      <c r="L29" s="12" t="s">
        <v>206</v>
      </c>
      <c r="M29" s="12" t="s">
        <v>276</v>
      </c>
      <c r="N29" s="12" t="s">
        <v>300</v>
      </c>
      <c r="O29" s="12" t="s">
        <v>269</v>
      </c>
      <c r="P29" s="12" t="s">
        <v>80</v>
      </c>
      <c r="Q29" s="12" t="s">
        <v>270</v>
      </c>
      <c r="R29" s="12">
        <v>2018</v>
      </c>
      <c r="S29" s="12" t="s">
        <v>337</v>
      </c>
    </row>
    <row r="30" spans="1:19" x14ac:dyDescent="0.25">
      <c r="A30" s="12">
        <v>217012159</v>
      </c>
      <c r="B30" s="12" t="s">
        <v>374</v>
      </c>
      <c r="C30" s="12" t="s">
        <v>292</v>
      </c>
      <c r="D30" s="12" t="s">
        <v>375</v>
      </c>
      <c r="E30" s="12">
        <v>389.36</v>
      </c>
      <c r="F30" s="12" t="s">
        <v>376</v>
      </c>
      <c r="G30" s="12" t="s">
        <v>27</v>
      </c>
      <c r="H30" s="12">
        <v>0</v>
      </c>
      <c r="I30" s="12">
        <v>0</v>
      </c>
      <c r="J30" s="12" t="s">
        <v>264</v>
      </c>
      <c r="K30" s="12" t="s">
        <v>281</v>
      </c>
      <c r="L30" s="12" t="s">
        <v>289</v>
      </c>
      <c r="M30" s="12" t="s">
        <v>267</v>
      </c>
      <c r="N30" s="12" t="s">
        <v>268</v>
      </c>
      <c r="O30" s="12" t="s">
        <v>269</v>
      </c>
      <c r="P30" s="12" t="s">
        <v>80</v>
      </c>
      <c r="Q30" s="12" t="s">
        <v>270</v>
      </c>
      <c r="R30" s="12">
        <v>2017</v>
      </c>
      <c r="S30" s="12" t="s">
        <v>337</v>
      </c>
    </row>
    <row r="31" spans="1:19" x14ac:dyDescent="0.25">
      <c r="A31" s="12">
        <v>217037881</v>
      </c>
      <c r="B31" s="12" t="s">
        <v>377</v>
      </c>
      <c r="C31" s="12" t="s">
        <v>278</v>
      </c>
      <c r="D31" s="12" t="s">
        <v>378</v>
      </c>
      <c r="E31" s="12">
        <v>389.42</v>
      </c>
      <c r="F31" s="12" t="s">
        <v>373</v>
      </c>
      <c r="G31" s="12" t="s">
        <v>379</v>
      </c>
      <c r="H31" s="12">
        <v>1</v>
      </c>
      <c r="I31" s="12">
        <v>0</v>
      </c>
      <c r="J31" s="12" t="s">
        <v>264</v>
      </c>
      <c r="K31" s="12" t="s">
        <v>281</v>
      </c>
      <c r="L31" s="12" t="s">
        <v>266</v>
      </c>
      <c r="M31" s="12" t="s">
        <v>267</v>
      </c>
      <c r="N31" s="12" t="s">
        <v>268</v>
      </c>
      <c r="O31" s="12" t="s">
        <v>269</v>
      </c>
      <c r="P31" s="12" t="s">
        <v>80</v>
      </c>
      <c r="Q31" s="12" t="s">
        <v>270</v>
      </c>
      <c r="R31" s="12">
        <v>2017</v>
      </c>
      <c r="S31" s="12" t="s">
        <v>337</v>
      </c>
    </row>
    <row r="32" spans="1:19" x14ac:dyDescent="0.25">
      <c r="A32" s="12">
        <v>219033858</v>
      </c>
      <c r="B32" s="12" t="s">
        <v>380</v>
      </c>
      <c r="C32" s="12" t="s">
        <v>261</v>
      </c>
      <c r="D32" s="12" t="s">
        <v>381</v>
      </c>
      <c r="E32" s="12">
        <v>389.8</v>
      </c>
      <c r="F32" s="12" t="s">
        <v>373</v>
      </c>
      <c r="G32" s="12" t="s">
        <v>310</v>
      </c>
      <c r="H32" s="12">
        <v>3</v>
      </c>
      <c r="I32" s="12">
        <v>0</v>
      </c>
      <c r="J32" s="12" t="s">
        <v>264</v>
      </c>
      <c r="K32" s="12" t="s">
        <v>281</v>
      </c>
      <c r="L32" s="12" t="s">
        <v>266</v>
      </c>
      <c r="M32" s="12" t="s">
        <v>267</v>
      </c>
      <c r="N32" s="12" t="s">
        <v>268</v>
      </c>
      <c r="O32" s="12" t="s">
        <v>269</v>
      </c>
      <c r="P32" s="12" t="s">
        <v>80</v>
      </c>
      <c r="Q32" s="12" t="s">
        <v>270</v>
      </c>
      <c r="R32" s="12">
        <v>2019</v>
      </c>
      <c r="S32" s="12" t="s">
        <v>337</v>
      </c>
    </row>
    <row r="33" spans="1:19" x14ac:dyDescent="0.25">
      <c r="A33" s="12">
        <v>219028345</v>
      </c>
      <c r="B33" s="12" t="s">
        <v>382</v>
      </c>
      <c r="C33" s="12" t="s">
        <v>273</v>
      </c>
      <c r="D33" s="12" t="s">
        <v>383</v>
      </c>
      <c r="E33" s="12">
        <v>389.99</v>
      </c>
      <c r="F33" s="12" t="s">
        <v>373</v>
      </c>
      <c r="G33" s="12" t="s">
        <v>27</v>
      </c>
      <c r="H33" s="12">
        <v>0</v>
      </c>
      <c r="I33" s="12">
        <v>0</v>
      </c>
      <c r="J33" s="12" t="s">
        <v>264</v>
      </c>
      <c r="K33" s="12" t="s">
        <v>281</v>
      </c>
      <c r="L33" s="12" t="s">
        <v>206</v>
      </c>
      <c r="M33" s="12" t="s">
        <v>276</v>
      </c>
      <c r="N33" s="12" t="s">
        <v>268</v>
      </c>
      <c r="O33" s="12" t="s">
        <v>269</v>
      </c>
      <c r="P33" s="12" t="s">
        <v>80</v>
      </c>
      <c r="Q33" s="12" t="s">
        <v>270</v>
      </c>
      <c r="R33" s="12">
        <v>2019</v>
      </c>
      <c r="S33" s="12" t="s">
        <v>337</v>
      </c>
    </row>
    <row r="34" spans="1:19" x14ac:dyDescent="0.25">
      <c r="A34" s="12">
        <v>218015277</v>
      </c>
      <c r="B34" s="12" t="s">
        <v>384</v>
      </c>
      <c r="C34" s="12" t="s">
        <v>273</v>
      </c>
      <c r="D34" s="12" t="s">
        <v>368</v>
      </c>
      <c r="E34" s="12">
        <v>390</v>
      </c>
      <c r="F34" s="12" t="s">
        <v>373</v>
      </c>
      <c r="G34" s="12" t="s">
        <v>287</v>
      </c>
      <c r="H34" s="12">
        <v>0</v>
      </c>
      <c r="I34" s="12">
        <v>0</v>
      </c>
      <c r="J34" s="12" t="s">
        <v>264</v>
      </c>
      <c r="K34" s="12" t="s">
        <v>265</v>
      </c>
      <c r="L34" s="12" t="s">
        <v>206</v>
      </c>
      <c r="M34" s="12" t="s">
        <v>276</v>
      </c>
      <c r="N34" s="12" t="s">
        <v>268</v>
      </c>
      <c r="O34" s="12" t="s">
        <v>269</v>
      </c>
      <c r="P34" s="12" t="s">
        <v>80</v>
      </c>
      <c r="Q34" s="12" t="s">
        <v>270</v>
      </c>
      <c r="R34" s="12">
        <v>2018</v>
      </c>
      <c r="S34" s="12" t="s">
        <v>337</v>
      </c>
    </row>
    <row r="35" spans="1:19" x14ac:dyDescent="0.25">
      <c r="A35" s="12">
        <v>218032944</v>
      </c>
      <c r="B35" s="12" t="s">
        <v>385</v>
      </c>
      <c r="C35" s="12" t="s">
        <v>273</v>
      </c>
      <c r="D35" s="12" t="s">
        <v>386</v>
      </c>
      <c r="E35" s="12">
        <v>390</v>
      </c>
      <c r="F35" s="12" t="s">
        <v>373</v>
      </c>
      <c r="G35" s="12" t="s">
        <v>310</v>
      </c>
      <c r="H35" s="12">
        <v>1</v>
      </c>
      <c r="I35" s="12">
        <v>0</v>
      </c>
      <c r="J35" s="12" t="s">
        <v>264</v>
      </c>
      <c r="K35" s="12" t="s">
        <v>281</v>
      </c>
      <c r="L35" s="12" t="s">
        <v>266</v>
      </c>
      <c r="M35" s="12" t="s">
        <v>267</v>
      </c>
      <c r="N35" s="12" t="s">
        <v>268</v>
      </c>
      <c r="O35" s="12" t="s">
        <v>269</v>
      </c>
      <c r="P35" s="12" t="s">
        <v>80</v>
      </c>
      <c r="Q35" s="12" t="s">
        <v>270</v>
      </c>
      <c r="R35" s="12">
        <v>2018</v>
      </c>
      <c r="S35" s="12" t="s">
        <v>337</v>
      </c>
    </row>
    <row r="36" spans="1:19" x14ac:dyDescent="0.25">
      <c r="A36" s="12">
        <v>218041173</v>
      </c>
      <c r="B36" s="12" t="s">
        <v>387</v>
      </c>
      <c r="C36" s="12" t="s">
        <v>273</v>
      </c>
      <c r="D36" s="12" t="s">
        <v>388</v>
      </c>
      <c r="E36" s="12">
        <v>390</v>
      </c>
      <c r="F36" s="12" t="s">
        <v>373</v>
      </c>
      <c r="G36" s="12" t="s">
        <v>287</v>
      </c>
      <c r="H36" s="12">
        <v>0</v>
      </c>
      <c r="I36" s="12">
        <v>0</v>
      </c>
      <c r="J36" s="12" t="s">
        <v>264</v>
      </c>
      <c r="K36" s="12" t="s">
        <v>265</v>
      </c>
      <c r="L36" s="12" t="s">
        <v>206</v>
      </c>
      <c r="M36" s="12" t="s">
        <v>389</v>
      </c>
      <c r="N36" s="12" t="s">
        <v>268</v>
      </c>
      <c r="O36" s="12" t="s">
        <v>269</v>
      </c>
      <c r="P36" s="12" t="s">
        <v>80</v>
      </c>
      <c r="Q36" s="12" t="s">
        <v>270</v>
      </c>
      <c r="R36" s="12">
        <v>2018</v>
      </c>
      <c r="S36" s="12" t="s">
        <v>337</v>
      </c>
    </row>
    <row r="37" spans="1:19" x14ac:dyDescent="0.25">
      <c r="A37" s="12">
        <v>218041178</v>
      </c>
      <c r="B37" s="12" t="s">
        <v>387</v>
      </c>
      <c r="C37" s="12" t="s">
        <v>273</v>
      </c>
      <c r="D37" s="12" t="s">
        <v>388</v>
      </c>
      <c r="E37" s="12">
        <v>390</v>
      </c>
      <c r="F37" s="12" t="s">
        <v>373</v>
      </c>
      <c r="G37" s="12" t="s">
        <v>287</v>
      </c>
      <c r="H37" s="12">
        <v>0</v>
      </c>
      <c r="I37" s="12">
        <v>0</v>
      </c>
      <c r="J37" s="12" t="s">
        <v>264</v>
      </c>
      <c r="K37" s="12" t="s">
        <v>265</v>
      </c>
      <c r="L37" s="12" t="s">
        <v>206</v>
      </c>
      <c r="M37" s="12" t="s">
        <v>389</v>
      </c>
      <c r="N37" s="12" t="s">
        <v>268</v>
      </c>
      <c r="O37" s="12" t="s">
        <v>269</v>
      </c>
      <c r="P37" s="12" t="s">
        <v>80</v>
      </c>
      <c r="Q37" s="12" t="s">
        <v>270</v>
      </c>
      <c r="R37" s="12">
        <v>2018</v>
      </c>
      <c r="S37" s="12" t="s">
        <v>337</v>
      </c>
    </row>
    <row r="38" spans="1:19" x14ac:dyDescent="0.25">
      <c r="A38" s="12">
        <v>218035796</v>
      </c>
      <c r="B38" s="12" t="s">
        <v>387</v>
      </c>
      <c r="C38" s="12" t="s">
        <v>273</v>
      </c>
      <c r="D38" s="12" t="s">
        <v>388</v>
      </c>
      <c r="E38" s="12">
        <v>390</v>
      </c>
      <c r="F38" s="12" t="s">
        <v>373</v>
      </c>
      <c r="G38" s="12" t="s">
        <v>27</v>
      </c>
      <c r="H38" s="12">
        <v>0</v>
      </c>
      <c r="I38" s="12">
        <v>0</v>
      </c>
      <c r="J38" s="12" t="s">
        <v>264</v>
      </c>
      <c r="K38" s="12" t="s">
        <v>265</v>
      </c>
      <c r="L38" s="12" t="s">
        <v>206</v>
      </c>
      <c r="M38" s="12" t="s">
        <v>389</v>
      </c>
      <c r="N38" s="12" t="s">
        <v>268</v>
      </c>
      <c r="O38" s="12" t="s">
        <v>269</v>
      </c>
      <c r="P38" s="12" t="s">
        <v>80</v>
      </c>
      <c r="Q38" s="12" t="s">
        <v>270</v>
      </c>
      <c r="R38" s="12">
        <v>2018</v>
      </c>
      <c r="S38" s="12" t="s">
        <v>337</v>
      </c>
    </row>
    <row r="39" spans="1:19" x14ac:dyDescent="0.25">
      <c r="A39" s="12">
        <v>218041171</v>
      </c>
      <c r="B39" s="12" t="s">
        <v>387</v>
      </c>
      <c r="C39" s="12" t="s">
        <v>273</v>
      </c>
      <c r="D39" s="12" t="s">
        <v>388</v>
      </c>
      <c r="E39" s="12">
        <v>390</v>
      </c>
      <c r="F39" s="12" t="s">
        <v>373</v>
      </c>
      <c r="G39" s="12" t="s">
        <v>27</v>
      </c>
      <c r="H39" s="12">
        <v>0</v>
      </c>
      <c r="I39" s="12">
        <v>0</v>
      </c>
      <c r="J39" s="12" t="s">
        <v>264</v>
      </c>
      <c r="K39" s="12" t="s">
        <v>265</v>
      </c>
      <c r="L39" s="12" t="s">
        <v>206</v>
      </c>
      <c r="M39" s="12" t="s">
        <v>389</v>
      </c>
      <c r="N39" s="12" t="s">
        <v>268</v>
      </c>
      <c r="O39" s="12" t="s">
        <v>269</v>
      </c>
      <c r="P39" s="12" t="s">
        <v>80</v>
      </c>
      <c r="Q39" s="12" t="s">
        <v>270</v>
      </c>
      <c r="R39" s="12">
        <v>2018</v>
      </c>
      <c r="S39" s="12" t="s">
        <v>337</v>
      </c>
    </row>
    <row r="40" spans="1:19" x14ac:dyDescent="0.25">
      <c r="A40" s="12">
        <v>218041174</v>
      </c>
      <c r="B40" s="12" t="s">
        <v>387</v>
      </c>
      <c r="C40" s="12" t="s">
        <v>273</v>
      </c>
      <c r="D40" s="12" t="s">
        <v>388</v>
      </c>
      <c r="E40" s="12">
        <v>390</v>
      </c>
      <c r="F40" s="12" t="s">
        <v>373</v>
      </c>
      <c r="G40" s="12" t="s">
        <v>27</v>
      </c>
      <c r="H40" s="12">
        <v>0</v>
      </c>
      <c r="I40" s="12">
        <v>0</v>
      </c>
      <c r="J40" s="12" t="s">
        <v>264</v>
      </c>
      <c r="K40" s="12" t="s">
        <v>265</v>
      </c>
      <c r="L40" s="12" t="s">
        <v>206</v>
      </c>
      <c r="M40" s="12" t="s">
        <v>389</v>
      </c>
      <c r="N40" s="12" t="s">
        <v>268</v>
      </c>
      <c r="O40" s="12" t="s">
        <v>269</v>
      </c>
      <c r="P40" s="12" t="s">
        <v>80</v>
      </c>
      <c r="Q40" s="12" t="s">
        <v>270</v>
      </c>
      <c r="R40" s="12">
        <v>2018</v>
      </c>
      <c r="S40" s="12" t="s">
        <v>337</v>
      </c>
    </row>
    <row r="41" spans="1:19" x14ac:dyDescent="0.25">
      <c r="A41" s="12">
        <v>218041175</v>
      </c>
      <c r="B41" s="12" t="s">
        <v>387</v>
      </c>
      <c r="C41" s="12" t="s">
        <v>273</v>
      </c>
      <c r="D41" s="12" t="s">
        <v>388</v>
      </c>
      <c r="E41" s="12">
        <v>390</v>
      </c>
      <c r="F41" s="12" t="s">
        <v>373</v>
      </c>
      <c r="G41" s="12" t="s">
        <v>27</v>
      </c>
      <c r="H41" s="12">
        <v>0</v>
      </c>
      <c r="I41" s="12">
        <v>0</v>
      </c>
      <c r="J41" s="12" t="s">
        <v>264</v>
      </c>
      <c r="K41" s="12" t="s">
        <v>265</v>
      </c>
      <c r="L41" s="12" t="s">
        <v>206</v>
      </c>
      <c r="M41" s="12" t="s">
        <v>389</v>
      </c>
      <c r="N41" s="12" t="s">
        <v>268</v>
      </c>
      <c r="O41" s="12" t="s">
        <v>269</v>
      </c>
      <c r="P41" s="12" t="s">
        <v>80</v>
      </c>
      <c r="Q41" s="12" t="s">
        <v>270</v>
      </c>
      <c r="R41" s="12">
        <v>2018</v>
      </c>
      <c r="S41" s="12" t="s">
        <v>337</v>
      </c>
    </row>
    <row r="42" spans="1:19" x14ac:dyDescent="0.25">
      <c r="A42" s="12">
        <v>218041176</v>
      </c>
      <c r="B42" s="12" t="s">
        <v>387</v>
      </c>
      <c r="C42" s="12" t="s">
        <v>273</v>
      </c>
      <c r="D42" s="12" t="s">
        <v>388</v>
      </c>
      <c r="E42" s="12">
        <v>390</v>
      </c>
      <c r="F42" s="12" t="s">
        <v>373</v>
      </c>
      <c r="G42" s="12" t="s">
        <v>27</v>
      </c>
      <c r="H42" s="12">
        <v>0</v>
      </c>
      <c r="I42" s="12">
        <v>0</v>
      </c>
      <c r="J42" s="12" t="s">
        <v>264</v>
      </c>
      <c r="K42" s="12" t="s">
        <v>265</v>
      </c>
      <c r="L42" s="12" t="s">
        <v>206</v>
      </c>
      <c r="M42" s="12" t="s">
        <v>389</v>
      </c>
      <c r="N42" s="12" t="s">
        <v>268</v>
      </c>
      <c r="O42" s="12" t="s">
        <v>269</v>
      </c>
      <c r="P42" s="12" t="s">
        <v>80</v>
      </c>
      <c r="Q42" s="12" t="s">
        <v>270</v>
      </c>
      <c r="R42" s="12">
        <v>2018</v>
      </c>
      <c r="S42" s="12" t="s">
        <v>337</v>
      </c>
    </row>
    <row r="43" spans="1:19" x14ac:dyDescent="0.25">
      <c r="A43" s="12">
        <v>218053422</v>
      </c>
      <c r="B43" s="12" t="s">
        <v>390</v>
      </c>
      <c r="C43" s="12" t="s">
        <v>302</v>
      </c>
      <c r="D43" s="12" t="s">
        <v>391</v>
      </c>
      <c r="E43" s="12">
        <v>390.02</v>
      </c>
      <c r="F43" s="12" t="s">
        <v>392</v>
      </c>
      <c r="G43" s="12" t="s">
        <v>27</v>
      </c>
      <c r="H43" s="12">
        <v>0</v>
      </c>
      <c r="I43" s="12">
        <v>0</v>
      </c>
      <c r="J43" s="12" t="s">
        <v>264</v>
      </c>
      <c r="K43" s="12" t="s">
        <v>265</v>
      </c>
      <c r="L43" s="12" t="s">
        <v>206</v>
      </c>
      <c r="M43" s="12" t="s">
        <v>276</v>
      </c>
      <c r="N43" s="12" t="s">
        <v>268</v>
      </c>
      <c r="O43" s="12" t="s">
        <v>269</v>
      </c>
      <c r="P43" s="12" t="s">
        <v>80</v>
      </c>
      <c r="Q43" s="12" t="s">
        <v>270</v>
      </c>
      <c r="R43" s="12">
        <v>2018</v>
      </c>
      <c r="S43" s="12" t="s">
        <v>337</v>
      </c>
    </row>
    <row r="44" spans="1:19" x14ac:dyDescent="0.25">
      <c r="A44" s="12">
        <v>217019055</v>
      </c>
      <c r="B44" s="12" t="s">
        <v>393</v>
      </c>
      <c r="C44" s="12" t="s">
        <v>284</v>
      </c>
      <c r="D44" s="12" t="s">
        <v>394</v>
      </c>
      <c r="E44" s="12">
        <v>390.21</v>
      </c>
      <c r="F44" s="12" t="s">
        <v>395</v>
      </c>
      <c r="G44" s="12" t="s">
        <v>27</v>
      </c>
      <c r="H44" s="12">
        <v>0</v>
      </c>
      <c r="I44" s="12">
        <v>0</v>
      </c>
      <c r="J44" s="12" t="s">
        <v>264</v>
      </c>
      <c r="K44" s="12" t="s">
        <v>265</v>
      </c>
      <c r="L44" s="12" t="s">
        <v>206</v>
      </c>
      <c r="M44" s="12" t="s">
        <v>276</v>
      </c>
      <c r="N44" s="12" t="s">
        <v>268</v>
      </c>
      <c r="O44" s="12" t="s">
        <v>269</v>
      </c>
      <c r="P44" s="12" t="s">
        <v>80</v>
      </c>
      <c r="Q44" s="12" t="s">
        <v>270</v>
      </c>
      <c r="R44" s="12">
        <v>2017</v>
      </c>
      <c r="S44" s="12" t="s">
        <v>337</v>
      </c>
    </row>
    <row r="45" spans="1:19" x14ac:dyDescent="0.25">
      <c r="A45" s="12">
        <v>218044885</v>
      </c>
      <c r="B45" s="12" t="s">
        <v>396</v>
      </c>
      <c r="C45" s="12" t="s">
        <v>273</v>
      </c>
      <c r="D45" s="12" t="s">
        <v>397</v>
      </c>
      <c r="E45" s="12">
        <v>390.24</v>
      </c>
      <c r="F45" s="12" t="s">
        <v>395</v>
      </c>
      <c r="G45" s="12" t="s">
        <v>27</v>
      </c>
      <c r="H45" s="12">
        <v>0</v>
      </c>
      <c r="I45" s="12">
        <v>0</v>
      </c>
      <c r="J45" s="12" t="s">
        <v>264</v>
      </c>
      <c r="K45" s="12" t="s">
        <v>265</v>
      </c>
      <c r="L45" s="12" t="s">
        <v>206</v>
      </c>
      <c r="M45" s="12" t="s">
        <v>276</v>
      </c>
      <c r="N45" s="12" t="s">
        <v>268</v>
      </c>
      <c r="O45" s="12" t="s">
        <v>269</v>
      </c>
      <c r="P45" s="12" t="s">
        <v>80</v>
      </c>
      <c r="Q45" s="12" t="s">
        <v>270</v>
      </c>
      <c r="R45" s="12">
        <v>2018</v>
      </c>
      <c r="S45" s="12" t="s">
        <v>337</v>
      </c>
    </row>
    <row r="46" spans="1:19" x14ac:dyDescent="0.25">
      <c r="A46" s="12">
        <v>218048355</v>
      </c>
      <c r="B46" s="12" t="s">
        <v>398</v>
      </c>
      <c r="C46" s="12" t="s">
        <v>261</v>
      </c>
      <c r="D46" s="12" t="s">
        <v>399</v>
      </c>
      <c r="E46" s="12">
        <v>390.25</v>
      </c>
      <c r="F46" s="12" t="s">
        <v>395</v>
      </c>
      <c r="G46" s="12" t="s">
        <v>27</v>
      </c>
      <c r="H46" s="12">
        <v>0</v>
      </c>
      <c r="I46" s="12">
        <v>0</v>
      </c>
      <c r="J46" s="12" t="s">
        <v>264</v>
      </c>
      <c r="K46" s="12" t="s">
        <v>281</v>
      </c>
      <c r="L46" s="12" t="s">
        <v>289</v>
      </c>
      <c r="M46" s="12" t="s">
        <v>267</v>
      </c>
      <c r="N46" s="12" t="s">
        <v>268</v>
      </c>
      <c r="O46" s="12" t="s">
        <v>269</v>
      </c>
      <c r="P46" s="12" t="s">
        <v>80</v>
      </c>
      <c r="Q46" s="12" t="s">
        <v>270</v>
      </c>
      <c r="R46" s="12">
        <v>2018</v>
      </c>
      <c r="S46" s="12" t="s">
        <v>337</v>
      </c>
    </row>
    <row r="47" spans="1:19" x14ac:dyDescent="0.25">
      <c r="A47" s="12">
        <v>218020435</v>
      </c>
      <c r="B47" s="12" t="s">
        <v>400</v>
      </c>
      <c r="C47" s="12" t="s">
        <v>302</v>
      </c>
      <c r="D47" s="12" t="s">
        <v>401</v>
      </c>
      <c r="E47" s="12">
        <v>390.4</v>
      </c>
      <c r="F47" s="12" t="s">
        <v>373</v>
      </c>
      <c r="G47" s="12" t="s">
        <v>27</v>
      </c>
      <c r="H47" s="12">
        <v>0</v>
      </c>
      <c r="I47" s="12">
        <v>0</v>
      </c>
      <c r="J47" s="12" t="s">
        <v>288</v>
      </c>
      <c r="K47" s="12" t="s">
        <v>265</v>
      </c>
      <c r="L47" s="12" t="s">
        <v>206</v>
      </c>
      <c r="M47" s="12" t="s">
        <v>276</v>
      </c>
      <c r="N47" s="12" t="s">
        <v>268</v>
      </c>
      <c r="O47" s="12" t="s">
        <v>269</v>
      </c>
      <c r="P47" s="12" t="s">
        <v>80</v>
      </c>
      <c r="Q47" s="12" t="s">
        <v>270</v>
      </c>
      <c r="R47" s="12">
        <v>2018</v>
      </c>
      <c r="S47" s="12" t="s">
        <v>337</v>
      </c>
    </row>
    <row r="48" spans="1:19" x14ac:dyDescent="0.25">
      <c r="A48" s="12">
        <v>217027678</v>
      </c>
      <c r="B48" s="12" t="s">
        <v>402</v>
      </c>
      <c r="C48" s="12" t="s">
        <v>284</v>
      </c>
      <c r="D48" s="12" t="s">
        <v>403</v>
      </c>
      <c r="E48" s="12">
        <v>390.5</v>
      </c>
      <c r="F48" s="12" t="s">
        <v>395</v>
      </c>
      <c r="G48" s="12" t="s">
        <v>287</v>
      </c>
      <c r="H48" s="12">
        <v>0</v>
      </c>
      <c r="I48" s="12">
        <v>0</v>
      </c>
      <c r="J48" s="12" t="s">
        <v>264</v>
      </c>
      <c r="K48" s="12" t="s">
        <v>281</v>
      </c>
      <c r="L48" s="12" t="s">
        <v>289</v>
      </c>
      <c r="M48" s="12" t="s">
        <v>267</v>
      </c>
      <c r="N48" s="12" t="s">
        <v>268</v>
      </c>
      <c r="O48" s="12" t="s">
        <v>269</v>
      </c>
      <c r="P48" s="12" t="s">
        <v>80</v>
      </c>
      <c r="Q48" s="12" t="s">
        <v>270</v>
      </c>
      <c r="R48" s="12">
        <v>2017</v>
      </c>
      <c r="S48" s="12" t="s">
        <v>337</v>
      </c>
    </row>
    <row r="49" spans="1:19" x14ac:dyDescent="0.25">
      <c r="A49" s="12">
        <v>218049522</v>
      </c>
      <c r="B49" s="12" t="s">
        <v>404</v>
      </c>
      <c r="C49" s="12" t="s">
        <v>284</v>
      </c>
      <c r="D49" s="12" t="s">
        <v>405</v>
      </c>
      <c r="E49" s="12">
        <v>390.59</v>
      </c>
      <c r="F49" s="12" t="s">
        <v>406</v>
      </c>
      <c r="G49" s="12" t="s">
        <v>320</v>
      </c>
      <c r="H49" s="12">
        <v>1</v>
      </c>
      <c r="I49" s="12">
        <v>0</v>
      </c>
      <c r="J49" s="12" t="s">
        <v>305</v>
      </c>
      <c r="K49" s="12" t="s">
        <v>265</v>
      </c>
      <c r="L49" s="12" t="s">
        <v>206</v>
      </c>
      <c r="M49" s="12" t="s">
        <v>407</v>
      </c>
      <c r="N49" s="12" t="s">
        <v>282</v>
      </c>
      <c r="O49" s="12" t="s">
        <v>269</v>
      </c>
      <c r="P49" s="12" t="s">
        <v>80</v>
      </c>
      <c r="Q49" s="12" t="s">
        <v>270</v>
      </c>
      <c r="R49" s="12">
        <v>2018</v>
      </c>
      <c r="S49" s="12" t="s">
        <v>337</v>
      </c>
    </row>
    <row r="50" spans="1:19" x14ac:dyDescent="0.25">
      <c r="A50" s="12">
        <v>218014101</v>
      </c>
      <c r="B50" s="12" t="s">
        <v>408</v>
      </c>
      <c r="C50" s="12" t="s">
        <v>261</v>
      </c>
      <c r="D50" s="12" t="s">
        <v>409</v>
      </c>
      <c r="E50" s="12">
        <v>390.73</v>
      </c>
      <c r="F50" s="12" t="s">
        <v>410</v>
      </c>
      <c r="G50" s="12" t="s">
        <v>27</v>
      </c>
      <c r="H50" s="12">
        <v>0</v>
      </c>
      <c r="I50" s="12">
        <v>0</v>
      </c>
      <c r="J50" s="12" t="s">
        <v>305</v>
      </c>
      <c r="K50" s="12" t="s">
        <v>281</v>
      </c>
      <c r="L50" s="12" t="s">
        <v>206</v>
      </c>
      <c r="M50" s="12" t="s">
        <v>359</v>
      </c>
      <c r="N50" s="12" t="s">
        <v>282</v>
      </c>
      <c r="O50" s="12" t="s">
        <v>269</v>
      </c>
      <c r="P50" s="12" t="s">
        <v>80</v>
      </c>
      <c r="Q50" s="12" t="s">
        <v>270</v>
      </c>
      <c r="R50" s="12">
        <v>2018</v>
      </c>
      <c r="S50" s="12" t="s">
        <v>337</v>
      </c>
    </row>
    <row r="51" spans="1:19" x14ac:dyDescent="0.25">
      <c r="A51" s="12">
        <v>219003535</v>
      </c>
      <c r="B51" s="12" t="s">
        <v>411</v>
      </c>
      <c r="C51" s="12" t="s">
        <v>292</v>
      </c>
      <c r="D51" s="12" t="s">
        <v>412</v>
      </c>
      <c r="E51" s="12">
        <v>390.75</v>
      </c>
      <c r="F51" s="12" t="s">
        <v>410</v>
      </c>
      <c r="G51" s="12" t="s">
        <v>27</v>
      </c>
      <c r="H51" s="12">
        <v>0</v>
      </c>
      <c r="I51" s="12">
        <v>0</v>
      </c>
      <c r="J51" s="12" t="s">
        <v>264</v>
      </c>
      <c r="K51" s="12" t="s">
        <v>281</v>
      </c>
      <c r="L51" s="12" t="s">
        <v>289</v>
      </c>
      <c r="M51" s="12" t="s">
        <v>267</v>
      </c>
      <c r="N51" s="12" t="s">
        <v>308</v>
      </c>
      <c r="O51" s="12" t="s">
        <v>269</v>
      </c>
      <c r="P51" s="12" t="s">
        <v>80</v>
      </c>
      <c r="Q51" s="12" t="s">
        <v>270</v>
      </c>
      <c r="R51" s="12">
        <v>2019</v>
      </c>
      <c r="S51" s="12" t="s">
        <v>337</v>
      </c>
    </row>
    <row r="52" spans="1:19" x14ac:dyDescent="0.25">
      <c r="A52" s="12">
        <v>219007726</v>
      </c>
      <c r="B52" s="12" t="s">
        <v>413</v>
      </c>
      <c r="C52" s="12" t="s">
        <v>261</v>
      </c>
      <c r="D52" s="12" t="s">
        <v>414</v>
      </c>
      <c r="E52" s="12">
        <v>390.78</v>
      </c>
      <c r="F52" s="12" t="s">
        <v>410</v>
      </c>
      <c r="G52" s="12" t="s">
        <v>310</v>
      </c>
      <c r="H52" s="12">
        <v>1</v>
      </c>
      <c r="I52" s="12">
        <v>0</v>
      </c>
      <c r="J52" s="12" t="s">
        <v>264</v>
      </c>
      <c r="K52" s="12" t="s">
        <v>265</v>
      </c>
      <c r="L52" s="12" t="s">
        <v>206</v>
      </c>
      <c r="M52" s="12" t="s">
        <v>415</v>
      </c>
      <c r="N52" s="12" t="s">
        <v>282</v>
      </c>
      <c r="O52" s="12" t="s">
        <v>269</v>
      </c>
      <c r="P52" s="12" t="s">
        <v>80</v>
      </c>
      <c r="Q52" s="12" t="s">
        <v>270</v>
      </c>
      <c r="R52" s="12">
        <v>2019</v>
      </c>
      <c r="S52" s="12" t="s">
        <v>337</v>
      </c>
    </row>
    <row r="53" spans="1:19" x14ac:dyDescent="0.25">
      <c r="A53" s="12">
        <v>219002817</v>
      </c>
      <c r="B53" s="12" t="s">
        <v>416</v>
      </c>
      <c r="C53" s="12" t="s">
        <v>314</v>
      </c>
      <c r="D53" s="12" t="s">
        <v>417</v>
      </c>
      <c r="E53" s="12">
        <v>390.79</v>
      </c>
      <c r="F53" s="12" t="s">
        <v>410</v>
      </c>
      <c r="G53" s="12" t="s">
        <v>27</v>
      </c>
      <c r="H53" s="12">
        <v>0</v>
      </c>
      <c r="I53" s="12">
        <v>0</v>
      </c>
      <c r="J53" s="12" t="s">
        <v>340</v>
      </c>
      <c r="K53" s="12" t="s">
        <v>265</v>
      </c>
      <c r="L53" s="12" t="s">
        <v>206</v>
      </c>
      <c r="M53" s="12" t="s">
        <v>341</v>
      </c>
      <c r="N53" s="12" t="s">
        <v>268</v>
      </c>
      <c r="O53" s="12" t="s">
        <v>327</v>
      </c>
      <c r="P53" s="12" t="s">
        <v>80</v>
      </c>
      <c r="Q53" s="12" t="s">
        <v>270</v>
      </c>
      <c r="R53" s="12">
        <v>2019</v>
      </c>
      <c r="S53" s="12" t="s">
        <v>337</v>
      </c>
    </row>
    <row r="54" spans="1:19" x14ac:dyDescent="0.25">
      <c r="A54" s="12">
        <v>218022695</v>
      </c>
      <c r="B54" s="12" t="s">
        <v>418</v>
      </c>
      <c r="C54" s="12" t="s">
        <v>273</v>
      </c>
      <c r="D54" s="12" t="s">
        <v>419</v>
      </c>
      <c r="E54" s="12">
        <v>390.82</v>
      </c>
      <c r="F54" s="12" t="s">
        <v>410</v>
      </c>
      <c r="G54" s="12" t="s">
        <v>27</v>
      </c>
      <c r="H54" s="12">
        <v>0</v>
      </c>
      <c r="I54" s="12">
        <v>0</v>
      </c>
      <c r="J54" s="12" t="s">
        <v>264</v>
      </c>
      <c r="K54" s="12" t="s">
        <v>265</v>
      </c>
      <c r="L54" s="12" t="s">
        <v>206</v>
      </c>
      <c r="M54" s="12" t="s">
        <v>276</v>
      </c>
      <c r="N54" s="12" t="s">
        <v>268</v>
      </c>
      <c r="O54" s="12" t="s">
        <v>269</v>
      </c>
      <c r="P54" s="12" t="s">
        <v>80</v>
      </c>
      <c r="Q54" s="12" t="s">
        <v>270</v>
      </c>
      <c r="R54" s="12">
        <v>2018</v>
      </c>
      <c r="S54" s="12" t="s">
        <v>337</v>
      </c>
    </row>
    <row r="55" spans="1:19" x14ac:dyDescent="0.25">
      <c r="A55" s="12">
        <v>219028711</v>
      </c>
      <c r="B55" s="12" t="s">
        <v>420</v>
      </c>
      <c r="C55" s="12" t="s">
        <v>261</v>
      </c>
      <c r="D55" s="12" t="s">
        <v>421</v>
      </c>
      <c r="E55" s="12">
        <v>390.98</v>
      </c>
      <c r="F55" s="12" t="s">
        <v>410</v>
      </c>
      <c r="G55" s="12" t="s">
        <v>27</v>
      </c>
      <c r="H55" s="12">
        <v>0</v>
      </c>
      <c r="I55" s="12">
        <v>0</v>
      </c>
      <c r="J55" s="12" t="s">
        <v>299</v>
      </c>
      <c r="K55" s="12" t="s">
        <v>265</v>
      </c>
      <c r="L55" s="12" t="s">
        <v>206</v>
      </c>
      <c r="M55" s="12" t="s">
        <v>276</v>
      </c>
      <c r="N55" s="12" t="s">
        <v>300</v>
      </c>
      <c r="O55" s="12" t="s">
        <v>269</v>
      </c>
      <c r="P55" s="12" t="s">
        <v>80</v>
      </c>
      <c r="Q55" s="12" t="s">
        <v>270</v>
      </c>
      <c r="R55" s="12">
        <v>2019</v>
      </c>
      <c r="S55" s="12" t="s">
        <v>337</v>
      </c>
    </row>
    <row r="56" spans="1:19" x14ac:dyDescent="0.25">
      <c r="A56" s="12">
        <v>217039533</v>
      </c>
      <c r="B56" s="12" t="s">
        <v>422</v>
      </c>
      <c r="C56" s="12" t="s">
        <v>302</v>
      </c>
      <c r="D56" s="12" t="s">
        <v>423</v>
      </c>
      <c r="E56" s="12">
        <v>390.98</v>
      </c>
      <c r="F56" s="12" t="s">
        <v>410</v>
      </c>
      <c r="G56" s="12" t="s">
        <v>27</v>
      </c>
      <c r="H56" s="12">
        <v>0</v>
      </c>
      <c r="I56" s="12">
        <v>0</v>
      </c>
      <c r="J56" s="12" t="s">
        <v>288</v>
      </c>
      <c r="K56" s="12" t="s">
        <v>265</v>
      </c>
      <c r="L56" s="12" t="s">
        <v>289</v>
      </c>
      <c r="M56" s="12" t="s">
        <v>267</v>
      </c>
      <c r="N56" s="12" t="s">
        <v>300</v>
      </c>
      <c r="O56" s="12" t="s">
        <v>269</v>
      </c>
      <c r="P56" s="12" t="s">
        <v>80</v>
      </c>
      <c r="Q56" s="12" t="s">
        <v>270</v>
      </c>
      <c r="R56" s="12">
        <v>2017</v>
      </c>
      <c r="S56" s="12" t="s">
        <v>337</v>
      </c>
    </row>
    <row r="57" spans="1:19" x14ac:dyDescent="0.25">
      <c r="A57" s="12">
        <v>218013797</v>
      </c>
      <c r="B57" s="12" t="s">
        <v>427</v>
      </c>
      <c r="C57" s="12" t="s">
        <v>302</v>
      </c>
      <c r="D57" s="12" t="s">
        <v>428</v>
      </c>
      <c r="E57" s="12">
        <v>390.99</v>
      </c>
      <c r="F57" s="12" t="s">
        <v>410</v>
      </c>
      <c r="G57" s="12" t="s">
        <v>27</v>
      </c>
      <c r="H57" s="12">
        <v>0</v>
      </c>
      <c r="I57" s="12">
        <v>0</v>
      </c>
      <c r="J57" s="12" t="s">
        <v>264</v>
      </c>
      <c r="K57" s="12" t="s">
        <v>265</v>
      </c>
      <c r="L57" s="12" t="s">
        <v>289</v>
      </c>
      <c r="M57" s="12" t="s">
        <v>267</v>
      </c>
      <c r="N57" s="12" t="s">
        <v>268</v>
      </c>
      <c r="O57" s="12" t="s">
        <v>269</v>
      </c>
      <c r="P57" s="12" t="s">
        <v>80</v>
      </c>
      <c r="Q57" s="12" t="s">
        <v>270</v>
      </c>
      <c r="R57" s="12">
        <v>2018</v>
      </c>
      <c r="S57" s="12" t="s">
        <v>337</v>
      </c>
    </row>
    <row r="58" spans="1:19" x14ac:dyDescent="0.25">
      <c r="A58" s="12">
        <v>218013192</v>
      </c>
      <c r="B58" s="12" t="s">
        <v>429</v>
      </c>
      <c r="C58" s="12" t="s">
        <v>284</v>
      </c>
      <c r="D58" s="12" t="s">
        <v>430</v>
      </c>
      <c r="E58" s="12">
        <v>391.1</v>
      </c>
      <c r="F58" s="12" t="s">
        <v>410</v>
      </c>
      <c r="G58" s="12" t="s">
        <v>27</v>
      </c>
      <c r="H58" s="12">
        <v>0</v>
      </c>
      <c r="I58" s="12">
        <v>0</v>
      </c>
      <c r="J58" s="12" t="s">
        <v>264</v>
      </c>
      <c r="K58" s="12" t="s">
        <v>265</v>
      </c>
      <c r="L58" s="12" t="s">
        <v>266</v>
      </c>
      <c r="M58" s="12" t="s">
        <v>267</v>
      </c>
      <c r="N58" s="12" t="s">
        <v>268</v>
      </c>
      <c r="O58" s="12" t="s">
        <v>269</v>
      </c>
      <c r="P58" s="12" t="s">
        <v>80</v>
      </c>
      <c r="Q58" s="12" t="s">
        <v>270</v>
      </c>
      <c r="R58" s="12">
        <v>2018</v>
      </c>
      <c r="S58" s="12" t="s">
        <v>337</v>
      </c>
    </row>
    <row r="59" spans="1:19" x14ac:dyDescent="0.25">
      <c r="A59" s="12">
        <v>219035628</v>
      </c>
      <c r="B59" s="12" t="s">
        <v>431</v>
      </c>
      <c r="C59" s="12" t="s">
        <v>261</v>
      </c>
      <c r="D59" s="12" t="s">
        <v>432</v>
      </c>
      <c r="E59" s="12">
        <v>391.13</v>
      </c>
      <c r="F59" s="12" t="s">
        <v>433</v>
      </c>
      <c r="G59" s="12" t="s">
        <v>27</v>
      </c>
      <c r="H59" s="12">
        <v>0</v>
      </c>
      <c r="I59" s="12">
        <v>0</v>
      </c>
      <c r="J59" s="12" t="s">
        <v>264</v>
      </c>
      <c r="K59" s="12" t="s">
        <v>265</v>
      </c>
      <c r="L59" s="12" t="s">
        <v>289</v>
      </c>
      <c r="M59" s="12" t="s">
        <v>267</v>
      </c>
      <c r="N59" s="12" t="s">
        <v>268</v>
      </c>
      <c r="O59" s="12" t="s">
        <v>269</v>
      </c>
      <c r="P59" s="12" t="s">
        <v>80</v>
      </c>
      <c r="Q59" s="12" t="s">
        <v>270</v>
      </c>
      <c r="R59" s="12">
        <v>2019</v>
      </c>
      <c r="S59" s="12" t="s">
        <v>337</v>
      </c>
    </row>
    <row r="60" spans="1:19" x14ac:dyDescent="0.25">
      <c r="A60" s="12">
        <v>217046795</v>
      </c>
      <c r="B60" s="12" t="s">
        <v>434</v>
      </c>
      <c r="C60" s="12" t="s">
        <v>292</v>
      </c>
      <c r="D60" s="12" t="s">
        <v>435</v>
      </c>
      <c r="E60" s="12">
        <v>391.19</v>
      </c>
      <c r="F60" s="12" t="s">
        <v>433</v>
      </c>
      <c r="G60" s="12" t="s">
        <v>310</v>
      </c>
      <c r="H60" s="12">
        <v>1</v>
      </c>
      <c r="I60" s="12">
        <v>0</v>
      </c>
      <c r="J60" s="12" t="s">
        <v>264</v>
      </c>
      <c r="K60" s="12" t="s">
        <v>265</v>
      </c>
      <c r="L60" s="12" t="s">
        <v>206</v>
      </c>
      <c r="M60" s="12" t="s">
        <v>276</v>
      </c>
      <c r="N60" s="12" t="s">
        <v>268</v>
      </c>
      <c r="O60" s="12" t="s">
        <v>269</v>
      </c>
      <c r="P60" s="12" t="s">
        <v>80</v>
      </c>
      <c r="Q60" s="12" t="s">
        <v>270</v>
      </c>
      <c r="R60" s="12">
        <v>2017</v>
      </c>
      <c r="S60" s="12" t="s">
        <v>337</v>
      </c>
    </row>
    <row r="61" spans="1:19" x14ac:dyDescent="0.25">
      <c r="A61" s="12">
        <v>219019232</v>
      </c>
      <c r="B61" s="12" t="s">
        <v>438</v>
      </c>
      <c r="C61" s="12" t="s">
        <v>284</v>
      </c>
      <c r="D61" s="12" t="s">
        <v>439</v>
      </c>
      <c r="E61" s="12">
        <v>391.38</v>
      </c>
      <c r="F61" s="12" t="s">
        <v>433</v>
      </c>
      <c r="G61" s="12" t="s">
        <v>379</v>
      </c>
      <c r="H61" s="12">
        <v>1</v>
      </c>
      <c r="I61" s="12">
        <v>0</v>
      </c>
      <c r="J61" s="12" t="s">
        <v>264</v>
      </c>
      <c r="K61" s="12" t="s">
        <v>281</v>
      </c>
      <c r="L61" s="12" t="s">
        <v>206</v>
      </c>
      <c r="M61" s="12" t="s">
        <v>440</v>
      </c>
      <c r="N61" s="12" t="s">
        <v>268</v>
      </c>
      <c r="O61" s="12" t="s">
        <v>269</v>
      </c>
      <c r="P61" s="12" t="s">
        <v>80</v>
      </c>
      <c r="Q61" s="12" t="s">
        <v>270</v>
      </c>
      <c r="R61" s="12">
        <v>2019</v>
      </c>
      <c r="S61" s="12" t="s">
        <v>337</v>
      </c>
    </row>
    <row r="62" spans="1:19" x14ac:dyDescent="0.25">
      <c r="A62" s="12">
        <v>219033359</v>
      </c>
      <c r="B62" s="12" t="s">
        <v>441</v>
      </c>
      <c r="C62" s="12" t="s">
        <v>292</v>
      </c>
      <c r="D62" s="12" t="s">
        <v>363</v>
      </c>
      <c r="E62" s="12">
        <v>391.39</v>
      </c>
      <c r="F62" s="12" t="s">
        <v>433</v>
      </c>
      <c r="G62" s="12" t="s">
        <v>27</v>
      </c>
      <c r="H62" s="12">
        <v>0</v>
      </c>
      <c r="I62" s="12">
        <v>0</v>
      </c>
      <c r="J62" s="12" t="s">
        <v>264</v>
      </c>
      <c r="K62" s="12" t="s">
        <v>281</v>
      </c>
      <c r="L62" s="12" t="s">
        <v>289</v>
      </c>
      <c r="M62" s="12" t="s">
        <v>267</v>
      </c>
      <c r="N62" s="12" t="s">
        <v>268</v>
      </c>
      <c r="O62" s="12" t="s">
        <v>269</v>
      </c>
      <c r="P62" s="12" t="s">
        <v>80</v>
      </c>
      <c r="Q62" s="12" t="s">
        <v>270</v>
      </c>
      <c r="R62" s="12">
        <v>2019</v>
      </c>
      <c r="S62" s="12" t="s">
        <v>337</v>
      </c>
    </row>
    <row r="63" spans="1:19" x14ac:dyDescent="0.25">
      <c r="A63" s="12">
        <v>218017747</v>
      </c>
      <c r="B63" s="12" t="s">
        <v>442</v>
      </c>
      <c r="C63" s="12" t="s">
        <v>284</v>
      </c>
      <c r="D63" s="12" t="s">
        <v>443</v>
      </c>
      <c r="E63" s="12">
        <v>391.39</v>
      </c>
      <c r="F63" s="12" t="s">
        <v>433</v>
      </c>
      <c r="G63" s="12" t="s">
        <v>320</v>
      </c>
      <c r="H63" s="12">
        <v>1</v>
      </c>
      <c r="I63" s="12">
        <v>0</v>
      </c>
      <c r="J63" s="12" t="s">
        <v>264</v>
      </c>
      <c r="K63" s="12" t="s">
        <v>265</v>
      </c>
      <c r="L63" s="12" t="s">
        <v>266</v>
      </c>
      <c r="M63" s="12" t="s">
        <v>267</v>
      </c>
      <c r="N63" s="12" t="s">
        <v>268</v>
      </c>
      <c r="O63" s="12" t="s">
        <v>269</v>
      </c>
      <c r="P63" s="12" t="s">
        <v>80</v>
      </c>
      <c r="Q63" s="12" t="s">
        <v>270</v>
      </c>
      <c r="R63" s="12">
        <v>2018</v>
      </c>
      <c r="S63" s="12" t="s">
        <v>337</v>
      </c>
    </row>
    <row r="64" spans="1:19" x14ac:dyDescent="0.25">
      <c r="A64" s="12">
        <v>218029726</v>
      </c>
      <c r="B64" s="12" t="s">
        <v>445</v>
      </c>
      <c r="C64" s="12" t="s">
        <v>261</v>
      </c>
      <c r="D64" s="12" t="s">
        <v>446</v>
      </c>
      <c r="E64" s="12">
        <v>391.42</v>
      </c>
      <c r="F64" s="12" t="s">
        <v>433</v>
      </c>
      <c r="G64" s="12" t="s">
        <v>320</v>
      </c>
      <c r="H64" s="12">
        <v>1</v>
      </c>
      <c r="I64" s="12">
        <v>0</v>
      </c>
      <c r="J64" s="12" t="s">
        <v>264</v>
      </c>
      <c r="K64" s="12" t="s">
        <v>281</v>
      </c>
      <c r="L64" s="12" t="s">
        <v>289</v>
      </c>
      <c r="M64" s="12" t="s">
        <v>267</v>
      </c>
      <c r="N64" s="12" t="s">
        <v>268</v>
      </c>
      <c r="O64" s="12" t="s">
        <v>269</v>
      </c>
      <c r="P64" s="12" t="s">
        <v>80</v>
      </c>
      <c r="Q64" s="12" t="s">
        <v>270</v>
      </c>
      <c r="R64" s="12">
        <v>2018</v>
      </c>
      <c r="S64" s="12" t="s">
        <v>337</v>
      </c>
    </row>
    <row r="65" spans="1:19" x14ac:dyDescent="0.25">
      <c r="A65" s="12">
        <v>218034925</v>
      </c>
      <c r="B65" s="12" t="s">
        <v>447</v>
      </c>
      <c r="C65" s="12" t="s">
        <v>284</v>
      </c>
      <c r="D65" s="12" t="s">
        <v>448</v>
      </c>
      <c r="E65" s="12">
        <v>391.52</v>
      </c>
      <c r="F65" s="12" t="s">
        <v>433</v>
      </c>
      <c r="G65" s="12" t="s">
        <v>287</v>
      </c>
      <c r="H65" s="12">
        <v>0</v>
      </c>
      <c r="I65" s="12">
        <v>0</v>
      </c>
      <c r="J65" s="12" t="s">
        <v>264</v>
      </c>
      <c r="K65" s="12" t="s">
        <v>281</v>
      </c>
      <c r="L65" s="12" t="s">
        <v>266</v>
      </c>
      <c r="M65" s="12" t="s">
        <v>267</v>
      </c>
      <c r="N65" s="12" t="s">
        <v>268</v>
      </c>
      <c r="O65" s="12" t="s">
        <v>269</v>
      </c>
      <c r="P65" s="12" t="s">
        <v>80</v>
      </c>
      <c r="Q65" s="12" t="s">
        <v>270</v>
      </c>
      <c r="R65" s="12">
        <v>2018</v>
      </c>
      <c r="S65" s="12" t="s">
        <v>337</v>
      </c>
    </row>
    <row r="66" spans="1:19" x14ac:dyDescent="0.25">
      <c r="A66" s="12">
        <v>219033984</v>
      </c>
      <c r="B66" s="12" t="s">
        <v>380</v>
      </c>
      <c r="C66" s="12" t="s">
        <v>261</v>
      </c>
      <c r="D66" s="12" t="s">
        <v>449</v>
      </c>
      <c r="E66" s="12">
        <v>391.6</v>
      </c>
      <c r="F66" s="12" t="s">
        <v>433</v>
      </c>
      <c r="G66" s="12" t="s">
        <v>320</v>
      </c>
      <c r="H66" s="12">
        <v>2</v>
      </c>
      <c r="I66" s="12">
        <v>0</v>
      </c>
      <c r="J66" s="12" t="s">
        <v>288</v>
      </c>
      <c r="K66" s="12" t="s">
        <v>281</v>
      </c>
      <c r="L66" s="12" t="s">
        <v>266</v>
      </c>
      <c r="M66" s="12" t="s">
        <v>267</v>
      </c>
      <c r="N66" s="12" t="s">
        <v>268</v>
      </c>
      <c r="O66" s="12" t="s">
        <v>269</v>
      </c>
      <c r="P66" s="12" t="s">
        <v>80</v>
      </c>
      <c r="Q66" s="12" t="s">
        <v>270</v>
      </c>
      <c r="R66" s="12">
        <v>2019</v>
      </c>
      <c r="S66" s="12" t="s">
        <v>337</v>
      </c>
    </row>
    <row r="67" spans="1:19" x14ac:dyDescent="0.25">
      <c r="A67" s="12">
        <v>219003701</v>
      </c>
      <c r="B67" s="12" t="s">
        <v>451</v>
      </c>
      <c r="C67" s="12" t="s">
        <v>261</v>
      </c>
      <c r="D67" s="12" t="s">
        <v>452</v>
      </c>
      <c r="E67" s="12">
        <v>391.65</v>
      </c>
      <c r="F67" s="12" t="s">
        <v>450</v>
      </c>
      <c r="G67" s="12" t="s">
        <v>27</v>
      </c>
      <c r="H67" s="12">
        <v>0</v>
      </c>
      <c r="I67" s="12">
        <v>0</v>
      </c>
      <c r="J67" s="12" t="s">
        <v>264</v>
      </c>
      <c r="K67" s="12" t="s">
        <v>281</v>
      </c>
      <c r="L67" s="12" t="s">
        <v>206</v>
      </c>
      <c r="M67" s="12" t="s">
        <v>453</v>
      </c>
      <c r="N67" s="12" t="s">
        <v>268</v>
      </c>
      <c r="O67" s="12" t="s">
        <v>269</v>
      </c>
      <c r="P67" s="12" t="s">
        <v>80</v>
      </c>
      <c r="Q67" s="12" t="s">
        <v>270</v>
      </c>
      <c r="R67" s="12">
        <v>2019</v>
      </c>
      <c r="S67" s="12" t="s">
        <v>337</v>
      </c>
    </row>
    <row r="68" spans="1:19" x14ac:dyDescent="0.25">
      <c r="A68" s="12">
        <v>219008746</v>
      </c>
      <c r="B68" s="12" t="s">
        <v>455</v>
      </c>
      <c r="C68" s="12" t="s">
        <v>284</v>
      </c>
      <c r="D68" s="12" t="s">
        <v>361</v>
      </c>
      <c r="E68" s="12">
        <v>391.65</v>
      </c>
      <c r="F68" s="12" t="s">
        <v>456</v>
      </c>
      <c r="G68" s="12" t="s">
        <v>320</v>
      </c>
      <c r="H68" s="12">
        <v>1</v>
      </c>
      <c r="I68" s="12">
        <v>0</v>
      </c>
      <c r="J68" s="12" t="s">
        <v>358</v>
      </c>
      <c r="K68" s="12" t="s">
        <v>265</v>
      </c>
      <c r="L68" s="12" t="s">
        <v>206</v>
      </c>
      <c r="M68" s="12" t="s">
        <v>453</v>
      </c>
      <c r="N68" s="12" t="s">
        <v>308</v>
      </c>
      <c r="O68" s="12" t="s">
        <v>269</v>
      </c>
      <c r="P68" s="12" t="s">
        <v>80</v>
      </c>
      <c r="Q68" s="12" t="s">
        <v>270</v>
      </c>
      <c r="R68" s="12">
        <v>2019</v>
      </c>
      <c r="S68" s="12" t="s">
        <v>337</v>
      </c>
    </row>
    <row r="69" spans="1:19" x14ac:dyDescent="0.25">
      <c r="A69" s="12">
        <v>218050053</v>
      </c>
      <c r="B69" s="12" t="s">
        <v>404</v>
      </c>
      <c r="C69" s="12" t="s">
        <v>284</v>
      </c>
      <c r="D69" s="12" t="s">
        <v>458</v>
      </c>
      <c r="E69" s="12">
        <v>391.7</v>
      </c>
      <c r="F69" s="12" t="s">
        <v>457</v>
      </c>
      <c r="G69" s="12" t="s">
        <v>379</v>
      </c>
      <c r="H69" s="12">
        <v>3</v>
      </c>
      <c r="I69" s="12">
        <v>0</v>
      </c>
      <c r="J69" s="12" t="s">
        <v>288</v>
      </c>
      <c r="K69" s="12" t="s">
        <v>281</v>
      </c>
      <c r="L69" s="12" t="s">
        <v>206</v>
      </c>
      <c r="M69" s="12" t="s">
        <v>336</v>
      </c>
      <c r="N69" s="12" t="s">
        <v>282</v>
      </c>
      <c r="O69" s="12" t="s">
        <v>269</v>
      </c>
      <c r="P69" s="12" t="s">
        <v>80</v>
      </c>
      <c r="Q69" s="12" t="s">
        <v>270</v>
      </c>
      <c r="R69" s="12">
        <v>2018</v>
      </c>
      <c r="S69" s="12" t="s">
        <v>337</v>
      </c>
    </row>
    <row r="70" spans="1:19" x14ac:dyDescent="0.25">
      <c r="A70" s="12">
        <v>218017033</v>
      </c>
      <c r="B70" s="12" t="s">
        <v>460</v>
      </c>
      <c r="C70" s="12" t="s">
        <v>261</v>
      </c>
      <c r="D70" s="12" t="s">
        <v>461</v>
      </c>
      <c r="E70" s="12">
        <v>391.74</v>
      </c>
      <c r="F70" s="12" t="s">
        <v>457</v>
      </c>
      <c r="G70" s="12" t="s">
        <v>310</v>
      </c>
      <c r="H70" s="12">
        <v>1</v>
      </c>
      <c r="I70" s="12">
        <v>0</v>
      </c>
      <c r="J70" s="12" t="s">
        <v>264</v>
      </c>
      <c r="K70" s="12" t="s">
        <v>265</v>
      </c>
      <c r="L70" s="12" t="s">
        <v>206</v>
      </c>
      <c r="M70" s="12" t="s">
        <v>359</v>
      </c>
      <c r="N70" s="12" t="s">
        <v>308</v>
      </c>
      <c r="O70" s="12" t="s">
        <v>269</v>
      </c>
      <c r="P70" s="12" t="s">
        <v>80</v>
      </c>
      <c r="Q70" s="12" t="s">
        <v>270</v>
      </c>
      <c r="R70" s="12">
        <v>2018</v>
      </c>
      <c r="S70" s="12" t="s">
        <v>337</v>
      </c>
    </row>
    <row r="71" spans="1:19" x14ac:dyDescent="0.25">
      <c r="A71" s="12">
        <v>217027912</v>
      </c>
      <c r="B71" s="12" t="s">
        <v>402</v>
      </c>
      <c r="C71" s="12" t="s">
        <v>284</v>
      </c>
      <c r="D71" s="12" t="s">
        <v>462</v>
      </c>
      <c r="E71" s="12">
        <v>391.82</v>
      </c>
      <c r="F71" s="12" t="s">
        <v>457</v>
      </c>
      <c r="G71" s="12" t="s">
        <v>27</v>
      </c>
      <c r="H71" s="12">
        <v>0</v>
      </c>
      <c r="I71" s="12">
        <v>0</v>
      </c>
      <c r="J71" s="12" t="s">
        <v>264</v>
      </c>
      <c r="K71" s="12" t="s">
        <v>281</v>
      </c>
      <c r="L71" s="12" t="s">
        <v>206</v>
      </c>
      <c r="M71" s="12" t="s">
        <v>389</v>
      </c>
      <c r="N71" s="12" t="s">
        <v>268</v>
      </c>
      <c r="O71" s="12" t="s">
        <v>269</v>
      </c>
      <c r="P71" s="12" t="s">
        <v>80</v>
      </c>
      <c r="Q71" s="12" t="s">
        <v>270</v>
      </c>
      <c r="R71" s="12">
        <v>2017</v>
      </c>
      <c r="S71" s="12" t="s">
        <v>337</v>
      </c>
    </row>
    <row r="72" spans="1:19" x14ac:dyDescent="0.25">
      <c r="A72" s="12">
        <v>218031205</v>
      </c>
      <c r="B72" s="12" t="s">
        <v>463</v>
      </c>
      <c r="C72" s="12" t="s">
        <v>278</v>
      </c>
      <c r="D72" s="12" t="s">
        <v>464</v>
      </c>
      <c r="E72" s="12">
        <v>391.98</v>
      </c>
      <c r="F72" s="12" t="s">
        <v>457</v>
      </c>
      <c r="G72" s="12" t="s">
        <v>27</v>
      </c>
      <c r="H72" s="12">
        <v>0</v>
      </c>
      <c r="I72" s="12">
        <v>0</v>
      </c>
      <c r="J72" s="12" t="s">
        <v>264</v>
      </c>
      <c r="K72" s="12" t="s">
        <v>281</v>
      </c>
      <c r="L72" s="12" t="s">
        <v>289</v>
      </c>
      <c r="M72" s="12" t="s">
        <v>267</v>
      </c>
      <c r="N72" s="12" t="s">
        <v>268</v>
      </c>
      <c r="O72" s="12" t="s">
        <v>269</v>
      </c>
      <c r="P72" s="12" t="s">
        <v>80</v>
      </c>
      <c r="Q72" s="12" t="s">
        <v>270</v>
      </c>
      <c r="R72" s="12">
        <v>2018</v>
      </c>
      <c r="S72" s="12" t="s">
        <v>337</v>
      </c>
    </row>
    <row r="73" spans="1:19" x14ac:dyDescent="0.25">
      <c r="A73" s="12">
        <v>218042724</v>
      </c>
      <c r="B73" s="12" t="s">
        <v>465</v>
      </c>
      <c r="C73" s="12" t="s">
        <v>273</v>
      </c>
      <c r="D73" s="12" t="s">
        <v>466</v>
      </c>
      <c r="E73" s="12">
        <v>392</v>
      </c>
      <c r="F73" s="12" t="s">
        <v>457</v>
      </c>
      <c r="G73" s="12" t="s">
        <v>27</v>
      </c>
      <c r="H73" s="12">
        <v>0</v>
      </c>
      <c r="I73" s="12">
        <v>0</v>
      </c>
      <c r="J73" s="12" t="s">
        <v>299</v>
      </c>
      <c r="K73" s="12" t="s">
        <v>265</v>
      </c>
      <c r="L73" s="12" t="s">
        <v>206</v>
      </c>
      <c r="M73" s="12" t="s">
        <v>276</v>
      </c>
      <c r="N73" s="12" t="s">
        <v>300</v>
      </c>
      <c r="O73" s="12" t="s">
        <v>269</v>
      </c>
      <c r="P73" s="12" t="s">
        <v>80</v>
      </c>
      <c r="Q73" s="12" t="s">
        <v>270</v>
      </c>
      <c r="R73" s="12">
        <v>2018</v>
      </c>
      <c r="S73" s="12" t="s">
        <v>337</v>
      </c>
    </row>
    <row r="74" spans="1:19" x14ac:dyDescent="0.25">
      <c r="A74" s="12">
        <v>218029632</v>
      </c>
      <c r="B74" s="12" t="s">
        <v>468</v>
      </c>
      <c r="C74" s="12" t="s">
        <v>273</v>
      </c>
      <c r="D74" s="12" t="s">
        <v>469</v>
      </c>
      <c r="E74" s="12">
        <v>392.13</v>
      </c>
      <c r="F74" s="12" t="s">
        <v>467</v>
      </c>
      <c r="G74" s="12" t="s">
        <v>470</v>
      </c>
      <c r="H74" s="12">
        <v>2</v>
      </c>
      <c r="I74" s="12">
        <v>1</v>
      </c>
      <c r="J74" s="12" t="s">
        <v>264</v>
      </c>
      <c r="K74" s="12" t="s">
        <v>306</v>
      </c>
      <c r="L74" s="12" t="s">
        <v>206</v>
      </c>
      <c r="M74" s="12" t="s">
        <v>359</v>
      </c>
      <c r="N74" s="12" t="s">
        <v>268</v>
      </c>
      <c r="O74" s="12" t="s">
        <v>269</v>
      </c>
      <c r="P74" s="12" t="s">
        <v>80</v>
      </c>
      <c r="Q74" s="12" t="s">
        <v>270</v>
      </c>
      <c r="R74" s="12">
        <v>2018</v>
      </c>
      <c r="S74" s="12" t="s">
        <v>337</v>
      </c>
    </row>
    <row r="75" spans="1:19" x14ac:dyDescent="0.25">
      <c r="A75" s="12">
        <v>219017446</v>
      </c>
      <c r="B75" s="12" t="s">
        <v>472</v>
      </c>
      <c r="C75" s="12" t="s">
        <v>314</v>
      </c>
      <c r="D75" s="12" t="s">
        <v>473</v>
      </c>
      <c r="E75" s="12">
        <v>392.17</v>
      </c>
      <c r="F75" s="12" t="s">
        <v>471</v>
      </c>
      <c r="G75" s="12" t="s">
        <v>27</v>
      </c>
      <c r="H75" s="12">
        <v>0</v>
      </c>
      <c r="I75" s="12">
        <v>0</v>
      </c>
      <c r="J75" s="12" t="s">
        <v>288</v>
      </c>
      <c r="K75" s="12" t="s">
        <v>330</v>
      </c>
      <c r="L75" s="12" t="s">
        <v>206</v>
      </c>
      <c r="M75" s="12" t="s">
        <v>276</v>
      </c>
      <c r="N75" s="12" t="s">
        <v>268</v>
      </c>
      <c r="O75" s="12" t="s">
        <v>269</v>
      </c>
      <c r="P75" s="12" t="s">
        <v>80</v>
      </c>
      <c r="Q75" s="12" t="s">
        <v>270</v>
      </c>
      <c r="R75" s="12">
        <v>2019</v>
      </c>
      <c r="S75" s="12" t="s">
        <v>337</v>
      </c>
    </row>
    <row r="76" spans="1:19" x14ac:dyDescent="0.25">
      <c r="A76" s="12">
        <v>217003761</v>
      </c>
      <c r="B76" s="12" t="s">
        <v>474</v>
      </c>
      <c r="C76" s="12" t="s">
        <v>314</v>
      </c>
      <c r="D76" s="12" t="s">
        <v>475</v>
      </c>
      <c r="E76" s="12">
        <v>392.19</v>
      </c>
      <c r="F76" s="12" t="s">
        <v>471</v>
      </c>
      <c r="G76" s="12" t="s">
        <v>379</v>
      </c>
      <c r="H76" s="12">
        <v>2</v>
      </c>
      <c r="I76" s="12">
        <v>0</v>
      </c>
      <c r="J76" s="12" t="s">
        <v>264</v>
      </c>
      <c r="K76" s="12" t="s">
        <v>265</v>
      </c>
      <c r="L76" s="12" t="s">
        <v>331</v>
      </c>
      <c r="M76" s="12" t="s">
        <v>267</v>
      </c>
      <c r="N76" s="12" t="s">
        <v>308</v>
      </c>
      <c r="O76" s="12" t="s">
        <v>269</v>
      </c>
      <c r="P76" s="12" t="s">
        <v>80</v>
      </c>
      <c r="Q76" s="12" t="s">
        <v>270</v>
      </c>
      <c r="R76" s="12">
        <v>2017</v>
      </c>
      <c r="S76" s="12" t="s">
        <v>337</v>
      </c>
    </row>
    <row r="77" spans="1:19" x14ac:dyDescent="0.25">
      <c r="A77" s="12">
        <v>219012422</v>
      </c>
      <c r="B77" s="12" t="s">
        <v>476</v>
      </c>
      <c r="C77" s="12" t="s">
        <v>278</v>
      </c>
      <c r="D77" s="12" t="s">
        <v>477</v>
      </c>
      <c r="E77" s="12">
        <v>392.2</v>
      </c>
      <c r="F77" s="12" t="s">
        <v>471</v>
      </c>
      <c r="G77" s="12" t="s">
        <v>320</v>
      </c>
      <c r="H77" s="12">
        <v>1</v>
      </c>
      <c r="I77" s="12">
        <v>0</v>
      </c>
      <c r="J77" s="12" t="s">
        <v>305</v>
      </c>
      <c r="K77" s="12" t="s">
        <v>265</v>
      </c>
      <c r="L77" s="12" t="s">
        <v>206</v>
      </c>
      <c r="M77" s="12" t="s">
        <v>336</v>
      </c>
      <c r="N77" s="12" t="s">
        <v>282</v>
      </c>
      <c r="O77" s="12" t="s">
        <v>269</v>
      </c>
      <c r="P77" s="12" t="s">
        <v>80</v>
      </c>
      <c r="Q77" s="12" t="s">
        <v>270</v>
      </c>
      <c r="R77" s="12">
        <v>2019</v>
      </c>
      <c r="S77" s="12" t="s">
        <v>337</v>
      </c>
    </row>
    <row r="78" spans="1:19" x14ac:dyDescent="0.25">
      <c r="A78" s="12">
        <v>218038052</v>
      </c>
      <c r="B78" s="12" t="s">
        <v>478</v>
      </c>
      <c r="C78" s="12" t="s">
        <v>278</v>
      </c>
      <c r="D78" s="12" t="s">
        <v>437</v>
      </c>
      <c r="E78" s="12">
        <v>392.38</v>
      </c>
      <c r="F78" s="12" t="s">
        <v>471</v>
      </c>
      <c r="G78" s="12" t="s">
        <v>27</v>
      </c>
      <c r="H78" s="12">
        <v>0</v>
      </c>
      <c r="I78" s="12">
        <v>0</v>
      </c>
      <c r="J78" s="12" t="s">
        <v>288</v>
      </c>
      <c r="K78" s="12" t="s">
        <v>281</v>
      </c>
      <c r="L78" s="12" t="s">
        <v>206</v>
      </c>
      <c r="M78" s="12" t="s">
        <v>344</v>
      </c>
      <c r="N78" s="12" t="s">
        <v>268</v>
      </c>
      <c r="O78" s="12" t="s">
        <v>269</v>
      </c>
      <c r="P78" s="12" t="s">
        <v>80</v>
      </c>
      <c r="Q78" s="12" t="s">
        <v>270</v>
      </c>
      <c r="R78" s="12">
        <v>2018</v>
      </c>
      <c r="S78" s="12" t="s">
        <v>337</v>
      </c>
    </row>
    <row r="79" spans="1:19" x14ac:dyDescent="0.25">
      <c r="A79" s="12">
        <v>219022809</v>
      </c>
      <c r="B79" s="12" t="s">
        <v>479</v>
      </c>
      <c r="C79" s="12" t="s">
        <v>292</v>
      </c>
      <c r="D79" s="12" t="s">
        <v>480</v>
      </c>
      <c r="E79" s="12">
        <v>392.39</v>
      </c>
      <c r="F79" s="12" t="s">
        <v>471</v>
      </c>
      <c r="G79" s="12" t="s">
        <v>27</v>
      </c>
      <c r="H79" s="12">
        <v>0</v>
      </c>
      <c r="I79" s="12">
        <v>0</v>
      </c>
      <c r="J79" s="12" t="s">
        <v>288</v>
      </c>
      <c r="K79" s="12" t="s">
        <v>265</v>
      </c>
      <c r="L79" s="12" t="s">
        <v>206</v>
      </c>
      <c r="M79" s="12" t="s">
        <v>276</v>
      </c>
      <c r="N79" s="12" t="s">
        <v>300</v>
      </c>
      <c r="O79" s="12" t="s">
        <v>269</v>
      </c>
      <c r="P79" s="12" t="s">
        <v>80</v>
      </c>
      <c r="Q79" s="12" t="s">
        <v>270</v>
      </c>
      <c r="R79" s="12">
        <v>2019</v>
      </c>
      <c r="S79" s="12" t="s">
        <v>337</v>
      </c>
    </row>
    <row r="80" spans="1:19" x14ac:dyDescent="0.25">
      <c r="A80" s="12">
        <v>219035322</v>
      </c>
      <c r="B80" s="12" t="s">
        <v>481</v>
      </c>
      <c r="C80" s="12" t="s">
        <v>273</v>
      </c>
      <c r="D80" s="12" t="s">
        <v>482</v>
      </c>
      <c r="E80" s="12">
        <v>392.61</v>
      </c>
      <c r="F80" s="12" t="s">
        <v>471</v>
      </c>
      <c r="G80" s="12" t="s">
        <v>320</v>
      </c>
      <c r="H80" s="12">
        <v>1</v>
      </c>
      <c r="I80" s="12">
        <v>0</v>
      </c>
      <c r="J80" s="12" t="s">
        <v>264</v>
      </c>
      <c r="K80" s="12" t="s">
        <v>281</v>
      </c>
      <c r="L80" s="12" t="s">
        <v>266</v>
      </c>
      <c r="M80" s="12" t="s">
        <v>267</v>
      </c>
      <c r="N80" s="12" t="s">
        <v>268</v>
      </c>
      <c r="O80" s="12" t="s">
        <v>269</v>
      </c>
      <c r="P80" s="12" t="s">
        <v>80</v>
      </c>
      <c r="Q80" s="12" t="s">
        <v>270</v>
      </c>
      <c r="R80" s="12">
        <v>2019</v>
      </c>
      <c r="S80" s="12" t="s">
        <v>337</v>
      </c>
    </row>
    <row r="81" spans="1:19" x14ac:dyDescent="0.25">
      <c r="A81" s="12">
        <v>219055919</v>
      </c>
      <c r="B81" s="12" t="s">
        <v>483</v>
      </c>
      <c r="C81" s="12" t="s">
        <v>261</v>
      </c>
      <c r="D81" s="12" t="s">
        <v>484</v>
      </c>
      <c r="E81" s="12">
        <v>392.62</v>
      </c>
      <c r="F81" s="12" t="s">
        <v>471</v>
      </c>
      <c r="G81" s="12" t="s">
        <v>27</v>
      </c>
      <c r="H81" s="12">
        <v>0</v>
      </c>
      <c r="I81" s="12">
        <v>0</v>
      </c>
      <c r="J81" s="12" t="s">
        <v>280</v>
      </c>
      <c r="K81" s="12" t="s">
        <v>265</v>
      </c>
      <c r="L81" s="12" t="s">
        <v>289</v>
      </c>
      <c r="M81" s="12" t="s">
        <v>267</v>
      </c>
      <c r="N81" s="12" t="s">
        <v>308</v>
      </c>
      <c r="O81" s="12" t="s">
        <v>269</v>
      </c>
      <c r="P81" s="12" t="s">
        <v>80</v>
      </c>
      <c r="Q81" s="12" t="s">
        <v>270</v>
      </c>
      <c r="R81" s="12">
        <v>2019</v>
      </c>
      <c r="S81" s="12" t="s">
        <v>337</v>
      </c>
    </row>
    <row r="82" spans="1:19" x14ac:dyDescent="0.25">
      <c r="A82" s="12">
        <v>218050658</v>
      </c>
      <c r="B82" s="12" t="s">
        <v>404</v>
      </c>
      <c r="C82" s="12" t="s">
        <v>284</v>
      </c>
      <c r="D82" s="12" t="s">
        <v>486</v>
      </c>
      <c r="E82" s="12">
        <v>392.88</v>
      </c>
      <c r="F82" s="12" t="s">
        <v>485</v>
      </c>
      <c r="G82" s="12" t="s">
        <v>27</v>
      </c>
      <c r="H82" s="12">
        <v>0</v>
      </c>
      <c r="I82" s="12">
        <v>0</v>
      </c>
      <c r="J82" s="12" t="s">
        <v>358</v>
      </c>
      <c r="K82" s="12" t="s">
        <v>281</v>
      </c>
      <c r="L82" s="12" t="s">
        <v>206</v>
      </c>
      <c r="M82" s="12" t="s">
        <v>359</v>
      </c>
      <c r="N82" s="12" t="s">
        <v>308</v>
      </c>
      <c r="O82" s="12" t="s">
        <v>269</v>
      </c>
      <c r="P82" s="12" t="s">
        <v>80</v>
      </c>
      <c r="Q82" s="12" t="s">
        <v>270</v>
      </c>
      <c r="R82" s="12">
        <v>2018</v>
      </c>
      <c r="S82" s="12" t="s">
        <v>337</v>
      </c>
    </row>
    <row r="83" spans="1:19" x14ac:dyDescent="0.25">
      <c r="A83" s="12">
        <v>219021535</v>
      </c>
      <c r="B83" s="12" t="s">
        <v>487</v>
      </c>
      <c r="C83" s="12" t="s">
        <v>284</v>
      </c>
      <c r="D83" s="12" t="s">
        <v>466</v>
      </c>
      <c r="E83" s="12">
        <v>392.94</v>
      </c>
      <c r="F83" s="12" t="s">
        <v>488</v>
      </c>
      <c r="G83" s="12" t="s">
        <v>27</v>
      </c>
      <c r="H83" s="12">
        <v>0</v>
      </c>
      <c r="I83" s="12">
        <v>0</v>
      </c>
      <c r="J83" s="12" t="s">
        <v>264</v>
      </c>
      <c r="K83" s="12" t="s">
        <v>265</v>
      </c>
      <c r="L83" s="12" t="s">
        <v>206</v>
      </c>
      <c r="M83" s="12" t="s">
        <v>276</v>
      </c>
      <c r="N83" s="12" t="s">
        <v>268</v>
      </c>
      <c r="O83" s="12" t="s">
        <v>269</v>
      </c>
      <c r="P83" s="12" t="s">
        <v>80</v>
      </c>
      <c r="Q83" s="12" t="s">
        <v>270</v>
      </c>
      <c r="R83" s="12">
        <v>2019</v>
      </c>
      <c r="S83" s="12" t="s">
        <v>337</v>
      </c>
    </row>
    <row r="84" spans="1:19" x14ac:dyDescent="0.25">
      <c r="A84" s="12">
        <v>218046591</v>
      </c>
      <c r="B84" s="12" t="s">
        <v>398</v>
      </c>
      <c r="C84" s="12" t="s">
        <v>261</v>
      </c>
      <c r="D84" s="12" t="s">
        <v>489</v>
      </c>
      <c r="E84" s="12">
        <v>392.94</v>
      </c>
      <c r="F84" s="12" t="s">
        <v>490</v>
      </c>
      <c r="G84" s="12" t="s">
        <v>320</v>
      </c>
      <c r="H84" s="12">
        <v>2</v>
      </c>
      <c r="I84" s="12">
        <v>0</v>
      </c>
      <c r="J84" s="12" t="s">
        <v>264</v>
      </c>
      <c r="K84" s="12" t="s">
        <v>281</v>
      </c>
      <c r="L84" s="12" t="s">
        <v>266</v>
      </c>
      <c r="M84" s="12" t="s">
        <v>267</v>
      </c>
      <c r="N84" s="12" t="s">
        <v>268</v>
      </c>
      <c r="O84" s="12" t="s">
        <v>269</v>
      </c>
      <c r="P84" s="12" t="s">
        <v>80</v>
      </c>
      <c r="Q84" s="12" t="s">
        <v>270</v>
      </c>
      <c r="R84" s="12">
        <v>2018</v>
      </c>
      <c r="S84" s="12" t="s">
        <v>337</v>
      </c>
    </row>
    <row r="85" spans="1:19" x14ac:dyDescent="0.25">
      <c r="A85" s="12">
        <v>218050710</v>
      </c>
      <c r="B85" s="12" t="s">
        <v>492</v>
      </c>
      <c r="C85" s="12" t="s">
        <v>302</v>
      </c>
      <c r="D85" s="12" t="s">
        <v>493</v>
      </c>
      <c r="E85" s="12">
        <v>392.96</v>
      </c>
      <c r="F85" s="12" t="s">
        <v>485</v>
      </c>
      <c r="G85" s="12" t="s">
        <v>320</v>
      </c>
      <c r="H85" s="12">
        <v>1</v>
      </c>
      <c r="I85" s="12">
        <v>0</v>
      </c>
      <c r="J85" s="12" t="s">
        <v>264</v>
      </c>
      <c r="K85" s="12" t="s">
        <v>281</v>
      </c>
      <c r="L85" s="12" t="s">
        <v>289</v>
      </c>
      <c r="M85" s="12" t="s">
        <v>267</v>
      </c>
      <c r="N85" s="12" t="s">
        <v>268</v>
      </c>
      <c r="O85" s="12" t="s">
        <v>269</v>
      </c>
      <c r="P85" s="12" t="s">
        <v>80</v>
      </c>
      <c r="Q85" s="12" t="s">
        <v>270</v>
      </c>
      <c r="R85" s="12">
        <v>2018</v>
      </c>
      <c r="S85" s="12" t="s">
        <v>337</v>
      </c>
    </row>
    <row r="86" spans="1:19" x14ac:dyDescent="0.25">
      <c r="A86" s="12">
        <v>218050052</v>
      </c>
      <c r="B86" s="12" t="s">
        <v>404</v>
      </c>
      <c r="C86" s="12" t="s">
        <v>284</v>
      </c>
      <c r="D86" s="12" t="s">
        <v>486</v>
      </c>
      <c r="E86" s="12">
        <v>392.97</v>
      </c>
      <c r="F86" s="12" t="s">
        <v>485</v>
      </c>
      <c r="G86" s="12" t="s">
        <v>310</v>
      </c>
      <c r="H86" s="12">
        <v>1</v>
      </c>
      <c r="I86" s="12">
        <v>0</v>
      </c>
      <c r="J86" s="12" t="s">
        <v>280</v>
      </c>
      <c r="K86" s="12" t="s">
        <v>281</v>
      </c>
      <c r="L86" s="12" t="s">
        <v>206</v>
      </c>
      <c r="M86" s="12" t="s">
        <v>336</v>
      </c>
      <c r="N86" s="12" t="s">
        <v>308</v>
      </c>
      <c r="O86" s="12" t="s">
        <v>269</v>
      </c>
      <c r="P86" s="12" t="s">
        <v>80</v>
      </c>
      <c r="Q86" s="12" t="s">
        <v>270</v>
      </c>
      <c r="R86" s="12">
        <v>2018</v>
      </c>
      <c r="S86" s="12" t="s">
        <v>337</v>
      </c>
    </row>
    <row r="87" spans="1:19" x14ac:dyDescent="0.25">
      <c r="A87" s="12">
        <v>219028363</v>
      </c>
      <c r="B87" s="12" t="s">
        <v>494</v>
      </c>
      <c r="C87" s="12" t="s">
        <v>278</v>
      </c>
      <c r="D87" s="12" t="s">
        <v>495</v>
      </c>
      <c r="E87" s="12">
        <v>393.02</v>
      </c>
      <c r="F87" s="12" t="s">
        <v>485</v>
      </c>
      <c r="G87" s="12" t="s">
        <v>27</v>
      </c>
      <c r="H87" s="12">
        <v>0</v>
      </c>
      <c r="I87" s="12">
        <v>0</v>
      </c>
      <c r="J87" s="12" t="s">
        <v>264</v>
      </c>
      <c r="K87" s="12" t="s">
        <v>281</v>
      </c>
      <c r="L87" s="12" t="s">
        <v>206</v>
      </c>
      <c r="M87" s="12" t="s">
        <v>496</v>
      </c>
      <c r="N87" s="12" t="s">
        <v>268</v>
      </c>
      <c r="O87" s="12" t="s">
        <v>269</v>
      </c>
      <c r="P87" s="12" t="s">
        <v>80</v>
      </c>
      <c r="Q87" s="12" t="s">
        <v>270</v>
      </c>
      <c r="R87" s="12">
        <v>2019</v>
      </c>
      <c r="S87" s="12" t="s">
        <v>337</v>
      </c>
    </row>
    <row r="88" spans="1:19" x14ac:dyDescent="0.25">
      <c r="A88" s="12">
        <v>218007740</v>
      </c>
      <c r="B88" s="12" t="s">
        <v>497</v>
      </c>
      <c r="C88" s="12" t="s">
        <v>302</v>
      </c>
      <c r="D88" s="12" t="s">
        <v>498</v>
      </c>
      <c r="E88" s="12">
        <v>393.08</v>
      </c>
      <c r="F88" s="12" t="s">
        <v>485</v>
      </c>
      <c r="G88" s="12" t="s">
        <v>27</v>
      </c>
      <c r="H88" s="12">
        <v>0</v>
      </c>
      <c r="I88" s="12">
        <v>0</v>
      </c>
      <c r="J88" s="12" t="s">
        <v>280</v>
      </c>
      <c r="K88" s="12" t="s">
        <v>281</v>
      </c>
      <c r="L88" s="12" t="s">
        <v>206</v>
      </c>
      <c r="M88" s="12" t="s">
        <v>407</v>
      </c>
      <c r="N88" s="12" t="s">
        <v>282</v>
      </c>
      <c r="O88" s="12" t="s">
        <v>269</v>
      </c>
      <c r="P88" s="12" t="s">
        <v>80</v>
      </c>
      <c r="Q88" s="12" t="s">
        <v>270</v>
      </c>
      <c r="R88" s="12">
        <v>2018</v>
      </c>
      <c r="S88" s="12" t="s">
        <v>337</v>
      </c>
    </row>
    <row r="89" spans="1:19" x14ac:dyDescent="0.25">
      <c r="A89" s="12">
        <v>218009388</v>
      </c>
      <c r="B89" s="12" t="s">
        <v>499</v>
      </c>
      <c r="C89" s="12" t="s">
        <v>284</v>
      </c>
      <c r="D89" s="12" t="s">
        <v>357</v>
      </c>
      <c r="E89" s="12">
        <v>393.12</v>
      </c>
      <c r="F89" s="12" t="s">
        <v>500</v>
      </c>
      <c r="G89" s="12" t="s">
        <v>310</v>
      </c>
      <c r="H89" s="12">
        <v>1</v>
      </c>
      <c r="I89" s="12">
        <v>0</v>
      </c>
      <c r="J89" s="12" t="s">
        <v>358</v>
      </c>
      <c r="K89" s="12" t="s">
        <v>265</v>
      </c>
      <c r="L89" s="12" t="s">
        <v>206</v>
      </c>
      <c r="M89" s="12" t="s">
        <v>336</v>
      </c>
      <c r="N89" s="12" t="s">
        <v>308</v>
      </c>
      <c r="O89" s="12" t="s">
        <v>269</v>
      </c>
      <c r="P89" s="12" t="s">
        <v>80</v>
      </c>
      <c r="Q89" s="12" t="s">
        <v>270</v>
      </c>
      <c r="R89" s="12">
        <v>2018</v>
      </c>
      <c r="S89" s="12" t="s">
        <v>337</v>
      </c>
    </row>
    <row r="90" spans="1:19" x14ac:dyDescent="0.25">
      <c r="A90" s="12">
        <v>219053854</v>
      </c>
      <c r="B90" s="12" t="s">
        <v>501</v>
      </c>
      <c r="C90" s="12" t="s">
        <v>261</v>
      </c>
      <c r="D90" s="12" t="s">
        <v>502</v>
      </c>
      <c r="E90" s="12">
        <v>393.15</v>
      </c>
      <c r="F90" s="12" t="s">
        <v>491</v>
      </c>
      <c r="G90" s="12" t="s">
        <v>27</v>
      </c>
      <c r="H90" s="12">
        <v>0</v>
      </c>
      <c r="I90" s="12">
        <v>0</v>
      </c>
      <c r="J90" s="12" t="s">
        <v>305</v>
      </c>
      <c r="K90" s="12" t="s">
        <v>281</v>
      </c>
      <c r="L90" s="12" t="s">
        <v>289</v>
      </c>
      <c r="M90" s="12" t="s">
        <v>267</v>
      </c>
      <c r="N90" s="12" t="s">
        <v>282</v>
      </c>
      <c r="O90" s="12" t="s">
        <v>269</v>
      </c>
      <c r="P90" s="12" t="s">
        <v>80</v>
      </c>
      <c r="Q90" s="12" t="s">
        <v>270</v>
      </c>
      <c r="R90" s="12">
        <v>2019</v>
      </c>
      <c r="S90" s="12" t="s">
        <v>337</v>
      </c>
    </row>
    <row r="91" spans="1:19" x14ac:dyDescent="0.25">
      <c r="A91" s="12">
        <v>218038593</v>
      </c>
      <c r="B91" s="12" t="s">
        <v>503</v>
      </c>
      <c r="C91" s="12" t="s">
        <v>302</v>
      </c>
      <c r="D91" s="12" t="s">
        <v>504</v>
      </c>
      <c r="E91" s="12">
        <v>393.28</v>
      </c>
      <c r="F91" s="12" t="s">
        <v>505</v>
      </c>
      <c r="G91" s="12" t="s">
        <v>27</v>
      </c>
      <c r="H91" s="12">
        <v>0</v>
      </c>
      <c r="I91" s="12">
        <v>0</v>
      </c>
      <c r="J91" s="12" t="s">
        <v>288</v>
      </c>
      <c r="K91" s="12" t="s">
        <v>265</v>
      </c>
      <c r="L91" s="12" t="s">
        <v>289</v>
      </c>
      <c r="M91" s="12" t="s">
        <v>267</v>
      </c>
      <c r="N91" s="12" t="s">
        <v>268</v>
      </c>
      <c r="O91" s="12" t="s">
        <v>269</v>
      </c>
      <c r="P91" s="12" t="s">
        <v>80</v>
      </c>
      <c r="Q91" s="12" t="s">
        <v>270</v>
      </c>
      <c r="R91" s="12">
        <v>2018</v>
      </c>
      <c r="S91" s="12" t="s">
        <v>337</v>
      </c>
    </row>
    <row r="92" spans="1:19" x14ac:dyDescent="0.25">
      <c r="A92" s="12">
        <v>218029672</v>
      </c>
      <c r="B92" s="12" t="s">
        <v>507</v>
      </c>
      <c r="C92" s="12" t="s">
        <v>284</v>
      </c>
      <c r="D92" s="12" t="s">
        <v>508</v>
      </c>
      <c r="E92" s="12">
        <v>393.39</v>
      </c>
      <c r="F92" s="12" t="s">
        <v>491</v>
      </c>
      <c r="G92" s="12" t="s">
        <v>27</v>
      </c>
      <c r="H92" s="12">
        <v>0</v>
      </c>
      <c r="I92" s="12">
        <v>0</v>
      </c>
      <c r="J92" s="12" t="s">
        <v>264</v>
      </c>
      <c r="K92" s="12" t="s">
        <v>265</v>
      </c>
      <c r="L92" s="12" t="s">
        <v>206</v>
      </c>
      <c r="M92" s="12" t="s">
        <v>276</v>
      </c>
      <c r="N92" s="12" t="s">
        <v>268</v>
      </c>
      <c r="O92" s="12" t="s">
        <v>269</v>
      </c>
      <c r="P92" s="12" t="s">
        <v>80</v>
      </c>
      <c r="Q92" s="12" t="s">
        <v>270</v>
      </c>
      <c r="R92" s="12">
        <v>2018</v>
      </c>
      <c r="S92" s="12" t="s">
        <v>337</v>
      </c>
    </row>
    <row r="93" spans="1:19" x14ac:dyDescent="0.25">
      <c r="A93" s="12">
        <v>218032344</v>
      </c>
      <c r="B93" s="12" t="s">
        <v>509</v>
      </c>
      <c r="C93" s="12" t="s">
        <v>302</v>
      </c>
      <c r="D93" s="12" t="s">
        <v>510</v>
      </c>
      <c r="E93" s="12">
        <v>393.64</v>
      </c>
      <c r="F93" s="12" t="s">
        <v>491</v>
      </c>
      <c r="G93" s="12" t="s">
        <v>27</v>
      </c>
      <c r="H93" s="12">
        <v>0</v>
      </c>
      <c r="I93" s="12">
        <v>0</v>
      </c>
      <c r="J93" s="12" t="s">
        <v>288</v>
      </c>
      <c r="K93" s="12" t="s">
        <v>281</v>
      </c>
      <c r="L93" s="12" t="s">
        <v>206</v>
      </c>
      <c r="M93" s="12" t="s">
        <v>511</v>
      </c>
      <c r="N93" s="12" t="s">
        <v>268</v>
      </c>
      <c r="O93" s="12" t="s">
        <v>269</v>
      </c>
      <c r="P93" s="12" t="s">
        <v>80</v>
      </c>
      <c r="Q93" s="12" t="s">
        <v>270</v>
      </c>
      <c r="R93" s="12">
        <v>2018</v>
      </c>
      <c r="S93" s="12" t="s">
        <v>337</v>
      </c>
    </row>
    <row r="94" spans="1:19" x14ac:dyDescent="0.25">
      <c r="A94" s="12">
        <v>218050050</v>
      </c>
      <c r="B94" s="12" t="s">
        <v>512</v>
      </c>
      <c r="C94" s="12" t="s">
        <v>261</v>
      </c>
      <c r="D94" s="12" t="s">
        <v>513</v>
      </c>
      <c r="E94" s="12">
        <v>393.81</v>
      </c>
      <c r="F94" s="12" t="s">
        <v>491</v>
      </c>
      <c r="G94" s="12" t="s">
        <v>287</v>
      </c>
      <c r="H94" s="12">
        <v>0</v>
      </c>
      <c r="I94" s="12">
        <v>0</v>
      </c>
      <c r="J94" s="12" t="s">
        <v>305</v>
      </c>
      <c r="K94" s="12" t="s">
        <v>265</v>
      </c>
      <c r="L94" s="12" t="s">
        <v>206</v>
      </c>
      <c r="M94" s="12" t="s">
        <v>333</v>
      </c>
      <c r="N94" s="12" t="s">
        <v>444</v>
      </c>
      <c r="O94" s="12" t="s">
        <v>269</v>
      </c>
      <c r="P94" s="12" t="s">
        <v>80</v>
      </c>
      <c r="Q94" s="12" t="s">
        <v>270</v>
      </c>
      <c r="R94" s="12">
        <v>2018</v>
      </c>
      <c r="S94" s="12" t="s">
        <v>337</v>
      </c>
    </row>
    <row r="95" spans="1:19" x14ac:dyDescent="0.25">
      <c r="A95" s="12">
        <v>217029505</v>
      </c>
      <c r="B95" s="12" t="s">
        <v>514</v>
      </c>
      <c r="C95" s="12" t="s">
        <v>261</v>
      </c>
      <c r="D95" s="12" t="s">
        <v>454</v>
      </c>
      <c r="E95" s="12">
        <v>393.82</v>
      </c>
      <c r="F95" s="12" t="s">
        <v>491</v>
      </c>
      <c r="G95" s="12" t="s">
        <v>27</v>
      </c>
      <c r="H95" s="12">
        <v>0</v>
      </c>
      <c r="I95" s="12">
        <v>0</v>
      </c>
      <c r="J95" s="12" t="s">
        <v>264</v>
      </c>
      <c r="K95" s="12" t="s">
        <v>265</v>
      </c>
      <c r="L95" s="12" t="s">
        <v>206</v>
      </c>
      <c r="M95" s="12" t="s">
        <v>276</v>
      </c>
      <c r="N95" s="12" t="s">
        <v>268</v>
      </c>
      <c r="O95" s="12" t="s">
        <v>269</v>
      </c>
      <c r="P95" s="12" t="s">
        <v>80</v>
      </c>
      <c r="Q95" s="12" t="s">
        <v>270</v>
      </c>
      <c r="R95" s="12">
        <v>2017</v>
      </c>
      <c r="S95" s="12" t="s">
        <v>337</v>
      </c>
    </row>
    <row r="96" spans="1:19" x14ac:dyDescent="0.25">
      <c r="A96" s="12">
        <v>218046764</v>
      </c>
      <c r="B96" s="12" t="s">
        <v>515</v>
      </c>
      <c r="C96" s="12" t="s">
        <v>284</v>
      </c>
      <c r="D96" s="12" t="s">
        <v>516</v>
      </c>
      <c r="E96" s="12">
        <v>393.91</v>
      </c>
      <c r="F96" s="12" t="s">
        <v>485</v>
      </c>
      <c r="G96" s="12" t="s">
        <v>27</v>
      </c>
      <c r="H96" s="12">
        <v>0</v>
      </c>
      <c r="I96" s="12">
        <v>0</v>
      </c>
      <c r="J96" s="12" t="s">
        <v>264</v>
      </c>
      <c r="K96" s="12" t="s">
        <v>281</v>
      </c>
      <c r="L96" s="12" t="s">
        <v>289</v>
      </c>
      <c r="M96" s="12" t="s">
        <v>267</v>
      </c>
      <c r="N96" s="12" t="s">
        <v>268</v>
      </c>
      <c r="O96" s="12" t="s">
        <v>269</v>
      </c>
      <c r="P96" s="12" t="s">
        <v>80</v>
      </c>
      <c r="Q96" s="12" t="s">
        <v>270</v>
      </c>
      <c r="R96" s="12">
        <v>2018</v>
      </c>
      <c r="S96" s="12" t="s">
        <v>337</v>
      </c>
    </row>
    <row r="97" spans="1:19" x14ac:dyDescent="0.25">
      <c r="A97" s="12">
        <v>219039385</v>
      </c>
      <c r="B97" s="12" t="s">
        <v>517</v>
      </c>
      <c r="C97" s="12" t="s">
        <v>278</v>
      </c>
      <c r="D97" s="12" t="s">
        <v>518</v>
      </c>
      <c r="E97" s="12">
        <v>393.96</v>
      </c>
      <c r="F97" s="12" t="s">
        <v>491</v>
      </c>
      <c r="G97" s="12" t="s">
        <v>27</v>
      </c>
      <c r="H97" s="12">
        <v>0</v>
      </c>
      <c r="I97" s="12">
        <v>0</v>
      </c>
      <c r="J97" s="12" t="s">
        <v>264</v>
      </c>
      <c r="K97" s="12" t="s">
        <v>281</v>
      </c>
      <c r="L97" s="12" t="s">
        <v>266</v>
      </c>
      <c r="M97" s="12" t="s">
        <v>267</v>
      </c>
      <c r="N97" s="12" t="s">
        <v>268</v>
      </c>
      <c r="O97" s="12" t="s">
        <v>269</v>
      </c>
      <c r="P97" s="12" t="s">
        <v>80</v>
      </c>
      <c r="Q97" s="12" t="s">
        <v>270</v>
      </c>
      <c r="R97" s="12">
        <v>2019</v>
      </c>
      <c r="S97" s="12" t="s">
        <v>337</v>
      </c>
    </row>
    <row r="98" spans="1:19" x14ac:dyDescent="0.25">
      <c r="A98" s="12">
        <v>217046794</v>
      </c>
      <c r="B98" s="12" t="s">
        <v>519</v>
      </c>
      <c r="C98" s="12" t="s">
        <v>261</v>
      </c>
      <c r="D98" s="12" t="s">
        <v>520</v>
      </c>
      <c r="E98" s="12">
        <v>393.98</v>
      </c>
      <c r="F98" s="12" t="s">
        <v>491</v>
      </c>
      <c r="G98" s="12" t="s">
        <v>310</v>
      </c>
      <c r="H98" s="12">
        <v>1</v>
      </c>
      <c r="I98" s="12">
        <v>0</v>
      </c>
      <c r="J98" s="12" t="s">
        <v>299</v>
      </c>
      <c r="K98" s="12" t="s">
        <v>265</v>
      </c>
      <c r="L98" s="12" t="s">
        <v>206</v>
      </c>
      <c r="M98" s="12" t="s">
        <v>336</v>
      </c>
      <c r="N98" s="12" t="s">
        <v>300</v>
      </c>
      <c r="O98" s="12" t="s">
        <v>269</v>
      </c>
      <c r="P98" s="12" t="s">
        <v>80</v>
      </c>
      <c r="Q98" s="12" t="s">
        <v>270</v>
      </c>
      <c r="R98" s="12">
        <v>2017</v>
      </c>
      <c r="S98" s="12" t="s">
        <v>337</v>
      </c>
    </row>
    <row r="99" spans="1:19" x14ac:dyDescent="0.25">
      <c r="A99" s="12">
        <v>219037668</v>
      </c>
      <c r="B99" s="12" t="s">
        <v>521</v>
      </c>
      <c r="C99" s="12" t="s">
        <v>278</v>
      </c>
      <c r="D99" s="12" t="s">
        <v>522</v>
      </c>
      <c r="E99" s="12">
        <v>393.99</v>
      </c>
      <c r="F99" s="12" t="s">
        <v>491</v>
      </c>
      <c r="G99" s="12" t="s">
        <v>310</v>
      </c>
      <c r="H99" s="12">
        <v>2</v>
      </c>
      <c r="I99" s="12">
        <v>0</v>
      </c>
      <c r="J99" s="12" t="s">
        <v>264</v>
      </c>
      <c r="K99" s="12" t="s">
        <v>265</v>
      </c>
      <c r="L99" s="12" t="s">
        <v>206</v>
      </c>
      <c r="M99" s="12" t="s">
        <v>426</v>
      </c>
      <c r="N99" s="12" t="s">
        <v>268</v>
      </c>
      <c r="O99" s="12" t="s">
        <v>269</v>
      </c>
      <c r="P99" s="12" t="s">
        <v>80</v>
      </c>
      <c r="Q99" s="12" t="s">
        <v>270</v>
      </c>
      <c r="R99" s="12">
        <v>2019</v>
      </c>
      <c r="S99" s="12" t="s">
        <v>337</v>
      </c>
    </row>
    <row r="100" spans="1:19" x14ac:dyDescent="0.25">
      <c r="A100" s="12">
        <v>218020447</v>
      </c>
      <c r="B100" s="12" t="s">
        <v>523</v>
      </c>
      <c r="C100" s="12" t="s">
        <v>261</v>
      </c>
      <c r="D100" s="12" t="s">
        <v>524</v>
      </c>
      <c r="E100" s="12">
        <v>394</v>
      </c>
      <c r="F100" s="12" t="s">
        <v>491</v>
      </c>
      <c r="G100" s="12" t="s">
        <v>27</v>
      </c>
      <c r="H100" s="12">
        <v>0</v>
      </c>
      <c r="I100" s="12">
        <v>0</v>
      </c>
      <c r="J100" s="12" t="s">
        <v>264</v>
      </c>
      <c r="K100" s="12" t="s">
        <v>281</v>
      </c>
      <c r="L100" s="12" t="s">
        <v>206</v>
      </c>
      <c r="M100" s="12" t="s">
        <v>389</v>
      </c>
      <c r="N100" s="12" t="s">
        <v>268</v>
      </c>
      <c r="O100" s="12" t="s">
        <v>269</v>
      </c>
      <c r="P100" s="12" t="s">
        <v>80</v>
      </c>
      <c r="Q100" s="12" t="s">
        <v>270</v>
      </c>
      <c r="R100" s="12">
        <v>2018</v>
      </c>
      <c r="S100" s="12" t="s">
        <v>337</v>
      </c>
    </row>
    <row r="101" spans="1:19" x14ac:dyDescent="0.25">
      <c r="A101" s="12">
        <v>217027275</v>
      </c>
      <c r="B101" s="12" t="s">
        <v>402</v>
      </c>
      <c r="C101" s="12" t="s">
        <v>284</v>
      </c>
      <c r="D101" s="12" t="s">
        <v>525</v>
      </c>
      <c r="E101" s="12">
        <v>394</v>
      </c>
      <c r="F101" s="12" t="s">
        <v>491</v>
      </c>
      <c r="G101" s="12" t="s">
        <v>287</v>
      </c>
      <c r="H101" s="12">
        <v>0</v>
      </c>
      <c r="I101" s="12">
        <v>0</v>
      </c>
      <c r="J101" s="12" t="s">
        <v>264</v>
      </c>
      <c r="K101" s="12" t="s">
        <v>281</v>
      </c>
      <c r="L101" s="12" t="s">
        <v>289</v>
      </c>
      <c r="M101" s="12" t="s">
        <v>267</v>
      </c>
      <c r="N101" s="12" t="s">
        <v>268</v>
      </c>
      <c r="O101" s="12" t="s">
        <v>269</v>
      </c>
      <c r="P101" s="12" t="s">
        <v>80</v>
      </c>
      <c r="Q101" s="12" t="s">
        <v>270</v>
      </c>
      <c r="R101" s="12">
        <v>2017</v>
      </c>
      <c r="S101" s="12" t="s">
        <v>337</v>
      </c>
    </row>
    <row r="102" spans="1:19" x14ac:dyDescent="0.25">
      <c r="A102" s="12">
        <v>219027937</v>
      </c>
      <c r="B102" s="12" t="s">
        <v>526</v>
      </c>
      <c r="C102" s="12" t="s">
        <v>314</v>
      </c>
      <c r="D102" s="12" t="s">
        <v>527</v>
      </c>
      <c r="E102" s="12">
        <v>394</v>
      </c>
      <c r="F102" s="12" t="s">
        <v>491</v>
      </c>
      <c r="G102" s="12" t="s">
        <v>27</v>
      </c>
      <c r="H102" s="12">
        <v>0</v>
      </c>
      <c r="I102" s="12">
        <v>0</v>
      </c>
      <c r="J102" s="12" t="s">
        <v>264</v>
      </c>
      <c r="K102" s="12" t="s">
        <v>265</v>
      </c>
      <c r="L102" s="12" t="s">
        <v>206</v>
      </c>
      <c r="M102" s="12" t="s">
        <v>276</v>
      </c>
      <c r="N102" s="12" t="s">
        <v>268</v>
      </c>
      <c r="O102" s="12" t="s">
        <v>269</v>
      </c>
      <c r="P102" s="12" t="s">
        <v>80</v>
      </c>
      <c r="Q102" s="12" t="s">
        <v>270</v>
      </c>
      <c r="R102" s="12">
        <v>2019</v>
      </c>
      <c r="S102" s="12" t="s">
        <v>337</v>
      </c>
    </row>
    <row r="103" spans="1:19" x14ac:dyDescent="0.25">
      <c r="A103" s="12">
        <v>217049567</v>
      </c>
      <c r="B103" s="12" t="s">
        <v>528</v>
      </c>
      <c r="C103" s="12" t="s">
        <v>314</v>
      </c>
      <c r="D103" s="12" t="s">
        <v>529</v>
      </c>
      <c r="E103" s="12">
        <v>394.02</v>
      </c>
      <c r="F103" s="12" t="s">
        <v>491</v>
      </c>
      <c r="G103" s="12" t="s">
        <v>320</v>
      </c>
      <c r="H103" s="12">
        <v>1</v>
      </c>
      <c r="I103" s="12">
        <v>0</v>
      </c>
      <c r="J103" s="12" t="s">
        <v>264</v>
      </c>
      <c r="K103" s="12" t="s">
        <v>281</v>
      </c>
      <c r="L103" s="12" t="s">
        <v>266</v>
      </c>
      <c r="M103" s="12" t="s">
        <v>267</v>
      </c>
      <c r="N103" s="12" t="s">
        <v>268</v>
      </c>
      <c r="O103" s="12" t="s">
        <v>269</v>
      </c>
      <c r="P103" s="12" t="s">
        <v>80</v>
      </c>
      <c r="Q103" s="12" t="s">
        <v>270</v>
      </c>
      <c r="R103" s="12">
        <v>2017</v>
      </c>
      <c r="S103" s="12" t="s">
        <v>337</v>
      </c>
    </row>
    <row r="104" spans="1:19" x14ac:dyDescent="0.25">
      <c r="A104" s="12">
        <v>217015409</v>
      </c>
      <c r="B104" s="12" t="s">
        <v>530</v>
      </c>
      <c r="C104" s="12" t="s">
        <v>284</v>
      </c>
      <c r="D104" s="12" t="s">
        <v>531</v>
      </c>
      <c r="E104" s="12">
        <v>394.08</v>
      </c>
      <c r="F104" s="12" t="s">
        <v>532</v>
      </c>
      <c r="G104" s="12" t="s">
        <v>27</v>
      </c>
      <c r="H104" s="12">
        <v>0</v>
      </c>
      <c r="I104" s="12">
        <v>0</v>
      </c>
      <c r="J104" s="12" t="s">
        <v>264</v>
      </c>
      <c r="K104" s="12" t="s">
        <v>281</v>
      </c>
      <c r="L104" s="12" t="s">
        <v>289</v>
      </c>
      <c r="M104" s="12" t="s">
        <v>267</v>
      </c>
      <c r="N104" s="12" t="s">
        <v>268</v>
      </c>
      <c r="O104" s="12" t="s">
        <v>269</v>
      </c>
      <c r="P104" s="12" t="s">
        <v>80</v>
      </c>
      <c r="Q104" s="12" t="s">
        <v>270</v>
      </c>
      <c r="R104" s="12">
        <v>2017</v>
      </c>
      <c r="S104" s="12" t="s">
        <v>337</v>
      </c>
    </row>
    <row r="105" spans="1:19" x14ac:dyDescent="0.25">
      <c r="A105" s="12">
        <v>218030972</v>
      </c>
      <c r="B105" s="12" t="s">
        <v>533</v>
      </c>
      <c r="C105" s="12" t="s">
        <v>284</v>
      </c>
      <c r="D105" s="12" t="s">
        <v>534</v>
      </c>
      <c r="E105" s="12">
        <v>394.11</v>
      </c>
      <c r="F105" s="12" t="s">
        <v>535</v>
      </c>
      <c r="G105" s="12" t="s">
        <v>310</v>
      </c>
      <c r="H105" s="12">
        <v>1</v>
      </c>
      <c r="I105" s="12">
        <v>0</v>
      </c>
      <c r="J105" s="12" t="s">
        <v>288</v>
      </c>
      <c r="K105" s="12" t="s">
        <v>281</v>
      </c>
      <c r="L105" s="12" t="s">
        <v>289</v>
      </c>
      <c r="M105" s="12" t="s">
        <v>267</v>
      </c>
      <c r="N105" s="12" t="s">
        <v>268</v>
      </c>
      <c r="O105" s="12" t="s">
        <v>269</v>
      </c>
      <c r="P105" s="12" t="s">
        <v>80</v>
      </c>
      <c r="Q105" s="12" t="s">
        <v>270</v>
      </c>
      <c r="R105" s="12">
        <v>2018</v>
      </c>
      <c r="S105" s="12" t="s">
        <v>337</v>
      </c>
    </row>
    <row r="106" spans="1:19" x14ac:dyDescent="0.25">
      <c r="A106" s="12">
        <v>218043085</v>
      </c>
      <c r="B106" s="12" t="s">
        <v>537</v>
      </c>
      <c r="C106" s="12" t="s">
        <v>278</v>
      </c>
      <c r="D106" s="12" t="s">
        <v>538</v>
      </c>
      <c r="E106" s="12">
        <v>394.36</v>
      </c>
      <c r="F106" s="12" t="s">
        <v>491</v>
      </c>
      <c r="G106" s="12" t="s">
        <v>27</v>
      </c>
      <c r="H106" s="12">
        <v>0</v>
      </c>
      <c r="I106" s="12">
        <v>0</v>
      </c>
      <c r="J106" s="12" t="s">
        <v>264</v>
      </c>
      <c r="K106" s="12" t="s">
        <v>281</v>
      </c>
      <c r="L106" s="12" t="s">
        <v>289</v>
      </c>
      <c r="M106" s="12" t="s">
        <v>267</v>
      </c>
      <c r="N106" s="12" t="s">
        <v>268</v>
      </c>
      <c r="O106" s="12" t="s">
        <v>269</v>
      </c>
      <c r="P106" s="12" t="s">
        <v>80</v>
      </c>
      <c r="Q106" s="12" t="s">
        <v>270</v>
      </c>
      <c r="R106" s="12">
        <v>2018</v>
      </c>
      <c r="S106" s="12" t="s">
        <v>337</v>
      </c>
    </row>
    <row r="107" spans="1:19" x14ac:dyDescent="0.25">
      <c r="A107" s="12">
        <v>219023266</v>
      </c>
      <c r="B107" s="12" t="s">
        <v>539</v>
      </c>
      <c r="C107" s="12" t="s">
        <v>302</v>
      </c>
      <c r="D107" s="12" t="s">
        <v>540</v>
      </c>
      <c r="E107" s="12">
        <v>394.39</v>
      </c>
      <c r="F107" s="12" t="s">
        <v>535</v>
      </c>
      <c r="G107" s="12" t="s">
        <v>27</v>
      </c>
      <c r="H107" s="12">
        <v>0</v>
      </c>
      <c r="I107" s="12">
        <v>0</v>
      </c>
      <c r="J107" s="12" t="s">
        <v>288</v>
      </c>
      <c r="K107" s="12" t="s">
        <v>265</v>
      </c>
      <c r="L107" s="12" t="s">
        <v>206</v>
      </c>
      <c r="M107" s="12" t="s">
        <v>276</v>
      </c>
      <c r="N107" s="12" t="s">
        <v>300</v>
      </c>
      <c r="O107" s="12" t="s">
        <v>269</v>
      </c>
      <c r="P107" s="12" t="s">
        <v>80</v>
      </c>
      <c r="Q107" s="12" t="s">
        <v>270</v>
      </c>
      <c r="R107" s="12">
        <v>2019</v>
      </c>
      <c r="S107" s="12" t="s">
        <v>337</v>
      </c>
    </row>
    <row r="108" spans="1:19" x14ac:dyDescent="0.25">
      <c r="A108" s="12">
        <v>217012677</v>
      </c>
      <c r="B108" s="12" t="s">
        <v>541</v>
      </c>
      <c r="C108" s="12" t="s">
        <v>292</v>
      </c>
      <c r="D108" s="12" t="s">
        <v>542</v>
      </c>
      <c r="E108" s="12">
        <v>394.39</v>
      </c>
      <c r="F108" s="12" t="s">
        <v>543</v>
      </c>
      <c r="G108" s="12" t="s">
        <v>320</v>
      </c>
      <c r="H108" s="12">
        <v>1</v>
      </c>
      <c r="I108" s="12">
        <v>0</v>
      </c>
      <c r="J108" s="12" t="s">
        <v>288</v>
      </c>
      <c r="K108" s="12" t="s">
        <v>281</v>
      </c>
      <c r="L108" s="12" t="s">
        <v>266</v>
      </c>
      <c r="M108" s="12" t="s">
        <v>267</v>
      </c>
      <c r="N108" s="12" t="s">
        <v>268</v>
      </c>
      <c r="O108" s="12" t="s">
        <v>269</v>
      </c>
      <c r="P108" s="12" t="s">
        <v>80</v>
      </c>
      <c r="Q108" s="12" t="s">
        <v>270</v>
      </c>
      <c r="R108" s="12">
        <v>2017</v>
      </c>
      <c r="S108" s="12" t="s">
        <v>337</v>
      </c>
    </row>
    <row r="109" spans="1:19" x14ac:dyDescent="0.25">
      <c r="A109" s="12">
        <v>219039899</v>
      </c>
      <c r="B109" s="12" t="s">
        <v>544</v>
      </c>
      <c r="C109" s="12" t="s">
        <v>302</v>
      </c>
      <c r="D109" s="12" t="s">
        <v>545</v>
      </c>
      <c r="E109" s="12">
        <v>394.4</v>
      </c>
      <c r="F109" s="12" t="s">
        <v>535</v>
      </c>
      <c r="G109" s="12" t="s">
        <v>27</v>
      </c>
      <c r="H109" s="12">
        <v>0</v>
      </c>
      <c r="I109" s="12">
        <v>0</v>
      </c>
      <c r="J109" s="12" t="s">
        <v>264</v>
      </c>
      <c r="K109" s="12" t="s">
        <v>281</v>
      </c>
      <c r="L109" s="12" t="s">
        <v>206</v>
      </c>
      <c r="M109" s="12" t="s">
        <v>389</v>
      </c>
      <c r="N109" s="12" t="s">
        <v>268</v>
      </c>
      <c r="O109" s="12" t="s">
        <v>269</v>
      </c>
      <c r="P109" s="12" t="s">
        <v>80</v>
      </c>
      <c r="Q109" s="12" t="s">
        <v>270</v>
      </c>
      <c r="R109" s="12">
        <v>2019</v>
      </c>
      <c r="S109" s="12" t="s">
        <v>337</v>
      </c>
    </row>
    <row r="110" spans="1:19" x14ac:dyDescent="0.25">
      <c r="A110" s="12">
        <v>218022693</v>
      </c>
      <c r="B110" s="12" t="s">
        <v>546</v>
      </c>
      <c r="C110" s="12" t="s">
        <v>278</v>
      </c>
      <c r="D110" s="12" t="s">
        <v>547</v>
      </c>
      <c r="E110" s="12">
        <v>394.41</v>
      </c>
      <c r="F110" s="12" t="s">
        <v>535</v>
      </c>
      <c r="G110" s="12" t="s">
        <v>27</v>
      </c>
      <c r="H110" s="12">
        <v>0</v>
      </c>
      <c r="I110" s="12">
        <v>0</v>
      </c>
      <c r="J110" s="12" t="s">
        <v>264</v>
      </c>
      <c r="K110" s="12" t="s">
        <v>265</v>
      </c>
      <c r="L110" s="12" t="s">
        <v>206</v>
      </c>
      <c r="M110" s="12" t="s">
        <v>276</v>
      </c>
      <c r="N110" s="12" t="s">
        <v>268</v>
      </c>
      <c r="O110" s="12" t="s">
        <v>269</v>
      </c>
      <c r="P110" s="12" t="s">
        <v>80</v>
      </c>
      <c r="Q110" s="12" t="s">
        <v>270</v>
      </c>
      <c r="R110" s="12">
        <v>2018</v>
      </c>
      <c r="S110" s="12" t="s">
        <v>337</v>
      </c>
    </row>
    <row r="111" spans="1:19" x14ac:dyDescent="0.25">
      <c r="A111" s="12">
        <v>218045558</v>
      </c>
      <c r="B111" s="12" t="s">
        <v>548</v>
      </c>
      <c r="C111" s="12" t="s">
        <v>284</v>
      </c>
      <c r="D111" s="12" t="s">
        <v>549</v>
      </c>
      <c r="E111" s="12">
        <v>394.54</v>
      </c>
      <c r="F111" s="12" t="s">
        <v>535</v>
      </c>
      <c r="G111" s="12" t="s">
        <v>320</v>
      </c>
      <c r="H111" s="12">
        <v>1</v>
      </c>
      <c r="I111" s="12">
        <v>0</v>
      </c>
      <c r="J111" s="12" t="s">
        <v>264</v>
      </c>
      <c r="K111" s="12" t="s">
        <v>265</v>
      </c>
      <c r="L111" s="12" t="s">
        <v>266</v>
      </c>
      <c r="M111" s="12" t="s">
        <v>267</v>
      </c>
      <c r="N111" s="12" t="s">
        <v>268</v>
      </c>
      <c r="O111" s="12" t="s">
        <v>269</v>
      </c>
      <c r="P111" s="12" t="s">
        <v>80</v>
      </c>
      <c r="Q111" s="12" t="s">
        <v>270</v>
      </c>
      <c r="R111" s="12">
        <v>2018</v>
      </c>
      <c r="S111" s="12" t="s">
        <v>337</v>
      </c>
    </row>
    <row r="112" spans="1:19" x14ac:dyDescent="0.25">
      <c r="A112" s="12">
        <v>217003307</v>
      </c>
      <c r="B112" s="12" t="s">
        <v>550</v>
      </c>
      <c r="C112" s="12" t="s">
        <v>292</v>
      </c>
      <c r="D112" s="12" t="s">
        <v>551</v>
      </c>
      <c r="E112" s="12">
        <v>394.58</v>
      </c>
      <c r="F112" s="12" t="s">
        <v>536</v>
      </c>
      <c r="G112" s="12" t="s">
        <v>310</v>
      </c>
      <c r="H112" s="12">
        <v>1</v>
      </c>
      <c r="I112" s="12">
        <v>0</v>
      </c>
      <c r="J112" s="12" t="s">
        <v>340</v>
      </c>
      <c r="K112" s="12" t="s">
        <v>281</v>
      </c>
      <c r="L112" s="12" t="s">
        <v>206</v>
      </c>
      <c r="M112" s="12" t="s">
        <v>321</v>
      </c>
      <c r="N112" s="12" t="s">
        <v>308</v>
      </c>
      <c r="O112" s="12" t="s">
        <v>269</v>
      </c>
      <c r="P112" s="12" t="s">
        <v>80</v>
      </c>
      <c r="Q112" s="12" t="s">
        <v>270</v>
      </c>
      <c r="R112" s="12">
        <v>2017</v>
      </c>
      <c r="S112" s="12" t="s">
        <v>337</v>
      </c>
    </row>
    <row r="113" spans="1:19" x14ac:dyDescent="0.25">
      <c r="A113" s="12">
        <v>217004704</v>
      </c>
      <c r="B113" s="12" t="s">
        <v>552</v>
      </c>
      <c r="C113" s="12" t="s">
        <v>273</v>
      </c>
      <c r="D113" s="12" t="s">
        <v>553</v>
      </c>
      <c r="E113" s="12">
        <v>394.58</v>
      </c>
      <c r="F113" s="12" t="s">
        <v>536</v>
      </c>
      <c r="G113" s="12" t="s">
        <v>287</v>
      </c>
      <c r="H113" s="12">
        <v>0</v>
      </c>
      <c r="I113" s="12">
        <v>0</v>
      </c>
      <c r="J113" s="12" t="s">
        <v>264</v>
      </c>
      <c r="K113" s="12" t="s">
        <v>281</v>
      </c>
      <c r="L113" s="12" t="s">
        <v>206</v>
      </c>
      <c r="M113" s="12" t="s">
        <v>321</v>
      </c>
      <c r="N113" s="12" t="s">
        <v>268</v>
      </c>
      <c r="O113" s="12" t="s">
        <v>269</v>
      </c>
      <c r="P113" s="12" t="s">
        <v>80</v>
      </c>
      <c r="Q113" s="12" t="s">
        <v>270</v>
      </c>
      <c r="R113" s="12">
        <v>2017</v>
      </c>
      <c r="S113" s="12" t="s">
        <v>337</v>
      </c>
    </row>
    <row r="114" spans="1:19" x14ac:dyDescent="0.25">
      <c r="A114" s="12">
        <v>217023012</v>
      </c>
      <c r="B114" s="12" t="s">
        <v>554</v>
      </c>
      <c r="C114" s="12" t="s">
        <v>292</v>
      </c>
      <c r="D114" s="12" t="s">
        <v>555</v>
      </c>
      <c r="E114" s="12">
        <v>394.59</v>
      </c>
      <c r="F114" s="12" t="s">
        <v>536</v>
      </c>
      <c r="G114" s="12" t="s">
        <v>27</v>
      </c>
      <c r="H114" s="12">
        <v>0</v>
      </c>
      <c r="I114" s="12">
        <v>0</v>
      </c>
      <c r="J114" s="12" t="s">
        <v>264</v>
      </c>
      <c r="K114" s="12" t="s">
        <v>281</v>
      </c>
      <c r="L114" s="12" t="s">
        <v>206</v>
      </c>
      <c r="M114" s="12" t="s">
        <v>556</v>
      </c>
      <c r="N114" s="12" t="s">
        <v>268</v>
      </c>
      <c r="O114" s="12" t="s">
        <v>269</v>
      </c>
      <c r="P114" s="12" t="s">
        <v>80</v>
      </c>
      <c r="Q114" s="12" t="s">
        <v>270</v>
      </c>
      <c r="R114" s="12">
        <v>2017</v>
      </c>
      <c r="S114" s="12" t="s">
        <v>337</v>
      </c>
    </row>
    <row r="115" spans="1:19" x14ac:dyDescent="0.25">
      <c r="A115" s="12">
        <v>218024642</v>
      </c>
      <c r="B115" s="12" t="s">
        <v>557</v>
      </c>
      <c r="C115" s="12" t="s">
        <v>284</v>
      </c>
      <c r="D115" s="12" t="s">
        <v>506</v>
      </c>
      <c r="E115" s="12">
        <v>394.61</v>
      </c>
      <c r="F115" s="12" t="s">
        <v>535</v>
      </c>
      <c r="G115" s="12" t="s">
        <v>27</v>
      </c>
      <c r="H115" s="12">
        <v>0</v>
      </c>
      <c r="I115" s="12">
        <v>0</v>
      </c>
      <c r="J115" s="12" t="s">
        <v>264</v>
      </c>
      <c r="K115" s="12" t="s">
        <v>265</v>
      </c>
      <c r="L115" s="12" t="s">
        <v>206</v>
      </c>
      <c r="M115" s="12" t="s">
        <v>440</v>
      </c>
      <c r="N115" s="12" t="s">
        <v>268</v>
      </c>
      <c r="O115" s="12" t="s">
        <v>327</v>
      </c>
      <c r="P115" s="12" t="s">
        <v>80</v>
      </c>
      <c r="Q115" s="12" t="s">
        <v>270</v>
      </c>
      <c r="R115" s="12">
        <v>2018</v>
      </c>
      <c r="S115" s="12" t="s">
        <v>337</v>
      </c>
    </row>
    <row r="116" spans="1:19" x14ac:dyDescent="0.25">
      <c r="A116" s="12">
        <v>217000880</v>
      </c>
      <c r="B116" s="12" t="s">
        <v>558</v>
      </c>
      <c r="C116" s="12" t="s">
        <v>302</v>
      </c>
      <c r="D116" s="12" t="s">
        <v>425</v>
      </c>
      <c r="E116" s="12">
        <v>394.62</v>
      </c>
      <c r="F116" s="12" t="s">
        <v>536</v>
      </c>
      <c r="G116" s="12" t="s">
        <v>320</v>
      </c>
      <c r="H116" s="12">
        <v>1</v>
      </c>
      <c r="I116" s="12">
        <v>0</v>
      </c>
      <c r="J116" s="12" t="s">
        <v>340</v>
      </c>
      <c r="K116" s="12" t="s">
        <v>281</v>
      </c>
      <c r="L116" s="12" t="s">
        <v>289</v>
      </c>
      <c r="M116" s="12" t="s">
        <v>267</v>
      </c>
      <c r="N116" s="12" t="s">
        <v>300</v>
      </c>
      <c r="O116" s="12" t="s">
        <v>269</v>
      </c>
      <c r="P116" s="12" t="s">
        <v>80</v>
      </c>
      <c r="Q116" s="12" t="s">
        <v>270</v>
      </c>
      <c r="R116" s="12">
        <v>2017</v>
      </c>
      <c r="S116" s="12" t="s">
        <v>337</v>
      </c>
    </row>
    <row r="117" spans="1:19" x14ac:dyDescent="0.25">
      <c r="A117" s="12">
        <v>217018915</v>
      </c>
      <c r="B117" s="12" t="s">
        <v>559</v>
      </c>
      <c r="C117" s="12" t="s">
        <v>284</v>
      </c>
      <c r="D117" s="12" t="s">
        <v>560</v>
      </c>
      <c r="E117" s="12">
        <v>394.78</v>
      </c>
      <c r="F117" s="12" t="s">
        <v>536</v>
      </c>
      <c r="G117" s="12" t="s">
        <v>27</v>
      </c>
      <c r="H117" s="12">
        <v>0</v>
      </c>
      <c r="I117" s="12">
        <v>0</v>
      </c>
      <c r="J117" s="12" t="s">
        <v>264</v>
      </c>
      <c r="K117" s="12" t="s">
        <v>265</v>
      </c>
      <c r="L117" s="12" t="s">
        <v>206</v>
      </c>
      <c r="M117" s="12" t="s">
        <v>276</v>
      </c>
      <c r="N117" s="12" t="s">
        <v>268</v>
      </c>
      <c r="O117" s="12" t="s">
        <v>269</v>
      </c>
      <c r="P117" s="12" t="s">
        <v>80</v>
      </c>
      <c r="Q117" s="12" t="s">
        <v>270</v>
      </c>
      <c r="R117" s="12">
        <v>2017</v>
      </c>
      <c r="S117" s="12" t="s">
        <v>337</v>
      </c>
    </row>
    <row r="118" spans="1:19" x14ac:dyDescent="0.25">
      <c r="A118" s="12">
        <v>218045605</v>
      </c>
      <c r="B118" s="12" t="s">
        <v>396</v>
      </c>
      <c r="C118" s="12" t="s">
        <v>273</v>
      </c>
      <c r="D118" s="12" t="s">
        <v>561</v>
      </c>
      <c r="E118" s="12">
        <v>394.85</v>
      </c>
      <c r="F118" s="12" t="s">
        <v>535</v>
      </c>
      <c r="G118" s="12" t="s">
        <v>27</v>
      </c>
      <c r="H118" s="12">
        <v>0</v>
      </c>
      <c r="I118" s="12">
        <v>0</v>
      </c>
      <c r="J118" s="12" t="s">
        <v>264</v>
      </c>
      <c r="K118" s="12" t="s">
        <v>265</v>
      </c>
      <c r="L118" s="12" t="s">
        <v>206</v>
      </c>
      <c r="M118" s="12" t="s">
        <v>276</v>
      </c>
      <c r="N118" s="12" t="s">
        <v>459</v>
      </c>
      <c r="O118" s="12" t="s">
        <v>269</v>
      </c>
      <c r="P118" s="12" t="s">
        <v>80</v>
      </c>
      <c r="Q118" s="12" t="s">
        <v>270</v>
      </c>
      <c r="R118" s="12">
        <v>2018</v>
      </c>
      <c r="S118" s="12" t="s">
        <v>337</v>
      </c>
    </row>
    <row r="119" spans="1:19" x14ac:dyDescent="0.25">
      <c r="A119" s="12">
        <v>218046715</v>
      </c>
      <c r="B119" s="12" t="s">
        <v>396</v>
      </c>
      <c r="C119" s="12" t="s">
        <v>273</v>
      </c>
      <c r="D119" s="12" t="s">
        <v>561</v>
      </c>
      <c r="E119" s="12">
        <v>394.85</v>
      </c>
      <c r="F119" s="12" t="s">
        <v>535</v>
      </c>
      <c r="G119" s="12" t="s">
        <v>27</v>
      </c>
      <c r="H119" s="12">
        <v>0</v>
      </c>
      <c r="I119" s="12">
        <v>0</v>
      </c>
      <c r="J119" s="12" t="s">
        <v>264</v>
      </c>
      <c r="K119" s="12" t="s">
        <v>265</v>
      </c>
      <c r="L119" s="12" t="s">
        <v>206</v>
      </c>
      <c r="M119" s="12" t="s">
        <v>276</v>
      </c>
      <c r="N119" s="12" t="s">
        <v>459</v>
      </c>
      <c r="O119" s="12" t="s">
        <v>269</v>
      </c>
      <c r="P119" s="12" t="s">
        <v>80</v>
      </c>
      <c r="Q119" s="12" t="s">
        <v>270</v>
      </c>
      <c r="R119" s="12">
        <v>2018</v>
      </c>
      <c r="S119" s="12" t="s">
        <v>337</v>
      </c>
    </row>
    <row r="120" spans="1:19" x14ac:dyDescent="0.25">
      <c r="A120" s="12">
        <v>218022590</v>
      </c>
      <c r="B120" s="12" t="s">
        <v>562</v>
      </c>
      <c r="C120" s="12" t="s">
        <v>284</v>
      </c>
      <c r="D120" s="12" t="s">
        <v>563</v>
      </c>
      <c r="E120" s="12">
        <v>394.93</v>
      </c>
      <c r="F120" s="12" t="s">
        <v>536</v>
      </c>
      <c r="G120" s="12" t="s">
        <v>27</v>
      </c>
      <c r="H120" s="12">
        <v>0</v>
      </c>
      <c r="I120" s="12">
        <v>0</v>
      </c>
      <c r="J120" s="12" t="s">
        <v>264</v>
      </c>
      <c r="K120" s="12" t="s">
        <v>330</v>
      </c>
      <c r="L120" s="12" t="s">
        <v>289</v>
      </c>
      <c r="M120" s="12" t="s">
        <v>267</v>
      </c>
      <c r="N120" s="12" t="s">
        <v>268</v>
      </c>
      <c r="O120" s="12" t="s">
        <v>269</v>
      </c>
      <c r="P120" s="12" t="s">
        <v>80</v>
      </c>
      <c r="Q120" s="12" t="s">
        <v>270</v>
      </c>
      <c r="R120" s="12">
        <v>2018</v>
      </c>
      <c r="S120" s="12" t="s">
        <v>337</v>
      </c>
    </row>
    <row r="121" spans="1:19" x14ac:dyDescent="0.25">
      <c r="A121" s="12">
        <v>217020672</v>
      </c>
      <c r="B121" s="12" t="s">
        <v>564</v>
      </c>
      <c r="C121" s="12" t="s">
        <v>273</v>
      </c>
      <c r="D121" s="12" t="s">
        <v>424</v>
      </c>
      <c r="E121" s="12">
        <v>394.96</v>
      </c>
      <c r="F121" s="12" t="s">
        <v>536</v>
      </c>
      <c r="G121" s="12" t="s">
        <v>320</v>
      </c>
      <c r="H121" s="12">
        <v>1</v>
      </c>
      <c r="I121" s="12">
        <v>0</v>
      </c>
      <c r="J121" s="12" t="s">
        <v>305</v>
      </c>
      <c r="K121" s="12" t="s">
        <v>281</v>
      </c>
      <c r="L121" s="12" t="s">
        <v>206</v>
      </c>
      <c r="M121" s="12" t="s">
        <v>336</v>
      </c>
      <c r="N121" s="12" t="s">
        <v>282</v>
      </c>
      <c r="O121" s="12" t="s">
        <v>269</v>
      </c>
      <c r="P121" s="12" t="s">
        <v>80</v>
      </c>
      <c r="Q121" s="12" t="s">
        <v>270</v>
      </c>
      <c r="R121" s="12">
        <v>2017</v>
      </c>
      <c r="S121" s="12" t="s">
        <v>337</v>
      </c>
    </row>
    <row r="122" spans="1:19" x14ac:dyDescent="0.25">
      <c r="A122" s="12">
        <v>217023004</v>
      </c>
      <c r="B122" s="12" t="s">
        <v>565</v>
      </c>
      <c r="C122" s="12" t="s">
        <v>278</v>
      </c>
      <c r="D122" s="12" t="s">
        <v>566</v>
      </c>
      <c r="E122" s="12">
        <v>394.99</v>
      </c>
      <c r="F122" s="12" t="s">
        <v>567</v>
      </c>
      <c r="G122" s="12" t="s">
        <v>27</v>
      </c>
      <c r="H122" s="12">
        <v>0</v>
      </c>
      <c r="I122" s="12">
        <v>0</v>
      </c>
      <c r="J122" s="12" t="s">
        <v>264</v>
      </c>
      <c r="K122" s="12" t="s">
        <v>306</v>
      </c>
      <c r="L122" s="12" t="s">
        <v>206</v>
      </c>
      <c r="M122" s="12" t="s">
        <v>276</v>
      </c>
      <c r="N122" s="12" t="s">
        <v>268</v>
      </c>
      <c r="O122" s="12" t="s">
        <v>269</v>
      </c>
      <c r="P122" s="12" t="s">
        <v>80</v>
      </c>
      <c r="Q122" s="12" t="s">
        <v>270</v>
      </c>
      <c r="R122" s="12">
        <v>2017</v>
      </c>
      <c r="S122" s="12" t="s">
        <v>337</v>
      </c>
    </row>
    <row r="123" spans="1:19" x14ac:dyDescent="0.25">
      <c r="A123" s="12">
        <v>218003733</v>
      </c>
      <c r="B123" s="12" t="s">
        <v>301</v>
      </c>
      <c r="C123" s="12" t="s">
        <v>302</v>
      </c>
      <c r="D123" s="12" t="s">
        <v>568</v>
      </c>
      <c r="E123" s="12">
        <v>395.04</v>
      </c>
      <c r="F123" s="12" t="s">
        <v>569</v>
      </c>
      <c r="G123" s="12" t="s">
        <v>27</v>
      </c>
      <c r="H123" s="12">
        <v>0</v>
      </c>
      <c r="I123" s="12">
        <v>0</v>
      </c>
      <c r="J123" s="12" t="s">
        <v>280</v>
      </c>
      <c r="K123" s="12" t="s">
        <v>281</v>
      </c>
      <c r="L123" s="12" t="s">
        <v>206</v>
      </c>
      <c r="M123" s="12" t="s">
        <v>556</v>
      </c>
      <c r="N123" s="12" t="s">
        <v>444</v>
      </c>
      <c r="O123" s="12" t="s">
        <v>269</v>
      </c>
      <c r="P123" s="12" t="s">
        <v>80</v>
      </c>
      <c r="Q123" s="12" t="s">
        <v>270</v>
      </c>
      <c r="R123" s="12">
        <v>2018</v>
      </c>
      <c r="S123" s="12" t="s">
        <v>337</v>
      </c>
    </row>
    <row r="124" spans="1:19" x14ac:dyDescent="0.25">
      <c r="A124" s="12">
        <v>218043503</v>
      </c>
      <c r="B124" s="12" t="s">
        <v>570</v>
      </c>
      <c r="C124" s="12" t="s">
        <v>261</v>
      </c>
      <c r="D124" s="12" t="s">
        <v>436</v>
      </c>
      <c r="E124" s="12">
        <v>395.04</v>
      </c>
      <c r="F124" s="12" t="s">
        <v>569</v>
      </c>
      <c r="G124" s="12" t="s">
        <v>27</v>
      </c>
      <c r="H124" s="12">
        <v>0</v>
      </c>
      <c r="I124" s="12">
        <v>0</v>
      </c>
      <c r="J124" s="12" t="s">
        <v>305</v>
      </c>
      <c r="K124" s="12" t="s">
        <v>281</v>
      </c>
      <c r="L124" s="12" t="s">
        <v>206</v>
      </c>
      <c r="M124" s="12" t="s">
        <v>556</v>
      </c>
      <c r="N124" s="12" t="s">
        <v>444</v>
      </c>
      <c r="O124" s="12" t="s">
        <v>269</v>
      </c>
      <c r="P124" s="12" t="s">
        <v>80</v>
      </c>
      <c r="Q124" s="12" t="s">
        <v>270</v>
      </c>
      <c r="R124" s="12">
        <v>2018</v>
      </c>
      <c r="S124" s="12" t="s">
        <v>337</v>
      </c>
    </row>
    <row r="125" spans="1:19" x14ac:dyDescent="0.25">
      <c r="A125" s="12">
        <v>218000844</v>
      </c>
      <c r="B125" s="12" t="s">
        <v>571</v>
      </c>
      <c r="C125" s="12" t="s">
        <v>278</v>
      </c>
      <c r="D125" s="12" t="s">
        <v>351</v>
      </c>
      <c r="E125" s="12">
        <v>395.09</v>
      </c>
      <c r="F125" s="12" t="s">
        <v>572</v>
      </c>
      <c r="G125" s="12" t="s">
        <v>320</v>
      </c>
      <c r="H125" s="12">
        <v>2</v>
      </c>
      <c r="I125" s="12">
        <v>0</v>
      </c>
      <c r="J125" s="12" t="s">
        <v>264</v>
      </c>
      <c r="K125" s="12" t="s">
        <v>306</v>
      </c>
      <c r="L125" s="12" t="s">
        <v>266</v>
      </c>
      <c r="M125" s="12" t="s">
        <v>267</v>
      </c>
      <c r="N125" s="12" t="s">
        <v>268</v>
      </c>
      <c r="O125" s="12" t="s">
        <v>269</v>
      </c>
      <c r="P125" s="12" t="s">
        <v>80</v>
      </c>
      <c r="Q125" s="12" t="s">
        <v>270</v>
      </c>
      <c r="R125" s="12">
        <v>2018</v>
      </c>
      <c r="S125" s="12" t="s">
        <v>337</v>
      </c>
    </row>
    <row r="126" spans="1:19" x14ac:dyDescent="0.25">
      <c r="A126" s="12">
        <v>218046022</v>
      </c>
      <c r="B126" s="12" t="s">
        <v>573</v>
      </c>
      <c r="C126" s="12" t="s">
        <v>273</v>
      </c>
      <c r="D126" s="12" t="s">
        <v>351</v>
      </c>
      <c r="E126" s="12">
        <v>395.12</v>
      </c>
      <c r="F126" s="12" t="s">
        <v>543</v>
      </c>
      <c r="G126" s="12" t="s">
        <v>287</v>
      </c>
      <c r="H126" s="12">
        <v>0</v>
      </c>
      <c r="I126" s="12">
        <v>0</v>
      </c>
      <c r="J126" s="12" t="s">
        <v>264</v>
      </c>
      <c r="K126" s="12" t="s">
        <v>281</v>
      </c>
      <c r="L126" s="12" t="s">
        <v>266</v>
      </c>
      <c r="M126" s="12" t="s">
        <v>267</v>
      </c>
      <c r="N126" s="12" t="s">
        <v>268</v>
      </c>
      <c r="O126" s="12" t="s">
        <v>269</v>
      </c>
      <c r="P126" s="12" t="s">
        <v>189</v>
      </c>
      <c r="Q126" s="12" t="s">
        <v>574</v>
      </c>
      <c r="R126" s="12">
        <v>2018</v>
      </c>
      <c r="S126" s="12" t="s">
        <v>337</v>
      </c>
    </row>
    <row r="127" spans="1:19" x14ac:dyDescent="0.25">
      <c r="A127" s="12">
        <v>218002346</v>
      </c>
      <c r="B127" s="12" t="s">
        <v>576</v>
      </c>
      <c r="C127" s="12" t="s">
        <v>302</v>
      </c>
      <c r="D127" s="12" t="s">
        <v>577</v>
      </c>
      <c r="E127" s="12">
        <v>395.2</v>
      </c>
      <c r="F127" s="12" t="s">
        <v>578</v>
      </c>
      <c r="G127" s="12" t="s">
        <v>27</v>
      </c>
      <c r="H127" s="12">
        <v>0</v>
      </c>
      <c r="I127" s="12">
        <v>0</v>
      </c>
      <c r="J127" s="12" t="s">
        <v>264</v>
      </c>
      <c r="K127" s="12" t="s">
        <v>281</v>
      </c>
      <c r="L127" s="12" t="s">
        <v>266</v>
      </c>
      <c r="M127" s="12" t="s">
        <v>267</v>
      </c>
      <c r="N127" s="12" t="s">
        <v>268</v>
      </c>
      <c r="O127" s="12" t="s">
        <v>269</v>
      </c>
      <c r="P127" s="12" t="s">
        <v>189</v>
      </c>
      <c r="Q127" s="12" t="s">
        <v>574</v>
      </c>
      <c r="R127" s="12">
        <v>2018</v>
      </c>
      <c r="S127" s="12" t="s">
        <v>575</v>
      </c>
    </row>
    <row r="128" spans="1:19" x14ac:dyDescent="0.25">
      <c r="A128" s="12">
        <v>218028077</v>
      </c>
      <c r="B128" s="12" t="s">
        <v>579</v>
      </c>
      <c r="C128" s="12" t="s">
        <v>314</v>
      </c>
      <c r="D128" s="12" t="s">
        <v>351</v>
      </c>
      <c r="E128" s="12">
        <v>395.21</v>
      </c>
      <c r="F128" s="12" t="s">
        <v>543</v>
      </c>
      <c r="G128" s="12" t="s">
        <v>27</v>
      </c>
      <c r="H128" s="12">
        <v>0</v>
      </c>
      <c r="I128" s="12">
        <v>0</v>
      </c>
      <c r="J128" s="12" t="s">
        <v>264</v>
      </c>
      <c r="K128" s="12" t="s">
        <v>281</v>
      </c>
      <c r="L128" s="12" t="s">
        <v>266</v>
      </c>
      <c r="M128" s="12" t="s">
        <v>267</v>
      </c>
      <c r="N128" s="12" t="s">
        <v>268</v>
      </c>
      <c r="O128" s="12" t="s">
        <v>269</v>
      </c>
      <c r="P128" s="12" t="s">
        <v>189</v>
      </c>
      <c r="Q128" s="12" t="s">
        <v>574</v>
      </c>
      <c r="R128" s="12">
        <v>2018</v>
      </c>
      <c r="S128" s="12" t="s">
        <v>575</v>
      </c>
    </row>
    <row r="129" spans="1:19" x14ac:dyDescent="0.25">
      <c r="A129" s="12">
        <v>219005512</v>
      </c>
      <c r="B129" s="12" t="s">
        <v>580</v>
      </c>
      <c r="C129" s="12" t="s">
        <v>278</v>
      </c>
      <c r="D129" s="12" t="s">
        <v>581</v>
      </c>
      <c r="E129" s="12">
        <v>395.38</v>
      </c>
      <c r="F129" s="12" t="s">
        <v>543</v>
      </c>
      <c r="G129" s="12" t="s">
        <v>27</v>
      </c>
      <c r="H129" s="12">
        <v>0</v>
      </c>
      <c r="I129" s="12">
        <v>0</v>
      </c>
      <c r="J129" s="12" t="s">
        <v>305</v>
      </c>
      <c r="K129" s="12" t="s">
        <v>281</v>
      </c>
      <c r="L129" s="12" t="s">
        <v>206</v>
      </c>
      <c r="M129" s="12" t="s">
        <v>341</v>
      </c>
      <c r="N129" s="12" t="s">
        <v>308</v>
      </c>
      <c r="O129" s="12" t="s">
        <v>269</v>
      </c>
      <c r="P129" s="12" t="s">
        <v>189</v>
      </c>
      <c r="Q129" s="12" t="s">
        <v>574</v>
      </c>
      <c r="R129" s="12">
        <v>2018</v>
      </c>
      <c r="S129" s="12" t="s">
        <v>575</v>
      </c>
    </row>
    <row r="130" spans="1:19" x14ac:dyDescent="0.25">
      <c r="A130" s="12">
        <v>219033632</v>
      </c>
      <c r="B130" s="12" t="s">
        <v>582</v>
      </c>
      <c r="C130" s="12" t="s">
        <v>278</v>
      </c>
      <c r="D130" s="12" t="s">
        <v>583</v>
      </c>
      <c r="E130" s="12">
        <v>395.41</v>
      </c>
      <c r="F130" s="12" t="s">
        <v>584</v>
      </c>
      <c r="G130" s="12" t="s">
        <v>27</v>
      </c>
      <c r="H130" s="12">
        <v>0</v>
      </c>
      <c r="I130" s="12">
        <v>0</v>
      </c>
      <c r="J130" s="12" t="s">
        <v>264</v>
      </c>
      <c r="K130" s="12" t="s">
        <v>281</v>
      </c>
      <c r="L130" s="12" t="s">
        <v>289</v>
      </c>
      <c r="M130" s="12" t="s">
        <v>267</v>
      </c>
      <c r="N130" s="12" t="s">
        <v>268</v>
      </c>
      <c r="O130" s="12" t="s">
        <v>269</v>
      </c>
      <c r="P130" s="12" t="s">
        <v>189</v>
      </c>
      <c r="Q130" s="12" t="s">
        <v>574</v>
      </c>
      <c r="R130" s="12">
        <v>2019</v>
      </c>
      <c r="S130" s="12" t="s">
        <v>575</v>
      </c>
    </row>
    <row r="131" spans="1:19" x14ac:dyDescent="0.25">
      <c r="A131" s="12">
        <v>219003420</v>
      </c>
      <c r="B131" s="12" t="s">
        <v>369</v>
      </c>
      <c r="C131" s="12" t="s">
        <v>314</v>
      </c>
      <c r="D131" s="12" t="s">
        <v>585</v>
      </c>
      <c r="E131" s="12">
        <v>395.59</v>
      </c>
      <c r="F131" s="12" t="s">
        <v>543</v>
      </c>
      <c r="G131" s="12" t="s">
        <v>27</v>
      </c>
      <c r="H131" s="12">
        <v>0</v>
      </c>
      <c r="I131" s="12">
        <v>0</v>
      </c>
      <c r="J131" s="12" t="s">
        <v>280</v>
      </c>
      <c r="K131" s="12" t="s">
        <v>281</v>
      </c>
      <c r="L131" s="12" t="s">
        <v>206</v>
      </c>
      <c r="M131" s="12" t="s">
        <v>556</v>
      </c>
      <c r="N131" s="12" t="s">
        <v>282</v>
      </c>
      <c r="O131" s="12" t="s">
        <v>269</v>
      </c>
      <c r="P131" s="12" t="s">
        <v>189</v>
      </c>
      <c r="Q131" s="12" t="s">
        <v>574</v>
      </c>
      <c r="R131" s="12">
        <v>2019</v>
      </c>
      <c r="S131" s="12" t="s">
        <v>575</v>
      </c>
    </row>
    <row r="132" spans="1:19" x14ac:dyDescent="0.25">
      <c r="A132" s="12">
        <v>218011319</v>
      </c>
      <c r="B132" s="12" t="s">
        <v>586</v>
      </c>
      <c r="C132" s="12" t="s">
        <v>314</v>
      </c>
      <c r="D132" s="12" t="s">
        <v>587</v>
      </c>
      <c r="E132" s="12">
        <v>395.6</v>
      </c>
      <c r="F132" s="12" t="s">
        <v>543</v>
      </c>
      <c r="G132" s="12" t="s">
        <v>27</v>
      </c>
      <c r="H132" s="12">
        <v>0</v>
      </c>
      <c r="I132" s="12">
        <v>0</v>
      </c>
      <c r="J132" s="12" t="s">
        <v>305</v>
      </c>
      <c r="K132" s="12" t="s">
        <v>281</v>
      </c>
      <c r="L132" s="12" t="s">
        <v>206</v>
      </c>
      <c r="M132" s="12" t="s">
        <v>307</v>
      </c>
      <c r="N132" s="12" t="s">
        <v>308</v>
      </c>
      <c r="O132" s="12" t="s">
        <v>269</v>
      </c>
      <c r="P132" s="12" t="s">
        <v>189</v>
      </c>
      <c r="Q132" s="12" t="s">
        <v>574</v>
      </c>
      <c r="R132" s="12">
        <v>2018</v>
      </c>
      <c r="S132" s="12" t="s">
        <v>575</v>
      </c>
    </row>
    <row r="133" spans="1:19" x14ac:dyDescent="0.25">
      <c r="A133" s="12">
        <v>218056147</v>
      </c>
      <c r="B133" s="12" t="s">
        <v>465</v>
      </c>
      <c r="C133" s="12" t="s">
        <v>273</v>
      </c>
      <c r="D133" s="12" t="s">
        <v>588</v>
      </c>
      <c r="E133" s="12">
        <v>395.61</v>
      </c>
      <c r="F133" s="12" t="s">
        <v>543</v>
      </c>
      <c r="G133" s="12" t="s">
        <v>27</v>
      </c>
      <c r="H133" s="12">
        <v>0</v>
      </c>
      <c r="I133" s="12">
        <v>0</v>
      </c>
      <c r="J133" s="12" t="s">
        <v>264</v>
      </c>
      <c r="K133" s="12" t="s">
        <v>281</v>
      </c>
      <c r="L133" s="12" t="s">
        <v>266</v>
      </c>
      <c r="M133" s="12" t="s">
        <v>267</v>
      </c>
      <c r="N133" s="12" t="s">
        <v>268</v>
      </c>
      <c r="O133" s="12" t="s">
        <v>269</v>
      </c>
      <c r="P133" s="12" t="s">
        <v>189</v>
      </c>
      <c r="Q133" s="12" t="s">
        <v>574</v>
      </c>
      <c r="R133" s="12">
        <v>2018</v>
      </c>
      <c r="S133" s="12" t="s">
        <v>575</v>
      </c>
    </row>
    <row r="134" spans="1:19" x14ac:dyDescent="0.25">
      <c r="A134" s="12">
        <v>218023309</v>
      </c>
      <c r="B134" s="12" t="s">
        <v>590</v>
      </c>
      <c r="C134" s="12" t="s">
        <v>314</v>
      </c>
      <c r="D134" s="12" t="s">
        <v>591</v>
      </c>
      <c r="E134" s="12">
        <v>395.62</v>
      </c>
      <c r="F134" s="12" t="s">
        <v>589</v>
      </c>
      <c r="G134" s="12" t="s">
        <v>27</v>
      </c>
      <c r="H134" s="12">
        <v>0</v>
      </c>
      <c r="I134" s="12">
        <v>0</v>
      </c>
      <c r="J134" s="12" t="s">
        <v>264</v>
      </c>
      <c r="K134" s="12" t="s">
        <v>265</v>
      </c>
      <c r="L134" s="12" t="s">
        <v>206</v>
      </c>
      <c r="M134" s="12" t="s">
        <v>276</v>
      </c>
      <c r="N134" s="12" t="s">
        <v>268</v>
      </c>
      <c r="O134" s="12" t="s">
        <v>269</v>
      </c>
      <c r="P134" s="12" t="s">
        <v>189</v>
      </c>
      <c r="Q134" s="12" t="s">
        <v>574</v>
      </c>
      <c r="R134" s="12">
        <v>2018</v>
      </c>
      <c r="S134" s="12" t="s">
        <v>575</v>
      </c>
    </row>
    <row r="135" spans="1:19" x14ac:dyDescent="0.25">
      <c r="A135" s="12">
        <v>218034090</v>
      </c>
      <c r="B135" s="12" t="s">
        <v>593</v>
      </c>
      <c r="C135" s="12" t="s">
        <v>292</v>
      </c>
      <c r="D135" s="12" t="s">
        <v>594</v>
      </c>
      <c r="E135" s="12">
        <v>395.64</v>
      </c>
      <c r="F135" s="12" t="s">
        <v>592</v>
      </c>
      <c r="G135" s="12" t="s">
        <v>27</v>
      </c>
      <c r="H135" s="12">
        <v>0</v>
      </c>
      <c r="I135" s="12">
        <v>0</v>
      </c>
      <c r="J135" s="12" t="s">
        <v>288</v>
      </c>
      <c r="K135" s="12" t="s">
        <v>265</v>
      </c>
      <c r="L135" s="12" t="s">
        <v>206</v>
      </c>
      <c r="M135" s="12" t="s">
        <v>276</v>
      </c>
      <c r="N135" s="12" t="s">
        <v>268</v>
      </c>
      <c r="O135" s="12" t="s">
        <v>269</v>
      </c>
      <c r="P135" s="12" t="s">
        <v>189</v>
      </c>
      <c r="Q135" s="12" t="s">
        <v>574</v>
      </c>
      <c r="R135" s="12">
        <v>2018</v>
      </c>
      <c r="S135" s="12" t="s">
        <v>575</v>
      </c>
    </row>
    <row r="136" spans="1:19" x14ac:dyDescent="0.25">
      <c r="A136" s="12">
        <v>217053628</v>
      </c>
      <c r="B136" s="12" t="s">
        <v>595</v>
      </c>
      <c r="C136" s="12" t="s">
        <v>273</v>
      </c>
      <c r="D136" s="12" t="s">
        <v>596</v>
      </c>
      <c r="E136" s="12">
        <v>395.87</v>
      </c>
      <c r="F136" s="12" t="s">
        <v>592</v>
      </c>
      <c r="G136" s="12" t="s">
        <v>27</v>
      </c>
      <c r="H136" s="12">
        <v>0</v>
      </c>
      <c r="I136" s="12">
        <v>0</v>
      </c>
      <c r="J136" s="12" t="s">
        <v>264</v>
      </c>
      <c r="K136" s="12" t="s">
        <v>281</v>
      </c>
      <c r="L136" s="12" t="s">
        <v>289</v>
      </c>
      <c r="M136" s="12" t="s">
        <v>267</v>
      </c>
      <c r="N136" s="12" t="s">
        <v>268</v>
      </c>
      <c r="O136" s="12" t="s">
        <v>269</v>
      </c>
      <c r="P136" s="12" t="s">
        <v>189</v>
      </c>
      <c r="Q136" s="12" t="s">
        <v>574</v>
      </c>
      <c r="R136" s="12">
        <v>2017</v>
      </c>
      <c r="S136" s="12" t="s">
        <v>575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D0C77-6C8C-46E0-A45E-5C5965195389}">
  <sheetPr>
    <tabColor theme="0" tint="-0.34998626667073579"/>
  </sheetPr>
  <dimension ref="A1:S76"/>
  <sheetViews>
    <sheetView zoomScale="70" zoomScaleNormal="70" workbookViewId="0">
      <selection activeCell="K54" sqref="K54"/>
    </sheetView>
  </sheetViews>
  <sheetFormatPr defaultRowHeight="15" x14ac:dyDescent="0.25"/>
  <cols>
    <col min="2" max="3" width="50.7109375" style="409" customWidth="1"/>
    <col min="13" max="14" width="50.7109375" customWidth="1"/>
    <col min="15" max="19" width="9.140625" style="409"/>
  </cols>
  <sheetData>
    <row r="1" spans="1:19" s="409" customFormat="1" x14ac:dyDescent="0.25">
      <c r="B1" s="288" t="s">
        <v>698</v>
      </c>
    </row>
    <row r="2" spans="1:19" x14ac:dyDescent="0.25">
      <c r="A2" s="24"/>
      <c r="D2" s="24"/>
      <c r="E2" s="24"/>
      <c r="F2" s="24"/>
      <c r="G2" s="24"/>
      <c r="H2" s="24"/>
      <c r="I2" s="24"/>
      <c r="J2" s="24"/>
      <c r="K2" s="24"/>
      <c r="O2" s="24"/>
      <c r="P2" s="24"/>
      <c r="Q2" s="24"/>
      <c r="R2" s="24"/>
      <c r="S2" s="24"/>
    </row>
    <row r="3" spans="1:19" x14ac:dyDescent="0.25">
      <c r="A3" s="24"/>
      <c r="B3" s="26" t="s">
        <v>642</v>
      </c>
      <c r="C3" s="24"/>
      <c r="D3" s="24"/>
      <c r="E3" s="24"/>
      <c r="F3" s="24"/>
      <c r="G3" s="24"/>
      <c r="H3" s="24"/>
      <c r="I3" s="24"/>
      <c r="J3" s="24"/>
      <c r="K3" s="24"/>
      <c r="M3" s="26" t="s">
        <v>643</v>
      </c>
      <c r="N3" s="24"/>
      <c r="O3" s="24"/>
      <c r="P3" s="24"/>
      <c r="Q3" s="24"/>
      <c r="R3" s="24"/>
      <c r="S3" s="24"/>
    </row>
    <row r="4" spans="1:19" x14ac:dyDescent="0.25">
      <c r="A4" s="24"/>
      <c r="B4" s="415" t="s">
        <v>621</v>
      </c>
      <c r="C4" s="415" t="s">
        <v>634</v>
      </c>
      <c r="D4" s="24"/>
      <c r="E4" s="24"/>
      <c r="K4" s="24"/>
      <c r="M4" s="392" t="s">
        <v>621</v>
      </c>
      <c r="N4" s="392" t="s">
        <v>634</v>
      </c>
      <c r="O4" s="24"/>
      <c r="P4" s="24"/>
    </row>
    <row r="5" spans="1:19" x14ac:dyDescent="0.25">
      <c r="A5" s="24"/>
      <c r="B5" s="415" t="s">
        <v>23</v>
      </c>
      <c r="C5" s="397">
        <v>1</v>
      </c>
      <c r="D5" s="24"/>
      <c r="E5" s="24"/>
      <c r="K5" s="24"/>
      <c r="M5" s="392" t="s">
        <v>23</v>
      </c>
      <c r="N5" s="397">
        <v>1</v>
      </c>
      <c r="O5" s="24"/>
      <c r="P5" s="24"/>
    </row>
    <row r="6" spans="1:19" x14ac:dyDescent="0.25">
      <c r="A6" s="24"/>
      <c r="B6" s="396" t="s">
        <v>24</v>
      </c>
      <c r="C6" s="397">
        <v>2</v>
      </c>
      <c r="D6" s="24"/>
      <c r="E6" s="25"/>
      <c r="K6" s="25"/>
      <c r="M6" s="391" t="s">
        <v>24</v>
      </c>
      <c r="N6" s="397">
        <v>3</v>
      </c>
      <c r="O6" s="24"/>
      <c r="P6" s="25"/>
    </row>
    <row r="7" spans="1:19" x14ac:dyDescent="0.25">
      <c r="A7" s="24"/>
      <c r="B7" s="396" t="s">
        <v>25</v>
      </c>
      <c r="C7" s="397">
        <v>7</v>
      </c>
      <c r="D7" s="25"/>
      <c r="E7" s="25"/>
      <c r="K7" s="25"/>
      <c r="M7" s="391" t="s">
        <v>25</v>
      </c>
      <c r="N7" s="397">
        <v>9</v>
      </c>
      <c r="O7" s="25"/>
      <c r="P7" s="25"/>
    </row>
    <row r="8" spans="1:19" x14ac:dyDescent="0.25">
      <c r="A8" s="24"/>
      <c r="B8" s="396" t="s">
        <v>26</v>
      </c>
      <c r="C8" s="397">
        <v>9</v>
      </c>
      <c r="D8" s="25"/>
      <c r="E8" s="25"/>
      <c r="K8" s="25"/>
      <c r="M8" s="391" t="s">
        <v>26</v>
      </c>
      <c r="N8" s="397">
        <v>11</v>
      </c>
      <c r="O8" s="25"/>
      <c r="P8" s="25"/>
    </row>
    <row r="9" spans="1:19" x14ac:dyDescent="0.25">
      <c r="A9" s="24"/>
      <c r="B9" s="396" t="s">
        <v>101</v>
      </c>
      <c r="C9" s="397">
        <v>27</v>
      </c>
      <c r="D9" s="25"/>
      <c r="E9" s="25"/>
      <c r="K9" s="25"/>
      <c r="M9" s="391" t="s">
        <v>101</v>
      </c>
      <c r="N9" s="397">
        <v>43</v>
      </c>
      <c r="O9" s="25"/>
      <c r="P9" s="25"/>
    </row>
    <row r="10" spans="1:19" x14ac:dyDescent="0.25">
      <c r="A10" s="24"/>
      <c r="B10" s="25"/>
      <c r="C10" s="25"/>
      <c r="D10" s="25"/>
      <c r="E10" s="25"/>
      <c r="K10" s="25"/>
      <c r="M10" s="25"/>
      <c r="N10" s="25"/>
      <c r="O10" s="25"/>
      <c r="P10" s="25"/>
    </row>
    <row r="11" spans="1:19" x14ac:dyDescent="0.25">
      <c r="A11" s="24"/>
      <c r="D11" s="25"/>
      <c r="E11" s="25"/>
      <c r="K11" s="25"/>
      <c r="O11" s="25"/>
      <c r="P11" s="25"/>
    </row>
    <row r="12" spans="1:19" x14ac:dyDescent="0.25">
      <c r="A12" s="24"/>
      <c r="D12" s="25"/>
      <c r="E12" s="25"/>
      <c r="F12" s="25"/>
      <c r="G12" s="25"/>
      <c r="H12" s="25"/>
      <c r="I12" s="25"/>
      <c r="J12" s="25"/>
      <c r="K12" s="25"/>
      <c r="O12" s="25"/>
      <c r="P12" s="25"/>
      <c r="Q12" s="25"/>
      <c r="R12" s="25"/>
      <c r="S12" s="25"/>
    </row>
    <row r="13" spans="1:19" x14ac:dyDescent="0.25">
      <c r="A13" s="24"/>
      <c r="D13" s="25"/>
      <c r="E13" s="25"/>
      <c r="F13" s="25"/>
      <c r="G13" s="25"/>
      <c r="H13" s="25"/>
      <c r="I13" s="25"/>
      <c r="J13" s="25"/>
      <c r="K13" s="25"/>
      <c r="O13" s="25"/>
      <c r="P13" s="25"/>
      <c r="Q13" s="25"/>
      <c r="R13" s="25"/>
      <c r="S13" s="25"/>
    </row>
    <row r="14" spans="1:19" x14ac:dyDescent="0.25">
      <c r="A14" s="24"/>
      <c r="D14" s="25"/>
      <c r="E14" s="25"/>
      <c r="F14" s="25"/>
      <c r="G14" s="25"/>
      <c r="H14" s="25"/>
      <c r="I14" s="25"/>
      <c r="J14" s="25"/>
      <c r="K14" s="25"/>
      <c r="O14" s="25"/>
      <c r="P14" s="25"/>
      <c r="Q14" s="25"/>
      <c r="R14" s="25"/>
      <c r="S14" s="25"/>
    </row>
    <row r="15" spans="1:19" x14ac:dyDescent="0.25">
      <c r="A15" s="24"/>
      <c r="D15" s="25"/>
      <c r="E15" s="25"/>
      <c r="F15" s="25"/>
      <c r="G15" s="25"/>
      <c r="H15" s="25"/>
      <c r="I15" s="25"/>
      <c r="J15" s="25"/>
      <c r="K15" s="25"/>
      <c r="O15" s="25"/>
      <c r="P15" s="25"/>
      <c r="Q15" s="25"/>
      <c r="R15" s="25"/>
      <c r="S15" s="25"/>
    </row>
    <row r="16" spans="1:19" x14ac:dyDescent="0.25">
      <c r="A16" s="24"/>
      <c r="D16" s="25"/>
      <c r="E16" s="25"/>
      <c r="F16" s="25"/>
      <c r="G16" s="25"/>
      <c r="H16" s="25"/>
      <c r="I16" s="25"/>
      <c r="J16" s="25"/>
      <c r="K16" s="25"/>
      <c r="O16" s="25"/>
      <c r="P16" s="25"/>
      <c r="Q16" s="25"/>
      <c r="R16" s="25"/>
      <c r="S16" s="25"/>
    </row>
    <row r="17" spans="1:19" x14ac:dyDescent="0.25">
      <c r="A17" s="24"/>
      <c r="D17" s="25"/>
      <c r="E17" s="25"/>
      <c r="F17" s="25"/>
      <c r="G17" s="25"/>
      <c r="H17" s="25"/>
      <c r="I17" s="25"/>
      <c r="J17" s="25"/>
      <c r="K17" s="25"/>
      <c r="O17" s="25"/>
      <c r="P17" s="25"/>
      <c r="Q17" s="25"/>
      <c r="R17" s="25"/>
      <c r="S17" s="25"/>
    </row>
    <row r="18" spans="1:19" x14ac:dyDescent="0.25">
      <c r="A18" s="24"/>
      <c r="D18" s="25"/>
      <c r="E18" s="25"/>
      <c r="F18" s="25"/>
      <c r="G18" s="25"/>
      <c r="H18" s="25"/>
      <c r="I18" s="25"/>
      <c r="J18" s="25"/>
      <c r="K18" s="25"/>
      <c r="O18" s="25"/>
      <c r="P18" s="25"/>
      <c r="Q18" s="25"/>
      <c r="R18" s="25"/>
      <c r="S18" s="25"/>
    </row>
    <row r="19" spans="1:19" x14ac:dyDescent="0.25">
      <c r="A19" s="24"/>
      <c r="D19" s="25"/>
      <c r="E19" s="25"/>
      <c r="F19" s="25"/>
      <c r="G19" s="25"/>
      <c r="H19" s="25"/>
      <c r="I19" s="25"/>
      <c r="J19" s="25"/>
      <c r="K19" s="25"/>
      <c r="O19" s="25"/>
      <c r="P19" s="25"/>
      <c r="Q19" s="25"/>
      <c r="R19" s="25"/>
      <c r="S19" s="25"/>
    </row>
    <row r="20" spans="1:19" x14ac:dyDescent="0.25">
      <c r="A20" s="24"/>
      <c r="D20" s="25"/>
      <c r="E20" s="25"/>
      <c r="F20" s="25"/>
      <c r="G20" s="25"/>
      <c r="H20" s="25"/>
      <c r="I20" s="25"/>
      <c r="J20" s="25"/>
      <c r="K20" s="25"/>
      <c r="O20" s="25"/>
      <c r="P20" s="25"/>
      <c r="Q20" s="25"/>
      <c r="R20" s="25"/>
      <c r="S20" s="25"/>
    </row>
    <row r="21" spans="1:19" x14ac:dyDescent="0.25">
      <c r="A21" s="24"/>
      <c r="D21" s="25"/>
      <c r="E21" s="25"/>
      <c r="F21" s="25"/>
      <c r="G21" s="25"/>
      <c r="H21" s="25"/>
      <c r="I21" s="25"/>
      <c r="J21" s="25"/>
      <c r="K21" s="25"/>
      <c r="O21" s="25"/>
      <c r="P21" s="25"/>
      <c r="Q21" s="25"/>
      <c r="R21" s="25"/>
      <c r="S21" s="25"/>
    </row>
    <row r="22" spans="1:19" x14ac:dyDescent="0.25">
      <c r="A22" s="24"/>
      <c r="D22" s="25"/>
      <c r="E22" s="25"/>
      <c r="F22" s="25"/>
      <c r="G22" s="25"/>
      <c r="H22" s="25"/>
      <c r="I22" s="25"/>
      <c r="J22" s="25"/>
      <c r="K22" s="25"/>
      <c r="O22" s="25"/>
      <c r="P22" s="25"/>
      <c r="Q22" s="25"/>
      <c r="R22" s="25"/>
      <c r="S22" s="25"/>
    </row>
    <row r="23" spans="1:19" x14ac:dyDescent="0.25">
      <c r="A23" s="24"/>
      <c r="D23" s="25"/>
      <c r="E23" s="25"/>
      <c r="F23" s="25"/>
      <c r="G23" s="25"/>
      <c r="H23" s="25"/>
      <c r="I23" s="25"/>
      <c r="J23" s="25"/>
      <c r="K23" s="25"/>
      <c r="O23" s="25"/>
      <c r="P23" s="25"/>
      <c r="Q23" s="25"/>
      <c r="R23" s="25"/>
      <c r="S23" s="25"/>
    </row>
    <row r="24" spans="1:19" x14ac:dyDescent="0.25">
      <c r="A24" s="24"/>
      <c r="D24" s="25"/>
      <c r="E24" s="25"/>
      <c r="F24" s="25"/>
      <c r="G24" s="25"/>
      <c r="H24" s="25"/>
      <c r="I24" s="25"/>
      <c r="J24" s="25"/>
      <c r="K24" s="25"/>
      <c r="O24" s="25"/>
      <c r="P24" s="25"/>
      <c r="Q24" s="25"/>
      <c r="R24" s="25"/>
      <c r="S24" s="25"/>
    </row>
    <row r="25" spans="1:19" x14ac:dyDescent="0.25">
      <c r="A25" s="24"/>
      <c r="D25" s="25"/>
      <c r="E25" s="25"/>
      <c r="F25" s="25"/>
      <c r="G25" s="25"/>
      <c r="H25" s="25"/>
      <c r="I25" s="25"/>
      <c r="J25" s="25"/>
      <c r="K25" s="25"/>
      <c r="O25" s="25"/>
      <c r="P25" s="25"/>
      <c r="Q25" s="25"/>
      <c r="R25" s="25"/>
      <c r="S25" s="25"/>
    </row>
    <row r="26" spans="1:19" x14ac:dyDescent="0.25">
      <c r="A26" s="24"/>
      <c r="D26" s="25"/>
      <c r="E26" s="25"/>
      <c r="F26" s="25"/>
      <c r="G26" s="25"/>
      <c r="H26" s="25"/>
      <c r="I26" s="25"/>
      <c r="J26" s="25"/>
      <c r="K26" s="25"/>
      <c r="O26" s="25"/>
      <c r="P26" s="25"/>
      <c r="Q26" s="25"/>
      <c r="R26" s="25"/>
      <c r="S26" s="25"/>
    </row>
    <row r="27" spans="1:19" x14ac:dyDescent="0.25">
      <c r="A27" s="24"/>
      <c r="D27" s="25"/>
      <c r="E27" s="25"/>
      <c r="F27" s="25"/>
      <c r="G27" s="25"/>
      <c r="H27" s="25"/>
      <c r="I27" s="25"/>
      <c r="J27" s="25"/>
      <c r="K27" s="25"/>
      <c r="O27" s="25"/>
      <c r="P27" s="25"/>
      <c r="Q27" s="25"/>
      <c r="R27" s="25"/>
      <c r="S27" s="25"/>
    </row>
    <row r="28" spans="1:19" x14ac:dyDescent="0.25">
      <c r="A28" s="24"/>
      <c r="D28" s="25"/>
      <c r="E28" s="25"/>
      <c r="F28" s="25"/>
      <c r="G28" s="25"/>
      <c r="H28" s="25"/>
      <c r="I28" s="25"/>
      <c r="J28" s="25"/>
      <c r="K28" s="25"/>
      <c r="O28" s="25"/>
      <c r="P28" s="25"/>
      <c r="Q28" s="25"/>
      <c r="R28" s="25"/>
      <c r="S28" s="25"/>
    </row>
    <row r="29" spans="1:19" x14ac:dyDescent="0.25">
      <c r="A29" s="24"/>
      <c r="D29" s="25"/>
      <c r="E29" s="25"/>
      <c r="F29" s="25"/>
      <c r="G29" s="25"/>
      <c r="H29" s="25"/>
      <c r="I29" s="25"/>
      <c r="J29" s="25"/>
      <c r="K29" s="25"/>
      <c r="O29" s="25"/>
      <c r="P29" s="25"/>
      <c r="Q29" s="25"/>
      <c r="R29" s="25"/>
      <c r="S29" s="25"/>
    </row>
    <row r="30" spans="1:19" x14ac:dyDescent="0.25">
      <c r="A30" s="24"/>
      <c r="D30" s="25"/>
      <c r="E30" s="25"/>
      <c r="F30" s="25"/>
      <c r="G30" s="25"/>
      <c r="H30" s="25"/>
      <c r="I30" s="25"/>
      <c r="J30" s="25"/>
      <c r="K30" s="25"/>
      <c r="O30" s="25"/>
      <c r="P30" s="25"/>
      <c r="Q30" s="25"/>
      <c r="R30" s="25"/>
      <c r="S30" s="25"/>
    </row>
    <row r="31" spans="1:19" x14ac:dyDescent="0.25">
      <c r="A31" s="24"/>
      <c r="D31" s="25"/>
      <c r="E31" s="25"/>
      <c r="F31" s="25"/>
      <c r="G31" s="25"/>
      <c r="H31" s="25"/>
      <c r="I31" s="25"/>
      <c r="J31" s="25"/>
      <c r="K31" s="25"/>
      <c r="O31" s="25"/>
      <c r="P31" s="25"/>
      <c r="Q31" s="25"/>
      <c r="R31" s="25"/>
      <c r="S31" s="25"/>
    </row>
    <row r="32" spans="1:19" x14ac:dyDescent="0.25">
      <c r="A32" s="24"/>
      <c r="D32" s="25"/>
      <c r="E32" s="25"/>
      <c r="F32" s="25"/>
      <c r="G32" s="25"/>
      <c r="H32" s="25"/>
      <c r="I32" s="25"/>
      <c r="J32" s="25"/>
      <c r="K32" s="25"/>
      <c r="O32" s="25"/>
      <c r="P32" s="25"/>
      <c r="Q32" s="25"/>
      <c r="R32" s="25"/>
      <c r="S32" s="25"/>
    </row>
    <row r="33" spans="1:19" x14ac:dyDescent="0.25">
      <c r="A33" s="24"/>
      <c r="D33" s="25"/>
      <c r="E33" s="25"/>
      <c r="F33" s="25"/>
      <c r="G33" s="25"/>
      <c r="H33" s="25"/>
      <c r="I33" s="25"/>
      <c r="J33" s="25"/>
      <c r="K33" s="25"/>
      <c r="O33" s="25"/>
      <c r="P33" s="25"/>
      <c r="Q33" s="25"/>
      <c r="R33" s="25"/>
      <c r="S33" s="25"/>
    </row>
    <row r="34" spans="1:19" x14ac:dyDescent="0.25">
      <c r="A34" s="24"/>
      <c r="D34" s="25"/>
      <c r="E34" s="25"/>
      <c r="F34" s="25"/>
      <c r="G34" s="25"/>
      <c r="H34" s="25"/>
      <c r="I34" s="25"/>
      <c r="J34" s="25"/>
      <c r="K34" s="25"/>
      <c r="O34" s="25"/>
      <c r="P34" s="25"/>
      <c r="Q34" s="25"/>
      <c r="R34" s="25"/>
      <c r="S34" s="25"/>
    </row>
    <row r="35" spans="1:19" x14ac:dyDescent="0.25">
      <c r="A35" s="24"/>
      <c r="D35" s="25"/>
      <c r="E35" s="25"/>
      <c r="F35" s="25"/>
      <c r="G35" s="25"/>
      <c r="H35" s="25"/>
      <c r="I35" s="25"/>
      <c r="J35" s="25"/>
      <c r="K35" s="25"/>
      <c r="O35" s="25"/>
      <c r="P35" s="25"/>
      <c r="Q35" s="25"/>
      <c r="R35" s="25"/>
      <c r="S35" s="25"/>
    </row>
    <row r="36" spans="1:19" x14ac:dyDescent="0.25">
      <c r="A36" s="24"/>
      <c r="D36" s="25"/>
      <c r="E36" s="25"/>
      <c r="F36" s="25"/>
      <c r="G36" s="25"/>
      <c r="H36" s="25"/>
      <c r="I36" s="25"/>
      <c r="J36" s="25"/>
      <c r="K36" s="25"/>
      <c r="O36" s="25"/>
      <c r="P36" s="25"/>
      <c r="Q36" s="25"/>
      <c r="R36" s="25"/>
      <c r="S36" s="25"/>
    </row>
    <row r="37" spans="1:19" x14ac:dyDescent="0.25">
      <c r="A37" s="24"/>
      <c r="D37" s="25"/>
      <c r="E37" s="25"/>
      <c r="F37" s="25"/>
      <c r="G37" s="25"/>
      <c r="H37" s="25"/>
      <c r="I37" s="25"/>
      <c r="J37" s="25"/>
      <c r="K37" s="25"/>
      <c r="O37" s="25"/>
      <c r="P37" s="25"/>
      <c r="Q37" s="25"/>
      <c r="R37" s="25"/>
      <c r="S37" s="25"/>
    </row>
    <row r="38" spans="1:19" x14ac:dyDescent="0.25">
      <c r="A38" s="24"/>
      <c r="D38" s="25"/>
      <c r="E38" s="25"/>
      <c r="F38" s="25"/>
      <c r="G38" s="25"/>
      <c r="H38" s="25"/>
      <c r="I38" s="25"/>
      <c r="J38" s="25"/>
      <c r="K38" s="25"/>
      <c r="O38" s="25"/>
      <c r="P38" s="25"/>
      <c r="Q38" s="25"/>
      <c r="R38" s="25"/>
      <c r="S38" s="25"/>
    </row>
    <row r="39" spans="1:19" x14ac:dyDescent="0.25">
      <c r="A39" s="24"/>
      <c r="D39" s="25"/>
      <c r="E39" s="25"/>
      <c r="F39" s="25"/>
      <c r="G39" s="25"/>
      <c r="H39" s="25"/>
      <c r="I39" s="25"/>
      <c r="J39" s="25"/>
      <c r="K39" s="25"/>
      <c r="O39" s="25"/>
      <c r="P39" s="25"/>
      <c r="Q39" s="25"/>
      <c r="R39" s="25"/>
      <c r="S39" s="25"/>
    </row>
    <row r="40" spans="1:19" x14ac:dyDescent="0.25">
      <c r="A40" s="24"/>
      <c r="D40" s="25"/>
      <c r="E40" s="25"/>
      <c r="F40" s="25"/>
      <c r="G40" s="25"/>
      <c r="H40" s="25"/>
      <c r="I40" s="25"/>
      <c r="J40" s="25"/>
      <c r="K40" s="25"/>
      <c r="O40" s="25"/>
      <c r="P40" s="25"/>
      <c r="Q40" s="25"/>
      <c r="R40" s="25"/>
      <c r="S40" s="25"/>
    </row>
    <row r="41" spans="1:19" x14ac:dyDescent="0.25">
      <c r="A41" s="24"/>
      <c r="D41" s="25"/>
      <c r="E41" s="25"/>
      <c r="F41" s="25"/>
      <c r="G41" s="25"/>
      <c r="H41" s="25"/>
      <c r="I41" s="25"/>
      <c r="J41" s="25"/>
      <c r="K41" s="25"/>
      <c r="O41" s="25"/>
      <c r="P41" s="25"/>
      <c r="Q41" s="25"/>
      <c r="R41" s="25"/>
      <c r="S41" s="25"/>
    </row>
    <row r="42" spans="1:19" x14ac:dyDescent="0.25">
      <c r="A42" s="24"/>
      <c r="D42" s="25"/>
      <c r="E42" s="25"/>
      <c r="F42" s="25"/>
      <c r="G42" s="25"/>
      <c r="H42" s="25"/>
      <c r="I42" s="25"/>
      <c r="J42" s="25"/>
      <c r="K42" s="25"/>
      <c r="O42" s="25"/>
      <c r="P42" s="25"/>
      <c r="Q42" s="25"/>
      <c r="R42" s="25"/>
      <c r="S42" s="25"/>
    </row>
    <row r="43" spans="1:19" x14ac:dyDescent="0.25">
      <c r="A43" s="24"/>
      <c r="D43" s="25"/>
      <c r="E43" s="25"/>
      <c r="F43" s="25"/>
      <c r="G43" s="25"/>
      <c r="H43" s="25"/>
      <c r="I43" s="25"/>
      <c r="J43" s="25"/>
      <c r="K43" s="25"/>
      <c r="O43" s="25"/>
      <c r="P43" s="25"/>
      <c r="Q43" s="25"/>
      <c r="R43" s="25"/>
      <c r="S43" s="25"/>
    </row>
    <row r="44" spans="1:19" x14ac:dyDescent="0.25">
      <c r="A44" s="24"/>
      <c r="D44" s="25"/>
      <c r="E44" s="25"/>
      <c r="F44" s="25"/>
      <c r="G44" s="25"/>
      <c r="H44" s="25"/>
      <c r="I44" s="25"/>
      <c r="J44" s="25"/>
      <c r="K44" s="25"/>
      <c r="O44" s="25"/>
      <c r="P44" s="25"/>
      <c r="Q44" s="25"/>
      <c r="R44" s="25"/>
      <c r="S44" s="25"/>
    </row>
    <row r="45" spans="1:19" x14ac:dyDescent="0.25">
      <c r="A45" s="24"/>
      <c r="D45" s="25"/>
      <c r="E45" s="25"/>
      <c r="F45" s="25"/>
      <c r="G45" s="25"/>
      <c r="H45" s="25"/>
      <c r="I45" s="25"/>
      <c r="J45" s="25"/>
      <c r="K45" s="25"/>
      <c r="O45" s="25"/>
      <c r="P45" s="25"/>
      <c r="Q45" s="25"/>
      <c r="R45" s="25"/>
      <c r="S45" s="25"/>
    </row>
    <row r="46" spans="1:19" x14ac:dyDescent="0.25">
      <c r="A46" s="24"/>
      <c r="D46" s="25"/>
      <c r="E46" s="25"/>
      <c r="F46" s="25"/>
      <c r="G46" s="25"/>
      <c r="H46" s="25"/>
      <c r="I46" s="25"/>
      <c r="J46" s="25"/>
      <c r="K46" s="25"/>
      <c r="O46" s="25"/>
      <c r="P46" s="25"/>
      <c r="Q46" s="25"/>
      <c r="R46" s="25"/>
      <c r="S46" s="25"/>
    </row>
    <row r="47" spans="1:19" x14ac:dyDescent="0.25">
      <c r="A47" s="24"/>
      <c r="D47" s="25"/>
      <c r="E47" s="25"/>
      <c r="F47" s="25"/>
      <c r="G47" s="25"/>
      <c r="H47" s="25"/>
      <c r="I47" s="25"/>
      <c r="J47" s="25"/>
      <c r="K47" s="25"/>
      <c r="O47" s="25"/>
      <c r="P47" s="25"/>
      <c r="Q47" s="25"/>
      <c r="R47" s="25"/>
      <c r="S47" s="25"/>
    </row>
    <row r="48" spans="1:19" x14ac:dyDescent="0.25">
      <c r="A48" s="24"/>
      <c r="D48" s="25"/>
      <c r="E48" s="25"/>
      <c r="F48" s="25"/>
      <c r="G48" s="25"/>
      <c r="H48" s="25"/>
      <c r="I48" s="25"/>
      <c r="J48" s="25"/>
      <c r="K48" s="25"/>
      <c r="O48" s="25"/>
      <c r="P48" s="25"/>
      <c r="Q48" s="25"/>
      <c r="R48" s="25"/>
      <c r="S48" s="25"/>
    </row>
    <row r="49" spans="1:19" x14ac:dyDescent="0.25">
      <c r="A49" s="24"/>
      <c r="D49" s="25"/>
      <c r="E49" s="25"/>
      <c r="F49" s="25"/>
      <c r="G49" s="25"/>
      <c r="H49" s="25"/>
      <c r="I49" s="25"/>
      <c r="J49" s="25"/>
      <c r="K49" s="25"/>
      <c r="O49" s="25"/>
      <c r="P49" s="25"/>
      <c r="Q49" s="25"/>
      <c r="R49" s="25"/>
      <c r="S49" s="25"/>
    </row>
    <row r="50" spans="1:19" x14ac:dyDescent="0.25">
      <c r="A50" s="24"/>
      <c r="D50" s="25"/>
      <c r="E50" s="25"/>
      <c r="F50" s="25"/>
      <c r="G50" s="25"/>
      <c r="H50" s="25"/>
      <c r="I50" s="25"/>
      <c r="J50" s="25"/>
      <c r="K50" s="25"/>
      <c r="O50" s="25"/>
      <c r="P50" s="25"/>
      <c r="Q50" s="25"/>
      <c r="R50" s="25"/>
      <c r="S50" s="25"/>
    </row>
    <row r="51" spans="1:19" x14ac:dyDescent="0.25">
      <c r="A51" s="24"/>
      <c r="D51" s="25"/>
      <c r="E51" s="24"/>
      <c r="F51" s="24"/>
      <c r="G51" s="24"/>
      <c r="H51" s="24"/>
      <c r="I51" s="24"/>
      <c r="J51" s="24"/>
      <c r="K51" s="24"/>
      <c r="O51" s="25"/>
      <c r="P51" s="24"/>
      <c r="Q51" s="24"/>
      <c r="R51" s="24"/>
      <c r="S51" s="24"/>
    </row>
    <row r="52" spans="1:19" x14ac:dyDescent="0.25">
      <c r="A52" s="24"/>
      <c r="D52" s="24"/>
      <c r="E52" s="24"/>
      <c r="F52" s="24"/>
      <c r="G52" s="24"/>
      <c r="H52" s="24"/>
      <c r="I52" s="24"/>
      <c r="J52" s="24"/>
      <c r="K52" s="24"/>
      <c r="O52" s="24"/>
      <c r="P52" s="24"/>
      <c r="Q52" s="24"/>
      <c r="R52" s="24"/>
      <c r="S52" s="24"/>
    </row>
    <row r="53" spans="1:19" x14ac:dyDescent="0.25">
      <c r="A53" s="24"/>
      <c r="D53" s="24"/>
      <c r="E53" s="24"/>
      <c r="F53" s="24"/>
      <c r="G53" s="24"/>
      <c r="H53" s="24"/>
      <c r="I53" s="24"/>
      <c r="J53" s="24"/>
      <c r="K53" s="24"/>
      <c r="O53" s="24"/>
      <c r="P53" s="24"/>
      <c r="Q53" s="24"/>
      <c r="R53" s="24"/>
      <c r="S53" s="24"/>
    </row>
    <row r="54" spans="1:19" x14ac:dyDescent="0.25">
      <c r="A54" s="24"/>
      <c r="B54" s="411" t="s">
        <v>695</v>
      </c>
      <c r="C54" s="160" t="s">
        <v>696</v>
      </c>
      <c r="D54" s="24"/>
      <c r="E54" s="24"/>
      <c r="F54" s="24"/>
      <c r="G54" s="24"/>
      <c r="H54" s="24"/>
      <c r="I54" s="24"/>
      <c r="J54" s="24"/>
      <c r="K54" s="24"/>
      <c r="M54" s="411" t="s">
        <v>695</v>
      </c>
      <c r="N54" s="160" t="s">
        <v>696</v>
      </c>
      <c r="O54" s="24"/>
      <c r="P54" s="24"/>
      <c r="Q54" s="24"/>
      <c r="R54" s="24"/>
      <c r="S54" s="24"/>
    </row>
    <row r="55" spans="1:19" x14ac:dyDescent="0.25">
      <c r="A55" s="24"/>
      <c r="D55" s="24"/>
      <c r="E55" s="24"/>
      <c r="F55" s="24"/>
      <c r="G55" s="24"/>
      <c r="H55" s="24"/>
      <c r="I55" s="24"/>
      <c r="J55" s="24"/>
      <c r="K55" s="24"/>
      <c r="O55" s="24"/>
      <c r="P55" s="24"/>
      <c r="Q55" s="24"/>
      <c r="R55" s="24"/>
      <c r="S55" s="24"/>
    </row>
    <row r="56" spans="1:19" s="422" customFormat="1" ht="15.75" thickBot="1" x14ac:dyDescent="0.3">
      <c r="A56" s="421"/>
      <c r="D56" s="421"/>
      <c r="E56" s="421"/>
      <c r="F56" s="421"/>
      <c r="G56" s="421"/>
      <c r="H56" s="421"/>
      <c r="I56" s="421"/>
      <c r="J56" s="421"/>
      <c r="K56" s="421"/>
      <c r="O56" s="421"/>
      <c r="P56" s="421"/>
      <c r="Q56" s="421"/>
      <c r="R56" s="421"/>
      <c r="S56" s="421"/>
    </row>
    <row r="57" spans="1:19" s="320" customFormat="1" ht="15.75" thickTop="1" x14ac:dyDescent="0.25">
      <c r="A57" s="31"/>
      <c r="D57" s="31"/>
      <c r="E57" s="31"/>
      <c r="F57" s="31"/>
      <c r="G57" s="31"/>
      <c r="H57" s="31"/>
      <c r="I57" s="31"/>
      <c r="J57" s="31"/>
      <c r="K57" s="31"/>
      <c r="O57" s="31"/>
      <c r="P57" s="31"/>
      <c r="Q57" s="31"/>
      <c r="R57" s="31"/>
      <c r="S57" s="31"/>
    </row>
    <row r="58" spans="1:19" s="320" customFormat="1" x14ac:dyDescent="0.25">
      <c r="A58" s="31"/>
      <c r="B58" s="420" t="s">
        <v>705</v>
      </c>
      <c r="D58" s="31"/>
      <c r="E58" s="31"/>
      <c r="F58" s="31"/>
      <c r="G58" s="31"/>
      <c r="H58" s="31"/>
      <c r="I58" s="31"/>
      <c r="J58" s="31"/>
      <c r="K58" s="31"/>
      <c r="O58" s="31"/>
      <c r="P58" s="31"/>
      <c r="Q58" s="31"/>
      <c r="R58" s="31"/>
      <c r="S58" s="31"/>
    </row>
    <row r="59" spans="1:19" s="320" customFormat="1" x14ac:dyDescent="0.25">
      <c r="A59" s="31"/>
      <c r="D59" s="31"/>
      <c r="E59" s="31"/>
      <c r="F59" s="31"/>
      <c r="G59" s="31"/>
      <c r="H59" s="31"/>
      <c r="I59" s="31"/>
      <c r="J59" s="31"/>
      <c r="K59" s="31"/>
      <c r="O59" s="31"/>
      <c r="P59" s="31"/>
      <c r="Q59" s="31"/>
      <c r="R59" s="31"/>
      <c r="S59" s="31"/>
    </row>
    <row r="60" spans="1:19" x14ac:dyDescent="0.25">
      <c r="A60" s="24"/>
      <c r="B60" s="410" t="s">
        <v>703</v>
      </c>
      <c r="D60" s="24"/>
      <c r="E60" s="24"/>
      <c r="F60" s="24"/>
      <c r="G60" s="24"/>
      <c r="H60" s="24"/>
      <c r="I60" s="24"/>
      <c r="J60" s="24"/>
      <c r="K60" s="24"/>
      <c r="P60" s="24"/>
      <c r="Q60" s="24"/>
      <c r="R60" s="24"/>
      <c r="S60" s="24"/>
    </row>
    <row r="61" spans="1:19" x14ac:dyDescent="0.25">
      <c r="A61" s="24"/>
      <c r="D61" s="24"/>
      <c r="E61" s="24"/>
      <c r="F61" s="24"/>
      <c r="G61" s="24"/>
      <c r="H61" s="24"/>
      <c r="I61" s="24"/>
      <c r="J61" s="24"/>
      <c r="K61" s="24"/>
      <c r="O61" s="24"/>
      <c r="P61" s="24"/>
      <c r="Q61" s="24"/>
      <c r="R61" s="24"/>
      <c r="S61" s="24"/>
    </row>
    <row r="62" spans="1:19" x14ac:dyDescent="0.25">
      <c r="A62" s="24"/>
      <c r="D62" s="24"/>
      <c r="E62" s="24"/>
      <c r="F62" s="24"/>
      <c r="G62" s="24"/>
      <c r="H62" s="24"/>
      <c r="I62" s="24"/>
      <c r="J62" s="24"/>
      <c r="K62" s="24"/>
      <c r="O62" s="24"/>
      <c r="P62" s="24"/>
      <c r="Q62" s="24"/>
      <c r="R62" s="24"/>
      <c r="S62" s="24"/>
    </row>
    <row r="63" spans="1:19" x14ac:dyDescent="0.25">
      <c r="A63" s="24"/>
      <c r="D63" s="24"/>
      <c r="E63" s="24"/>
      <c r="F63" s="24"/>
      <c r="G63" s="24"/>
      <c r="H63" s="24"/>
      <c r="I63" s="24"/>
      <c r="J63" s="24"/>
      <c r="K63" s="24"/>
      <c r="O63" s="24"/>
      <c r="P63" s="24"/>
      <c r="Q63" s="24"/>
      <c r="R63" s="24"/>
      <c r="S63" s="24"/>
    </row>
    <row r="64" spans="1:19" x14ac:dyDescent="0.25">
      <c r="A64" s="24"/>
      <c r="D64" s="24"/>
      <c r="E64" s="24"/>
      <c r="F64" s="24"/>
      <c r="G64" s="24"/>
      <c r="H64" s="24"/>
      <c r="I64" s="24"/>
      <c r="J64" s="24"/>
      <c r="K64" s="24"/>
      <c r="O64" s="24"/>
      <c r="P64" s="24"/>
      <c r="Q64" s="24"/>
      <c r="R64" s="24"/>
      <c r="S64" s="24"/>
    </row>
    <row r="76" spans="2:4" x14ac:dyDescent="0.25">
      <c r="B76" s="410" t="s">
        <v>703</v>
      </c>
      <c r="D76" s="410" t="s">
        <v>704</v>
      </c>
    </row>
  </sheetData>
  <hyperlinks>
    <hyperlink ref="C54" r:id="rId1" xr:uid="{43A224DF-E2B9-40B3-AE74-0D9DFD2C5617}"/>
    <hyperlink ref="N54" r:id="rId2" xr:uid="{6BAAFA16-3946-49E9-9BE6-12FDA5A60F2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tabColor rgb="FF0070C0"/>
    <pageSetUpPr fitToPage="1"/>
  </sheetPr>
  <dimension ref="A1:W120"/>
  <sheetViews>
    <sheetView tabSelected="1" topLeftCell="A53" zoomScale="70" zoomScaleNormal="70" zoomScaleSheetLayoutView="265" workbookViewId="0">
      <selection activeCell="Q65" sqref="Q65"/>
    </sheetView>
  </sheetViews>
  <sheetFormatPr defaultRowHeight="15" outlineLevelRow="1" x14ac:dyDescent="0.25"/>
  <cols>
    <col min="1" max="1" width="9.140625" style="70"/>
    <col min="2" max="2" width="15.7109375" style="70" customWidth="1"/>
    <col min="3" max="3" width="15.7109375" style="242" customWidth="1"/>
    <col min="4" max="4" width="16.85546875" style="70" customWidth="1"/>
    <col min="5" max="7" width="16.85546875" style="242" customWidth="1"/>
    <col min="8" max="11" width="20.7109375" style="70" customWidth="1"/>
    <col min="12" max="12" width="20.7109375" style="167" customWidth="1"/>
    <col min="13" max="13" width="20.7109375" style="242" customWidth="1"/>
    <col min="14" max="15" width="20.7109375" style="424" customWidth="1"/>
    <col min="16" max="16" width="20.7109375" style="167" customWidth="1"/>
    <col min="17" max="17" width="20.7109375" style="70" customWidth="1"/>
    <col min="18" max="23" width="15.7109375" style="70" customWidth="1"/>
    <col min="24" max="16384" width="9.140625" style="70"/>
  </cols>
  <sheetData>
    <row r="1" spans="2:23" ht="23.25" x14ac:dyDescent="0.35">
      <c r="B1" s="34" t="s">
        <v>646</v>
      </c>
      <c r="C1" s="34"/>
      <c r="S1" s="24"/>
      <c r="T1" s="24"/>
      <c r="V1" s="64"/>
      <c r="W1" s="24"/>
    </row>
    <row r="2" spans="2:23" x14ac:dyDescent="0.25">
      <c r="Q2" s="49"/>
      <c r="R2" s="49"/>
      <c r="S2" s="64"/>
      <c r="T2" s="24"/>
    </row>
    <row r="3" spans="2:23" ht="16.5" thickBot="1" x14ac:dyDescent="0.3">
      <c r="B3" s="17" t="s">
        <v>7</v>
      </c>
      <c r="C3" s="17"/>
      <c r="H3" s="43"/>
      <c r="I3" s="43"/>
      <c r="J3" s="43"/>
    </row>
    <row r="4" spans="2:23" ht="44.25" customHeight="1" thickBot="1" x14ac:dyDescent="0.3">
      <c r="B4" s="17"/>
      <c r="C4" s="472" t="s">
        <v>9</v>
      </c>
      <c r="D4" s="473"/>
      <c r="E4" s="473"/>
      <c r="F4" s="473"/>
      <c r="G4" s="474"/>
      <c r="H4" s="472" t="s">
        <v>42</v>
      </c>
      <c r="I4" s="473"/>
      <c r="J4" s="474"/>
      <c r="K4" s="472" t="s">
        <v>10</v>
      </c>
      <c r="L4" s="473"/>
      <c r="M4" s="474"/>
      <c r="N4" s="477" t="s">
        <v>706</v>
      </c>
      <c r="O4" s="478"/>
      <c r="P4" s="175"/>
      <c r="Q4" s="167"/>
    </row>
    <row r="5" spans="2:23" ht="35.1" customHeight="1" x14ac:dyDescent="0.25">
      <c r="B5" s="460" t="s">
        <v>0</v>
      </c>
      <c r="C5" s="464" t="s">
        <v>195</v>
      </c>
      <c r="D5" s="468" t="s">
        <v>194</v>
      </c>
      <c r="E5" s="468" t="s">
        <v>196</v>
      </c>
      <c r="F5" s="475" t="s">
        <v>197</v>
      </c>
      <c r="G5" s="470" t="s">
        <v>204</v>
      </c>
      <c r="H5" s="464" t="s">
        <v>615</v>
      </c>
      <c r="I5" s="468" t="s">
        <v>57</v>
      </c>
      <c r="J5" s="466" t="s">
        <v>58</v>
      </c>
      <c r="K5" s="464" t="s">
        <v>80</v>
      </c>
      <c r="L5" s="468" t="s">
        <v>617</v>
      </c>
      <c r="M5" s="466" t="s">
        <v>219</v>
      </c>
      <c r="N5" s="479" t="s">
        <v>720</v>
      </c>
      <c r="O5" s="481" t="s">
        <v>707</v>
      </c>
      <c r="P5" s="470" t="s">
        <v>82</v>
      </c>
      <c r="Q5" s="458" t="s">
        <v>81</v>
      </c>
    </row>
    <row r="6" spans="2:23" ht="35.1" customHeight="1" thickBot="1" x14ac:dyDescent="0.3">
      <c r="B6" s="461"/>
      <c r="C6" s="465"/>
      <c r="D6" s="469"/>
      <c r="E6" s="469"/>
      <c r="F6" s="476"/>
      <c r="G6" s="471"/>
      <c r="H6" s="465"/>
      <c r="I6" s="469"/>
      <c r="J6" s="467"/>
      <c r="K6" s="465"/>
      <c r="L6" s="469"/>
      <c r="M6" s="467"/>
      <c r="N6" s="480"/>
      <c r="O6" s="482"/>
      <c r="P6" s="471"/>
      <c r="Q6" s="459"/>
    </row>
    <row r="7" spans="2:23" ht="15" hidden="1" customHeight="1" outlineLevel="1" x14ac:dyDescent="0.25">
      <c r="B7" s="296">
        <f>Assumptions!D3</f>
        <v>2022</v>
      </c>
      <c r="C7" s="451">
        <f>IFERROR(_xlfn.XLOOKUP($B7,'TT-Detour-Car'!B$6:B$35,'TT-Detour-Car'!G$6:G$35,0,0,1),0)</f>
        <v>0</v>
      </c>
      <c r="D7" s="452">
        <f>IFERROR(_xlfn.XLOOKUP($B7,'TT-Detour-Truck'!B$6:B$35,'TT-Detour-Truck'!G$6:G$35,0,0,1),0)</f>
        <v>0</v>
      </c>
      <c r="E7" s="452">
        <f>IFERROR(_xlfn.XLOOKUP($B7,'VOC-Detour-Car'!B$6:B$35,'VOC-Detour-Car'!G$6:G$35,0,0,1),0)</f>
        <v>0</v>
      </c>
      <c r="F7" s="452">
        <f>IFERROR(_xlfn.XLOOKUP($B7,'VOC-Detour-Truck'!B$6:B$35,'VOC-Detour-Truck'!G$6:G$35,0,0,1),0)</f>
        <v>0</v>
      </c>
      <c r="G7" s="453">
        <f>IFERROR(_xlfn.XLOOKUP($B7,'TT - Construction'!$B$6:$B$35,'TT - Construction'!$G$6:$G$35,0,0,1),0)</f>
        <v>0</v>
      </c>
      <c r="H7" s="451">
        <f>IFERROR(_xlfn.XLOOKUP($B7,'Air Quality'!B$6:B$35,'Air Quality'!$D$6:$D$35,0,0,1),0)</f>
        <v>0</v>
      </c>
      <c r="I7" s="452">
        <f>IFERROR(_xlfn.XLOOKUP($B7,'Air Quality'!B$6:B$35,'Air Quality'!M$6:M$35,0,0,1),0)</f>
        <v>0</v>
      </c>
      <c r="J7" s="454">
        <f>IFERROR(_xlfn.XLOOKUP($B7,'Air Quality'!B$6:B$35,'Air Quality'!$E$6:$E$35,0,0,1),0)</f>
        <v>0</v>
      </c>
      <c r="K7" s="451">
        <f>IFERROR(_xlfn.XLOOKUP($B7,'Safety -  I-80 Mainline'!B$6:B$35,'Safety -  I-80 Mainline'!E$6:E$35,0,0,1),0)</f>
        <v>0</v>
      </c>
      <c r="L7" s="452">
        <f>IFERROR(_xlfn.XLOOKUP($B7,'Safety - N-103 Interchange'!B$6:B$35,'Safety - N-103 Interchange'!E$6:E$35,0,0,1),0)</f>
        <v>0</v>
      </c>
      <c r="M7" s="454">
        <f>IFERROR(_xlfn.XLOOKUP($B7,'Safety US 6 (I-80 Alt)'!$B$6:$B$35,'Safety US 6 (I-80 Alt)'!$E$6:$E$35,0,0,1),0)</f>
        <v>0</v>
      </c>
      <c r="N7" s="451">
        <f>IFERROR(_xlfn.XLOOKUP($B7,'Operating and Maintenance Costs'!$B$5:$B$60,'Operating and Maintenance Costs'!$E$5:$E$60,0,0,1),0)</f>
        <v>0</v>
      </c>
      <c r="O7" s="454">
        <f>IFERROR(_xlfn.XLOOKUP($B7,'Capital Cost and RCV'!$B$6:$B$39,'Capital Cost and RCV'!$E$6:$E$39,0,0,1),0)</f>
        <v>0</v>
      </c>
      <c r="P7" s="453">
        <f>IFERROR(SUM(C7:I7,K7:O7),0)</f>
        <v>0</v>
      </c>
      <c r="Q7" s="454">
        <f>IFERROR(SUM(C7,D7,E7,F7,G7,I7,K7:O7)*(1+0.07)^-($B7-Assumptions!$D$4)+J7,0)</f>
        <v>0</v>
      </c>
    </row>
    <row r="8" spans="2:23" ht="15" hidden="1" customHeight="1" outlineLevel="1" x14ac:dyDescent="0.25">
      <c r="B8" s="277">
        <f>B7+1</f>
        <v>2023</v>
      </c>
      <c r="C8" s="298">
        <f>IFERROR(_xlfn.XLOOKUP($B8,'TT-Detour-Car'!B$6:B$35,'TT-Detour-Car'!G$6:G$35,0,0,1),0)</f>
        <v>0</v>
      </c>
      <c r="D8" s="297">
        <f>IFERROR(_xlfn.XLOOKUP($B8,'TT-Detour-Truck'!B$6:B$35,'TT-Detour-Truck'!G$6:G$35,0,0,1),0)</f>
        <v>0</v>
      </c>
      <c r="E8" s="297">
        <f>IFERROR(_xlfn.XLOOKUP($B8,'VOC-Detour-Car'!B$6:B$35,'VOC-Detour-Car'!G$6:G$35,0,0,1),0)</f>
        <v>0</v>
      </c>
      <c r="F8" s="297">
        <f>IFERROR(_xlfn.XLOOKUP($B8,'VOC-Detour-Truck'!B$6:B$35,'VOC-Detour-Truck'!G$6:G$35,0,0,1),0)</f>
        <v>0</v>
      </c>
      <c r="G8" s="378">
        <f>IFERROR(_xlfn.XLOOKUP($B8,'TT - Construction'!$B$6:$B$35,'TT - Construction'!$G$6:$G$35,0,0,1),0)</f>
        <v>0</v>
      </c>
      <c r="H8" s="298">
        <f>IFERROR(_xlfn.XLOOKUP($B8,'Air Quality'!B$6:B$35,'Air Quality'!$D$6:$D$35,0,0,1),0)</f>
        <v>0</v>
      </c>
      <c r="I8" s="297">
        <f>IFERROR(_xlfn.XLOOKUP($B8,'Air Quality'!B$6:B$35,'Air Quality'!M$6:M$35,0,0,1),0)</f>
        <v>0</v>
      </c>
      <c r="J8" s="299">
        <f>IFERROR(_xlfn.XLOOKUP($B8,'Air Quality'!B$6:B$35,'Air Quality'!$E$6:$E$35,0,0,1),0)</f>
        <v>0</v>
      </c>
      <c r="K8" s="298">
        <f>IFERROR(_xlfn.XLOOKUP($B8,'Safety -  I-80 Mainline'!B$6:B$35,'Safety -  I-80 Mainline'!E$6:E$35,0,0,1),0)</f>
        <v>0</v>
      </c>
      <c r="L8" s="297">
        <f>IFERROR(_xlfn.XLOOKUP($B8,'Safety - N-103 Interchange'!B$6:B$35,'Safety - N-103 Interchange'!E$6:E$35,0,0,1),0)</f>
        <v>0</v>
      </c>
      <c r="M8" s="299">
        <f>IFERROR(_xlfn.XLOOKUP($B8,'Safety US 6 (I-80 Alt)'!$B$6:$B$35,'Safety US 6 (I-80 Alt)'!$E$6:$E$35,0,0,1),0)</f>
        <v>0</v>
      </c>
      <c r="N8" s="298">
        <f>IFERROR(_xlfn.XLOOKUP($B8,'Operating and Maintenance Costs'!$B$5:$B$60,'Operating and Maintenance Costs'!$E$5:$E$60,0,0,1),0)</f>
        <v>0</v>
      </c>
      <c r="O8" s="299">
        <f>IFERROR(_xlfn.XLOOKUP($B8,'Capital Cost and RCV'!$B$6:$B$39,'Capital Cost and RCV'!$E$6:$E$39,0,0,1),0)</f>
        <v>0</v>
      </c>
      <c r="P8" s="378">
        <f t="shared" ref="P8:P62" si="0">IFERROR(SUM(C8:I8,K8:O8),0)</f>
        <v>0</v>
      </c>
      <c r="Q8" s="299">
        <f>IFERROR(SUM(C8,D8,E8,F8,G8,I8,K8:O8)*(1+0.07)^-($B8-Assumptions!$D$4)+J8,0)</f>
        <v>0</v>
      </c>
    </row>
    <row r="9" spans="2:23" ht="15" hidden="1" customHeight="1" outlineLevel="1" x14ac:dyDescent="0.25">
      <c r="B9" s="277">
        <f>B8+1</f>
        <v>2024</v>
      </c>
      <c r="C9" s="298">
        <f>IFERROR(_xlfn.XLOOKUP($B9,'TT-Detour-Car'!B$6:B$35,'TT-Detour-Car'!G$6:G$35,0,0,1),0)</f>
        <v>0</v>
      </c>
      <c r="D9" s="297">
        <f>IFERROR(_xlfn.XLOOKUP($B9,'TT-Detour-Truck'!B$6:B$35,'TT-Detour-Truck'!G$6:G$35,0,0,1),0)</f>
        <v>0</v>
      </c>
      <c r="E9" s="297">
        <f>IFERROR(_xlfn.XLOOKUP($B9,'VOC-Detour-Car'!B$6:B$35,'VOC-Detour-Car'!G$6:G$35,0,0,1),0)</f>
        <v>0</v>
      </c>
      <c r="F9" s="297">
        <f>IFERROR(_xlfn.XLOOKUP($B9,'VOC-Detour-Truck'!B$6:B$35,'VOC-Detour-Truck'!G$6:G$35,0,0,1),0)</f>
        <v>0</v>
      </c>
      <c r="G9" s="378">
        <f>IFERROR(_xlfn.XLOOKUP($B9,'TT - Construction'!$B$6:$B$35,'TT - Construction'!$G$6:$G$35,0,0,1),0)</f>
        <v>0</v>
      </c>
      <c r="H9" s="298">
        <f>IFERROR(_xlfn.XLOOKUP($B9,'Air Quality'!B$6:B$35,'Air Quality'!$D$6:$D$35,0,0,1),0)</f>
        <v>0</v>
      </c>
      <c r="I9" s="297">
        <f>IFERROR(_xlfn.XLOOKUP($B9,'Air Quality'!B$6:B$35,'Air Quality'!M$6:M$35,0,0,1),0)</f>
        <v>0</v>
      </c>
      <c r="J9" s="299">
        <f>IFERROR(_xlfn.XLOOKUP($B9,'Air Quality'!B$6:B$35,'Air Quality'!$E$6:$E$35,0,0,1),0)</f>
        <v>0</v>
      </c>
      <c r="K9" s="298">
        <f>IFERROR(_xlfn.XLOOKUP($B9,'Safety -  I-80 Mainline'!B$6:B$35,'Safety -  I-80 Mainline'!E$6:E$35,0,0,1),0)</f>
        <v>0</v>
      </c>
      <c r="L9" s="297">
        <f>IFERROR(_xlfn.XLOOKUP($B9,'Safety - N-103 Interchange'!B$6:B$35,'Safety - N-103 Interchange'!E$6:E$35,0,0,1),0)</f>
        <v>0</v>
      </c>
      <c r="M9" s="299">
        <f>IFERROR(_xlfn.XLOOKUP($B9,'Safety US 6 (I-80 Alt)'!$B$6:$B$35,'Safety US 6 (I-80 Alt)'!$E$6:$E$35,0,0,1),0)</f>
        <v>0</v>
      </c>
      <c r="N9" s="298">
        <f>IFERROR(_xlfn.XLOOKUP($B9,'Operating and Maintenance Costs'!$B$5:$B$60,'Operating and Maintenance Costs'!$E$5:$E$60,0,0,1),0)</f>
        <v>0</v>
      </c>
      <c r="O9" s="299">
        <f>IFERROR(_xlfn.XLOOKUP($B9,'Capital Cost and RCV'!$B$6:$B$39,'Capital Cost and RCV'!$E$6:$E$39,0,0,1),0)</f>
        <v>0</v>
      </c>
      <c r="P9" s="378">
        <f t="shared" si="0"/>
        <v>0</v>
      </c>
      <c r="Q9" s="299">
        <f>IFERROR(SUM(C9,D9,E9,F9,G9,I9,K9:O9)*(1+0.07)^-($B9-Assumptions!$D$4)+J9,0)</f>
        <v>0</v>
      </c>
      <c r="R9" s="135"/>
      <c r="S9" s="135"/>
    </row>
    <row r="10" spans="2:23" ht="15" hidden="1" customHeight="1" outlineLevel="1" thickBot="1" x14ac:dyDescent="0.3">
      <c r="B10" s="333">
        <f>B9+1</f>
        <v>2025</v>
      </c>
      <c r="C10" s="328">
        <f>IFERROR(_xlfn.XLOOKUP($B10,'TT-Detour-Car'!B$6:B$35,'TT-Detour-Car'!G$6:G$35,0,0,1),0)</f>
        <v>0</v>
      </c>
      <c r="D10" s="329">
        <f>IFERROR(_xlfn.XLOOKUP($B10,'TT-Detour-Truck'!B$6:B$35,'TT-Detour-Truck'!G$6:G$35,0,0,1),0)</f>
        <v>0</v>
      </c>
      <c r="E10" s="329">
        <f>IFERROR(_xlfn.XLOOKUP($B10,'VOC-Detour-Car'!B$6:B$35,'VOC-Detour-Car'!G$6:G$35,0,0,1),0)</f>
        <v>0</v>
      </c>
      <c r="F10" s="329">
        <f>IFERROR(_xlfn.XLOOKUP($B10,'VOC-Detour-Truck'!B$6:B$35,'VOC-Detour-Truck'!G$6:G$35,0,0,1),0)</f>
        <v>0</v>
      </c>
      <c r="G10" s="379">
        <f>IFERROR(_xlfn.XLOOKUP($B10,'TT - Construction'!$B$6:$B$35,'TT - Construction'!$G$6:$G$35,0,0,1),0)</f>
        <v>0</v>
      </c>
      <c r="H10" s="328">
        <f>IFERROR(_xlfn.XLOOKUP($B10,'Air Quality'!B$6:B$35,'Air Quality'!$D$6:$D$35,0,0,1),0)</f>
        <v>0</v>
      </c>
      <c r="I10" s="329">
        <f>IFERROR(_xlfn.XLOOKUP($B10,'Air Quality'!B$6:B$35,'Air Quality'!M$6:M$35,0,0,1),0)</f>
        <v>0</v>
      </c>
      <c r="J10" s="330">
        <f>IFERROR(_xlfn.XLOOKUP($B10,'Air Quality'!B$6:B$35,'Air Quality'!$E$6:$E$35,0,0,1),0)</f>
        <v>0</v>
      </c>
      <c r="K10" s="328">
        <f>IFERROR(_xlfn.XLOOKUP($B10,'Safety -  I-80 Mainline'!B$6:B$35,'Safety -  I-80 Mainline'!E$6:E$35,0,0,1),0)</f>
        <v>0</v>
      </c>
      <c r="L10" s="329">
        <f>IFERROR(_xlfn.XLOOKUP($B10,'Safety - N-103 Interchange'!B$6:B$35,'Safety - N-103 Interchange'!E$6:E$35,0,0,1),0)</f>
        <v>0</v>
      </c>
      <c r="M10" s="330">
        <f>IFERROR(_xlfn.XLOOKUP($B10,'Safety US 6 (I-80 Alt)'!$B$6:$B$35,'Safety US 6 (I-80 Alt)'!$E$6:$E$35,0,0,1),0)</f>
        <v>0</v>
      </c>
      <c r="N10" s="328">
        <f>IFERROR(_xlfn.XLOOKUP($B10,'Operating and Maintenance Costs'!$B$5:$B$60,'Operating and Maintenance Costs'!$E$5:$E$60,0,0,1),0)</f>
        <v>0</v>
      </c>
      <c r="O10" s="330">
        <f>IFERROR(_xlfn.XLOOKUP($B10,'Capital Cost and RCV'!$B$6:$B$39,'Capital Cost and RCV'!$E$6:$E$39,0,0,1),0)</f>
        <v>0</v>
      </c>
      <c r="P10" s="379">
        <f t="shared" si="0"/>
        <v>0</v>
      </c>
      <c r="Q10" s="330">
        <f>IFERROR(SUM(C10,D10,E10,F10,G10,I10,K10:O10)*(1+0.07)^-($B10-Assumptions!$D$4)+J10,0)</f>
        <v>0</v>
      </c>
      <c r="R10" s="135"/>
    </row>
    <row r="11" spans="2:23" ht="15" customHeight="1" collapsed="1" thickTop="1" x14ac:dyDescent="0.25">
      <c r="B11" s="360">
        <f t="shared" ref="B11:B62" si="1">B10+1</f>
        <v>2026</v>
      </c>
      <c r="C11" s="361">
        <f>IFERROR(_xlfn.XLOOKUP($B11,'TT-Detour-Car'!B$6:B$35,'TT-Detour-Car'!G$6:G$35,0,0,1),0)</f>
        <v>0</v>
      </c>
      <c r="D11" s="362">
        <f>IFERROR(_xlfn.XLOOKUP($B11,'TT-Detour-Truck'!B$6:B$35,'TT-Detour-Truck'!G$6:G$35,0,0,1),0)</f>
        <v>0</v>
      </c>
      <c r="E11" s="362">
        <f>IFERROR(_xlfn.XLOOKUP($B11,'VOC-Detour-Car'!B$6:B$35,'VOC-Detour-Car'!G$6:G$35,0,0,1),0)</f>
        <v>0</v>
      </c>
      <c r="F11" s="362">
        <f>IFERROR(_xlfn.XLOOKUP($B11,'VOC-Detour-Truck'!B$6:B$35,'VOC-Detour-Truck'!G$6:G$35,0,0,1),0)</f>
        <v>0</v>
      </c>
      <c r="G11" s="380">
        <f>IFERROR(_xlfn.XLOOKUP($B11,'TT - Construction'!$B$6:$B$35,'TT - Construction'!$G$6:$G$35,0,0,1),0)</f>
        <v>-4729732.787034817</v>
      </c>
      <c r="H11" s="374">
        <f>IFERROR(_xlfn.XLOOKUP($B11,'Air Quality'!B$6:B$35,'Air Quality'!$D$6:$D$35,0,0,1),0)</f>
        <v>0</v>
      </c>
      <c r="I11" s="362">
        <f>IFERROR(_xlfn.XLOOKUP($B11,'Air Quality'!B$6:B$35,'Air Quality'!M$6:M$35,0,0,1),0)</f>
        <v>0</v>
      </c>
      <c r="J11" s="363">
        <f>IFERROR(_xlfn.XLOOKUP($B11,'Air Quality'!B$6:B$35,'Air Quality'!$E$6:$E$35,0,0,1),0)</f>
        <v>0</v>
      </c>
      <c r="K11" s="361">
        <f>IFERROR(_xlfn.XLOOKUP($B11,'Safety -  I-80 Mainline'!B$6:B$35,'Safety -  I-80 Mainline'!E$6:E$35,0,0,1),0)</f>
        <v>0</v>
      </c>
      <c r="L11" s="362">
        <f>IFERROR(_xlfn.XLOOKUP($B11,'Safety - N-103 Interchange'!B$6:B$35,'Safety - N-103 Interchange'!E$6:E$35,0,0,1),0)</f>
        <v>0</v>
      </c>
      <c r="M11" s="363">
        <f>IFERROR(_xlfn.XLOOKUP($B11,'Safety US 6 (I-80 Alt)'!$B$6:$B$35,'Safety US 6 (I-80 Alt)'!$E$6:$E$35,0,0,1),0)</f>
        <v>0</v>
      </c>
      <c r="N11" s="361">
        <f>IFERROR(_xlfn.XLOOKUP($B11,'Operating and Maintenance Costs'!$B$5:$B$60,'Operating and Maintenance Costs'!$E$5:$E$60,0,0,1),0)</f>
        <v>0</v>
      </c>
      <c r="O11" s="363">
        <f>IFERROR(_xlfn.XLOOKUP($B11,'Capital Cost and RCV'!$B$6:$B$39,'Capital Cost and RCV'!$E$6:$E$39,0,0,1),0)</f>
        <v>0</v>
      </c>
      <c r="P11" s="380">
        <f t="shared" si="0"/>
        <v>-4729732.787034817</v>
      </c>
      <c r="Q11" s="363">
        <f>IFERROR(SUM(C11,D11,E11,F11,G11,I11,K11:O11)*(1+0.07)^-($B11-Assumptions!$D$4)+J11,0)</f>
        <v>-3151620.6633706517</v>
      </c>
      <c r="R11" s="364"/>
    </row>
    <row r="12" spans="2:23" ht="15" customHeight="1" thickBot="1" x14ac:dyDescent="0.3">
      <c r="B12" s="332">
        <f t="shared" si="1"/>
        <v>2027</v>
      </c>
      <c r="C12" s="328">
        <f>IFERROR(_xlfn.XLOOKUP($B12,'TT-Detour-Car'!B$6:B$35,'TT-Detour-Car'!G$6:G$35,0,0,1),0)</f>
        <v>0</v>
      </c>
      <c r="D12" s="329">
        <f>IFERROR(_xlfn.XLOOKUP($B12,'TT-Detour-Truck'!B$6:B$35,'TT-Detour-Truck'!G$6:G$35,0,0,1),0)</f>
        <v>0</v>
      </c>
      <c r="E12" s="329">
        <f>IFERROR(_xlfn.XLOOKUP($B12,'VOC-Detour-Car'!B$6:B$35,'VOC-Detour-Car'!G$6:G$35,0,0,1),0)</f>
        <v>0</v>
      </c>
      <c r="F12" s="329">
        <f>IFERROR(_xlfn.XLOOKUP($B12,'VOC-Detour-Truck'!B$6:B$35,'VOC-Detour-Truck'!G$6:G$35,0,0,1),0)</f>
        <v>0</v>
      </c>
      <c r="G12" s="379">
        <f>IFERROR(_xlfn.XLOOKUP($B12,'TT - Construction'!$B$6:$B$35,'TT - Construction'!$G$6:$G$35,0,0,1),0)</f>
        <v>-4798620.965309795</v>
      </c>
      <c r="H12" s="375">
        <f>IFERROR(_xlfn.XLOOKUP($B12,'Air Quality'!B$6:B$35,'Air Quality'!$D$6:$D$35,0,0,1),0)</f>
        <v>0</v>
      </c>
      <c r="I12" s="329">
        <f>IFERROR(_xlfn.XLOOKUP($B12,'Air Quality'!B$6:B$35,'Air Quality'!M$6:M$35,0,0,1),0)</f>
        <v>0</v>
      </c>
      <c r="J12" s="330">
        <f>IFERROR(_xlfn.XLOOKUP($B12,'Air Quality'!B$6:B$35,'Air Quality'!$E$6:$E$35,0,0,1),0)</f>
        <v>0</v>
      </c>
      <c r="K12" s="328">
        <f>IFERROR(_xlfn.XLOOKUP($B12,'Safety -  I-80 Mainline'!B$6:B$35,'Safety -  I-80 Mainline'!E$6:E$35,0,0,1),0)</f>
        <v>0</v>
      </c>
      <c r="L12" s="329">
        <f>IFERROR(_xlfn.XLOOKUP($B12,'Safety - N-103 Interchange'!B$6:B$35,'Safety - N-103 Interchange'!E$6:E$35,0,0,1),0)</f>
        <v>0</v>
      </c>
      <c r="M12" s="330">
        <f>IFERROR(_xlfn.XLOOKUP($B12,'Safety US 6 (I-80 Alt)'!$B$6:$B$35,'Safety US 6 (I-80 Alt)'!$E$6:$E$35,0,0,1),0)</f>
        <v>0</v>
      </c>
      <c r="N12" s="328">
        <f>IFERROR(_xlfn.XLOOKUP($B12,'Operating and Maintenance Costs'!$B$5:$B$60,'Operating and Maintenance Costs'!$E$5:$E$60,0,0,1),0)</f>
        <v>0</v>
      </c>
      <c r="O12" s="330">
        <f>IFERROR(_xlfn.XLOOKUP($B12,'Capital Cost and RCV'!$B$6:$B$39,'Capital Cost and RCV'!$E$6:$E$39,0,0,1),0)</f>
        <v>0</v>
      </c>
      <c r="P12" s="379">
        <f t="shared" si="0"/>
        <v>-4798620.965309795</v>
      </c>
      <c r="Q12" s="330">
        <f>IFERROR(SUM(C12,D12,E12,F12,G12,I12,K12:O12)*(1+0.07)^-($B12-Assumptions!$D$4)+J12,0)</f>
        <v>-2988339.9675486623</v>
      </c>
      <c r="R12" s="364"/>
    </row>
    <row r="13" spans="2:23" ht="15" customHeight="1" thickTop="1" x14ac:dyDescent="0.25">
      <c r="B13" s="331">
        <f t="shared" si="1"/>
        <v>2028</v>
      </c>
      <c r="C13" s="298">
        <f>IFERROR(_xlfn.XLOOKUP($B13,'TT-Detour-Car'!B$6:B$35,'TT-Detour-Car'!G$6:G$35,0,0,1),0)</f>
        <v>0</v>
      </c>
      <c r="D13" s="297">
        <f>IFERROR(_xlfn.XLOOKUP($B13,'TT-Detour-Truck'!B$6:B$35,'TT-Detour-Truck'!G$6:G$35,0,0,1),0)</f>
        <v>0</v>
      </c>
      <c r="E13" s="297">
        <f>IFERROR(_xlfn.XLOOKUP($B13,'VOC-Detour-Car'!B$6:B$35,'VOC-Detour-Car'!G$6:G$35,0,0,1),0)</f>
        <v>0</v>
      </c>
      <c r="F13" s="297">
        <f>IFERROR(_xlfn.XLOOKUP($B13,'VOC-Detour-Truck'!B$6:B$35,'VOC-Detour-Truck'!G$6:G$35,0,0,1),0)</f>
        <v>0</v>
      </c>
      <c r="G13" s="378">
        <f>IFERROR(_xlfn.XLOOKUP($B13,'TT - Construction'!$B$6:$B$35,'TT - Construction'!$G$6:$G$35,0,0,1),0)</f>
        <v>0</v>
      </c>
      <c r="H13" s="376">
        <f>IFERROR(_xlfn.XLOOKUP($B13,'Air Quality'!B$6:B$35,'Air Quality'!$D$6:$D$35,0,0,1),0)</f>
        <v>0</v>
      </c>
      <c r="I13" s="297">
        <f>IFERROR(_xlfn.XLOOKUP($B13,'Air Quality'!B$6:B$35,'Air Quality'!M$6:M$35,0,0,1),0)</f>
        <v>0</v>
      </c>
      <c r="J13" s="299">
        <f>IFERROR(_xlfn.XLOOKUP($B13,'Air Quality'!B$6:B$35,'Air Quality'!$E$6:$E$35,0,0,1),0)</f>
        <v>0</v>
      </c>
      <c r="K13" s="298">
        <f>IFERROR(_xlfn.XLOOKUP($B13,'Safety -  I-80 Mainline'!B$6:B$35,'Safety -  I-80 Mainline'!E$6:E$35,0,0,1),0)</f>
        <v>4606646.565980047</v>
      </c>
      <c r="L13" s="297">
        <f>IFERROR(_xlfn.XLOOKUP($B13,'Safety - N-103 Interchange'!B$6:B$35,'Safety - N-103 Interchange'!E$6:E$35,0,0,1),0)</f>
        <v>676.4819098431617</v>
      </c>
      <c r="M13" s="299">
        <f>IFERROR(_xlfn.XLOOKUP($B13,'Safety US 6 (I-80 Alt)'!$B$6:$B$35,'Safety US 6 (I-80 Alt)'!$E$6:$E$35,0,0,1),0)</f>
        <v>0</v>
      </c>
      <c r="N13" s="298">
        <f>IFERROR(_xlfn.XLOOKUP($B13,'Operating and Maintenance Costs'!$B$5:$B$60,'Operating and Maintenance Costs'!$E$5:$E$60,0,0,1),0)</f>
        <v>-545052.55200000014</v>
      </c>
      <c r="O13" s="299">
        <f>IFERROR(_xlfn.XLOOKUP($B13,'Capital Cost and RCV'!$B$6:$B$39,'Capital Cost and RCV'!$E$6:$E$39,0,0,1),0)</f>
        <v>0</v>
      </c>
      <c r="P13" s="378">
        <f t="shared" si="0"/>
        <v>4062270.49588989</v>
      </c>
      <c r="Q13" s="299">
        <f>IFERROR(SUM(C13,D13,E13,F13,G13,I13,K13:O13)*(1+0.07)^-($B13-Assumptions!$D$4)+J13,0)</f>
        <v>2364278.4138138494</v>
      </c>
      <c r="R13" s="364"/>
    </row>
    <row r="14" spans="2:23" ht="15" customHeight="1" x14ac:dyDescent="0.25">
      <c r="B14" s="277">
        <f t="shared" si="1"/>
        <v>2029</v>
      </c>
      <c r="C14" s="298">
        <f>IFERROR(_xlfn.XLOOKUP($B14,'TT-Detour-Car'!B$6:B$35,'TT-Detour-Car'!G$6:G$35,0,0,1),0)</f>
        <v>0</v>
      </c>
      <c r="D14" s="297">
        <f>IFERROR(_xlfn.XLOOKUP($B14,'TT-Detour-Truck'!B$6:B$35,'TT-Detour-Truck'!G$6:G$35,0,0,1),0)</f>
        <v>0</v>
      </c>
      <c r="E14" s="297">
        <f>IFERROR(_xlfn.XLOOKUP($B14,'VOC-Detour-Car'!B$6:B$35,'VOC-Detour-Car'!G$6:G$35,0,0,1),0)</f>
        <v>0</v>
      </c>
      <c r="F14" s="297">
        <f>IFERROR(_xlfn.XLOOKUP($B14,'VOC-Detour-Truck'!B$6:B$35,'VOC-Detour-Truck'!G$6:G$35,0,0,1),0)</f>
        <v>0</v>
      </c>
      <c r="G14" s="378">
        <f>IFERROR(_xlfn.XLOOKUP($B14,'TT - Construction'!$B$6:$B$35,'TT - Construction'!$G$6:$G$35,0,0,1),0)</f>
        <v>0</v>
      </c>
      <c r="H14" s="376">
        <f>IFERROR(_xlfn.XLOOKUP($B14,'Air Quality'!B$6:B$35,'Air Quality'!$D$6:$D$35,0,0,1),0)</f>
        <v>0</v>
      </c>
      <c r="I14" s="297">
        <f>IFERROR(_xlfn.XLOOKUP($B14,'Air Quality'!B$6:B$35,'Air Quality'!M$6:M$35,0,0,1),0)</f>
        <v>0</v>
      </c>
      <c r="J14" s="299">
        <f>IFERROR(_xlfn.XLOOKUP($B14,'Air Quality'!B$6:B$35,'Air Quality'!$E$6:$E$35,0,0,1),0)</f>
        <v>0</v>
      </c>
      <c r="K14" s="298">
        <f>IFERROR(_xlfn.XLOOKUP($B14,'Safety -  I-80 Mainline'!B$6:B$35,'Safety -  I-80 Mainline'!E$6:E$35,0,0,1),0)</f>
        <v>4671842.8461565897</v>
      </c>
      <c r="L14" s="297">
        <f>IFERROR(_xlfn.XLOOKUP($B14,'Safety - N-103 Interchange'!B$6:B$35,'Safety - N-103 Interchange'!E$6:E$35,0,0,1),0)</f>
        <v>686.05592501722276</v>
      </c>
      <c r="M14" s="299">
        <f>IFERROR(_xlfn.XLOOKUP($B14,'Safety US 6 (I-80 Alt)'!$B$6:$B$35,'Safety US 6 (I-80 Alt)'!$E$6:$E$35,0,0,1),0)</f>
        <v>0</v>
      </c>
      <c r="N14" s="298">
        <f>IFERROR(_xlfn.XLOOKUP($B14,'Operating and Maintenance Costs'!$B$5:$B$60,'Operating and Maintenance Costs'!$E$5:$E$60,0,0,1),0)</f>
        <v>-545052.55200000014</v>
      </c>
      <c r="O14" s="299">
        <f>IFERROR(_xlfn.XLOOKUP($B14,'Capital Cost and RCV'!$B$6:$B$39,'Capital Cost and RCV'!$E$6:$E$39,0,0,1),0)</f>
        <v>0</v>
      </c>
      <c r="P14" s="378">
        <f t="shared" si="0"/>
        <v>4127476.3500816068</v>
      </c>
      <c r="Q14" s="299">
        <f>IFERROR(SUM(C14,D14,E14,F14,G14,I14,K14:O14)*(1+0.07)^-($B14-Assumptions!$D$4)+J14,0)</f>
        <v>2245073.6585274478</v>
      </c>
      <c r="R14" s="364"/>
    </row>
    <row r="15" spans="2:23" ht="15" customHeight="1" x14ac:dyDescent="0.25">
      <c r="B15" s="277">
        <f t="shared" si="1"/>
        <v>2030</v>
      </c>
      <c r="C15" s="298">
        <f>IFERROR(_xlfn.XLOOKUP($B15,'TT-Detour-Car'!B$6:B$35,'TT-Detour-Car'!G$6:G$35,0,0,1),0)</f>
        <v>0</v>
      </c>
      <c r="D15" s="297">
        <f>IFERROR(_xlfn.XLOOKUP($B15,'TT-Detour-Truck'!B$6:B$35,'TT-Detour-Truck'!G$6:G$35,0,0,1),0)</f>
        <v>0</v>
      </c>
      <c r="E15" s="297">
        <f>IFERROR(_xlfn.XLOOKUP($B15,'VOC-Detour-Car'!B$6:B$35,'VOC-Detour-Car'!G$6:G$35,0,0,1),0)</f>
        <v>0</v>
      </c>
      <c r="F15" s="297">
        <f>IFERROR(_xlfn.XLOOKUP($B15,'VOC-Detour-Truck'!B$6:B$35,'VOC-Detour-Truck'!G$6:G$35,0,0,1),0)</f>
        <v>0</v>
      </c>
      <c r="G15" s="378">
        <f>IFERROR(_xlfn.XLOOKUP($B15,'TT - Construction'!$B$6:$B$35,'TT - Construction'!$G$6:$G$35,0,0,1),0)</f>
        <v>0</v>
      </c>
      <c r="H15" s="376">
        <f>IFERROR(_xlfn.XLOOKUP($B15,'Air Quality'!B$6:B$35,'Air Quality'!$D$6:$D$35,0,0,1),0)</f>
        <v>0</v>
      </c>
      <c r="I15" s="297">
        <f>IFERROR(_xlfn.XLOOKUP($B15,'Air Quality'!B$6:B$35,'Air Quality'!M$6:M$35,0,0,1),0)</f>
        <v>0</v>
      </c>
      <c r="J15" s="299">
        <f>IFERROR(_xlfn.XLOOKUP($B15,'Air Quality'!B$6:B$35,'Air Quality'!$E$6:$E$35,0,0,1),0)</f>
        <v>0</v>
      </c>
      <c r="K15" s="298">
        <f>IFERROR(_xlfn.XLOOKUP($B15,'Safety -  I-80 Mainline'!B$6:B$35,'Safety -  I-80 Mainline'!E$6:E$35,0,0,1),0)</f>
        <v>4737039.1263331622</v>
      </c>
      <c r="L15" s="297">
        <f>IFERROR(_xlfn.XLOOKUP($B15,'Safety - N-103 Interchange'!B$6:B$35,'Safety - N-103 Interchange'!E$6:E$35,0,0,1),0)</f>
        <v>695.62994019314647</v>
      </c>
      <c r="M15" s="299">
        <f>IFERROR(_xlfn.XLOOKUP($B15,'Safety US 6 (I-80 Alt)'!$B$6:$B$35,'Safety US 6 (I-80 Alt)'!$E$6:$E$35,0,0,1),0)</f>
        <v>0</v>
      </c>
      <c r="N15" s="298">
        <f>IFERROR(_xlfn.XLOOKUP($B15,'Operating and Maintenance Costs'!$B$5:$B$60,'Operating and Maintenance Costs'!$E$5:$E$60,0,0,1),0)</f>
        <v>-545052.55200000014</v>
      </c>
      <c r="O15" s="299">
        <f>IFERROR(_xlfn.XLOOKUP($B15,'Capital Cost and RCV'!$B$6:$B$39,'Capital Cost and RCV'!$E$6:$E$39,0,0,1),0)</f>
        <v>0</v>
      </c>
      <c r="P15" s="378">
        <f t="shared" si="0"/>
        <v>4192682.2042733552</v>
      </c>
      <c r="Q15" s="299">
        <f>IFERROR(SUM(C15,D15,E15,F15,G15,I15,K15:O15)*(1+0.07)^-($B15-Assumptions!$D$4)+J15,0)</f>
        <v>2131347.0306881885</v>
      </c>
      <c r="R15" s="364"/>
    </row>
    <row r="16" spans="2:23" ht="15" customHeight="1" x14ac:dyDescent="0.25">
      <c r="B16" s="277">
        <f t="shared" si="1"/>
        <v>2031</v>
      </c>
      <c r="C16" s="298">
        <f>IFERROR(_xlfn.XLOOKUP($B16,'TT-Detour-Car'!B$6:B$35,'TT-Detour-Car'!G$6:G$35,0,0,1),0)</f>
        <v>0</v>
      </c>
      <c r="D16" s="297">
        <f>IFERROR(_xlfn.XLOOKUP($B16,'TT-Detour-Truck'!B$6:B$35,'TT-Detour-Truck'!G$6:G$35,0,0,1),0)</f>
        <v>0</v>
      </c>
      <c r="E16" s="297">
        <f>IFERROR(_xlfn.XLOOKUP($B16,'VOC-Detour-Car'!B$6:B$35,'VOC-Detour-Car'!G$6:G$35,0,0,1),0)</f>
        <v>0</v>
      </c>
      <c r="F16" s="297">
        <f>IFERROR(_xlfn.XLOOKUP($B16,'VOC-Detour-Truck'!B$6:B$35,'VOC-Detour-Truck'!G$6:G$35,0,0,1),0)</f>
        <v>0</v>
      </c>
      <c r="G16" s="378">
        <f>IFERROR(_xlfn.XLOOKUP($B16,'TT - Construction'!$B$6:$B$35,'TT - Construction'!$G$6:$G$35,0,0,1),0)</f>
        <v>0</v>
      </c>
      <c r="H16" s="376">
        <f>IFERROR(_xlfn.XLOOKUP($B16,'Air Quality'!B$6:B$35,'Air Quality'!$D$6:$D$35,0,0,1),0)</f>
        <v>0</v>
      </c>
      <c r="I16" s="297">
        <f>IFERROR(_xlfn.XLOOKUP($B16,'Air Quality'!B$6:B$35,'Air Quality'!M$6:M$35,0,0,1),0)</f>
        <v>0</v>
      </c>
      <c r="J16" s="299">
        <f>IFERROR(_xlfn.XLOOKUP($B16,'Air Quality'!B$6:B$35,'Air Quality'!$E$6:$E$35,0,0,1),0)</f>
        <v>0</v>
      </c>
      <c r="K16" s="298">
        <f>IFERROR(_xlfn.XLOOKUP($B16,'Safety -  I-80 Mainline'!B$6:B$35,'Safety -  I-80 Mainline'!E$6:E$35,0,0,1),0)</f>
        <v>4802235.4065097347</v>
      </c>
      <c r="L16" s="297">
        <f>IFERROR(_xlfn.XLOOKUP($B16,'Safety - N-103 Interchange'!B$6:B$35,'Safety - N-103 Interchange'!E$6:E$35,0,0,1),0)</f>
        <v>705.20395536720753</v>
      </c>
      <c r="M16" s="299">
        <f>IFERROR(_xlfn.XLOOKUP($B16,'Safety US 6 (I-80 Alt)'!$B$6:$B$35,'Safety US 6 (I-80 Alt)'!$E$6:$E$35,0,0,1),0)</f>
        <v>0</v>
      </c>
      <c r="N16" s="298">
        <f>IFERROR(_xlfn.XLOOKUP($B16,'Operating and Maintenance Costs'!$B$5:$B$60,'Operating and Maintenance Costs'!$E$5:$E$60,0,0,1),0)</f>
        <v>-545052.55200000014</v>
      </c>
      <c r="O16" s="299">
        <f>IFERROR(_xlfn.XLOOKUP($B16,'Capital Cost and RCV'!$B$6:$B$39,'Capital Cost and RCV'!$E$6:$E$39,0,0,1),0)</f>
        <v>0</v>
      </c>
      <c r="P16" s="378">
        <f t="shared" si="0"/>
        <v>4257888.0584651018</v>
      </c>
      <c r="Q16" s="299">
        <f>IFERROR(SUM(C16,D16,E16,F16,G16,I16,K16:O16)*(1+0.07)^-($B16-Assumptions!$D$4)+J16,0)</f>
        <v>2022891.9444014973</v>
      </c>
      <c r="R16" s="364"/>
    </row>
    <row r="17" spans="2:18" ht="15" customHeight="1" x14ac:dyDescent="0.25">
      <c r="B17" s="277">
        <f t="shared" si="1"/>
        <v>2032</v>
      </c>
      <c r="C17" s="298">
        <f>IFERROR(_xlfn.XLOOKUP($B17,'TT-Detour-Car'!B$6:B$35,'TT-Detour-Car'!G$6:G$35,0,0,1),0)</f>
        <v>0</v>
      </c>
      <c r="D17" s="297">
        <f>IFERROR(_xlfn.XLOOKUP($B17,'TT-Detour-Truck'!B$6:B$35,'TT-Detour-Truck'!G$6:G$35,0,0,1),0)</f>
        <v>0</v>
      </c>
      <c r="E17" s="297">
        <f>IFERROR(_xlfn.XLOOKUP($B17,'VOC-Detour-Car'!B$6:B$35,'VOC-Detour-Car'!G$6:G$35,0,0,1),0)</f>
        <v>0</v>
      </c>
      <c r="F17" s="297">
        <f>IFERROR(_xlfn.XLOOKUP($B17,'VOC-Detour-Truck'!B$6:B$35,'VOC-Detour-Truck'!G$6:G$35,0,0,1),0)</f>
        <v>0</v>
      </c>
      <c r="G17" s="378">
        <f>IFERROR(_xlfn.XLOOKUP($B17,'TT - Construction'!$B$6:$B$35,'TT - Construction'!$G$6:$G$35,0,0,1),0)</f>
        <v>0</v>
      </c>
      <c r="H17" s="376">
        <f>IFERROR(_xlfn.XLOOKUP($B17,'Air Quality'!B$6:B$35,'Air Quality'!$D$6:$D$35,0,0,1),0)</f>
        <v>0</v>
      </c>
      <c r="I17" s="297">
        <f>IFERROR(_xlfn.XLOOKUP($B17,'Air Quality'!B$6:B$35,'Air Quality'!M$6:M$35,0,0,1),0)</f>
        <v>0</v>
      </c>
      <c r="J17" s="299">
        <f>IFERROR(_xlfn.XLOOKUP($B17,'Air Quality'!B$6:B$35,'Air Quality'!$E$6:$E$35,0,0,1),0)</f>
        <v>0</v>
      </c>
      <c r="K17" s="298">
        <f>IFERROR(_xlfn.XLOOKUP($B17,'Safety -  I-80 Mainline'!B$6:B$35,'Safety -  I-80 Mainline'!E$6:E$35,0,0,1),0)</f>
        <v>4867431.6866862774</v>
      </c>
      <c r="L17" s="297">
        <f>IFERROR(_xlfn.XLOOKUP($B17,'Safety - N-103 Interchange'!B$6:B$35,'Safety - N-103 Interchange'!E$6:E$35,0,0,1),0)</f>
        <v>714.77797054313123</v>
      </c>
      <c r="M17" s="299">
        <f>IFERROR(_xlfn.XLOOKUP($B17,'Safety US 6 (I-80 Alt)'!$B$6:$B$35,'Safety US 6 (I-80 Alt)'!$E$6:$E$35,0,0,1),0)</f>
        <v>0</v>
      </c>
      <c r="N17" s="298">
        <f>IFERROR(_xlfn.XLOOKUP($B17,'Operating and Maintenance Costs'!$B$5:$B$60,'Operating and Maintenance Costs'!$E$5:$E$60,0,0,1),0)</f>
        <v>-545052.55200000014</v>
      </c>
      <c r="O17" s="299">
        <f>IFERROR(_xlfn.XLOOKUP($B17,'Capital Cost and RCV'!$B$6:$B$39,'Capital Cost and RCV'!$E$6:$E$39,0,0,1),0)</f>
        <v>0</v>
      </c>
      <c r="P17" s="378">
        <f t="shared" si="0"/>
        <v>4323093.9126568204</v>
      </c>
      <c r="Q17" s="299">
        <f>IFERROR(SUM(C17,D17,E17,F17,G17,I17,K17:O17)*(1+0.07)^-($B17-Assumptions!$D$4)+J17,0)</f>
        <v>1919505.3981404509</v>
      </c>
      <c r="R17" s="364"/>
    </row>
    <row r="18" spans="2:18" ht="15" customHeight="1" x14ac:dyDescent="0.25">
      <c r="B18" s="277">
        <f t="shared" si="1"/>
        <v>2033</v>
      </c>
      <c r="C18" s="298">
        <f>IFERROR(_xlfn.XLOOKUP($B18,'TT-Detour-Car'!B$6:B$35,'TT-Detour-Car'!G$6:G$35,0,0,1),0)</f>
        <v>0</v>
      </c>
      <c r="D18" s="297">
        <f>IFERROR(_xlfn.XLOOKUP($B18,'TT-Detour-Truck'!B$6:B$35,'TT-Detour-Truck'!G$6:G$35,0,0,1),0)</f>
        <v>0</v>
      </c>
      <c r="E18" s="297">
        <f>IFERROR(_xlfn.XLOOKUP($B18,'VOC-Detour-Car'!B$6:B$35,'VOC-Detour-Car'!G$6:G$35,0,0,1),0)</f>
        <v>0</v>
      </c>
      <c r="F18" s="297">
        <f>IFERROR(_xlfn.XLOOKUP($B18,'VOC-Detour-Truck'!B$6:B$35,'VOC-Detour-Truck'!G$6:G$35,0,0,1),0)</f>
        <v>0</v>
      </c>
      <c r="G18" s="378">
        <f>IFERROR(_xlfn.XLOOKUP($B18,'TT - Construction'!$B$6:$B$35,'TT - Construction'!$G$6:$G$35,0,0,1),0)</f>
        <v>0</v>
      </c>
      <c r="H18" s="376">
        <f>IFERROR(_xlfn.XLOOKUP($B18,'Air Quality'!B$6:B$35,'Air Quality'!$D$6:$D$35,0,0,1),0)</f>
        <v>0</v>
      </c>
      <c r="I18" s="297">
        <f>IFERROR(_xlfn.XLOOKUP($B18,'Air Quality'!B$6:B$35,'Air Quality'!M$6:M$35,0,0,1),0)</f>
        <v>0</v>
      </c>
      <c r="J18" s="299">
        <f>IFERROR(_xlfn.XLOOKUP($B18,'Air Quality'!B$6:B$35,'Air Quality'!$E$6:$E$35,0,0,1),0)</f>
        <v>0</v>
      </c>
      <c r="K18" s="298">
        <f>IFERROR(_xlfn.XLOOKUP($B18,'Safety -  I-80 Mainline'!B$6:B$35,'Safety -  I-80 Mainline'!E$6:E$35,0,0,1),0)</f>
        <v>4932627.9668628499</v>
      </c>
      <c r="L18" s="297">
        <f>IFERROR(_xlfn.XLOOKUP($B18,'Safety - N-103 Interchange'!B$6:B$35,'Safety - N-103 Interchange'!E$6:E$35,0,0,1),0)</f>
        <v>724.35198571905494</v>
      </c>
      <c r="M18" s="299">
        <f>IFERROR(_xlfn.XLOOKUP($B18,'Safety US 6 (I-80 Alt)'!$B$6:$B$35,'Safety US 6 (I-80 Alt)'!$E$6:$E$35,0,0,1),0)</f>
        <v>0</v>
      </c>
      <c r="N18" s="298">
        <f>IFERROR(_xlfn.XLOOKUP($B18,'Operating and Maintenance Costs'!$B$5:$B$60,'Operating and Maintenance Costs'!$E$5:$E$60,0,0,1),0)</f>
        <v>-545052.55200000014</v>
      </c>
      <c r="O18" s="299">
        <f>IFERROR(_xlfn.XLOOKUP($B18,'Capital Cost and RCV'!$B$6:$B$39,'Capital Cost and RCV'!$E$6:$E$39,0,0,1),0)</f>
        <v>0</v>
      </c>
      <c r="P18" s="378">
        <f t="shared" si="0"/>
        <v>4388299.7668485688</v>
      </c>
      <c r="Q18" s="299">
        <f>IFERROR(SUM(C18,D18,E18,F18,G18,I18,K18:O18)*(1+0.07)^-($B18-Assumptions!$D$4)+J18,0)</f>
        <v>1820988.3899197145</v>
      </c>
      <c r="R18" s="364"/>
    </row>
    <row r="19" spans="2:18" ht="15" customHeight="1" x14ac:dyDescent="0.25">
      <c r="B19" s="277">
        <f t="shared" si="1"/>
        <v>2034</v>
      </c>
      <c r="C19" s="298">
        <f>IFERROR(_xlfn.XLOOKUP($B19,'TT-Detour-Car'!B$6:B$35,'TT-Detour-Car'!G$6:G$35,0,0,1),0)</f>
        <v>0</v>
      </c>
      <c r="D19" s="297">
        <f>IFERROR(_xlfn.XLOOKUP($B19,'TT-Detour-Truck'!B$6:B$35,'TT-Detour-Truck'!G$6:G$35,0,0,1),0)</f>
        <v>0</v>
      </c>
      <c r="E19" s="297">
        <f>IFERROR(_xlfn.XLOOKUP($B19,'VOC-Detour-Car'!B$6:B$35,'VOC-Detour-Car'!G$6:G$35,0,0,1),0)</f>
        <v>0</v>
      </c>
      <c r="F19" s="297">
        <f>IFERROR(_xlfn.XLOOKUP($B19,'VOC-Detour-Truck'!B$6:B$35,'VOC-Detour-Truck'!G$6:G$35,0,0,1),0)</f>
        <v>0</v>
      </c>
      <c r="G19" s="378">
        <f>IFERROR(_xlfn.XLOOKUP($B19,'TT - Construction'!$B$6:$B$35,'TT - Construction'!$G$6:$G$35,0,0,1),0)</f>
        <v>0</v>
      </c>
      <c r="H19" s="376">
        <f>IFERROR(_xlfn.XLOOKUP($B19,'Air Quality'!B$6:B$35,'Air Quality'!$D$6:$D$35,0,0,1),0)</f>
        <v>0</v>
      </c>
      <c r="I19" s="297">
        <f>IFERROR(_xlfn.XLOOKUP($B19,'Air Quality'!B$6:B$35,'Air Quality'!M$6:M$35,0,0,1),0)</f>
        <v>0</v>
      </c>
      <c r="J19" s="299">
        <f>IFERROR(_xlfn.XLOOKUP($B19,'Air Quality'!B$6:B$35,'Air Quality'!$E$6:$E$35,0,0,1),0)</f>
        <v>0</v>
      </c>
      <c r="K19" s="298">
        <f>IFERROR(_xlfn.XLOOKUP($B19,'Safety -  I-80 Mainline'!B$6:B$35,'Safety -  I-80 Mainline'!E$6:E$35,0,0,1),0)</f>
        <v>4997824.2470394298</v>
      </c>
      <c r="L19" s="297">
        <f>IFERROR(_xlfn.XLOOKUP($B19,'Safety - N-103 Interchange'!B$6:B$35,'Safety - N-103 Interchange'!E$6:E$35,0,0,1),0)</f>
        <v>733.926000893116</v>
      </c>
      <c r="M19" s="299">
        <f>IFERROR(_xlfn.XLOOKUP($B19,'Safety US 6 (I-80 Alt)'!$B$6:$B$35,'Safety US 6 (I-80 Alt)'!$E$6:$E$35,0,0,1),0)</f>
        <v>0</v>
      </c>
      <c r="N19" s="298">
        <f>IFERROR(_xlfn.XLOOKUP($B19,'Operating and Maintenance Costs'!$B$5:$B$60,'Operating and Maintenance Costs'!$E$5:$E$60,0,0,1),0)</f>
        <v>-545052.55200000014</v>
      </c>
      <c r="O19" s="299">
        <f>IFERROR(_xlfn.XLOOKUP($B19,'Capital Cost and RCV'!$B$6:$B$39,'Capital Cost and RCV'!$E$6:$E$39,0,0,1),0)</f>
        <v>0</v>
      </c>
      <c r="P19" s="378">
        <f t="shared" si="0"/>
        <v>4453505.6210403228</v>
      </c>
      <c r="Q19" s="299">
        <f>IFERROR(SUM(C19,D19,E19,F19,G19,I19,K19:O19)*(1+0.07)^-($B19-Assumptions!$D$4)+J19,0)</f>
        <v>1727146.262807006</v>
      </c>
      <c r="R19" s="364"/>
    </row>
    <row r="20" spans="2:18" ht="15" customHeight="1" x14ac:dyDescent="0.25">
      <c r="B20" s="277">
        <f t="shared" si="1"/>
        <v>2035</v>
      </c>
      <c r="C20" s="298">
        <f>IFERROR(_xlfn.XLOOKUP($B20,'TT-Detour-Car'!B$6:B$35,'TT-Detour-Car'!G$6:G$35,0,0,1),0)</f>
        <v>0</v>
      </c>
      <c r="D20" s="297">
        <f>IFERROR(_xlfn.XLOOKUP($B20,'TT-Detour-Truck'!B$6:B$35,'TT-Detour-Truck'!G$6:G$35,0,0,1),0)</f>
        <v>0</v>
      </c>
      <c r="E20" s="297">
        <f>IFERROR(_xlfn.XLOOKUP($B20,'VOC-Detour-Car'!B$6:B$35,'VOC-Detour-Car'!G$6:G$35,0,0,1),0)</f>
        <v>0</v>
      </c>
      <c r="F20" s="297">
        <f>IFERROR(_xlfn.XLOOKUP($B20,'VOC-Detour-Truck'!B$6:B$35,'VOC-Detour-Truck'!G$6:G$35,0,0,1),0)</f>
        <v>0</v>
      </c>
      <c r="G20" s="378">
        <f>IFERROR(_xlfn.XLOOKUP($B20,'TT - Construction'!$B$6:$B$35,'TT - Construction'!$G$6:$G$35,0,0,1),0)</f>
        <v>0</v>
      </c>
      <c r="H20" s="376">
        <f>IFERROR(_xlfn.XLOOKUP($B20,'Air Quality'!B$6:B$35,'Air Quality'!$D$6:$D$35,0,0,1),0)</f>
        <v>0</v>
      </c>
      <c r="I20" s="297">
        <f>IFERROR(_xlfn.XLOOKUP($B20,'Air Quality'!B$6:B$35,'Air Quality'!M$6:M$35,0,0,1),0)</f>
        <v>0</v>
      </c>
      <c r="J20" s="299">
        <f>IFERROR(_xlfn.XLOOKUP($B20,'Air Quality'!B$6:B$35,'Air Quality'!$E$6:$E$35,0,0,1),0)</f>
        <v>0</v>
      </c>
      <c r="K20" s="298">
        <f>IFERROR(_xlfn.XLOOKUP($B20,'Safety -  I-80 Mainline'!B$6:B$35,'Safety -  I-80 Mainline'!E$6:E$35,0,0,1),0)</f>
        <v>5063020.5272160023</v>
      </c>
      <c r="L20" s="297">
        <f>IFERROR(_xlfn.XLOOKUP($B20,'Safety - N-103 Interchange'!B$6:B$35,'Safety - N-103 Interchange'!E$6:E$35,0,0,1),0)</f>
        <v>743.5000160690397</v>
      </c>
      <c r="M20" s="299">
        <f>IFERROR(_xlfn.XLOOKUP($B20,'Safety US 6 (I-80 Alt)'!$B$6:$B$35,'Safety US 6 (I-80 Alt)'!$E$6:$E$35,0,0,1),0)</f>
        <v>0</v>
      </c>
      <c r="N20" s="298">
        <f>IFERROR(_xlfn.XLOOKUP($B20,'Operating and Maintenance Costs'!$B$5:$B$60,'Operating and Maintenance Costs'!$E$5:$E$60,0,0,1),0)</f>
        <v>-796182.55200000014</v>
      </c>
      <c r="O20" s="299">
        <f>IFERROR(_xlfn.XLOOKUP($B20,'Capital Cost and RCV'!$B$6:$B$39,'Capital Cost and RCV'!$E$6:$E$39,0,0,1),0)</f>
        <v>0</v>
      </c>
      <c r="P20" s="378">
        <f t="shared" si="0"/>
        <v>4267581.4752320712</v>
      </c>
      <c r="Q20" s="299">
        <f>IFERROR(SUM(C20,D20,E20,F20,G20,I20,K20:O20)*(1+0.07)^-($B20-Assumptions!$D$4)+J20,0)</f>
        <v>1546767.9191973335</v>
      </c>
      <c r="R20" s="364"/>
    </row>
    <row r="21" spans="2:18" ht="15" customHeight="1" x14ac:dyDescent="0.25">
      <c r="B21" s="277">
        <f t="shared" si="1"/>
        <v>2036</v>
      </c>
      <c r="C21" s="298">
        <f>IFERROR(_xlfn.XLOOKUP($B21,'TT-Detour-Car'!B$6:B$35,'TT-Detour-Car'!G$6:G$35,0,0,1),0)</f>
        <v>0</v>
      </c>
      <c r="D21" s="297">
        <f>IFERROR(_xlfn.XLOOKUP($B21,'TT-Detour-Truck'!B$6:B$35,'TT-Detour-Truck'!G$6:G$35,0,0,1),0)</f>
        <v>0</v>
      </c>
      <c r="E21" s="297">
        <f>IFERROR(_xlfn.XLOOKUP($B21,'VOC-Detour-Car'!B$6:B$35,'VOC-Detour-Car'!G$6:G$35,0,0,1),0)</f>
        <v>0</v>
      </c>
      <c r="F21" s="297">
        <f>IFERROR(_xlfn.XLOOKUP($B21,'VOC-Detour-Truck'!B$6:B$35,'VOC-Detour-Truck'!G$6:G$35,0,0,1),0)</f>
        <v>0</v>
      </c>
      <c r="G21" s="378">
        <f>IFERROR(_xlfn.XLOOKUP($B21,'TT - Construction'!$B$6:$B$35,'TT - Construction'!$G$6:$G$35,0,0,1),0)</f>
        <v>0</v>
      </c>
      <c r="H21" s="376">
        <f>IFERROR(_xlfn.XLOOKUP($B21,'Air Quality'!B$6:B$35,'Air Quality'!$D$6:$D$35,0,0,1),0)</f>
        <v>0</v>
      </c>
      <c r="I21" s="297">
        <f>IFERROR(_xlfn.XLOOKUP($B21,'Air Quality'!B$6:B$35,'Air Quality'!M$6:M$35,0,0,1),0)</f>
        <v>0</v>
      </c>
      <c r="J21" s="299">
        <f>IFERROR(_xlfn.XLOOKUP($B21,'Air Quality'!B$6:B$35,'Air Quality'!$E$6:$E$35,0,0,1),0)</f>
        <v>0</v>
      </c>
      <c r="K21" s="298">
        <f>IFERROR(_xlfn.XLOOKUP($B21,'Safety -  I-80 Mainline'!B$6:B$35,'Safety -  I-80 Mainline'!E$6:E$35,0,0,1),0)</f>
        <v>5128216.807392545</v>
      </c>
      <c r="L21" s="297">
        <f>IFERROR(_xlfn.XLOOKUP($B21,'Safety - N-103 Interchange'!B$6:B$35,'Safety - N-103 Interchange'!E$6:E$35,0,0,1),0)</f>
        <v>753.07403124310076</v>
      </c>
      <c r="M21" s="299">
        <f>IFERROR(_xlfn.XLOOKUP($B21,'Safety US 6 (I-80 Alt)'!$B$6:$B$35,'Safety US 6 (I-80 Alt)'!$E$6:$E$35,0,0,1),0)</f>
        <v>0</v>
      </c>
      <c r="N21" s="298">
        <f>IFERROR(_xlfn.XLOOKUP($B21,'Operating and Maintenance Costs'!$B$5:$B$60,'Operating and Maintenance Costs'!$E$5:$E$60,0,0,1),0)</f>
        <v>-545052.55200000014</v>
      </c>
      <c r="O21" s="299">
        <f>IFERROR(_xlfn.XLOOKUP($B21,'Capital Cost and RCV'!$B$6:$B$39,'Capital Cost and RCV'!$E$6:$E$39,0,0,1),0)</f>
        <v>0</v>
      </c>
      <c r="P21" s="378">
        <f t="shared" ref="P21:P49" si="2">IFERROR(SUM(C21:I21,K21:O21),0)</f>
        <v>4583917.329423788</v>
      </c>
      <c r="Q21" s="299">
        <f>IFERROR(SUM(C21,D21,E21,F21,G21,I21,K21:O21)*(1+0.07)^-($B21-Assumptions!$D$4)+J21,0)</f>
        <v>1552731.3929152219</v>
      </c>
      <c r="R21" s="364"/>
    </row>
    <row r="22" spans="2:18" s="456" customFormat="1" ht="15" customHeight="1" x14ac:dyDescent="0.25">
      <c r="B22" s="277">
        <f t="shared" si="1"/>
        <v>2037</v>
      </c>
      <c r="C22" s="298">
        <f>IFERROR(_xlfn.XLOOKUP($B22,'TT-Detour-Car'!B$6:B$35,'TT-Detour-Car'!G$6:G$35,0,0,1),0)</f>
        <v>0</v>
      </c>
      <c r="D22" s="297">
        <f>IFERROR(_xlfn.XLOOKUP($B22,'TT-Detour-Truck'!B$6:B$35,'TT-Detour-Truck'!G$6:G$35,0,0,1),0)</f>
        <v>0</v>
      </c>
      <c r="E22" s="297">
        <f>IFERROR(_xlfn.XLOOKUP($B22,'VOC-Detour-Car'!B$6:B$35,'VOC-Detour-Car'!G$6:G$35,0,0,1),0)</f>
        <v>0</v>
      </c>
      <c r="F22" s="297">
        <f>IFERROR(_xlfn.XLOOKUP($B22,'VOC-Detour-Truck'!B$6:B$35,'VOC-Detour-Truck'!G$6:G$35,0,0,1),0)</f>
        <v>0</v>
      </c>
      <c r="G22" s="378">
        <f>IFERROR(_xlfn.XLOOKUP($B22,'TT - Construction'!$B$6:$B$35,'TT - Construction'!$G$6:$G$35,0,0,1),0)</f>
        <v>0</v>
      </c>
      <c r="H22" s="376">
        <f>IFERROR(_xlfn.XLOOKUP($B22,'Air Quality'!B$6:B$35,'Air Quality'!$D$6:$D$35,0,0,1),0)</f>
        <v>0</v>
      </c>
      <c r="I22" s="297">
        <f>IFERROR(_xlfn.XLOOKUP($B22,'Air Quality'!B$6:B$35,'Air Quality'!M$6:M$35,0,0,1),0)</f>
        <v>0</v>
      </c>
      <c r="J22" s="299">
        <f>IFERROR(_xlfn.XLOOKUP($B22,'Air Quality'!B$6:B$35,'Air Quality'!$E$6:$E$35,0,0,1),0)</f>
        <v>0</v>
      </c>
      <c r="K22" s="298">
        <f>IFERROR(_xlfn.XLOOKUP($B22,'Safety -  I-80 Mainline'!B$6:B$35,'Safety -  I-80 Mainline'!E$6:E$35,0,0,1),0)</f>
        <v>5193413.0875691175</v>
      </c>
      <c r="L22" s="297">
        <f>IFERROR(_xlfn.XLOOKUP($B22,'Safety - N-103 Interchange'!B$6:B$35,'Safety - N-103 Interchange'!E$6:E$35,0,0,1),0)</f>
        <v>762.64804641716182</v>
      </c>
      <c r="M22" s="299">
        <f>IFERROR(_xlfn.XLOOKUP($B22,'Safety US 6 (I-80 Alt)'!$B$6:$B$35,'Safety US 6 (I-80 Alt)'!$E$6:$E$35,0,0,1),0)</f>
        <v>0</v>
      </c>
      <c r="N22" s="298">
        <f>IFERROR(_xlfn.XLOOKUP($B22,'Operating and Maintenance Costs'!$B$5:$B$60,'Operating and Maintenance Costs'!$E$5:$E$60,0,0,1),0)</f>
        <v>-545052.55200000014</v>
      </c>
      <c r="O22" s="299">
        <f>IFERROR(_xlfn.XLOOKUP($B22,'Capital Cost and RCV'!$B$6:$B$39,'Capital Cost and RCV'!$E$6:$E$39,0,0,1),0)</f>
        <v>0</v>
      </c>
      <c r="P22" s="378">
        <f t="shared" si="2"/>
        <v>4649123.1836155346</v>
      </c>
      <c r="Q22" s="299">
        <f>IFERROR(SUM(C22,D22,E22,F22,G22,I22,K22:O22)*(1+0.07)^-($B22-Assumptions!$D$4)+J22,0)</f>
        <v>1471793.3380456513</v>
      </c>
      <c r="R22" s="364"/>
    </row>
    <row r="23" spans="2:18" s="456" customFormat="1" ht="15" customHeight="1" x14ac:dyDescent="0.25">
      <c r="B23" s="277">
        <f t="shared" si="1"/>
        <v>2038</v>
      </c>
      <c r="C23" s="298">
        <f>IFERROR(_xlfn.XLOOKUP($B23,'TT-Detour-Car'!B$6:B$35,'TT-Detour-Car'!G$6:G$35,0,0,1),0)</f>
        <v>0</v>
      </c>
      <c r="D23" s="297">
        <f>IFERROR(_xlfn.XLOOKUP($B23,'TT-Detour-Truck'!B$6:B$35,'TT-Detour-Truck'!G$6:G$35,0,0,1),0)</f>
        <v>0</v>
      </c>
      <c r="E23" s="297">
        <f>IFERROR(_xlfn.XLOOKUP($B23,'VOC-Detour-Car'!B$6:B$35,'VOC-Detour-Car'!G$6:G$35,0,0,1),0)</f>
        <v>0</v>
      </c>
      <c r="F23" s="297">
        <f>IFERROR(_xlfn.XLOOKUP($B23,'VOC-Detour-Truck'!B$6:B$35,'VOC-Detour-Truck'!G$6:G$35,0,0,1),0)</f>
        <v>0</v>
      </c>
      <c r="G23" s="378">
        <f>IFERROR(_xlfn.XLOOKUP($B23,'TT - Construction'!$B$6:$B$35,'TT - Construction'!$G$6:$G$35,0,0,1),0)</f>
        <v>-2381310.3970006481</v>
      </c>
      <c r="H23" s="376">
        <f>IFERROR(_xlfn.XLOOKUP($B23,'Air Quality'!B$6:B$35,'Air Quality'!$D$6:$D$35,0,0,1),0)</f>
        <v>0</v>
      </c>
      <c r="I23" s="297">
        <f>IFERROR(_xlfn.XLOOKUP($B23,'Air Quality'!B$6:B$35,'Air Quality'!M$6:M$35,0,0,1),0)</f>
        <v>0</v>
      </c>
      <c r="J23" s="299">
        <f>IFERROR(_xlfn.XLOOKUP($B23,'Air Quality'!B$6:B$35,'Air Quality'!$E$6:$E$35,0,0,1),0)</f>
        <v>0</v>
      </c>
      <c r="K23" s="298">
        <f>IFERROR(_xlfn.XLOOKUP($B23,'Safety -  I-80 Mainline'!B$6:B$35,'Safety -  I-80 Mainline'!E$6:E$35,0,0,1),0)</f>
        <v>5258609.36774569</v>
      </c>
      <c r="L23" s="297">
        <f>IFERROR(_xlfn.XLOOKUP($B23,'Safety - N-103 Interchange'!B$6:B$35,'Safety - N-103 Interchange'!E$6:E$35,0,0,1),0)</f>
        <v>772.22206159308553</v>
      </c>
      <c r="M23" s="299">
        <f>IFERROR(_xlfn.XLOOKUP($B23,'Safety US 6 (I-80 Alt)'!$B$6:$B$35,'Safety US 6 (I-80 Alt)'!$E$6:$E$35,0,0,1),0)</f>
        <v>0</v>
      </c>
      <c r="N23" s="298">
        <f>IFERROR(_xlfn.XLOOKUP($B23,'Operating and Maintenance Costs'!$B$5:$B$60,'Operating and Maintenance Costs'!$E$5:$E$60,0,0,1),0)</f>
        <v>-3558612.5520000006</v>
      </c>
      <c r="O23" s="299">
        <f>IFERROR(_xlfn.XLOOKUP($B23,'Capital Cost and RCV'!$B$6:$B$39,'Capital Cost and RCV'!$E$6:$E$39,0,0,1),0)</f>
        <v>0</v>
      </c>
      <c r="P23" s="378">
        <f t="shared" si="2"/>
        <v>-680541.35919336556</v>
      </c>
      <c r="Q23" s="299">
        <f>IFERROR(SUM(C23,D23,E23,F23,G23,I23,K23:O23)*(1+0.07)^-($B23-Assumptions!$D$4)+J23,0)</f>
        <v>-201347.63174977264</v>
      </c>
      <c r="R23" s="364"/>
    </row>
    <row r="24" spans="2:18" s="456" customFormat="1" ht="15" customHeight="1" x14ac:dyDescent="0.25">
      <c r="B24" s="277">
        <f t="shared" si="1"/>
        <v>2039</v>
      </c>
      <c r="C24" s="298">
        <f>IFERROR(_xlfn.XLOOKUP($B24,'TT-Detour-Car'!B$6:B$35,'TT-Detour-Car'!G$6:G$35,0,0,1),0)</f>
        <v>0</v>
      </c>
      <c r="D24" s="297">
        <f>IFERROR(_xlfn.XLOOKUP($B24,'TT-Detour-Truck'!B$6:B$35,'TT-Detour-Truck'!G$6:G$35,0,0,1),0)</f>
        <v>0</v>
      </c>
      <c r="E24" s="297">
        <f>IFERROR(_xlfn.XLOOKUP($B24,'VOC-Detour-Car'!B$6:B$35,'VOC-Detour-Car'!G$6:G$35,0,0,1),0)</f>
        <v>0</v>
      </c>
      <c r="F24" s="297">
        <f>IFERROR(_xlfn.XLOOKUP($B24,'VOC-Detour-Truck'!B$6:B$35,'VOC-Detour-Truck'!G$6:G$35,0,0,1),0)</f>
        <v>0</v>
      </c>
      <c r="G24" s="378">
        <f>IFERROR(_xlfn.XLOOKUP($B24,'TT - Construction'!$B$6:$B$35,'TT - Construction'!$G$6:$G$35,0,0,1),0)</f>
        <v>0</v>
      </c>
      <c r="H24" s="376">
        <f>IFERROR(_xlfn.XLOOKUP($B24,'Air Quality'!B$6:B$35,'Air Quality'!$D$6:$D$35,0,0,1),0)</f>
        <v>0</v>
      </c>
      <c r="I24" s="297">
        <f>IFERROR(_xlfn.XLOOKUP($B24,'Air Quality'!B$6:B$35,'Air Quality'!M$6:M$35,0,0,1),0)</f>
        <v>0</v>
      </c>
      <c r="J24" s="299">
        <f>IFERROR(_xlfn.XLOOKUP($B24,'Air Quality'!B$6:B$35,'Air Quality'!$E$6:$E$35,0,0,1),0)</f>
        <v>0</v>
      </c>
      <c r="K24" s="298">
        <f>IFERROR(_xlfn.XLOOKUP($B24,'Safety -  I-80 Mainline'!B$6:B$35,'Safety -  I-80 Mainline'!E$6:E$35,0,0,1),0)</f>
        <v>5323805.6479222327</v>
      </c>
      <c r="L24" s="297">
        <f>IFERROR(_xlfn.XLOOKUP($B24,'Safety - N-103 Interchange'!B$6:B$35,'Safety - N-103 Interchange'!E$6:E$35,0,0,1),0)</f>
        <v>781.79607676900923</v>
      </c>
      <c r="M24" s="299">
        <f>IFERROR(_xlfn.XLOOKUP($B24,'Safety US 6 (I-80 Alt)'!$B$6:$B$35,'Safety US 6 (I-80 Alt)'!$E$6:$E$35,0,0,1),0)</f>
        <v>0</v>
      </c>
      <c r="N24" s="298">
        <f>IFERROR(_xlfn.XLOOKUP($B24,'Operating and Maintenance Costs'!$B$5:$B$60,'Operating and Maintenance Costs'!$E$5:$E$60,0,0,1),0)</f>
        <v>-545052.55200000014</v>
      </c>
      <c r="O24" s="299">
        <f>IFERROR(_xlfn.XLOOKUP($B24,'Capital Cost and RCV'!$B$6:$B$39,'Capital Cost and RCV'!$E$6:$E$39,0,0,1),0)</f>
        <v>0</v>
      </c>
      <c r="P24" s="378">
        <f t="shared" si="2"/>
        <v>4779534.8919990016</v>
      </c>
      <c r="Q24" s="299">
        <f>IFERROR(SUM(C24,D24,E24,F24,G24,I24,K24:O24)*(1+0.07)^-($B24-Assumptions!$D$4)+J24,0)</f>
        <v>1321581.2255537866</v>
      </c>
      <c r="R24" s="364"/>
    </row>
    <row r="25" spans="2:18" s="456" customFormat="1" ht="15" customHeight="1" x14ac:dyDescent="0.25">
      <c r="B25" s="277">
        <f t="shared" si="1"/>
        <v>2040</v>
      </c>
      <c r="C25" s="298">
        <f>IFERROR(_xlfn.XLOOKUP($B25,'TT-Detour-Car'!B$6:B$35,'TT-Detour-Car'!G$6:G$35,0,0,1),0)</f>
        <v>0</v>
      </c>
      <c r="D25" s="297">
        <f>IFERROR(_xlfn.XLOOKUP($B25,'TT-Detour-Truck'!B$6:B$35,'TT-Detour-Truck'!G$6:G$35,0,0,1),0)</f>
        <v>0</v>
      </c>
      <c r="E25" s="297">
        <f>IFERROR(_xlfn.XLOOKUP($B25,'VOC-Detour-Car'!B$6:B$35,'VOC-Detour-Car'!G$6:G$35,0,0,1),0)</f>
        <v>0</v>
      </c>
      <c r="F25" s="297">
        <f>IFERROR(_xlfn.XLOOKUP($B25,'VOC-Detour-Truck'!B$6:B$35,'VOC-Detour-Truck'!G$6:G$35,0,0,1),0)</f>
        <v>0</v>
      </c>
      <c r="G25" s="378">
        <f>IFERROR(_xlfn.XLOOKUP($B25,'TT - Construction'!$B$6:$B$35,'TT - Construction'!$G$6:$G$35,0,0,1),0)</f>
        <v>0</v>
      </c>
      <c r="H25" s="376">
        <f>IFERROR(_xlfn.XLOOKUP($B25,'Air Quality'!B$6:B$35,'Air Quality'!$D$6:$D$35,0,0,1),0)</f>
        <v>0</v>
      </c>
      <c r="I25" s="297">
        <f>IFERROR(_xlfn.XLOOKUP($B25,'Air Quality'!B$6:B$35,'Air Quality'!M$6:M$35,0,0,1),0)</f>
        <v>0</v>
      </c>
      <c r="J25" s="299">
        <f>IFERROR(_xlfn.XLOOKUP($B25,'Air Quality'!B$6:B$35,'Air Quality'!$E$6:$E$35,0,0,1),0)</f>
        <v>0</v>
      </c>
      <c r="K25" s="298">
        <f>IFERROR(_xlfn.XLOOKUP($B25,'Safety -  I-80 Mainline'!B$6:B$35,'Safety -  I-80 Mainline'!E$6:E$35,0,0,1),0)</f>
        <v>5389001.9280988052</v>
      </c>
      <c r="L25" s="297">
        <f>IFERROR(_xlfn.XLOOKUP($B25,'Safety - N-103 Interchange'!B$6:B$35,'Safety - N-103 Interchange'!E$6:E$35,0,0,1),0)</f>
        <v>791.37009194307029</v>
      </c>
      <c r="M25" s="299">
        <f>IFERROR(_xlfn.XLOOKUP($B25,'Safety US 6 (I-80 Alt)'!$B$6:$B$35,'Safety US 6 (I-80 Alt)'!$E$6:$E$35,0,0,1),0)</f>
        <v>0</v>
      </c>
      <c r="N25" s="298">
        <f>IFERROR(_xlfn.XLOOKUP($B25,'Operating and Maintenance Costs'!$B$5:$B$60,'Operating and Maintenance Costs'!$E$5:$E$60,0,0,1),0)</f>
        <v>-545052.55200000014</v>
      </c>
      <c r="O25" s="299">
        <f>IFERROR(_xlfn.XLOOKUP($B25,'Capital Cost and RCV'!$B$6:$B$39,'Capital Cost and RCV'!$E$6:$E$39,0,0,1),0)</f>
        <v>0</v>
      </c>
      <c r="P25" s="378">
        <f t="shared" si="2"/>
        <v>4844740.7461907482</v>
      </c>
      <c r="Q25" s="299">
        <f>IFERROR(SUM(C25,D25,E25,F25,G25,I25,K25:O25)*(1+0.07)^-($B25-Assumptions!$D$4)+J25,0)</f>
        <v>1251973.0725223313</v>
      </c>
      <c r="R25" s="364"/>
    </row>
    <row r="26" spans="2:18" s="456" customFormat="1" ht="15" customHeight="1" x14ac:dyDescent="0.25">
      <c r="B26" s="277">
        <f t="shared" si="1"/>
        <v>2041</v>
      </c>
      <c r="C26" s="298">
        <f>IFERROR(_xlfn.XLOOKUP($B26,'TT-Detour-Car'!B$6:B$35,'TT-Detour-Car'!G$6:G$35,0,0,1),0)</f>
        <v>0</v>
      </c>
      <c r="D26" s="297">
        <f>IFERROR(_xlfn.XLOOKUP($B26,'TT-Detour-Truck'!B$6:B$35,'TT-Detour-Truck'!G$6:G$35,0,0,1),0)</f>
        <v>0</v>
      </c>
      <c r="E26" s="297">
        <f>IFERROR(_xlfn.XLOOKUP($B26,'VOC-Detour-Car'!B$6:B$35,'VOC-Detour-Car'!G$6:G$35,0,0,1),0)</f>
        <v>0</v>
      </c>
      <c r="F26" s="297">
        <f>IFERROR(_xlfn.XLOOKUP($B26,'VOC-Detour-Truck'!B$6:B$35,'VOC-Detour-Truck'!G$6:G$35,0,0,1),0)</f>
        <v>0</v>
      </c>
      <c r="G26" s="378">
        <f>IFERROR(_xlfn.XLOOKUP($B26,'TT - Construction'!$B$6:$B$35,'TT - Construction'!$G$6:$G$35,0,0,1),0)</f>
        <v>0</v>
      </c>
      <c r="H26" s="376">
        <f>IFERROR(_xlfn.XLOOKUP($B26,'Air Quality'!B$6:B$35,'Air Quality'!$D$6:$D$35,0,0,1),0)</f>
        <v>0</v>
      </c>
      <c r="I26" s="297">
        <f>IFERROR(_xlfn.XLOOKUP($B26,'Air Quality'!B$6:B$35,'Air Quality'!M$6:M$35,0,0,1),0)</f>
        <v>0</v>
      </c>
      <c r="J26" s="299">
        <f>IFERROR(_xlfn.XLOOKUP($B26,'Air Quality'!B$6:B$35,'Air Quality'!$E$6:$E$35,0,0,1),0)</f>
        <v>0</v>
      </c>
      <c r="K26" s="298">
        <f>IFERROR(_xlfn.XLOOKUP($B26,'Safety -  I-80 Mainline'!B$6:B$35,'Safety -  I-80 Mainline'!E$6:E$35,0,0,1),0)</f>
        <v>5454198.2082753778</v>
      </c>
      <c r="L26" s="297">
        <f>IFERROR(_xlfn.XLOOKUP($B26,'Safety - N-103 Interchange'!B$6:B$35,'Safety - N-103 Interchange'!E$6:E$35,0,0,1),0)</f>
        <v>800.944107118994</v>
      </c>
      <c r="M26" s="299">
        <f>IFERROR(_xlfn.XLOOKUP($B26,'Safety US 6 (I-80 Alt)'!$B$6:$B$35,'Safety US 6 (I-80 Alt)'!$E$6:$E$35,0,0,1),0)</f>
        <v>0</v>
      </c>
      <c r="N26" s="298">
        <f>IFERROR(_xlfn.XLOOKUP($B26,'Operating and Maintenance Costs'!$B$5:$B$60,'Operating and Maintenance Costs'!$E$5:$E$60,0,0,1),0)</f>
        <v>-545052.55200000014</v>
      </c>
      <c r="O26" s="299">
        <f>IFERROR(_xlfn.XLOOKUP($B26,'Capital Cost and RCV'!$B$6:$B$39,'Capital Cost and RCV'!$E$6:$E$39,0,0,1),0)</f>
        <v>0</v>
      </c>
      <c r="P26" s="378">
        <f t="shared" si="2"/>
        <v>4909946.6003824966</v>
      </c>
      <c r="Q26" s="299">
        <f>IFERROR(SUM(C26,D26,E26,F26,G26,I26,K26:O26)*(1+0.07)^-($B26-Assumptions!$D$4)+J26,0)</f>
        <v>1185816.3591964387</v>
      </c>
      <c r="R26" s="364"/>
    </row>
    <row r="27" spans="2:18" s="456" customFormat="1" ht="15" customHeight="1" x14ac:dyDescent="0.25">
      <c r="B27" s="277">
        <f t="shared" si="1"/>
        <v>2042</v>
      </c>
      <c r="C27" s="298">
        <f>IFERROR(_xlfn.XLOOKUP($B27,'TT-Detour-Car'!B$6:B$35,'TT-Detour-Car'!G$6:G$35,0,0,1),0)</f>
        <v>0</v>
      </c>
      <c r="D27" s="297">
        <f>IFERROR(_xlfn.XLOOKUP($B27,'TT-Detour-Truck'!B$6:B$35,'TT-Detour-Truck'!G$6:G$35,0,0,1),0)</f>
        <v>0</v>
      </c>
      <c r="E27" s="297">
        <f>IFERROR(_xlfn.XLOOKUP($B27,'VOC-Detour-Car'!B$6:B$35,'VOC-Detour-Car'!G$6:G$35,0,0,1),0)</f>
        <v>0</v>
      </c>
      <c r="F27" s="297">
        <f>IFERROR(_xlfn.XLOOKUP($B27,'VOC-Detour-Truck'!B$6:B$35,'VOC-Detour-Truck'!G$6:G$35,0,0,1),0)</f>
        <v>0</v>
      </c>
      <c r="G27" s="378">
        <f>IFERROR(_xlfn.XLOOKUP($B27,'TT - Construction'!$B$6:$B$35,'TT - Construction'!$G$6:$G$35,0,0,1),0)</f>
        <v>0</v>
      </c>
      <c r="H27" s="376">
        <f>IFERROR(_xlfn.XLOOKUP($B27,'Air Quality'!B$6:B$35,'Air Quality'!$D$6:$D$35,0,0,1),0)</f>
        <v>0</v>
      </c>
      <c r="I27" s="297">
        <f>IFERROR(_xlfn.XLOOKUP($B27,'Air Quality'!B$6:B$35,'Air Quality'!M$6:M$35,0,0,1),0)</f>
        <v>0</v>
      </c>
      <c r="J27" s="299">
        <f>IFERROR(_xlfn.XLOOKUP($B27,'Air Quality'!B$6:B$35,'Air Quality'!$E$6:$E$35,0,0,1),0)</f>
        <v>0</v>
      </c>
      <c r="K27" s="298">
        <f>IFERROR(_xlfn.XLOOKUP($B27,'Safety -  I-80 Mainline'!B$6:B$35,'Safety -  I-80 Mainline'!E$6:E$35,0,0,1),0)</f>
        <v>5519394.4884519503</v>
      </c>
      <c r="L27" s="297">
        <f>IFERROR(_xlfn.XLOOKUP($B27,'Safety - N-103 Interchange'!B$6:B$35,'Safety - N-103 Interchange'!E$6:E$35,0,0,1),0)</f>
        <v>810.51812229305506</v>
      </c>
      <c r="M27" s="299">
        <f>IFERROR(_xlfn.XLOOKUP($B27,'Safety US 6 (I-80 Alt)'!$B$6:$B$35,'Safety US 6 (I-80 Alt)'!$E$6:$E$35,0,0,1),0)</f>
        <v>0</v>
      </c>
      <c r="N27" s="298">
        <f>IFERROR(_xlfn.XLOOKUP($B27,'Operating and Maintenance Costs'!$B$5:$B$60,'Operating and Maintenance Costs'!$E$5:$E$60,0,0,1),0)</f>
        <v>-545052.55200000014</v>
      </c>
      <c r="O27" s="299">
        <f>IFERROR(_xlfn.XLOOKUP($B27,'Capital Cost and RCV'!$B$6:$B$39,'Capital Cost and RCV'!$E$6:$E$39,0,0,1),0)</f>
        <v>0</v>
      </c>
      <c r="P27" s="378">
        <f t="shared" si="2"/>
        <v>4975152.4545742432</v>
      </c>
      <c r="Q27" s="299">
        <f>IFERROR(SUM(C27,D27,E27,F27,G27,I27,K27:O27)*(1+0.07)^-($B27-Assumptions!$D$4)+J27,0)</f>
        <v>1122957.4077718989</v>
      </c>
      <c r="R27" s="364"/>
    </row>
    <row r="28" spans="2:18" s="456" customFormat="1" ht="15" customHeight="1" x14ac:dyDescent="0.25">
      <c r="B28" s="277">
        <f t="shared" si="1"/>
        <v>2043</v>
      </c>
      <c r="C28" s="298">
        <f>IFERROR(_xlfn.XLOOKUP($B28,'TT-Detour-Car'!B$6:B$35,'TT-Detour-Car'!G$6:G$35,0,0,1),0)</f>
        <v>0</v>
      </c>
      <c r="D28" s="297">
        <f>IFERROR(_xlfn.XLOOKUP($B28,'TT-Detour-Truck'!B$6:B$35,'TT-Detour-Truck'!G$6:G$35,0,0,1),0)</f>
        <v>0</v>
      </c>
      <c r="E28" s="297">
        <f>IFERROR(_xlfn.XLOOKUP($B28,'VOC-Detour-Car'!B$6:B$35,'VOC-Detour-Car'!G$6:G$35,0,0,1),0)</f>
        <v>0</v>
      </c>
      <c r="F28" s="297">
        <f>IFERROR(_xlfn.XLOOKUP($B28,'VOC-Detour-Truck'!B$6:B$35,'VOC-Detour-Truck'!G$6:G$35,0,0,1),0)</f>
        <v>0</v>
      </c>
      <c r="G28" s="378">
        <f>IFERROR(_xlfn.XLOOKUP($B28,'TT - Construction'!$B$6:$B$35,'TT - Construction'!$G$6:$G$35,0,0,1),0)</f>
        <v>-2528927.9218756482</v>
      </c>
      <c r="H28" s="376">
        <f>IFERROR(_xlfn.XLOOKUP($B28,'Air Quality'!B$6:B$35,'Air Quality'!$D$6:$D$35,0,0,1),0)</f>
        <v>0</v>
      </c>
      <c r="I28" s="297">
        <f>IFERROR(_xlfn.XLOOKUP($B28,'Air Quality'!B$6:B$35,'Air Quality'!M$6:M$35,0,0,1),0)</f>
        <v>0</v>
      </c>
      <c r="J28" s="299">
        <f>IFERROR(_xlfn.XLOOKUP($B28,'Air Quality'!B$6:B$35,'Air Quality'!$E$6:$E$35,0,0,1),0)</f>
        <v>0</v>
      </c>
      <c r="K28" s="298">
        <f>IFERROR(_xlfn.XLOOKUP($B28,'Safety -  I-80 Mainline'!B$6:B$35,'Safety -  I-80 Mainline'!E$6:E$35,0,0,1),0)</f>
        <v>5584590.768628493</v>
      </c>
      <c r="L28" s="297">
        <f>IFERROR(_xlfn.XLOOKUP($B28,'Safety - N-103 Interchange'!B$6:B$35,'Safety - N-103 Interchange'!E$6:E$35,0,0,1),0)</f>
        <v>820.09213746711612</v>
      </c>
      <c r="M28" s="299">
        <f>IFERROR(_xlfn.XLOOKUP($B28,'Safety US 6 (I-80 Alt)'!$B$6:$B$35,'Safety US 6 (I-80 Alt)'!$E$6:$E$35,0,0,1),0)</f>
        <v>0</v>
      </c>
      <c r="N28" s="298">
        <f>IFERROR(_xlfn.XLOOKUP($B28,'Operating and Maintenance Costs'!$B$5:$B$60,'Operating and Maintenance Costs'!$E$5:$E$60,0,0,1),0)</f>
        <v>-1549572.5520000001</v>
      </c>
      <c r="O28" s="299">
        <f>IFERROR(_xlfn.XLOOKUP($B28,'Capital Cost and RCV'!$B$6:$B$39,'Capital Cost and RCV'!$E$6:$E$39,0,0,1),0)</f>
        <v>0</v>
      </c>
      <c r="P28" s="378">
        <f t="shared" si="2"/>
        <v>1506910.3868903117</v>
      </c>
      <c r="Q28" s="299">
        <f>IFERROR(SUM(C28,D28,E28,F28,G28,I28,K28:O28)*(1+0.07)^-($B28-Assumptions!$D$4)+J28,0)</f>
        <v>317878.04959503905</v>
      </c>
      <c r="R28" s="364"/>
    </row>
    <row r="29" spans="2:18" s="456" customFormat="1" ht="15" customHeight="1" x14ac:dyDescent="0.25">
      <c r="B29" s="277">
        <f t="shared" si="1"/>
        <v>2044</v>
      </c>
      <c r="C29" s="298">
        <f>IFERROR(_xlfn.XLOOKUP($B29,'TT-Detour-Car'!B$6:B$35,'TT-Detour-Car'!G$6:G$35,0,0,1),0)</f>
        <v>0</v>
      </c>
      <c r="D29" s="297">
        <f>IFERROR(_xlfn.XLOOKUP($B29,'TT-Detour-Truck'!B$6:B$35,'TT-Detour-Truck'!G$6:G$35,0,0,1),0)</f>
        <v>0</v>
      </c>
      <c r="E29" s="297">
        <f>IFERROR(_xlfn.XLOOKUP($B29,'VOC-Detour-Car'!B$6:B$35,'VOC-Detour-Car'!G$6:G$35,0,0,1),0)</f>
        <v>0</v>
      </c>
      <c r="F29" s="297">
        <f>IFERROR(_xlfn.XLOOKUP($B29,'VOC-Detour-Truck'!B$6:B$35,'VOC-Detour-Truck'!G$6:G$35,0,0,1),0)</f>
        <v>0</v>
      </c>
      <c r="G29" s="378">
        <f>IFERROR(_xlfn.XLOOKUP($B29,'TT - Construction'!$B$6:$B$35,'TT - Construction'!$G$6:$G$35,0,0,1),0)</f>
        <v>0</v>
      </c>
      <c r="H29" s="376">
        <f>IFERROR(_xlfn.XLOOKUP($B29,'Air Quality'!B$6:B$35,'Air Quality'!$D$6:$D$35,0,0,1),0)</f>
        <v>0</v>
      </c>
      <c r="I29" s="297">
        <f>IFERROR(_xlfn.XLOOKUP($B29,'Air Quality'!B$6:B$35,'Air Quality'!M$6:M$35,0,0,1),0)</f>
        <v>0</v>
      </c>
      <c r="J29" s="299">
        <f>IFERROR(_xlfn.XLOOKUP($B29,'Air Quality'!B$6:B$35,'Air Quality'!$E$6:$E$35,0,0,1),0)</f>
        <v>0</v>
      </c>
      <c r="K29" s="298">
        <f>IFERROR(_xlfn.XLOOKUP($B29,'Safety -  I-80 Mainline'!B$6:B$35,'Safety -  I-80 Mainline'!E$6:E$35,0,0,1),0)</f>
        <v>5649787.0488050729</v>
      </c>
      <c r="L29" s="297">
        <f>IFERROR(_xlfn.XLOOKUP($B29,'Safety - N-103 Interchange'!B$6:B$35,'Safety - N-103 Interchange'!E$6:E$35,0,0,1),0)</f>
        <v>829.66615264303982</v>
      </c>
      <c r="M29" s="299">
        <f>IFERROR(_xlfn.XLOOKUP($B29,'Safety US 6 (I-80 Alt)'!$B$6:$B$35,'Safety US 6 (I-80 Alt)'!$E$6:$E$35,0,0,1),0)</f>
        <v>0</v>
      </c>
      <c r="N29" s="298">
        <f>IFERROR(_xlfn.XLOOKUP($B29,'Operating and Maintenance Costs'!$B$5:$B$60,'Operating and Maintenance Costs'!$E$5:$E$60,0,0,1),0)</f>
        <v>-545052.55200000014</v>
      </c>
      <c r="O29" s="299">
        <f>IFERROR(_xlfn.XLOOKUP($B29,'Capital Cost and RCV'!$B$6:$B$39,'Capital Cost and RCV'!$E$6:$E$39,0,0,1),0)</f>
        <v>0</v>
      </c>
      <c r="P29" s="378">
        <f t="shared" si="2"/>
        <v>5105564.1629577158</v>
      </c>
      <c r="Q29" s="299">
        <f>IFERROR(SUM(C29,D29,E29,F29,G29,I29,K29:O29)*(1+0.07)^-($B29-Assumptions!$D$4)+J29,0)</f>
        <v>1006544.7176588194</v>
      </c>
      <c r="R29" s="364"/>
    </row>
    <row r="30" spans="2:18" s="456" customFormat="1" ht="15" customHeight="1" x14ac:dyDescent="0.25">
      <c r="B30" s="277">
        <f t="shared" si="1"/>
        <v>2045</v>
      </c>
      <c r="C30" s="298">
        <f>IFERROR(_xlfn.XLOOKUP($B30,'TT-Detour-Car'!B$6:B$35,'TT-Detour-Car'!G$6:G$35,0,0,1),0)</f>
        <v>0</v>
      </c>
      <c r="D30" s="297">
        <f>IFERROR(_xlfn.XLOOKUP($B30,'TT-Detour-Truck'!B$6:B$35,'TT-Detour-Truck'!G$6:G$35,0,0,1),0)</f>
        <v>0</v>
      </c>
      <c r="E30" s="297">
        <f>IFERROR(_xlfn.XLOOKUP($B30,'VOC-Detour-Car'!B$6:B$35,'VOC-Detour-Car'!G$6:G$35,0,0,1),0)</f>
        <v>0</v>
      </c>
      <c r="F30" s="297">
        <f>IFERROR(_xlfn.XLOOKUP($B30,'VOC-Detour-Truck'!B$6:B$35,'VOC-Detour-Truck'!G$6:G$35,0,0,1),0)</f>
        <v>0</v>
      </c>
      <c r="G30" s="378">
        <f>IFERROR(_xlfn.XLOOKUP($B30,'TT - Construction'!$B$6:$B$35,'TT - Construction'!$G$6:$G$35,0,0,1),0)</f>
        <v>0</v>
      </c>
      <c r="H30" s="376">
        <f>IFERROR(_xlfn.XLOOKUP($B30,'Air Quality'!B$6:B$35,'Air Quality'!$D$6:$D$35,0,0,1),0)</f>
        <v>0</v>
      </c>
      <c r="I30" s="297">
        <f>IFERROR(_xlfn.XLOOKUP($B30,'Air Quality'!B$6:B$35,'Air Quality'!M$6:M$35,0,0,1),0)</f>
        <v>0</v>
      </c>
      <c r="J30" s="299">
        <f>IFERROR(_xlfn.XLOOKUP($B30,'Air Quality'!B$6:B$35,'Air Quality'!$E$6:$E$35,0,0,1),0)</f>
        <v>0</v>
      </c>
      <c r="K30" s="298">
        <f>IFERROR(_xlfn.XLOOKUP($B30,'Safety -  I-80 Mainline'!B$6:B$35,'Safety -  I-80 Mainline'!E$6:E$35,0,0,1),0)</f>
        <v>5714983.3289816454</v>
      </c>
      <c r="L30" s="297">
        <f>IFERROR(_xlfn.XLOOKUP($B30,'Safety - N-103 Interchange'!B$6:B$35,'Safety - N-103 Interchange'!E$6:E$35,0,0,1),0)</f>
        <v>839.24016781896353</v>
      </c>
      <c r="M30" s="299">
        <f>IFERROR(_xlfn.XLOOKUP($B30,'Safety US 6 (I-80 Alt)'!$B$6:$B$35,'Safety US 6 (I-80 Alt)'!$E$6:$E$35,0,0,1),0)</f>
        <v>0</v>
      </c>
      <c r="N30" s="298">
        <f>IFERROR(_xlfn.XLOOKUP($B30,'Operating and Maintenance Costs'!$B$5:$B$60,'Operating and Maintenance Costs'!$E$5:$E$60,0,0,1),0)</f>
        <v>-545052.55200000014</v>
      </c>
      <c r="O30" s="299">
        <f>IFERROR(_xlfn.XLOOKUP($B30,'Capital Cost and RCV'!$B$6:$B$39,'Capital Cost and RCV'!$E$6:$E$39,0,0,1),0)</f>
        <v>0</v>
      </c>
      <c r="P30" s="378">
        <f t="shared" si="2"/>
        <v>5170770.0171494642</v>
      </c>
      <c r="Q30" s="299">
        <f>IFERROR(SUM(C30,D30,E30,F30,G30,I30,K30:O30)*(1+0.07)^-($B30-Assumptions!$D$4)+J30,0)</f>
        <v>952710.12281644542</v>
      </c>
      <c r="R30" s="364"/>
    </row>
    <row r="31" spans="2:18" s="456" customFormat="1" ht="15" customHeight="1" x14ac:dyDescent="0.25">
      <c r="B31" s="277">
        <f t="shared" si="1"/>
        <v>2046</v>
      </c>
      <c r="C31" s="298">
        <f>IFERROR(_xlfn.XLOOKUP($B31,'TT-Detour-Car'!B$6:B$35,'TT-Detour-Car'!G$6:G$35,0,0,1),0)</f>
        <v>35170920.709375001</v>
      </c>
      <c r="D31" s="297">
        <f>IFERROR(_xlfn.XLOOKUP($B31,'TT-Detour-Truck'!B$6:B$35,'TT-Detour-Truck'!G$6:G$35,0,0,1),0)</f>
        <v>12620483.333333373</v>
      </c>
      <c r="E31" s="297">
        <f>IFERROR(_xlfn.XLOOKUP($B31,'VOC-Detour-Car'!B$6:B$35,'VOC-Detour-Car'!G$6:G$35,0,0,1),0)</f>
        <v>4791839.765625</v>
      </c>
      <c r="F31" s="297">
        <f>IFERROR(_xlfn.XLOOKUP($B31,'VOC-Detour-Truck'!B$6:B$35,'VOC-Detour-Truck'!G$6:G$35,0,0,1),0)</f>
        <v>3336540.28125</v>
      </c>
      <c r="G31" s="378">
        <f>IFERROR(_xlfn.XLOOKUP($B31,'TT - Construction'!$B$6:$B$35,'TT - Construction'!$G$6:$G$35,0,0,1),0)</f>
        <v>0</v>
      </c>
      <c r="H31" s="376">
        <f>IFERROR(_xlfn.XLOOKUP($B31,'Air Quality'!B$6:B$35,'Air Quality'!$D$6:$D$35,0,0,1),0)</f>
        <v>614214.63480770134</v>
      </c>
      <c r="I31" s="297">
        <f>IFERROR(_xlfn.XLOOKUP($B31,'Air Quality'!B$6:B$35,'Air Quality'!M$6:M$35,0,0,1),0)</f>
        <v>687272.71245539223</v>
      </c>
      <c r="J31" s="299">
        <f>IFERROR(_xlfn.XLOOKUP($B31,'Air Quality'!B$6:B$35,'Air Quality'!$E$6:$E$35,0,0,1),0)</f>
        <v>284808.08767589764</v>
      </c>
      <c r="K31" s="298">
        <f>IFERROR(_xlfn.XLOOKUP($B31,'Safety -  I-80 Mainline'!B$6:B$35,'Safety -  I-80 Mainline'!E$6:E$35,0,0,1),0)</f>
        <v>-2738379.385561876</v>
      </c>
      <c r="L31" s="297">
        <f>IFERROR(_xlfn.XLOOKUP($B31,'Safety - N-103 Interchange'!B$6:B$35,'Safety - N-103 Interchange'!E$6:E$35,0,0,1),0)</f>
        <v>-481441.98114637472</v>
      </c>
      <c r="M31" s="299">
        <f>IFERROR(_xlfn.XLOOKUP($B31,'Safety US 6 (I-80 Alt)'!$B$6:$B$35,'Safety US 6 (I-80 Alt)'!$E$6:$E$35,0,0,1),0)</f>
        <v>92880594.980370283</v>
      </c>
      <c r="N31" s="298">
        <f>IFERROR(_xlfn.XLOOKUP($B31,'Operating and Maintenance Costs'!$B$5:$B$60,'Operating and Maintenance Costs'!$E$5:$E$60,0,0,1),0)</f>
        <v>-545052.55200000014</v>
      </c>
      <c r="O31" s="299">
        <f>IFERROR(_xlfn.XLOOKUP($B31,'Capital Cost and RCV'!$B$6:$B$39,'Capital Cost and RCV'!$E$6:$E$39,0,0,1),0)</f>
        <v>0</v>
      </c>
      <c r="P31" s="378">
        <f t="shared" si="2"/>
        <v>146336992.49850851</v>
      </c>
      <c r="Q31" s="299">
        <f>IFERROR(SUM(C31,D31,E31,F31,G31,I31,K31:O31)*(1+0.07)^-($B31-Assumptions!$D$4)+J31,0)</f>
        <v>25377613.664912254</v>
      </c>
      <c r="R31" s="364"/>
    </row>
    <row r="32" spans="2:18" s="456" customFormat="1" ht="15" customHeight="1" x14ac:dyDescent="0.25">
      <c r="B32" s="277">
        <f t="shared" si="1"/>
        <v>2047</v>
      </c>
      <c r="C32" s="298">
        <f>IFERROR(_xlfn.XLOOKUP($B32,'TT-Detour-Car'!B$6:B$35,'TT-Detour-Car'!G$6:G$35,0,0,1),0)</f>
        <v>35567623.468749993</v>
      </c>
      <c r="D32" s="297">
        <f>IFERROR(_xlfn.XLOOKUP($B32,'TT-Detour-Truck'!B$6:B$35,'TT-Detour-Truck'!G$6:G$35,0,0,1),0)</f>
        <v>12762833.333333373</v>
      </c>
      <c r="E32" s="297">
        <f>IFERROR(_xlfn.XLOOKUP($B32,'VOC-Detour-Car'!B$6:B$35,'VOC-Detour-Car'!G$6:G$35,0,0,1),0)</f>
        <v>4845888.28125</v>
      </c>
      <c r="F32" s="297">
        <f>IFERROR(_xlfn.XLOOKUP($B32,'VOC-Detour-Truck'!B$6:B$35,'VOC-Detour-Truck'!G$6:G$35,0,0,1),0)</f>
        <v>3374174.0625</v>
      </c>
      <c r="G32" s="378">
        <f>IFERROR(_xlfn.XLOOKUP($B32,'TT - Construction'!$B$6:$B$35,'TT - Construction'!$G$6:$G$35,0,0,1),0)</f>
        <v>0</v>
      </c>
      <c r="H32" s="376">
        <f>IFERROR(_xlfn.XLOOKUP($B32,'Air Quality'!B$6:B$35,'Air Quality'!$D$6:$D$35,0,0,1),0)</f>
        <v>629005.09908345668</v>
      </c>
      <c r="I32" s="297">
        <f>IFERROR(_xlfn.XLOOKUP($B32,'Air Quality'!B$6:B$35,'Air Quality'!M$6:M$35,0,0,1),0)</f>
        <v>695024.6557078053</v>
      </c>
      <c r="J32" s="299">
        <f>IFERROR(_xlfn.XLOOKUP($B32,'Air Quality'!B$6:B$35,'Air Quality'!$E$6:$E$35,0,0,1),0)</f>
        <v>283171.21162809024</v>
      </c>
      <c r="K32" s="298">
        <f>IFERROR(_xlfn.XLOOKUP($B32,'Safety -  I-80 Mainline'!B$6:B$35,'Safety -  I-80 Mainline'!E$6:E$35,0,0,1),0)</f>
        <v>-2769267.3051160732</v>
      </c>
      <c r="L32" s="297">
        <f>IFERROR(_xlfn.XLOOKUP($B32,'Safety - N-103 Interchange'!B$6:B$35,'Safety - N-103 Interchange'!E$6:E$35,0,0,1),0)</f>
        <v>-486872.30138103478</v>
      </c>
      <c r="M32" s="299">
        <f>IFERROR(_xlfn.XLOOKUP($B32,'Safety US 6 (I-80 Alt)'!$B$6:$B$35,'Safety US 6 (I-80 Alt)'!$E$6:$E$35,0,0,1),0)</f>
        <v>93861863.032161862</v>
      </c>
      <c r="N32" s="298">
        <f>IFERROR(_xlfn.XLOOKUP($B32,'Operating and Maintenance Costs'!$B$5:$B$60,'Operating and Maintenance Costs'!$E$5:$E$60,0,0,1),0)</f>
        <v>-9334602.5520000011</v>
      </c>
      <c r="O32" s="299">
        <f>IFERROR(_xlfn.XLOOKUP($B32,'Capital Cost and RCV'!$B$6:$B$39,'Capital Cost and RCV'!$E$6:$E$39,0,0,1),0)</f>
        <v>0</v>
      </c>
      <c r="P32" s="378">
        <f t="shared" si="2"/>
        <v>139145669.77428937</v>
      </c>
      <c r="Q32" s="299">
        <f>IFERROR(SUM(C32,D32,E32,F32,G32,I32,K32:O32)*(1+0.07)^-($B32-Assumptions!$D$4)+J32,0)</f>
        <v>22574708.93503673</v>
      </c>
      <c r="R32" s="364"/>
    </row>
    <row r="33" spans="2:18" s="456" customFormat="1" ht="15" customHeight="1" x14ac:dyDescent="0.25">
      <c r="B33" s="277">
        <f t="shared" si="1"/>
        <v>2048</v>
      </c>
      <c r="C33" s="298">
        <f>IFERROR(_xlfn.XLOOKUP($B33,'TT-Detour-Car'!B$6:B$35,'TT-Detour-Car'!G$6:G$35,0,0,1),0)</f>
        <v>35964326.228124999</v>
      </c>
      <c r="D33" s="297">
        <f>IFERROR(_xlfn.XLOOKUP($B33,'TT-Detour-Truck'!B$6:B$35,'TT-Detour-Truck'!G$6:G$35,0,0,1),0)</f>
        <v>12905183.333333373</v>
      </c>
      <c r="E33" s="297">
        <f>IFERROR(_xlfn.XLOOKUP($B33,'VOC-Detour-Car'!B$6:B$35,'VOC-Detour-Car'!G$6:G$35,0,0,1),0)</f>
        <v>4899936.796875</v>
      </c>
      <c r="F33" s="297">
        <f>IFERROR(_xlfn.XLOOKUP($B33,'VOC-Detour-Truck'!B$6:B$35,'VOC-Detour-Truck'!G$6:G$35,0,0,1),0)</f>
        <v>3411807.84375</v>
      </c>
      <c r="G33" s="378">
        <f>IFERROR(_xlfn.XLOOKUP($B33,'TT - Construction'!$B$6:$B$35,'TT - Construction'!$G$6:$G$35,0,0,1),0)</f>
        <v>-2676545.4467506483</v>
      </c>
      <c r="H33" s="376">
        <f>IFERROR(_xlfn.XLOOKUP($B33,'Air Quality'!B$6:B$35,'Air Quality'!$D$6:$D$35,0,0,1),0)</f>
        <v>643970.95324623003</v>
      </c>
      <c r="I33" s="297">
        <f>IFERROR(_xlfn.XLOOKUP($B33,'Air Quality'!B$6:B$35,'Air Quality'!M$6:M$35,0,0,1),0)</f>
        <v>702776.59896021849</v>
      </c>
      <c r="J33" s="299">
        <f>IFERROR(_xlfn.XLOOKUP($B33,'Air Quality'!B$6:B$35,'Air Quality'!$E$6:$E$35,0,0,1),0)</f>
        <v>281464.73338092619</v>
      </c>
      <c r="K33" s="298">
        <f>IFERROR(_xlfn.XLOOKUP($B33,'Safety -  I-80 Mainline'!B$6:B$35,'Safety -  I-80 Mainline'!E$6:E$35,0,0,1),0)</f>
        <v>-2800155.2246702714</v>
      </c>
      <c r="L33" s="297">
        <f>IFERROR(_xlfn.XLOOKUP($B33,'Safety - N-103 Interchange'!B$6:B$35,'Safety - N-103 Interchange'!E$6:E$35,0,0,1),0)</f>
        <v>-492302.62161569484</v>
      </c>
      <c r="M33" s="299">
        <f>IFERROR(_xlfn.XLOOKUP($B33,'Safety US 6 (I-80 Alt)'!$B$6:$B$35,'Safety US 6 (I-80 Alt)'!$E$6:$E$35,0,0,1),0)</f>
        <v>94843131.083953887</v>
      </c>
      <c r="N33" s="298">
        <f>IFERROR(_xlfn.XLOOKUP($B33,'Operating and Maintenance Costs'!$B$5:$B$60,'Operating and Maintenance Costs'!$E$5:$E$60,0,0,1),0)</f>
        <v>-545052.55200000014</v>
      </c>
      <c r="O33" s="299">
        <f>IFERROR(_xlfn.XLOOKUP($B33,'Capital Cost and RCV'!$B$6:$B$39,'Capital Cost and RCV'!$E$6:$E$39,0,0,1),0)</f>
        <v>0</v>
      </c>
      <c r="P33" s="378">
        <f t="shared" si="2"/>
        <v>146857076.9932071</v>
      </c>
      <c r="Q33" s="299">
        <f>IFERROR(SUM(C33,D33,E33,F33,G33,I33,K33:O33)*(1+0.07)^-($B33-Assumptions!$D$4)+J33,0)</f>
        <v>22272239.368095621</v>
      </c>
      <c r="R33" s="364"/>
    </row>
    <row r="34" spans="2:18" s="456" customFormat="1" ht="15" customHeight="1" x14ac:dyDescent="0.25">
      <c r="B34" s="277">
        <f t="shared" si="1"/>
        <v>2049</v>
      </c>
      <c r="C34" s="298">
        <f>IFERROR(_xlfn.XLOOKUP($B34,'TT-Detour-Car'!B$6:B$35,'TT-Detour-Car'!G$6:G$35,0,0,1),0)</f>
        <v>36361028.987499997</v>
      </c>
      <c r="D34" s="297">
        <f>IFERROR(_xlfn.XLOOKUP($B34,'TT-Detour-Truck'!B$6:B$35,'TT-Detour-Truck'!G$6:G$35,0,0,1),0)</f>
        <v>13047533.333333373</v>
      </c>
      <c r="E34" s="297">
        <f>IFERROR(_xlfn.XLOOKUP($B34,'VOC-Detour-Car'!B$6:B$35,'VOC-Detour-Car'!G$6:G$35,0,0,1),0)</f>
        <v>4953985.3125</v>
      </c>
      <c r="F34" s="297">
        <f>IFERROR(_xlfn.XLOOKUP($B34,'VOC-Detour-Truck'!B$6:B$35,'VOC-Detour-Truck'!G$6:G$35,0,0,1),0)</f>
        <v>3449441.625</v>
      </c>
      <c r="G34" s="378">
        <f>IFERROR(_xlfn.XLOOKUP($B34,'TT - Construction'!$B$6:$B$35,'TT - Construction'!$G$6:$G$35,0,0,1),0)</f>
        <v>0</v>
      </c>
      <c r="H34" s="376">
        <f>IFERROR(_xlfn.XLOOKUP($B34,'Air Quality'!B$6:B$35,'Air Quality'!$D$6:$D$35,0,0,1),0)</f>
        <v>667150.15092158271</v>
      </c>
      <c r="I34" s="297">
        <f>IFERROR(_xlfn.XLOOKUP($B34,'Air Quality'!B$6:B$35,'Air Quality'!M$6:M$35,0,0,1),0)</f>
        <v>710528.54221263155</v>
      </c>
      <c r="J34" s="299">
        <f>IFERROR(_xlfn.XLOOKUP($B34,'Air Quality'!B$6:B$35,'Air Quality'!$E$6:$E$35,0,0,1),0)</f>
        <v>283102.73965239304</v>
      </c>
      <c r="K34" s="298">
        <f>IFERROR(_xlfn.XLOOKUP($B34,'Safety -  I-80 Mainline'!B$6:B$35,'Safety -  I-80 Mainline'!E$6:E$35,0,0,1),0)</f>
        <v>-2831043.1442244682</v>
      </c>
      <c r="L34" s="297">
        <f>IFERROR(_xlfn.XLOOKUP($B34,'Safety - N-103 Interchange'!B$6:B$35,'Safety - N-103 Interchange'!E$6:E$35,0,0,1),0)</f>
        <v>-497732.94185035489</v>
      </c>
      <c r="M34" s="299">
        <f>IFERROR(_xlfn.XLOOKUP($B34,'Safety US 6 (I-80 Alt)'!$B$6:$B$35,'Safety US 6 (I-80 Alt)'!$E$6:$E$35,0,0,1),0)</f>
        <v>95824399.135745913</v>
      </c>
      <c r="N34" s="298">
        <f>IFERROR(_xlfn.XLOOKUP($B34,'Operating and Maintenance Costs'!$B$5:$B$60,'Operating and Maintenance Costs'!$E$5:$E$60,0,0,1),0)</f>
        <v>-545052.55200000014</v>
      </c>
      <c r="O34" s="299">
        <f>IFERROR(_xlfn.XLOOKUP($B34,'Capital Cost and RCV'!$B$6:$B$39,'Capital Cost and RCV'!$E$6:$E$39,0,0,1),0)</f>
        <v>0</v>
      </c>
      <c r="P34" s="378">
        <f t="shared" si="2"/>
        <v>151140238.4491387</v>
      </c>
      <c r="Q34" s="299">
        <f>IFERROR(SUM(C34,D34,E34,F34,G34,I34,K34:O34)*(1+0.07)^-($B34-Assumptions!$D$4)+J34,0)</f>
        <v>21434023.666073155</v>
      </c>
      <c r="R34" s="364"/>
    </row>
    <row r="35" spans="2:18" s="456" customFormat="1" ht="15" customHeight="1" x14ac:dyDescent="0.25">
      <c r="B35" s="277">
        <f t="shared" si="1"/>
        <v>2050</v>
      </c>
      <c r="C35" s="298">
        <f>IFERROR(_xlfn.XLOOKUP($B35,'TT-Detour-Car'!B$6:B$35,'TT-Detour-Car'!G$6:G$35,0,0,1),0)</f>
        <v>36757731.746875003</v>
      </c>
      <c r="D35" s="297">
        <f>IFERROR(_xlfn.XLOOKUP($B35,'TT-Detour-Truck'!B$6:B$35,'TT-Detour-Truck'!G$6:G$35,0,0,1),0)</f>
        <v>13189883.333333373</v>
      </c>
      <c r="E35" s="297">
        <f>IFERROR(_xlfn.XLOOKUP($B35,'VOC-Detour-Car'!B$6:B$35,'VOC-Detour-Car'!G$6:G$35,0,0,1),0)</f>
        <v>5008033.828125</v>
      </c>
      <c r="F35" s="297">
        <f>IFERROR(_xlfn.XLOOKUP($B35,'VOC-Detour-Truck'!B$6:B$35,'VOC-Detour-Truck'!G$6:G$35,0,0,1),0)</f>
        <v>3487075.40625</v>
      </c>
      <c r="G35" s="378">
        <f>IFERROR(_xlfn.XLOOKUP($B35,'TT - Construction'!$B$6:$B$35,'TT - Construction'!$G$6:$G$35,0,0,1),0)</f>
        <v>0</v>
      </c>
      <c r="H35" s="376">
        <f>IFERROR(_xlfn.XLOOKUP($B35,'Air Quality'!B$6:B$35,'Air Quality'!$D$6:$D$35,0,0,1),0)</f>
        <v>682554.47980190092</v>
      </c>
      <c r="I35" s="297">
        <f>IFERROR(_xlfn.XLOOKUP($B35,'Air Quality'!B$6:B$35,'Air Quality'!M$6:M$35,0,0,1),0)</f>
        <v>718280.48546504462</v>
      </c>
      <c r="J35" s="299">
        <f>IFERROR(_xlfn.XLOOKUP($B35,'Air Quality'!B$6:B$35,'Air Quality'!$E$6:$E$35,0,0,1),0)</f>
        <v>281203.40832665068</v>
      </c>
      <c r="K35" s="298">
        <f>IFERROR(_xlfn.XLOOKUP($B35,'Safety -  I-80 Mainline'!B$6:B$35,'Safety -  I-80 Mainline'!E$6:E$35,0,0,1),0)</f>
        <v>-2861931.0637786658</v>
      </c>
      <c r="L35" s="297">
        <f>IFERROR(_xlfn.XLOOKUP($B35,'Safety - N-103 Interchange'!B$6:B$35,'Safety - N-103 Interchange'!E$6:E$35,0,0,1),0)</f>
        <v>-503163.26208501495</v>
      </c>
      <c r="M35" s="299">
        <f>IFERROR(_xlfn.XLOOKUP($B35,'Safety US 6 (I-80 Alt)'!$B$6:$B$35,'Safety US 6 (I-80 Alt)'!$E$6:$E$35,0,0,1),0)</f>
        <v>96805667.187537491</v>
      </c>
      <c r="N35" s="298">
        <f>IFERROR(_xlfn.XLOOKUP($B35,'Operating and Maintenance Costs'!$B$5:$B$60,'Operating and Maintenance Costs'!$E$5:$E$60,0,0,1),0)</f>
        <v>-545052.55200000014</v>
      </c>
      <c r="O35" s="299">
        <f>IFERROR(_xlfn.XLOOKUP($B35,'Capital Cost and RCV'!$B$6:$B$39,'Capital Cost and RCV'!$E$6:$E$39,0,0,1),0)</f>
        <v>0</v>
      </c>
      <c r="P35" s="378">
        <f t="shared" si="2"/>
        <v>152739079.58952415</v>
      </c>
      <c r="Q35" s="299">
        <f>IFERROR(SUM(C35,D35,E35,F35,G35,I35,K35:O35)*(1+0.07)^-($B35-Assumptions!$D$4)+J35,0)</f>
        <v>20256430.756535362</v>
      </c>
      <c r="R35" s="364"/>
    </row>
    <row r="36" spans="2:18" s="456" customFormat="1" ht="15" customHeight="1" x14ac:dyDescent="0.25">
      <c r="B36" s="277">
        <f t="shared" si="1"/>
        <v>2051</v>
      </c>
      <c r="C36" s="298">
        <f>IFERROR(_xlfn.XLOOKUP($B36,'TT-Detour-Car'!B$6:B$35,'TT-Detour-Car'!G$6:G$35,0,0,1),0)</f>
        <v>37154434.506249994</v>
      </c>
      <c r="D36" s="297">
        <f>IFERROR(_xlfn.XLOOKUP($B36,'TT-Detour-Truck'!B$6:B$35,'TT-Detour-Truck'!G$6:G$35,0,0,1),0)</f>
        <v>13332233.333333373</v>
      </c>
      <c r="E36" s="297">
        <f>IFERROR(_xlfn.XLOOKUP($B36,'VOC-Detour-Car'!B$6:B$35,'VOC-Detour-Car'!G$6:G$35,0,0,1),0)</f>
        <v>5062082.34375</v>
      </c>
      <c r="F36" s="297">
        <f>IFERROR(_xlfn.XLOOKUP($B36,'VOC-Detour-Truck'!B$6:B$35,'VOC-Detour-Truck'!G$6:G$35,0,0,1),0)</f>
        <v>3524709.1875</v>
      </c>
      <c r="G36" s="378">
        <f>IFERROR(_xlfn.XLOOKUP($B36,'TT - Construction'!$B$6:$B$35,'TT - Construction'!$G$6:$G$35,0,0,1),0)</f>
        <v>0</v>
      </c>
      <c r="H36" s="376">
        <f>IFERROR(_xlfn.XLOOKUP($B36,'Air Quality'!B$6:B$35,'Air Quality'!$D$6:$D$35,0,0,1),0)</f>
        <v>689920.85505665815</v>
      </c>
      <c r="I36" s="297">
        <f>IFERROR(_xlfn.XLOOKUP($B36,'Air Quality'!B$6:B$35,'Air Quality'!M$6:M$35,0,0,1),0)</f>
        <v>726032.42871745769</v>
      </c>
      <c r="J36" s="299">
        <f>IFERROR(_xlfn.XLOOKUP($B36,'Air Quality'!B$6:B$35,'Air Quality'!$E$6:$E$35,0,0,1),0)</f>
        <v>275959.47320120025</v>
      </c>
      <c r="K36" s="298">
        <f>IFERROR(_xlfn.XLOOKUP($B36,'Safety -  I-80 Mainline'!B$6:B$35,'Safety -  I-80 Mainline'!E$6:E$35,0,0,1),0)</f>
        <v>-2892818.9833328631</v>
      </c>
      <c r="L36" s="297">
        <f>IFERROR(_xlfn.XLOOKUP($B36,'Safety - N-103 Interchange'!B$6:B$35,'Safety - N-103 Interchange'!E$6:E$35,0,0,1),0)</f>
        <v>-508593.58231967501</v>
      </c>
      <c r="M36" s="299">
        <f>IFERROR(_xlfn.XLOOKUP($B36,'Safety US 6 (I-80 Alt)'!$B$6:$B$35,'Safety US 6 (I-80 Alt)'!$E$6:$E$35,0,0,1),0)</f>
        <v>97786935.239329517</v>
      </c>
      <c r="N36" s="298">
        <f>IFERROR(_xlfn.XLOOKUP($B36,'Operating and Maintenance Costs'!$B$5:$B$60,'Operating and Maintenance Costs'!$E$5:$E$60,0,0,1),0)</f>
        <v>-545052.55200000014</v>
      </c>
      <c r="O36" s="299">
        <f>IFERROR(_xlfn.XLOOKUP($B36,'Capital Cost and RCV'!$B$6:$B$39,'Capital Cost and RCV'!$E$6:$E$39,0,0,1),0)</f>
        <v>0</v>
      </c>
      <c r="P36" s="378">
        <f t="shared" si="2"/>
        <v>154329882.77628446</v>
      </c>
      <c r="Q36" s="299">
        <f>IFERROR(SUM(C36,D36,E36,F36,G36,I36,K36:O36)*(1+0.07)^-($B36-Assumptions!$D$4)+J36,0)</f>
        <v>19138799.545474701</v>
      </c>
      <c r="R36" s="364"/>
    </row>
    <row r="37" spans="2:18" s="456" customFormat="1" ht="15" customHeight="1" x14ac:dyDescent="0.25">
      <c r="B37" s="277">
        <f t="shared" si="1"/>
        <v>2052</v>
      </c>
      <c r="C37" s="298">
        <f>IFERROR(_xlfn.XLOOKUP($B37,'TT-Detour-Car'!B$6:B$35,'TT-Detour-Car'!G$6:G$35,0,0,1),0)</f>
        <v>37551137.265625</v>
      </c>
      <c r="D37" s="297">
        <f>IFERROR(_xlfn.XLOOKUP($B37,'TT-Detour-Truck'!B$6:B$35,'TT-Detour-Truck'!G$6:G$35,0,0,1),0)</f>
        <v>13474583.333333373</v>
      </c>
      <c r="E37" s="297">
        <f>IFERROR(_xlfn.XLOOKUP($B37,'VOC-Detour-Car'!B$6:B$35,'VOC-Detour-Car'!G$6:G$35,0,0,1),0)</f>
        <v>5116130.859375</v>
      </c>
      <c r="F37" s="297">
        <f>IFERROR(_xlfn.XLOOKUP($B37,'VOC-Detour-Truck'!B$6:B$35,'VOC-Detour-Truck'!G$6:G$35,0,0,1),0)</f>
        <v>3562342.96875</v>
      </c>
      <c r="G37" s="378">
        <f>IFERROR(_xlfn.XLOOKUP($B37,'TT - Construction'!$B$6:$B$35,'TT - Construction'!$G$6:$G$35,0,0,1),0)</f>
        <v>0</v>
      </c>
      <c r="H37" s="376">
        <f>IFERROR(_xlfn.XLOOKUP($B37,'Air Quality'!B$6:B$35,'Air Quality'!$D$6:$D$35,0,0,1),0)</f>
        <v>697287.23031141527</v>
      </c>
      <c r="I37" s="297">
        <f>IFERROR(_xlfn.XLOOKUP($B37,'Air Quality'!B$6:B$35,'Air Quality'!M$6:M$35,0,0,1),0)</f>
        <v>733784.37196987087</v>
      </c>
      <c r="J37" s="299">
        <f>IFERROR(_xlfn.XLOOKUP($B37,'Air Quality'!B$6:B$35,'Air Quality'!$E$6:$E$35,0,0,1),0)</f>
        <v>270782.45496071433</v>
      </c>
      <c r="K37" s="298">
        <f>IFERROR(_xlfn.XLOOKUP($B37,'Safety -  I-80 Mainline'!B$6:B$35,'Safety -  I-80 Mainline'!E$6:E$35,0,0,1),0)</f>
        <v>-2923706.9028870612</v>
      </c>
      <c r="L37" s="297">
        <f>IFERROR(_xlfn.XLOOKUP($B37,'Safety - N-103 Interchange'!B$6:B$35,'Safety - N-103 Interchange'!E$6:E$35,0,0,1),0)</f>
        <v>-514023.90255433321</v>
      </c>
      <c r="M37" s="299">
        <f>IFERROR(_xlfn.XLOOKUP($B37,'Safety US 6 (I-80 Alt)'!$B$6:$B$35,'Safety US 6 (I-80 Alt)'!$E$6:$E$35,0,0,1),0)</f>
        <v>98768203.291121095</v>
      </c>
      <c r="N37" s="298">
        <f>IFERROR(_xlfn.XLOOKUP($B37,'Operating and Maintenance Costs'!$B$5:$B$60,'Operating and Maintenance Costs'!$E$5:$E$60,0,0,1),0)</f>
        <v>-796182.55200000014</v>
      </c>
      <c r="O37" s="299">
        <f>IFERROR(_xlfn.XLOOKUP($B37,'Capital Cost and RCV'!$B$6:$B$39,'Capital Cost and RCV'!$E$6:$E$39,0,0,1),0)</f>
        <v>0</v>
      </c>
      <c r="P37" s="378">
        <f t="shared" si="2"/>
        <v>155669555.96304438</v>
      </c>
      <c r="Q37" s="299">
        <f>IFERROR(SUM(C37,D37,E37,F37,G37,I37,K37:O37)*(1+0.07)^-($B37-Assumptions!$D$4)+J37,0)</f>
        <v>18052475.338466264</v>
      </c>
      <c r="R37" s="364"/>
    </row>
    <row r="38" spans="2:18" s="456" customFormat="1" ht="15" customHeight="1" x14ac:dyDescent="0.25">
      <c r="B38" s="277">
        <f t="shared" si="1"/>
        <v>2053</v>
      </c>
      <c r="C38" s="298">
        <f>IFERROR(_xlfn.XLOOKUP($B38,'TT-Detour-Car'!B$6:B$35,'TT-Detour-Car'!G$6:G$35,0,0,1),0)</f>
        <v>37947840.024999991</v>
      </c>
      <c r="D38" s="297">
        <f>IFERROR(_xlfn.XLOOKUP($B38,'TT-Detour-Truck'!B$6:B$35,'TT-Detour-Truck'!G$6:G$35,0,0,1),0)</f>
        <v>13616933.333333373</v>
      </c>
      <c r="E38" s="297">
        <f>IFERROR(_xlfn.XLOOKUP($B38,'VOC-Detour-Car'!B$6:B$35,'VOC-Detour-Car'!G$6:G$35,0,0,1),0)</f>
        <v>5170179.375</v>
      </c>
      <c r="F38" s="297">
        <f>IFERROR(_xlfn.XLOOKUP($B38,'VOC-Detour-Truck'!B$6:B$35,'VOC-Detour-Truck'!G$6:G$35,0,0,1),0)</f>
        <v>3599976.75</v>
      </c>
      <c r="G38" s="378">
        <f>IFERROR(_xlfn.XLOOKUP($B38,'TT - Construction'!$B$6:$B$35,'TT - Construction'!$G$6:$G$35,0,0,1),0)</f>
        <v>0</v>
      </c>
      <c r="H38" s="376">
        <f>IFERROR(_xlfn.XLOOKUP($B38,'Air Quality'!B$6:B$35,'Air Quality'!$D$6:$D$35,0,0,1),0)</f>
        <v>704653.60556617251</v>
      </c>
      <c r="I38" s="297">
        <f>IFERROR(_xlfn.XLOOKUP($B38,'Air Quality'!B$6:B$35,'Air Quality'!M$6:M$35,0,0,1),0)</f>
        <v>741536.31522228383</v>
      </c>
      <c r="J38" s="299">
        <f>IFERROR(_xlfn.XLOOKUP($B38,'Air Quality'!B$6:B$35,'Air Quality'!$E$6:$E$35,0,0,1),0)</f>
        <v>265672.90415484144</v>
      </c>
      <c r="K38" s="298">
        <f>IFERROR(_xlfn.XLOOKUP($B38,'Safety -  I-80 Mainline'!B$6:B$35,'Safety -  I-80 Mainline'!E$6:E$35,0,0,1),0)</f>
        <v>-2954594.8224412506</v>
      </c>
      <c r="L38" s="297">
        <f>IFERROR(_xlfn.XLOOKUP($B38,'Safety - N-103 Interchange'!B$6:B$35,'Safety - N-103 Interchange'!E$6:E$35,0,0,1),0)</f>
        <v>-519454.22278899327</v>
      </c>
      <c r="M38" s="299">
        <f>IFERROR(_xlfn.XLOOKUP($B38,'Safety US 6 (I-80 Alt)'!$B$6:$B$35,'Safety US 6 (I-80 Alt)'!$E$6:$E$35,0,0,1),0)</f>
        <v>99749471.342913121</v>
      </c>
      <c r="N38" s="298">
        <f>IFERROR(_xlfn.XLOOKUP($B38,'Operating and Maintenance Costs'!$B$5:$B$60,'Operating and Maintenance Costs'!$E$5:$E$60,0,0,1),0)</f>
        <v>-545052.55200000014</v>
      </c>
      <c r="O38" s="299">
        <f>IFERROR(_xlfn.XLOOKUP($B38,'Capital Cost and RCV'!$B$6:$B$39,'Capital Cost and RCV'!$E$6:$E$39,0,0,1),0)</f>
        <v>0</v>
      </c>
      <c r="P38" s="378">
        <f t="shared" si="2"/>
        <v>157511489.14980471</v>
      </c>
      <c r="Q38" s="299">
        <f>IFERROR(SUM(C38,D38,E38,F38,G38,I38,K38:O38)*(1+0.07)^-($B38-Assumptions!$D$4)+J38,0)</f>
        <v>17080806.687687729</v>
      </c>
      <c r="R38" s="364"/>
    </row>
    <row r="39" spans="2:18" s="456" customFormat="1" ht="15" customHeight="1" x14ac:dyDescent="0.25">
      <c r="B39" s="277">
        <f t="shared" si="1"/>
        <v>2054</v>
      </c>
      <c r="C39" s="298">
        <f>IFERROR(_xlfn.XLOOKUP($B39,'TT-Detour-Car'!B$6:B$35,'TT-Detour-Car'!G$6:G$35,0,0,1),0)</f>
        <v>38344542.784374997</v>
      </c>
      <c r="D39" s="297">
        <f>IFERROR(_xlfn.XLOOKUP($B39,'TT-Detour-Truck'!B$6:B$35,'TT-Detour-Truck'!G$6:G$35,0,0,1),0)</f>
        <v>13759283.333333373</v>
      </c>
      <c r="E39" s="297">
        <f>IFERROR(_xlfn.XLOOKUP($B39,'VOC-Detour-Car'!B$6:B$35,'VOC-Detour-Car'!G$6:G$35,0,0,1),0)</f>
        <v>5224227.890625</v>
      </c>
      <c r="F39" s="297">
        <f>IFERROR(_xlfn.XLOOKUP($B39,'VOC-Detour-Truck'!B$6:B$35,'VOC-Detour-Truck'!G$6:G$35,0,0,1),0)</f>
        <v>3637610.53125</v>
      </c>
      <c r="G39" s="378">
        <f>IFERROR(_xlfn.XLOOKUP($B39,'TT - Construction'!$B$6:$B$35,'TT - Construction'!$G$6:$G$35,0,0,1),0)</f>
        <v>0</v>
      </c>
      <c r="H39" s="376">
        <f>IFERROR(_xlfn.XLOOKUP($B39,'Air Quality'!B$6:B$35,'Air Quality'!$D$6:$D$35,0,0,1),0)</f>
        <v>712019.98082092975</v>
      </c>
      <c r="I39" s="297">
        <f>IFERROR(_xlfn.XLOOKUP($B39,'Air Quality'!B$6:B$35,'Air Quality'!M$6:M$35,0,0,1),0)</f>
        <v>749288.25847469689</v>
      </c>
      <c r="J39" s="299">
        <f>IFERROR(_xlfn.XLOOKUP($B39,'Air Quality'!B$6:B$35,'Air Quality'!$E$6:$E$35,0,0,1),0)</f>
        <v>260631.28249435301</v>
      </c>
      <c r="K39" s="298">
        <f>IFERROR(_xlfn.XLOOKUP($B39,'Safety -  I-80 Mainline'!B$6:B$35,'Safety -  I-80 Mainline'!E$6:E$35,0,0,1),0)</f>
        <v>-2985482.7419954482</v>
      </c>
      <c r="L39" s="297">
        <f>IFERROR(_xlfn.XLOOKUP($B39,'Safety - N-103 Interchange'!B$6:B$35,'Safety - N-103 Interchange'!E$6:E$35,0,0,1),0)</f>
        <v>-524884.54302365333</v>
      </c>
      <c r="M39" s="299">
        <f>IFERROR(_xlfn.XLOOKUP($B39,'Safety US 6 (I-80 Alt)'!$B$6:$B$35,'Safety US 6 (I-80 Alt)'!$E$6:$E$35,0,0,1),0)</f>
        <v>100730739.3947047</v>
      </c>
      <c r="N39" s="298">
        <f>IFERROR(_xlfn.XLOOKUP($B39,'Operating and Maintenance Costs'!$B$5:$B$60,'Operating and Maintenance Costs'!$E$5:$E$60,0,0,1),0)</f>
        <v>-545052.55200000014</v>
      </c>
      <c r="O39" s="299">
        <f>IFERROR(_xlfn.XLOOKUP($B39,'Capital Cost and RCV'!$B$6:$B$39,'Capital Cost and RCV'!$E$6:$E$39,0,0,1),0)</f>
        <v>0</v>
      </c>
      <c r="P39" s="378">
        <f t="shared" si="2"/>
        <v>159102292.3365646</v>
      </c>
      <c r="Q39" s="299">
        <f>IFERROR(SUM(C39,D39,E39,F39,G39,I39,K39:O39)*(1+0.07)^-($B39-Assumptions!$D$4)+J39,0)</f>
        <v>16134400.584480837</v>
      </c>
      <c r="R39" s="364"/>
    </row>
    <row r="40" spans="2:18" s="456" customFormat="1" ht="15" customHeight="1" x14ac:dyDescent="0.25">
      <c r="B40" s="277">
        <f t="shared" si="1"/>
        <v>2055</v>
      </c>
      <c r="C40" s="298">
        <f>IFERROR(_xlfn.XLOOKUP($B40,'TT-Detour-Car'!B$6:B$35,'TT-Detour-Car'!G$6:G$35,0,0,1),0)</f>
        <v>38741245.543750003</v>
      </c>
      <c r="D40" s="297">
        <f>IFERROR(_xlfn.XLOOKUP($B40,'TT-Detour-Truck'!B$6:B$35,'TT-Detour-Truck'!G$6:G$35,0,0,1),0)</f>
        <v>13901633.333333373</v>
      </c>
      <c r="E40" s="297">
        <f>IFERROR(_xlfn.XLOOKUP($B40,'VOC-Detour-Car'!B$6:B$35,'VOC-Detour-Car'!G$6:G$35,0,0,1),0)</f>
        <v>5278276.40625</v>
      </c>
      <c r="F40" s="297">
        <f>IFERROR(_xlfn.XLOOKUP($B40,'VOC-Detour-Truck'!B$6:B$35,'VOC-Detour-Truck'!G$6:G$35,0,0,1),0)</f>
        <v>3675244.3125</v>
      </c>
      <c r="G40" s="378">
        <f>IFERROR(_xlfn.XLOOKUP($B40,'TT - Construction'!$B$6:$B$35,'TT - Construction'!$G$6:$G$35,0,0,1),0)</f>
        <v>0</v>
      </c>
      <c r="H40" s="376">
        <f>IFERROR(_xlfn.XLOOKUP($B40,'Air Quality'!B$6:B$35,'Air Quality'!$D$6:$D$35,0,0,1),0)</f>
        <v>719386.35607568687</v>
      </c>
      <c r="I40" s="297">
        <f>IFERROR(_xlfn.XLOOKUP($B40,'Air Quality'!B$6:B$35,'Air Quality'!M$6:M$35,0,0,1),0)</f>
        <v>757040.20172711008</v>
      </c>
      <c r="J40" s="299">
        <f>IFERROR(_xlfn.XLOOKUP($B40,'Air Quality'!B$6:B$35,'Air Quality'!$E$6:$E$35,0,0,1),0)</f>
        <v>255657.96755917202</v>
      </c>
      <c r="K40" s="298">
        <f>IFERROR(_xlfn.XLOOKUP($B40,'Safety -  I-80 Mainline'!B$6:B$35,'Safety -  I-80 Mainline'!E$6:E$35,0,0,1),0)</f>
        <v>-3016370.6615496455</v>
      </c>
      <c r="L40" s="297">
        <f>IFERROR(_xlfn.XLOOKUP($B40,'Safety - N-103 Interchange'!B$6:B$35,'Safety - N-103 Interchange'!E$6:E$35,0,0,1),0)</f>
        <v>-530314.86325831339</v>
      </c>
      <c r="M40" s="299">
        <f>IFERROR(_xlfn.XLOOKUP($B40,'Safety US 6 (I-80 Alt)'!$B$6:$B$35,'Safety US 6 (I-80 Alt)'!$E$6:$E$35,0,0,1),0)</f>
        <v>101712007.44649673</v>
      </c>
      <c r="N40" s="298">
        <f>IFERROR(_xlfn.XLOOKUP($B40,'Operating and Maintenance Costs'!$B$5:$B$60,'Operating and Maintenance Costs'!$E$5:$E$60,0,0,1),0)</f>
        <v>-4814262.5520000011</v>
      </c>
      <c r="O40" s="299">
        <f>IFERROR(_xlfn.XLOOKUP($B40,'Capital Cost and RCV'!$B$6:$B$39,'Capital Cost and RCV'!$E$6:$E$39,0,0,1),0)</f>
        <v>0</v>
      </c>
      <c r="P40" s="378">
        <f t="shared" si="2"/>
        <v>156423885.52332497</v>
      </c>
      <c r="Q40" s="299">
        <f>IFERROR(SUM(C40,D40,E40,F40,G40,I40,K40:O40)*(1+0.07)^-($B40-Assumptions!$D$4)+J40,0)</f>
        <v>14839398.970389878</v>
      </c>
      <c r="R40" s="364"/>
    </row>
    <row r="41" spans="2:18" s="456" customFormat="1" ht="15" customHeight="1" x14ac:dyDescent="0.25">
      <c r="B41" s="277">
        <f t="shared" si="1"/>
        <v>2056</v>
      </c>
      <c r="C41" s="298">
        <f>IFERROR(_xlfn.XLOOKUP($B41,'TT-Detour-Car'!B$6:B$35,'TT-Detour-Car'!G$6:G$35,0,0,1),0)</f>
        <v>39137948.303125009</v>
      </c>
      <c r="D41" s="297">
        <f>IFERROR(_xlfn.XLOOKUP($B41,'TT-Detour-Truck'!B$6:B$35,'TT-Detour-Truck'!G$6:G$35,0,0,1),0)</f>
        <v>14043983.333333373</v>
      </c>
      <c r="E41" s="297">
        <f>IFERROR(_xlfn.XLOOKUP($B41,'VOC-Detour-Car'!B$6:B$35,'VOC-Detour-Car'!G$6:G$35,0,0,1),0)</f>
        <v>5332324.921875</v>
      </c>
      <c r="F41" s="297">
        <f>IFERROR(_xlfn.XLOOKUP($B41,'VOC-Detour-Truck'!B$6:B$35,'VOC-Detour-Truck'!G$6:G$35,0,0,1),0)</f>
        <v>3712878.09375</v>
      </c>
      <c r="G41" s="378">
        <f>IFERROR(_xlfn.XLOOKUP($B41,'TT - Construction'!$B$6:$B$35,'TT - Construction'!$G$6:$G$35,0,0,1),0)</f>
        <v>0</v>
      </c>
      <c r="H41" s="376">
        <f>IFERROR(_xlfn.XLOOKUP($B41,'Air Quality'!B$6:B$35,'Air Quality'!$D$6:$D$35,0,0,1),0)</f>
        <v>726752.73133044387</v>
      </c>
      <c r="I41" s="297">
        <f>IFERROR(_xlfn.XLOOKUP($B41,'Air Quality'!B$6:B$35,'Air Quality'!M$6:M$35,0,0,1),0)</f>
        <v>764792.14497952315</v>
      </c>
      <c r="J41" s="299">
        <f>IFERROR(_xlfn.XLOOKUP($B41,'Air Quality'!B$6:B$35,'Air Quality'!$E$6:$E$35,0,0,1),0)</f>
        <v>250753.25730751376</v>
      </c>
      <c r="K41" s="298">
        <f>IFERROR(_xlfn.XLOOKUP($B41,'Safety -  I-80 Mainline'!B$6:B$35,'Safety -  I-80 Mainline'!E$6:E$35,0,0,1),0)</f>
        <v>-3047258.5811038432</v>
      </c>
      <c r="L41" s="297">
        <f>IFERROR(_xlfn.XLOOKUP($B41,'Safety - N-103 Interchange'!B$6:B$35,'Safety - N-103 Interchange'!E$6:E$35,0,0,1),0)</f>
        <v>-535745.18349297345</v>
      </c>
      <c r="M41" s="299">
        <f>IFERROR(_xlfn.XLOOKUP($B41,'Safety US 6 (I-80 Alt)'!$B$6:$B$35,'Safety US 6 (I-80 Alt)'!$E$6:$E$35,0,0,1),0)</f>
        <v>102693275.4982883</v>
      </c>
      <c r="N41" s="298">
        <f>IFERROR(_xlfn.XLOOKUP($B41,'Operating and Maintenance Costs'!$B$5:$B$60,'Operating and Maintenance Costs'!$E$5:$E$60,0,0,1),0)</f>
        <v>-545052.55200000014</v>
      </c>
      <c r="O41" s="299">
        <f>IFERROR(_xlfn.XLOOKUP($B41,'Capital Cost and RCV'!$B$6:$B$39,'Capital Cost and RCV'!$E$6:$E$39,0,0,1),0)</f>
        <v>0</v>
      </c>
      <c r="P41" s="378">
        <f t="shared" si="2"/>
        <v>162283898.71008486</v>
      </c>
      <c r="Q41" s="299">
        <f>IFERROR(SUM(C41,D41,E41,F41,G41,I41,K41:O41)*(1+0.07)^-($B41-Assumptions!$D$4)+J41,0)</f>
        <v>14392731.859128738</v>
      </c>
      <c r="R41" s="364"/>
    </row>
    <row r="42" spans="2:18" ht="15" customHeight="1" x14ac:dyDescent="0.25">
      <c r="B42" s="277">
        <f t="shared" si="1"/>
        <v>2057</v>
      </c>
      <c r="C42" s="298">
        <f>IFERROR(_xlfn.XLOOKUP($B42,'TT-Detour-Car'!B$6:B$35,'TT-Detour-Car'!G$6:G$35,0,0,1),0)</f>
        <v>39534651.0625</v>
      </c>
      <c r="D42" s="297">
        <f>IFERROR(_xlfn.XLOOKUP($B42,'TT-Detour-Truck'!B$6:B$35,'TT-Detour-Truck'!G$6:G$35,0,0,1),0)</f>
        <v>14186333.333333373</v>
      </c>
      <c r="E42" s="297">
        <f>IFERROR(_xlfn.XLOOKUP($B42,'VOC-Detour-Car'!B$6:B$35,'VOC-Detour-Car'!G$6:G$35,0,0,1),0)</f>
        <v>5386373.4375</v>
      </c>
      <c r="F42" s="297">
        <f>IFERROR(_xlfn.XLOOKUP($B42,'VOC-Detour-Truck'!B$6:B$35,'VOC-Detour-Truck'!G$6:G$35,0,0,1),0)</f>
        <v>3750511.875</v>
      </c>
      <c r="G42" s="378">
        <f>IFERROR(_xlfn.XLOOKUP($B42,'TT - Construction'!$B$6:$B$35,'TT - Construction'!$G$6:$G$35,0,0,1),0)</f>
        <v>0</v>
      </c>
      <c r="H42" s="376">
        <f>IFERROR(_xlfn.XLOOKUP($B42,'Air Quality'!B$6:B$35,'Air Quality'!$D$6:$D$35,0,0,1),0)</f>
        <v>734119.10658520111</v>
      </c>
      <c r="I42" s="297">
        <f>IFERROR(_xlfn.XLOOKUP($B42,'Air Quality'!B$6:B$35,'Air Quality'!M$6:M$35,0,0,1),0)</f>
        <v>772544.0882319361</v>
      </c>
      <c r="J42" s="299">
        <f>IFERROR(_xlfn.XLOOKUP($B42,'Air Quality'!B$6:B$35,'Air Quality'!$E$6:$E$35,0,0,1),0)</f>
        <v>245917.37439372842</v>
      </c>
      <c r="K42" s="298">
        <f>IFERROR(_xlfn.XLOOKUP($B42,'Safety -  I-80 Mainline'!B$6:B$35,'Safety -  I-80 Mainline'!E$6:E$35,0,0,1),0)</f>
        <v>-3078146.5006580404</v>
      </c>
      <c r="L42" s="297">
        <f>IFERROR(_xlfn.XLOOKUP($B42,'Safety - N-103 Interchange'!B$6:B$35,'Safety - N-103 Interchange'!E$6:E$35,0,0,1),0)</f>
        <v>-541175.50372763351</v>
      </c>
      <c r="M42" s="299">
        <f>IFERROR(_xlfn.XLOOKUP($B42,'Safety US 6 (I-80 Alt)'!$B$6:$B$35,'Safety US 6 (I-80 Alt)'!$E$6:$E$35,0,0,1),0)</f>
        <v>103674543.55008033</v>
      </c>
      <c r="N42" s="298">
        <f>IFERROR(_xlfn.XLOOKUP($B42,'Operating and Maintenance Costs'!$B$5:$B$60,'Operating and Maintenance Costs'!$E$5:$E$60,0,0,1),0)</f>
        <v>-545052.55200000014</v>
      </c>
      <c r="O42" s="299">
        <f>IFERROR(_xlfn.XLOOKUP($B42,'Capital Cost and RCV'!$B$6:$B$39,'Capital Cost and RCV'!$E$6:$E$39,0,0,1),0)</f>
        <v>44664911.317454822</v>
      </c>
      <c r="P42" s="378">
        <f t="shared" si="2"/>
        <v>208539613.21429998</v>
      </c>
      <c r="Q42" s="299">
        <f>IFERROR(SUM(C42,D42,E42,F42,G42,I42,K42:O42)*(1+0.07)^-($B42-Assumptions!$D$4)+J42,0)</f>
        <v>17246243.439733218</v>
      </c>
      <c r="R42" s="364"/>
    </row>
    <row r="43" spans="2:18" ht="15" customHeight="1" x14ac:dyDescent="0.25">
      <c r="B43" s="277">
        <f t="shared" si="1"/>
        <v>2058</v>
      </c>
      <c r="C43" s="298">
        <f>IFERROR(_xlfn.XLOOKUP($B43,'TT-Detour-Car'!B$6:B$35,'TT-Detour-Car'!G$6:G$35,0,0,1),0)</f>
        <v>0</v>
      </c>
      <c r="D43" s="297">
        <f>IFERROR(_xlfn.XLOOKUP($B43,'TT-Detour-Truck'!B$6:B$35,'TT-Detour-Truck'!G$6:G$35,0,0,1),0)</f>
        <v>0</v>
      </c>
      <c r="E43" s="297">
        <f>IFERROR(_xlfn.XLOOKUP($B43,'VOC-Detour-Car'!B$6:B$35,'VOC-Detour-Car'!G$6:G$35,0,0,1),0)</f>
        <v>0</v>
      </c>
      <c r="F43" s="297">
        <f>IFERROR(_xlfn.XLOOKUP($B43,'VOC-Detour-Truck'!B$6:B$35,'VOC-Detour-Truck'!G$6:G$35,0,0,1),0)</f>
        <v>0</v>
      </c>
      <c r="G43" s="378">
        <f>IFERROR(_xlfn.XLOOKUP($B43,'TT - Construction'!$B$6:$B$35,'TT - Construction'!$G$6:$G$35,0,0,1),0)</f>
        <v>0</v>
      </c>
      <c r="H43" s="376">
        <f>IFERROR(_xlfn.XLOOKUP($B43,'Air Quality'!B$6:B$35,'Air Quality'!$D$6:$D$35,0,0,1),0)</f>
        <v>0</v>
      </c>
      <c r="I43" s="297">
        <f>IFERROR(_xlfn.XLOOKUP($B43,'Air Quality'!B$6:B$35,'Air Quality'!M$6:M$35,0,0,1),0)</f>
        <v>0</v>
      </c>
      <c r="J43" s="299">
        <f>IFERROR(_xlfn.XLOOKUP($B43,'Air Quality'!B$6:B$35,'Air Quality'!$E$6:$E$35,0,0,1),0)</f>
        <v>0</v>
      </c>
      <c r="K43" s="298">
        <f>IFERROR(_xlfn.XLOOKUP($B43,'Safety -  I-80 Mainline'!B$6:B$35,'Safety -  I-80 Mainline'!E$6:E$35,0,0,1),0)</f>
        <v>0</v>
      </c>
      <c r="L43" s="297">
        <f>IFERROR(_xlfn.XLOOKUP($B43,'Safety - N-103 Interchange'!B$6:B$35,'Safety - N-103 Interchange'!E$6:E$35,0,0,1),0)</f>
        <v>0</v>
      </c>
      <c r="M43" s="299">
        <f>IFERROR(_xlfn.XLOOKUP($B43,'Safety US 6 (I-80 Alt)'!$B$6:$B$35,'Safety US 6 (I-80 Alt)'!$E$6:$E$35,0,0,1),0)</f>
        <v>0</v>
      </c>
      <c r="N43" s="298">
        <f>IFERROR(_xlfn.XLOOKUP($B43,'Operating and Maintenance Costs'!$B$5:$B$60,'Operating and Maintenance Costs'!$E$5:$E$60,0,0,1),0)</f>
        <v>-545052.55200000014</v>
      </c>
      <c r="O43" s="299">
        <f>IFERROR(_xlfn.XLOOKUP($B43,'Capital Cost and RCV'!$B$6:$B$39,'Capital Cost and RCV'!$E$6:$E$39,0,0,1),0)</f>
        <v>0</v>
      </c>
      <c r="P43" s="378">
        <f t="shared" si="2"/>
        <v>-545052.55200000014</v>
      </c>
      <c r="Q43" s="299">
        <f>IFERROR(SUM(C43,D43,E43,F43,G43,I43,K43:O43)*(1+0.07)^-($B43-Assumptions!$D$4)+J43,0)</f>
        <v>-41673.005693129577</v>
      </c>
      <c r="R43" s="364"/>
    </row>
    <row r="44" spans="2:18" ht="15" customHeight="1" x14ac:dyDescent="0.25">
      <c r="B44" s="277">
        <f t="shared" si="1"/>
        <v>2059</v>
      </c>
      <c r="C44" s="298">
        <f>IFERROR(_xlfn.XLOOKUP($B44,'TT-Detour-Car'!B$6:B$35,'TT-Detour-Car'!G$6:G$35,0,0,1),0)</f>
        <v>0</v>
      </c>
      <c r="D44" s="297">
        <f>IFERROR(_xlfn.XLOOKUP($B44,'TT-Detour-Truck'!B$6:B$35,'TT-Detour-Truck'!G$6:G$35,0,0,1),0)</f>
        <v>0</v>
      </c>
      <c r="E44" s="297">
        <f>IFERROR(_xlfn.XLOOKUP($B44,'VOC-Detour-Car'!B$6:B$35,'VOC-Detour-Car'!G$6:G$35,0,0,1),0)</f>
        <v>0</v>
      </c>
      <c r="F44" s="297">
        <f>IFERROR(_xlfn.XLOOKUP($B44,'VOC-Detour-Truck'!B$6:B$35,'VOC-Detour-Truck'!G$6:G$35,0,0,1),0)</f>
        <v>0</v>
      </c>
      <c r="G44" s="378">
        <f>IFERROR(_xlfn.XLOOKUP($B44,'TT - Construction'!$B$6:$B$35,'TT - Construction'!$G$6:$G$35,0,0,1),0)</f>
        <v>0</v>
      </c>
      <c r="H44" s="376">
        <f>IFERROR(_xlfn.XLOOKUP($B44,'Air Quality'!B$6:B$35,'Air Quality'!$D$6:$D$35,0,0,1),0)</f>
        <v>0</v>
      </c>
      <c r="I44" s="297">
        <f>IFERROR(_xlfn.XLOOKUP($B44,'Air Quality'!B$6:B$35,'Air Quality'!M$6:M$35,0,0,1),0)</f>
        <v>0</v>
      </c>
      <c r="J44" s="299">
        <f>IFERROR(_xlfn.XLOOKUP($B44,'Air Quality'!B$6:B$35,'Air Quality'!$E$6:$E$35,0,0,1),0)</f>
        <v>0</v>
      </c>
      <c r="K44" s="298">
        <f>IFERROR(_xlfn.XLOOKUP($B44,'Safety -  I-80 Mainline'!B$6:B$35,'Safety -  I-80 Mainline'!E$6:E$35,0,0,1),0)</f>
        <v>0</v>
      </c>
      <c r="L44" s="297">
        <f>IFERROR(_xlfn.XLOOKUP($B44,'Safety - N-103 Interchange'!B$6:B$35,'Safety - N-103 Interchange'!E$6:E$35,0,0,1),0)</f>
        <v>0</v>
      </c>
      <c r="M44" s="299">
        <f>IFERROR(_xlfn.XLOOKUP($B44,'Safety US 6 (I-80 Alt)'!$B$6:$B$35,'Safety US 6 (I-80 Alt)'!$E$6:$E$35,0,0,1),0)</f>
        <v>0</v>
      </c>
      <c r="N44" s="298">
        <f>IFERROR(_xlfn.XLOOKUP($B44,'Operating and Maintenance Costs'!$B$5:$B$60,'Operating and Maintenance Costs'!$E$5:$E$60,0,0,1),0)</f>
        <v>-796182.55200000014</v>
      </c>
      <c r="O44" s="299">
        <f>IFERROR(_xlfn.XLOOKUP($B44,'Capital Cost and RCV'!$B$6:$B$39,'Capital Cost and RCV'!$E$6:$E$39,0,0,1),0)</f>
        <v>0</v>
      </c>
      <c r="P44" s="378">
        <f t="shared" si="2"/>
        <v>-796182.55200000014</v>
      </c>
      <c r="Q44" s="299">
        <f>IFERROR(SUM(C44,D44,E44,F44,G44,I44,K44:O44)*(1+0.07)^-($B44-Assumptions!$D$4)+J44,0)</f>
        <v>-56891.230372926642</v>
      </c>
      <c r="R44" s="364"/>
    </row>
    <row r="45" spans="2:18" ht="15" customHeight="1" x14ac:dyDescent="0.25">
      <c r="B45" s="277">
        <f t="shared" si="1"/>
        <v>2060</v>
      </c>
      <c r="C45" s="298">
        <f>IFERROR(_xlfn.XLOOKUP($B45,'TT-Detour-Car'!B$6:B$35,'TT-Detour-Car'!G$6:G$35,0,0,1),0)</f>
        <v>0</v>
      </c>
      <c r="D45" s="297">
        <f>IFERROR(_xlfn.XLOOKUP($B45,'TT-Detour-Truck'!B$6:B$35,'TT-Detour-Truck'!G$6:G$35,0,0,1),0)</f>
        <v>0</v>
      </c>
      <c r="E45" s="297">
        <f>IFERROR(_xlfn.XLOOKUP($B45,'VOC-Detour-Car'!B$6:B$35,'VOC-Detour-Car'!G$6:G$35,0,0,1),0)</f>
        <v>0</v>
      </c>
      <c r="F45" s="297">
        <f>IFERROR(_xlfn.XLOOKUP($B45,'VOC-Detour-Truck'!B$6:B$35,'VOC-Detour-Truck'!G$6:G$35,0,0,1),0)</f>
        <v>0</v>
      </c>
      <c r="G45" s="378">
        <f>IFERROR(_xlfn.XLOOKUP($B45,'TT - Construction'!$B$6:$B$35,'TT - Construction'!$G$6:$G$35,0,0,1),0)</f>
        <v>0</v>
      </c>
      <c r="H45" s="376">
        <f>IFERROR(_xlfn.XLOOKUP($B45,'Air Quality'!B$6:B$35,'Air Quality'!$D$6:$D$35,0,0,1),0)</f>
        <v>0</v>
      </c>
      <c r="I45" s="297">
        <f>IFERROR(_xlfn.XLOOKUP($B45,'Air Quality'!B$6:B$35,'Air Quality'!M$6:M$35,0,0,1),0)</f>
        <v>0</v>
      </c>
      <c r="J45" s="299">
        <f>IFERROR(_xlfn.XLOOKUP($B45,'Air Quality'!B$6:B$35,'Air Quality'!$E$6:$E$35,0,0,1),0)</f>
        <v>0</v>
      </c>
      <c r="K45" s="298">
        <f>IFERROR(_xlfn.XLOOKUP($B45,'Safety -  I-80 Mainline'!B$6:B$35,'Safety -  I-80 Mainline'!E$6:E$35,0,0,1),0)</f>
        <v>0</v>
      </c>
      <c r="L45" s="297">
        <f>IFERROR(_xlfn.XLOOKUP($B45,'Safety - N-103 Interchange'!B$6:B$35,'Safety - N-103 Interchange'!E$6:E$35,0,0,1),0)</f>
        <v>0</v>
      </c>
      <c r="M45" s="299">
        <f>IFERROR(_xlfn.XLOOKUP($B45,'Safety US 6 (I-80 Alt)'!$B$6:$B$35,'Safety US 6 (I-80 Alt)'!$E$6:$E$35,0,0,1),0)</f>
        <v>0</v>
      </c>
      <c r="N45" s="298">
        <f>IFERROR(_xlfn.XLOOKUP($B45,'Operating and Maintenance Costs'!$B$5:$B$60,'Operating and Maintenance Costs'!$E$5:$E$60,0,0,1),0)</f>
        <v>-545052.55200000014</v>
      </c>
      <c r="O45" s="299">
        <f>IFERROR(_xlfn.XLOOKUP($B45,'Capital Cost and RCV'!$B$6:$B$39,'Capital Cost and RCV'!$E$6:$E$39,0,0,1),0)</f>
        <v>0</v>
      </c>
      <c r="P45" s="378">
        <f t="shared" si="2"/>
        <v>-545052.55200000014</v>
      </c>
      <c r="Q45" s="299">
        <f>IFERROR(SUM(C45,D45,E45,F45,G45,I45,K45:O45)*(1+0.07)^-($B45-Assumptions!$D$4)+J45,0)</f>
        <v>-36398.8170959294</v>
      </c>
      <c r="R45" s="364"/>
    </row>
    <row r="46" spans="2:18" ht="15" customHeight="1" x14ac:dyDescent="0.25">
      <c r="B46" s="277">
        <f t="shared" si="1"/>
        <v>2061</v>
      </c>
      <c r="C46" s="298">
        <f>IFERROR(_xlfn.XLOOKUP($B46,'TT-Detour-Car'!B$6:B$35,'TT-Detour-Car'!G$6:G$35,0,0,1),0)</f>
        <v>0</v>
      </c>
      <c r="D46" s="297">
        <f>IFERROR(_xlfn.XLOOKUP($B46,'TT-Detour-Truck'!B$6:B$35,'TT-Detour-Truck'!G$6:G$35,0,0,1),0)</f>
        <v>0</v>
      </c>
      <c r="E46" s="297">
        <f>IFERROR(_xlfn.XLOOKUP($B46,'VOC-Detour-Car'!B$6:B$35,'VOC-Detour-Car'!G$6:G$35,0,0,1),0)</f>
        <v>0</v>
      </c>
      <c r="F46" s="297">
        <f>IFERROR(_xlfn.XLOOKUP($B46,'VOC-Detour-Truck'!B$6:B$35,'VOC-Detour-Truck'!G$6:G$35,0,0,1),0)</f>
        <v>0</v>
      </c>
      <c r="G46" s="378">
        <f>IFERROR(_xlfn.XLOOKUP($B46,'TT - Construction'!$B$6:$B$35,'TT - Construction'!$G$6:$G$35,0,0,1),0)</f>
        <v>0</v>
      </c>
      <c r="H46" s="376">
        <f>IFERROR(_xlfn.XLOOKUP($B46,'Air Quality'!B$6:B$35,'Air Quality'!$D$6:$D$35,0,0,1),0)</f>
        <v>0</v>
      </c>
      <c r="I46" s="297">
        <f>IFERROR(_xlfn.XLOOKUP($B46,'Air Quality'!B$6:B$35,'Air Quality'!M$6:M$35,0,0,1),0)</f>
        <v>0</v>
      </c>
      <c r="J46" s="299">
        <f>IFERROR(_xlfn.XLOOKUP($B46,'Air Quality'!B$6:B$35,'Air Quality'!$E$6:$E$35,0,0,1),0)</f>
        <v>0</v>
      </c>
      <c r="K46" s="298">
        <f>IFERROR(_xlfn.XLOOKUP($B46,'Safety -  I-80 Mainline'!B$6:B$35,'Safety -  I-80 Mainline'!E$6:E$35,0,0,1),0)</f>
        <v>0</v>
      </c>
      <c r="L46" s="297">
        <f>IFERROR(_xlfn.XLOOKUP($B46,'Safety - N-103 Interchange'!B$6:B$35,'Safety - N-103 Interchange'!E$6:E$35,0,0,1),0)</f>
        <v>0</v>
      </c>
      <c r="M46" s="299">
        <f>IFERROR(_xlfn.XLOOKUP($B46,'Safety US 6 (I-80 Alt)'!$B$6:$B$35,'Safety US 6 (I-80 Alt)'!$E$6:$E$35,0,0,1),0)</f>
        <v>0</v>
      </c>
      <c r="N46" s="298">
        <f>IFERROR(_xlfn.XLOOKUP($B46,'Operating and Maintenance Costs'!$B$5:$B$60,'Operating and Maintenance Costs'!$E$5:$E$60,0,0,1),0)</f>
        <v>-545052.55200000014</v>
      </c>
      <c r="O46" s="299">
        <f>IFERROR(_xlfn.XLOOKUP($B46,'Capital Cost and RCV'!$B$6:$B$39,'Capital Cost and RCV'!$E$6:$E$39,0,0,1),0)</f>
        <v>0</v>
      </c>
      <c r="P46" s="378">
        <f t="shared" si="2"/>
        <v>-545052.55200000014</v>
      </c>
      <c r="Q46" s="299">
        <f>IFERROR(SUM(C46,D46,E46,F46,G46,I46,K46:O46)*(1+0.07)^-($B46-Assumptions!$D$4)+J46,0)</f>
        <v>-34017.586070962061</v>
      </c>
      <c r="R46" s="364"/>
    </row>
    <row r="47" spans="2:18" ht="15" customHeight="1" x14ac:dyDescent="0.25">
      <c r="B47" s="277">
        <f t="shared" si="1"/>
        <v>2062</v>
      </c>
      <c r="C47" s="298">
        <f>IFERROR(_xlfn.XLOOKUP($B47,'TT-Detour-Car'!B$6:B$35,'TT-Detour-Car'!G$6:G$35,0,0,1),0)</f>
        <v>0</v>
      </c>
      <c r="D47" s="297">
        <f>IFERROR(_xlfn.XLOOKUP($B47,'TT-Detour-Truck'!B$6:B$35,'TT-Detour-Truck'!G$6:G$35,0,0,1),0)</f>
        <v>0</v>
      </c>
      <c r="E47" s="297">
        <f>IFERROR(_xlfn.XLOOKUP($B47,'VOC-Detour-Car'!B$6:B$35,'VOC-Detour-Car'!G$6:G$35,0,0,1),0)</f>
        <v>0</v>
      </c>
      <c r="F47" s="297">
        <f>IFERROR(_xlfn.XLOOKUP($B47,'VOC-Detour-Truck'!B$6:B$35,'VOC-Detour-Truck'!G$6:G$35,0,0,1),0)</f>
        <v>0</v>
      </c>
      <c r="G47" s="378">
        <f>IFERROR(_xlfn.XLOOKUP($B47,'TT - Construction'!$B$6:$B$35,'TT - Construction'!$G$6:$G$35,0,0,1),0)</f>
        <v>0</v>
      </c>
      <c r="H47" s="376">
        <f>IFERROR(_xlfn.XLOOKUP($B47,'Air Quality'!B$6:B$35,'Air Quality'!$D$6:$D$35,0,0,1),0)</f>
        <v>0</v>
      </c>
      <c r="I47" s="297">
        <f>IFERROR(_xlfn.XLOOKUP($B47,'Air Quality'!B$6:B$35,'Air Quality'!M$6:M$35,0,0,1),0)</f>
        <v>0</v>
      </c>
      <c r="J47" s="299">
        <f>IFERROR(_xlfn.XLOOKUP($B47,'Air Quality'!B$6:B$35,'Air Quality'!$E$6:$E$35,0,0,1),0)</f>
        <v>0</v>
      </c>
      <c r="K47" s="298">
        <f>IFERROR(_xlfn.XLOOKUP($B47,'Safety -  I-80 Mainline'!B$6:B$35,'Safety -  I-80 Mainline'!E$6:E$35,0,0,1),0)</f>
        <v>0</v>
      </c>
      <c r="L47" s="297">
        <f>IFERROR(_xlfn.XLOOKUP($B47,'Safety - N-103 Interchange'!B$6:B$35,'Safety - N-103 Interchange'!E$6:E$35,0,0,1),0)</f>
        <v>0</v>
      </c>
      <c r="M47" s="299">
        <f>IFERROR(_xlfn.XLOOKUP($B47,'Safety US 6 (I-80 Alt)'!$B$6:$B$35,'Safety US 6 (I-80 Alt)'!$E$6:$E$35,0,0,1),0)</f>
        <v>0</v>
      </c>
      <c r="N47" s="298">
        <f>IFERROR(_xlfn.XLOOKUP($B47,'Operating and Maintenance Costs'!$B$5:$B$60,'Operating and Maintenance Costs'!$E$5:$E$60,0,0,1),0)</f>
        <v>-545052.55200000014</v>
      </c>
      <c r="O47" s="299">
        <f>IFERROR(_xlfn.XLOOKUP($B47,'Capital Cost and RCV'!$B$6:$B$39,'Capital Cost and RCV'!$E$6:$E$39,0,0,1),0)</f>
        <v>0</v>
      </c>
      <c r="P47" s="378">
        <f t="shared" si="2"/>
        <v>-545052.55200000014</v>
      </c>
      <c r="Q47" s="299">
        <f>IFERROR(SUM(C47,D47,E47,F47,G47,I47,K47:O47)*(1+0.07)^-($B47-Assumptions!$D$4)+J47,0)</f>
        <v>-31792.136514917813</v>
      </c>
      <c r="R47" s="364"/>
    </row>
    <row r="48" spans="2:18" ht="15" customHeight="1" x14ac:dyDescent="0.25">
      <c r="B48" s="277">
        <f t="shared" si="1"/>
        <v>2063</v>
      </c>
      <c r="C48" s="298">
        <f>IFERROR(_xlfn.XLOOKUP($B48,'TT-Detour-Car'!B$6:B$35,'TT-Detour-Car'!G$6:G$35,0,0,1),0)</f>
        <v>0</v>
      </c>
      <c r="D48" s="297">
        <f>IFERROR(_xlfn.XLOOKUP($B48,'TT-Detour-Truck'!B$6:B$35,'TT-Detour-Truck'!G$6:G$35,0,0,1),0)</f>
        <v>0</v>
      </c>
      <c r="E48" s="297">
        <f>IFERROR(_xlfn.XLOOKUP($B48,'VOC-Detour-Car'!B$6:B$35,'VOC-Detour-Car'!G$6:G$35,0,0,1),0)</f>
        <v>0</v>
      </c>
      <c r="F48" s="297">
        <f>IFERROR(_xlfn.XLOOKUP($B48,'VOC-Detour-Truck'!B$6:B$35,'VOC-Detour-Truck'!G$6:G$35,0,0,1),0)</f>
        <v>0</v>
      </c>
      <c r="G48" s="378">
        <f>IFERROR(_xlfn.XLOOKUP($B48,'TT - Construction'!$B$6:$B$35,'TT - Construction'!$G$6:$G$35,0,0,1),0)</f>
        <v>0</v>
      </c>
      <c r="H48" s="376">
        <f>IFERROR(_xlfn.XLOOKUP($B48,'Air Quality'!B$6:B$35,'Air Quality'!$D$6:$D$35,0,0,1),0)</f>
        <v>0</v>
      </c>
      <c r="I48" s="297">
        <f>IFERROR(_xlfn.XLOOKUP($B48,'Air Quality'!B$6:B$35,'Air Quality'!M$6:M$35,0,0,1),0)</f>
        <v>0</v>
      </c>
      <c r="J48" s="299">
        <f>IFERROR(_xlfn.XLOOKUP($B48,'Air Quality'!B$6:B$35,'Air Quality'!$E$6:$E$35,0,0,1),0)</f>
        <v>0</v>
      </c>
      <c r="K48" s="298">
        <f>IFERROR(_xlfn.XLOOKUP($B48,'Safety -  I-80 Mainline'!B$6:B$35,'Safety -  I-80 Mainline'!E$6:E$35,0,0,1),0)</f>
        <v>0</v>
      </c>
      <c r="L48" s="297">
        <f>IFERROR(_xlfn.XLOOKUP($B48,'Safety - N-103 Interchange'!B$6:B$35,'Safety - N-103 Interchange'!E$6:E$35,0,0,1),0)</f>
        <v>0</v>
      </c>
      <c r="M48" s="299">
        <f>IFERROR(_xlfn.XLOOKUP($B48,'Safety US 6 (I-80 Alt)'!$B$6:$B$35,'Safety US 6 (I-80 Alt)'!$E$6:$E$35,0,0,1),0)</f>
        <v>0</v>
      </c>
      <c r="N48" s="298">
        <f>IFERROR(_xlfn.XLOOKUP($B48,'Operating and Maintenance Costs'!$B$5:$B$60,'Operating and Maintenance Costs'!$E$5:$E$60,0,0,1),0)</f>
        <v>-10590252.552000001</v>
      </c>
      <c r="O48" s="299">
        <f>IFERROR(_xlfn.XLOOKUP($B48,'Capital Cost and RCV'!$B$6:$B$39,'Capital Cost and RCV'!$E$6:$E$39,0,0,1),0)</f>
        <v>0</v>
      </c>
      <c r="P48" s="378">
        <f t="shared" si="2"/>
        <v>-10590252.552000001</v>
      </c>
      <c r="Q48" s="299">
        <f>IFERROR(SUM(C48,D48,E48,F48,G48,I48,K48:O48)*(1+0.07)^-($B48-Assumptions!$D$4)+J48,0)</f>
        <v>-577303.0828068601</v>
      </c>
      <c r="R48" s="364"/>
    </row>
    <row r="49" spans="2:20" ht="15" customHeight="1" x14ac:dyDescent="0.25">
      <c r="B49" s="277">
        <f t="shared" si="1"/>
        <v>2064</v>
      </c>
      <c r="C49" s="298">
        <f>IFERROR(_xlfn.XLOOKUP($B49,'TT-Detour-Car'!B$6:B$35,'TT-Detour-Car'!G$6:G$35,0,0,1),0)</f>
        <v>0</v>
      </c>
      <c r="D49" s="297">
        <f>IFERROR(_xlfn.XLOOKUP($B49,'TT-Detour-Truck'!B$6:B$35,'TT-Detour-Truck'!G$6:G$35,0,0,1),0)</f>
        <v>0</v>
      </c>
      <c r="E49" s="297">
        <f>IFERROR(_xlfn.XLOOKUP($B49,'VOC-Detour-Car'!B$6:B$35,'VOC-Detour-Car'!G$6:G$35,0,0,1),0)</f>
        <v>0</v>
      </c>
      <c r="F49" s="297">
        <f>IFERROR(_xlfn.XLOOKUP($B49,'VOC-Detour-Truck'!B$6:B$35,'VOC-Detour-Truck'!G$6:G$35,0,0,1),0)</f>
        <v>0</v>
      </c>
      <c r="G49" s="378">
        <f>IFERROR(_xlfn.XLOOKUP($B49,'TT - Construction'!$B$6:$B$35,'TT - Construction'!$G$6:$G$35,0,0,1),0)</f>
        <v>0</v>
      </c>
      <c r="H49" s="376">
        <f>IFERROR(_xlfn.XLOOKUP($B49,'Air Quality'!B$6:B$35,'Air Quality'!$D$6:$D$35,0,0,1),0)</f>
        <v>0</v>
      </c>
      <c r="I49" s="297">
        <f>IFERROR(_xlfn.XLOOKUP($B49,'Air Quality'!B$6:B$35,'Air Quality'!M$6:M$35,0,0,1),0)</f>
        <v>0</v>
      </c>
      <c r="J49" s="299">
        <f>IFERROR(_xlfn.XLOOKUP($B49,'Air Quality'!B$6:B$35,'Air Quality'!$E$6:$E$35,0,0,1),0)</f>
        <v>0</v>
      </c>
      <c r="K49" s="298">
        <f>IFERROR(_xlfn.XLOOKUP($B49,'Safety -  I-80 Mainline'!B$6:B$35,'Safety -  I-80 Mainline'!E$6:E$35,0,0,1),0)</f>
        <v>0</v>
      </c>
      <c r="L49" s="297">
        <f>IFERROR(_xlfn.XLOOKUP($B49,'Safety - N-103 Interchange'!B$6:B$35,'Safety - N-103 Interchange'!E$6:E$35,0,0,1),0)</f>
        <v>0</v>
      </c>
      <c r="M49" s="299">
        <f>IFERROR(_xlfn.XLOOKUP($B49,'Safety US 6 (I-80 Alt)'!$B$6:$B$35,'Safety US 6 (I-80 Alt)'!$E$6:$E$35,0,0,1),0)</f>
        <v>0</v>
      </c>
      <c r="N49" s="298">
        <f>IFERROR(_xlfn.XLOOKUP($B49,'Operating and Maintenance Costs'!$B$5:$B$60,'Operating and Maintenance Costs'!$E$5:$E$60,0,0,1),0)</f>
        <v>-545052.55200000014</v>
      </c>
      <c r="O49" s="299">
        <f>IFERROR(_xlfn.XLOOKUP($B49,'Capital Cost and RCV'!$B$6:$B$39,'Capital Cost and RCV'!$E$6:$E$39,0,0,1),0)</f>
        <v>0</v>
      </c>
      <c r="P49" s="378">
        <f t="shared" si="2"/>
        <v>-545052.55200000014</v>
      </c>
      <c r="Q49" s="299">
        <f>IFERROR(SUM(C49,D49,E49,F49,G49,I49,K49:O49)*(1+0.07)^-($B49-Assumptions!$D$4)+J49,0)</f>
        <v>-27768.483286678151</v>
      </c>
      <c r="R49" s="364"/>
    </row>
    <row r="50" spans="2:20" ht="15" customHeight="1" x14ac:dyDescent="0.25">
      <c r="B50" s="277">
        <f>B49+1</f>
        <v>2065</v>
      </c>
      <c r="C50" s="298">
        <f>IFERROR(_xlfn.XLOOKUP($B50,'TT-Detour-Car'!B$6:B$35,'TT-Detour-Car'!G$6:G$35,0,0,1),0)</f>
        <v>0</v>
      </c>
      <c r="D50" s="297">
        <f>IFERROR(_xlfn.XLOOKUP($B50,'TT-Detour-Truck'!B$6:B$35,'TT-Detour-Truck'!G$6:G$35,0,0,1),0)</f>
        <v>0</v>
      </c>
      <c r="E50" s="297">
        <f>IFERROR(_xlfn.XLOOKUP($B50,'VOC-Detour-Car'!B$6:B$35,'VOC-Detour-Car'!G$6:G$35,0,0,1),0)</f>
        <v>0</v>
      </c>
      <c r="F50" s="297">
        <f>IFERROR(_xlfn.XLOOKUP($B50,'VOC-Detour-Truck'!B$6:B$35,'VOC-Detour-Truck'!G$6:G$35,0,0,1),0)</f>
        <v>0</v>
      </c>
      <c r="G50" s="378">
        <f>IFERROR(_xlfn.XLOOKUP($B50,'TT - Construction'!$B$6:$B$35,'TT - Construction'!$G$6:$G$35,0,0,1),0)</f>
        <v>0</v>
      </c>
      <c r="H50" s="376">
        <f>IFERROR(_xlfn.XLOOKUP($B50,'Air Quality'!B$6:B$35,'Air Quality'!$D$6:$D$35,0,0,1),0)</f>
        <v>0</v>
      </c>
      <c r="I50" s="297">
        <f>IFERROR(_xlfn.XLOOKUP($B50,'Air Quality'!B$6:B$35,'Air Quality'!M$6:M$35,0,0,1),0)</f>
        <v>0</v>
      </c>
      <c r="J50" s="299">
        <f>IFERROR(_xlfn.XLOOKUP($B50,'Air Quality'!B$6:B$35,'Air Quality'!$E$6:$E$35,0,0,1),0)</f>
        <v>0</v>
      </c>
      <c r="K50" s="298">
        <f>IFERROR(_xlfn.XLOOKUP($B50,'Safety -  I-80 Mainline'!B$6:B$35,'Safety -  I-80 Mainline'!E$6:E$35,0,0,1),0)</f>
        <v>0</v>
      </c>
      <c r="L50" s="297">
        <f>IFERROR(_xlfn.XLOOKUP($B50,'Safety - N-103 Interchange'!B$6:B$35,'Safety - N-103 Interchange'!E$6:E$35,0,0,1),0)</f>
        <v>0</v>
      </c>
      <c r="M50" s="299">
        <f>IFERROR(_xlfn.XLOOKUP($B50,'Safety US 6 (I-80 Alt)'!$B$6:$B$35,'Safety US 6 (I-80 Alt)'!$E$6:$E$35,0,0,1),0)</f>
        <v>0</v>
      </c>
      <c r="N50" s="298">
        <f>IFERROR(_xlfn.XLOOKUP($B50,'Operating and Maintenance Costs'!$B$5:$B$60,'Operating and Maintenance Costs'!$E$5:$E$60,0,0,1),0)</f>
        <v>-545052.55200000014</v>
      </c>
      <c r="O50" s="299">
        <f>IFERROR(_xlfn.XLOOKUP($B50,'Capital Cost and RCV'!$B$6:$B$39,'Capital Cost and RCV'!$E$6:$E$39,0,0,1),0)</f>
        <v>0</v>
      </c>
      <c r="P50" s="378">
        <f t="shared" si="0"/>
        <v>-545052.55200000014</v>
      </c>
      <c r="Q50" s="299">
        <f>IFERROR(SUM(C50,D50,E50,F50,G50,I50,K50:O50)*(1+0.07)^-($B50-Assumptions!$D$4)+J50,0)</f>
        <v>-25951.853538951538</v>
      </c>
      <c r="R50" s="364"/>
    </row>
    <row r="51" spans="2:20" ht="15" customHeight="1" x14ac:dyDescent="0.25">
      <c r="B51" s="277">
        <f t="shared" si="1"/>
        <v>2066</v>
      </c>
      <c r="C51" s="298">
        <f>IFERROR(_xlfn.XLOOKUP($B51,'TT-Detour-Car'!B$6:B$35,'TT-Detour-Car'!G$6:G$35,0,0,1),0)</f>
        <v>0</v>
      </c>
      <c r="D51" s="297">
        <f>IFERROR(_xlfn.XLOOKUP($B51,'TT-Detour-Truck'!B$6:B$35,'TT-Detour-Truck'!G$6:G$35,0,0,1),0)</f>
        <v>0</v>
      </c>
      <c r="E51" s="297">
        <f>IFERROR(_xlfn.XLOOKUP($B51,'VOC-Detour-Car'!B$6:B$35,'VOC-Detour-Car'!G$6:G$35,0,0,1),0)</f>
        <v>0</v>
      </c>
      <c r="F51" s="297">
        <f>IFERROR(_xlfn.XLOOKUP($B51,'VOC-Detour-Truck'!B$6:B$35,'VOC-Detour-Truck'!G$6:G$35,0,0,1),0)</f>
        <v>0</v>
      </c>
      <c r="G51" s="378">
        <f>IFERROR(_xlfn.XLOOKUP($B51,'TT - Construction'!$B$6:$B$35,'TT - Construction'!$G$6:$G$35,0,0,1),0)</f>
        <v>0</v>
      </c>
      <c r="H51" s="376">
        <f>IFERROR(_xlfn.XLOOKUP($B51,'Air Quality'!B$6:B$35,'Air Quality'!$D$6:$D$35,0,0,1),0)</f>
        <v>0</v>
      </c>
      <c r="I51" s="297">
        <f>IFERROR(_xlfn.XLOOKUP($B51,'Air Quality'!B$6:B$35,'Air Quality'!M$6:M$35,0,0,1),0)</f>
        <v>0</v>
      </c>
      <c r="J51" s="299">
        <f>IFERROR(_xlfn.XLOOKUP($B51,'Air Quality'!B$6:B$35,'Air Quality'!$E$6:$E$35,0,0,1),0)</f>
        <v>0</v>
      </c>
      <c r="K51" s="298">
        <f>IFERROR(_xlfn.XLOOKUP($B51,'Safety -  I-80 Mainline'!B$6:B$35,'Safety -  I-80 Mainline'!E$6:E$35,0,0,1),0)</f>
        <v>0</v>
      </c>
      <c r="L51" s="297">
        <f>IFERROR(_xlfn.XLOOKUP($B51,'Safety - N-103 Interchange'!B$6:B$35,'Safety - N-103 Interchange'!E$6:E$35,0,0,1),0)</f>
        <v>0</v>
      </c>
      <c r="M51" s="299">
        <f>IFERROR(_xlfn.XLOOKUP($B51,'Safety US 6 (I-80 Alt)'!$B$6:$B$35,'Safety US 6 (I-80 Alt)'!$E$6:$E$35,0,0,1),0)</f>
        <v>0</v>
      </c>
      <c r="N51" s="298">
        <f>IFERROR(_xlfn.XLOOKUP($B51,'Operating and Maintenance Costs'!$B$5:$B$60,'Operating and Maintenance Costs'!$E$5:$E$60,0,0,1),0)</f>
        <v>-545052.55200000014</v>
      </c>
      <c r="O51" s="299">
        <f>IFERROR(_xlfn.XLOOKUP($B51,'Capital Cost and RCV'!$B$6:$B$39,'Capital Cost and RCV'!$E$6:$E$39,0,0,1),0)</f>
        <v>0</v>
      </c>
      <c r="P51" s="378">
        <f t="shared" si="0"/>
        <v>-545052.55200000014</v>
      </c>
      <c r="Q51" s="299">
        <f>IFERROR(SUM(C51,D51,E51,F51,G51,I51,K51:O51)*(1+0.07)^-($B51-Assumptions!$D$4)+J51,0)</f>
        <v>-24254.068727992093</v>
      </c>
      <c r="R51" s="364"/>
    </row>
    <row r="52" spans="2:20" ht="15" customHeight="1" x14ac:dyDescent="0.25">
      <c r="B52" s="277">
        <f t="shared" si="1"/>
        <v>2067</v>
      </c>
      <c r="C52" s="298">
        <f>IFERROR(_xlfn.XLOOKUP($B52,'TT-Detour-Car'!B$6:B$35,'TT-Detour-Car'!G$6:G$35,0,0,1),0)</f>
        <v>0</v>
      </c>
      <c r="D52" s="297">
        <f>IFERROR(_xlfn.XLOOKUP($B52,'TT-Detour-Truck'!B$6:B$35,'TT-Detour-Truck'!G$6:G$35,0,0,1),0)</f>
        <v>0</v>
      </c>
      <c r="E52" s="297">
        <f>IFERROR(_xlfn.XLOOKUP($B52,'VOC-Detour-Car'!B$6:B$35,'VOC-Detour-Car'!G$6:G$35,0,0,1),0)</f>
        <v>0</v>
      </c>
      <c r="F52" s="297">
        <f>IFERROR(_xlfn.XLOOKUP($B52,'VOC-Detour-Truck'!B$6:B$35,'VOC-Detour-Truck'!G$6:G$35,0,0,1),0)</f>
        <v>0</v>
      </c>
      <c r="G52" s="378">
        <f>IFERROR(_xlfn.XLOOKUP($B52,'TT - Construction'!$B$6:$B$35,'TT - Construction'!$G$6:$G$35,0,0,1),0)</f>
        <v>0</v>
      </c>
      <c r="H52" s="376">
        <f>IFERROR(_xlfn.XLOOKUP($B52,'Air Quality'!B$6:B$35,'Air Quality'!$D$6:$D$35,0,0,1),0)</f>
        <v>0</v>
      </c>
      <c r="I52" s="297">
        <f>IFERROR(_xlfn.XLOOKUP($B52,'Air Quality'!B$6:B$35,'Air Quality'!M$6:M$35,0,0,1),0)</f>
        <v>0</v>
      </c>
      <c r="J52" s="299">
        <f>IFERROR(_xlfn.XLOOKUP($B52,'Air Quality'!B$6:B$35,'Air Quality'!$E$6:$E$35,0,0,1),0)</f>
        <v>0</v>
      </c>
      <c r="K52" s="298">
        <f>IFERROR(_xlfn.XLOOKUP($B52,'Safety -  I-80 Mainline'!B$6:B$35,'Safety -  I-80 Mainline'!E$6:E$35,0,0,1),0)</f>
        <v>0</v>
      </c>
      <c r="L52" s="297">
        <f>IFERROR(_xlfn.XLOOKUP($B52,'Safety - N-103 Interchange'!B$6:B$35,'Safety - N-103 Interchange'!E$6:E$35,0,0,1),0)</f>
        <v>0</v>
      </c>
      <c r="M52" s="299">
        <f>IFERROR(_xlfn.XLOOKUP($B52,'Safety US 6 (I-80 Alt)'!$B$6:$B$35,'Safety US 6 (I-80 Alt)'!$E$6:$E$35,0,0,1),0)</f>
        <v>0</v>
      </c>
      <c r="N52" s="298">
        <f>IFERROR(_xlfn.XLOOKUP($B52,'Operating and Maintenance Costs'!$B$5:$B$60,'Operating and Maintenance Costs'!$E$5:$E$60,0,0,1),0)</f>
        <v>-545052.55200000014</v>
      </c>
      <c r="O52" s="299">
        <f>IFERROR(_xlfn.XLOOKUP($B52,'Capital Cost and RCV'!$B$6:$B$39,'Capital Cost and RCV'!$E$6:$E$39,0,0,1),0)</f>
        <v>0</v>
      </c>
      <c r="P52" s="378">
        <f t="shared" si="0"/>
        <v>-545052.55200000014</v>
      </c>
      <c r="Q52" s="299">
        <f>IFERROR(SUM(C52,D52,E52,F52,G52,I52,K52:O52)*(1+0.07)^-($B52-Assumptions!$D$4)+J52,0)</f>
        <v>-22667.353951394478</v>
      </c>
      <c r="R52" s="364"/>
    </row>
    <row r="53" spans="2:20" ht="15" customHeight="1" x14ac:dyDescent="0.25">
      <c r="B53" s="277">
        <f t="shared" si="1"/>
        <v>2068</v>
      </c>
      <c r="C53" s="298">
        <f>IFERROR(_xlfn.XLOOKUP($B53,'TT-Detour-Car'!B$6:B$35,'TT-Detour-Car'!G$6:G$35,0,0,1),0)</f>
        <v>0</v>
      </c>
      <c r="D53" s="297">
        <f>IFERROR(_xlfn.XLOOKUP($B53,'TT-Detour-Truck'!B$6:B$35,'TT-Detour-Truck'!G$6:G$35,0,0,1),0)</f>
        <v>0</v>
      </c>
      <c r="E53" s="297">
        <f>IFERROR(_xlfn.XLOOKUP($B53,'VOC-Detour-Car'!B$6:B$35,'VOC-Detour-Car'!G$6:G$35,0,0,1),0)</f>
        <v>0</v>
      </c>
      <c r="F53" s="297">
        <f>IFERROR(_xlfn.XLOOKUP($B53,'VOC-Detour-Truck'!B$6:B$35,'VOC-Detour-Truck'!G$6:G$35,0,0,1),0)</f>
        <v>0</v>
      </c>
      <c r="G53" s="378">
        <f>IFERROR(_xlfn.XLOOKUP($B53,'TT - Construction'!$B$6:$B$35,'TT - Construction'!$G$6:$G$35,0,0,1),0)</f>
        <v>0</v>
      </c>
      <c r="H53" s="376">
        <f>IFERROR(_xlfn.XLOOKUP($B53,'Air Quality'!B$6:B$35,'Air Quality'!$D$6:$D$35,0,0,1),0)</f>
        <v>0</v>
      </c>
      <c r="I53" s="297">
        <f>IFERROR(_xlfn.XLOOKUP($B53,'Air Quality'!B$6:B$35,'Air Quality'!M$6:M$35,0,0,1),0)</f>
        <v>0</v>
      </c>
      <c r="J53" s="299">
        <f>IFERROR(_xlfn.XLOOKUP($B53,'Air Quality'!B$6:B$35,'Air Quality'!$E$6:$E$35,0,0,1),0)</f>
        <v>0</v>
      </c>
      <c r="K53" s="298">
        <f>IFERROR(_xlfn.XLOOKUP($B53,'Safety -  I-80 Mainline'!B$6:B$35,'Safety -  I-80 Mainline'!E$6:E$35,0,0,1),0)</f>
        <v>0</v>
      </c>
      <c r="L53" s="297">
        <f>IFERROR(_xlfn.XLOOKUP($B53,'Safety - N-103 Interchange'!B$6:B$35,'Safety - N-103 Interchange'!E$6:E$35,0,0,1),0)</f>
        <v>0</v>
      </c>
      <c r="M53" s="299">
        <f>IFERROR(_xlfn.XLOOKUP($B53,'Safety US 6 (I-80 Alt)'!$B$6:$B$35,'Safety US 6 (I-80 Alt)'!$E$6:$E$35,0,0,1),0)</f>
        <v>0</v>
      </c>
      <c r="N53" s="298">
        <f>IFERROR(_xlfn.XLOOKUP($B53,'Operating and Maintenance Costs'!$B$5:$B$60,'Operating and Maintenance Costs'!$E$5:$E$60,0,0,1),0)</f>
        <v>-545052.55200000014</v>
      </c>
      <c r="O53" s="299">
        <f>IFERROR(_xlfn.XLOOKUP($B53,'Capital Cost and RCV'!$B$6:$B$39,'Capital Cost and RCV'!$E$6:$E$39,0,0,1),0)</f>
        <v>0</v>
      </c>
      <c r="P53" s="378">
        <f t="shared" si="0"/>
        <v>-545052.55200000014</v>
      </c>
      <c r="Q53" s="299">
        <f>IFERROR(SUM(C53,D53,E53,F53,G53,I53,K53:O53)*(1+0.07)^-($B53-Assumptions!$D$4)+J53,0)</f>
        <v>-21184.442945228486</v>
      </c>
      <c r="R53" s="364"/>
    </row>
    <row r="54" spans="2:20" ht="15" customHeight="1" x14ac:dyDescent="0.25">
      <c r="B54" s="277">
        <f t="shared" si="1"/>
        <v>2069</v>
      </c>
      <c r="C54" s="298">
        <f>IFERROR(_xlfn.XLOOKUP($B54,'TT-Detour-Car'!B$6:B$35,'TT-Detour-Car'!G$6:G$35,0,0,1),0)</f>
        <v>0</v>
      </c>
      <c r="D54" s="297">
        <f>IFERROR(_xlfn.XLOOKUP($B54,'TT-Detour-Truck'!B$6:B$35,'TT-Detour-Truck'!G$6:G$35,0,0,1),0)</f>
        <v>0</v>
      </c>
      <c r="E54" s="297">
        <f>IFERROR(_xlfn.XLOOKUP($B54,'VOC-Detour-Car'!B$6:B$35,'VOC-Detour-Car'!G$6:G$35,0,0,1),0)</f>
        <v>0</v>
      </c>
      <c r="F54" s="297">
        <f>IFERROR(_xlfn.XLOOKUP($B54,'VOC-Detour-Truck'!B$6:B$35,'VOC-Detour-Truck'!G$6:G$35,0,0,1),0)</f>
        <v>0</v>
      </c>
      <c r="G54" s="378">
        <f>IFERROR(_xlfn.XLOOKUP($B54,'TT - Construction'!$B$6:$B$35,'TT - Construction'!$G$6:$G$35,0,0,1),0)</f>
        <v>0</v>
      </c>
      <c r="H54" s="376">
        <f>IFERROR(_xlfn.XLOOKUP($B54,'Air Quality'!B$6:B$35,'Air Quality'!$D$6:$D$35,0,0,1),0)</f>
        <v>0</v>
      </c>
      <c r="I54" s="297">
        <f>IFERROR(_xlfn.XLOOKUP($B54,'Air Quality'!B$6:B$35,'Air Quality'!M$6:M$35,0,0,1),0)</f>
        <v>0</v>
      </c>
      <c r="J54" s="299">
        <f>IFERROR(_xlfn.XLOOKUP($B54,'Air Quality'!B$6:B$35,'Air Quality'!$E$6:$E$35,0,0,1),0)</f>
        <v>0</v>
      </c>
      <c r="K54" s="298">
        <f>IFERROR(_xlfn.XLOOKUP($B54,'Safety -  I-80 Mainline'!B$6:B$35,'Safety -  I-80 Mainline'!E$6:E$35,0,0,1),0)</f>
        <v>0</v>
      </c>
      <c r="L54" s="297">
        <f>IFERROR(_xlfn.XLOOKUP($B54,'Safety - N-103 Interchange'!B$6:B$35,'Safety - N-103 Interchange'!E$6:E$35,0,0,1),0)</f>
        <v>0</v>
      </c>
      <c r="M54" s="299">
        <f>IFERROR(_xlfn.XLOOKUP($B54,'Safety US 6 (I-80 Alt)'!$B$6:$B$35,'Safety US 6 (I-80 Alt)'!$E$6:$E$35,0,0,1),0)</f>
        <v>0</v>
      </c>
      <c r="N54" s="298">
        <f>IFERROR(_xlfn.XLOOKUP($B54,'Operating and Maintenance Costs'!$B$5:$B$60,'Operating and Maintenance Costs'!$E$5:$E$60,0,0,1),0)</f>
        <v>-896634.55200000014</v>
      </c>
      <c r="O54" s="299">
        <f>IFERROR(_xlfn.XLOOKUP($B54,'Capital Cost and RCV'!$B$6:$B$39,'Capital Cost and RCV'!$E$6:$E$39,0,0,1),0)</f>
        <v>0</v>
      </c>
      <c r="P54" s="378">
        <f t="shared" si="0"/>
        <v>-896634.55200000014</v>
      </c>
      <c r="Q54" s="299">
        <f>IFERROR(SUM(C54,D54,E54,F54,G54,I54,K54:O54)*(1+0.07)^-($B54-Assumptions!$D$4)+J54,0)</f>
        <v>-32569.445440800686</v>
      </c>
      <c r="R54" s="364"/>
    </row>
    <row r="55" spans="2:20" ht="15" customHeight="1" x14ac:dyDescent="0.25">
      <c r="B55" s="277">
        <f t="shared" si="1"/>
        <v>2070</v>
      </c>
      <c r="C55" s="298">
        <f>IFERROR(_xlfn.XLOOKUP($B55,'TT-Detour-Car'!B$6:B$35,'TT-Detour-Car'!G$6:G$35,0,0,1),0)</f>
        <v>0</v>
      </c>
      <c r="D55" s="297">
        <f>IFERROR(_xlfn.XLOOKUP($B55,'TT-Detour-Truck'!B$6:B$35,'TT-Detour-Truck'!G$6:G$35,0,0,1),0)</f>
        <v>0</v>
      </c>
      <c r="E55" s="297">
        <f>IFERROR(_xlfn.XLOOKUP($B55,'VOC-Detour-Car'!B$6:B$35,'VOC-Detour-Car'!G$6:G$35,0,0,1),0)</f>
        <v>0</v>
      </c>
      <c r="F55" s="297">
        <f>IFERROR(_xlfn.XLOOKUP($B55,'VOC-Detour-Truck'!B$6:B$35,'VOC-Detour-Truck'!G$6:G$35,0,0,1),0)</f>
        <v>0</v>
      </c>
      <c r="G55" s="378">
        <f>IFERROR(_xlfn.XLOOKUP($B55,'TT - Construction'!$B$6:$B$35,'TT - Construction'!$G$6:$G$35,0,0,1),0)</f>
        <v>0</v>
      </c>
      <c r="H55" s="376">
        <f>IFERROR(_xlfn.XLOOKUP($B55,'Air Quality'!B$6:B$35,'Air Quality'!$D$6:$D$35,0,0,1),0)</f>
        <v>0</v>
      </c>
      <c r="I55" s="297">
        <f>IFERROR(_xlfn.XLOOKUP($B55,'Air Quality'!B$6:B$35,'Air Quality'!M$6:M$35,0,0,1),0)</f>
        <v>0</v>
      </c>
      <c r="J55" s="299">
        <f>IFERROR(_xlfn.XLOOKUP($B55,'Air Quality'!B$6:B$35,'Air Quality'!$E$6:$E$35,0,0,1),0)</f>
        <v>0</v>
      </c>
      <c r="K55" s="298">
        <f>IFERROR(_xlfn.XLOOKUP($B55,'Safety -  I-80 Mainline'!B$6:B$35,'Safety -  I-80 Mainline'!E$6:E$35,0,0,1),0)</f>
        <v>0</v>
      </c>
      <c r="L55" s="297">
        <f>IFERROR(_xlfn.XLOOKUP($B55,'Safety - N-103 Interchange'!B$6:B$35,'Safety - N-103 Interchange'!E$6:E$35,0,0,1),0)</f>
        <v>0</v>
      </c>
      <c r="M55" s="299">
        <f>IFERROR(_xlfn.XLOOKUP($B55,'Safety US 6 (I-80 Alt)'!$B$6:$B$35,'Safety US 6 (I-80 Alt)'!$E$6:$E$35,0,0,1),0)</f>
        <v>0</v>
      </c>
      <c r="N55" s="298">
        <f>IFERROR(_xlfn.XLOOKUP($B55,'Operating and Maintenance Costs'!$B$5:$B$60,'Operating and Maintenance Costs'!$E$5:$E$60,0,0,1),0)</f>
        <v>-545052.55200000014</v>
      </c>
      <c r="O55" s="299">
        <f>IFERROR(_xlfn.XLOOKUP($B55,'Capital Cost and RCV'!$B$6:$B$39,'Capital Cost and RCV'!$E$6:$E$39,0,0,1),0)</f>
        <v>0</v>
      </c>
      <c r="P55" s="378">
        <f t="shared" si="0"/>
        <v>-545052.55200000014</v>
      </c>
      <c r="Q55" s="299">
        <f>IFERROR(SUM(C55,D55,E55,F55,G55,I55,K55:O55)*(1+0.07)^-($B55-Assumptions!$D$4)+J55,0)</f>
        <v>-18503.312905256778</v>
      </c>
      <c r="R55" s="364"/>
    </row>
    <row r="56" spans="2:20" ht="15" customHeight="1" x14ac:dyDescent="0.25">
      <c r="B56" s="277">
        <f t="shared" si="1"/>
        <v>2071</v>
      </c>
      <c r="C56" s="298">
        <f>IFERROR(_xlfn.XLOOKUP($B56,'TT-Detour-Car'!B$6:B$35,'TT-Detour-Car'!G$6:G$35,0,0,1),0)</f>
        <v>0</v>
      </c>
      <c r="D56" s="297">
        <f>IFERROR(_xlfn.XLOOKUP($B56,'TT-Detour-Truck'!B$6:B$35,'TT-Detour-Truck'!G$6:G$35,0,0,1),0)</f>
        <v>0</v>
      </c>
      <c r="E56" s="297">
        <f>IFERROR(_xlfn.XLOOKUP($B56,'VOC-Detour-Car'!B$6:B$35,'VOC-Detour-Car'!G$6:G$35,0,0,1),0)</f>
        <v>0</v>
      </c>
      <c r="F56" s="297">
        <f>IFERROR(_xlfn.XLOOKUP($B56,'VOC-Detour-Truck'!B$6:B$35,'VOC-Detour-Truck'!G$6:G$35,0,0,1),0)</f>
        <v>0</v>
      </c>
      <c r="G56" s="378">
        <f>IFERROR(_xlfn.XLOOKUP($B56,'TT - Construction'!$B$6:$B$35,'TT - Construction'!$G$6:$G$35,0,0,1),0)</f>
        <v>0</v>
      </c>
      <c r="H56" s="376">
        <f>IFERROR(_xlfn.XLOOKUP($B56,'Air Quality'!B$6:B$35,'Air Quality'!$D$6:$D$35,0,0,1),0)</f>
        <v>0</v>
      </c>
      <c r="I56" s="297">
        <f>IFERROR(_xlfn.XLOOKUP($B56,'Air Quality'!B$6:B$35,'Air Quality'!M$6:M$35,0,0,1),0)</f>
        <v>0</v>
      </c>
      <c r="J56" s="299">
        <f>IFERROR(_xlfn.XLOOKUP($B56,'Air Quality'!B$6:B$35,'Air Quality'!$E$6:$E$35,0,0,1),0)</f>
        <v>0</v>
      </c>
      <c r="K56" s="298">
        <f>IFERROR(_xlfn.XLOOKUP($B56,'Safety -  I-80 Mainline'!B$6:B$35,'Safety -  I-80 Mainline'!E$6:E$35,0,0,1),0)</f>
        <v>0</v>
      </c>
      <c r="L56" s="297">
        <f>IFERROR(_xlfn.XLOOKUP($B56,'Safety - N-103 Interchange'!B$6:B$35,'Safety - N-103 Interchange'!E$6:E$35,0,0,1),0)</f>
        <v>0</v>
      </c>
      <c r="M56" s="299">
        <f>IFERROR(_xlfn.XLOOKUP($B56,'Safety US 6 (I-80 Alt)'!$B$6:$B$35,'Safety US 6 (I-80 Alt)'!$E$6:$E$35,0,0,1),0)</f>
        <v>0</v>
      </c>
      <c r="N56" s="298">
        <f>IFERROR(_xlfn.XLOOKUP($B56,'Operating and Maintenance Costs'!$B$5:$B$60,'Operating and Maintenance Costs'!$E$5:$E$60,0,0,1),0)</f>
        <v>-545052.55200000014</v>
      </c>
      <c r="O56" s="299">
        <f>IFERROR(_xlfn.XLOOKUP($B56,'Capital Cost and RCV'!$B$6:$B$39,'Capital Cost and RCV'!$E$6:$E$39,0,0,1),0)</f>
        <v>0</v>
      </c>
      <c r="P56" s="378">
        <f t="shared" si="0"/>
        <v>-545052.55200000014</v>
      </c>
      <c r="Q56" s="299">
        <f>IFERROR(SUM(C56,D56,E56,F56,G56,I56,K56:O56)*(1+0.07)^-($B56-Assumptions!$D$4)+J56,0)</f>
        <v>-17292.815799305401</v>
      </c>
      <c r="R56" s="364"/>
    </row>
    <row r="57" spans="2:20" ht="15" customHeight="1" x14ac:dyDescent="0.25">
      <c r="B57" s="90">
        <f t="shared" si="1"/>
        <v>2072</v>
      </c>
      <c r="C57" s="298">
        <f>IFERROR(_xlfn.XLOOKUP($B57,'TT-Detour-Car'!B$6:B$35,'TT-Detour-Car'!G$6:G$35,0,0,1),0)</f>
        <v>0</v>
      </c>
      <c r="D57" s="297">
        <f>IFERROR(_xlfn.XLOOKUP($B57,'TT-Detour-Truck'!B$6:B$35,'TT-Detour-Truck'!G$6:G$35,0,0,1),0)</f>
        <v>0</v>
      </c>
      <c r="E57" s="297">
        <f>IFERROR(_xlfn.XLOOKUP($B57,'VOC-Detour-Car'!B$6:B$35,'VOC-Detour-Car'!G$6:G$35,0,0,1),0)</f>
        <v>0</v>
      </c>
      <c r="F57" s="297">
        <f>IFERROR(_xlfn.XLOOKUP($B57,'VOC-Detour-Truck'!B$6:B$35,'VOC-Detour-Truck'!G$6:G$35,0,0,1),0)</f>
        <v>0</v>
      </c>
      <c r="G57" s="378">
        <f>IFERROR(_xlfn.XLOOKUP($B57,'TT - Construction'!$B$6:$B$35,'TT - Construction'!$G$6:$G$35,0,0,1),0)</f>
        <v>0</v>
      </c>
      <c r="H57" s="376">
        <f>IFERROR(_xlfn.XLOOKUP($B57,'Air Quality'!B$6:B$35,'Air Quality'!$D$6:$D$35,0,0,1),0)</f>
        <v>0</v>
      </c>
      <c r="I57" s="297">
        <f>IFERROR(_xlfn.XLOOKUP($B57,'Air Quality'!B$6:B$35,'Air Quality'!M$6:M$35,0,0,1),0)</f>
        <v>0</v>
      </c>
      <c r="J57" s="299">
        <f>IFERROR(_xlfn.XLOOKUP($B57,'Air Quality'!B$6:B$35,'Air Quality'!$E$6:$E$35,0,0,1),0)</f>
        <v>0</v>
      </c>
      <c r="K57" s="298">
        <f>IFERROR(_xlfn.XLOOKUP($B57,'Safety -  I-80 Mainline'!B$6:B$35,'Safety -  I-80 Mainline'!E$6:E$35,0,0,1),0)</f>
        <v>0</v>
      </c>
      <c r="L57" s="297">
        <f>IFERROR(_xlfn.XLOOKUP($B57,'Safety - N-103 Interchange'!B$6:B$35,'Safety - N-103 Interchange'!E$6:E$35,0,0,1),0)</f>
        <v>0</v>
      </c>
      <c r="M57" s="299">
        <f>IFERROR(_xlfn.XLOOKUP($B57,'Safety US 6 (I-80 Alt)'!$B$6:$B$35,'Safety US 6 (I-80 Alt)'!$E$6:$E$35,0,0,1),0)</f>
        <v>0</v>
      </c>
      <c r="N57" s="298">
        <f>IFERROR(_xlfn.XLOOKUP($B57,'Operating and Maintenance Costs'!$B$5:$B$60,'Operating and Maintenance Costs'!$E$5:$E$60,0,0,1),0)</f>
        <v>-545052.55200000014</v>
      </c>
      <c r="O57" s="299">
        <f>IFERROR(_xlfn.XLOOKUP($B57,'Capital Cost and RCV'!$B$6:$B$39,'Capital Cost and RCV'!$E$6:$E$39,0,0,1),0)</f>
        <v>0</v>
      </c>
      <c r="P57" s="378">
        <f t="shared" si="0"/>
        <v>-545052.55200000014</v>
      </c>
      <c r="Q57" s="299">
        <f>IFERROR(SUM(C57,D57,E57,F57,G57,I57,K57:O57)*(1+0.07)^-($B57-Assumptions!$D$4)+J57,0)</f>
        <v>-16161.510092808785</v>
      </c>
      <c r="R57" s="364"/>
    </row>
    <row r="58" spans="2:20" ht="15" customHeight="1" x14ac:dyDescent="0.25">
      <c r="B58" s="90">
        <f t="shared" si="1"/>
        <v>2073</v>
      </c>
      <c r="C58" s="298">
        <f>IFERROR(_xlfn.XLOOKUP($B58,'TT-Detour-Car'!B$6:B$35,'TT-Detour-Car'!G$6:G$35,0,0,1),0)</f>
        <v>0</v>
      </c>
      <c r="D58" s="297">
        <f>IFERROR(_xlfn.XLOOKUP($B58,'TT-Detour-Truck'!B$6:B$35,'TT-Detour-Truck'!G$6:G$35,0,0,1),0)</f>
        <v>0</v>
      </c>
      <c r="E58" s="297">
        <f>IFERROR(_xlfn.XLOOKUP($B58,'VOC-Detour-Car'!B$6:B$35,'VOC-Detour-Car'!G$6:G$35,0,0,1),0)</f>
        <v>0</v>
      </c>
      <c r="F58" s="297">
        <f>IFERROR(_xlfn.XLOOKUP($B58,'VOC-Detour-Truck'!B$6:B$35,'VOC-Detour-Truck'!G$6:G$35,0,0,1),0)</f>
        <v>0</v>
      </c>
      <c r="G58" s="378">
        <f>IFERROR(_xlfn.XLOOKUP($B58,'TT - Construction'!$B$6:$B$35,'TT - Construction'!$G$6:$G$35,0,0,1),0)</f>
        <v>0</v>
      </c>
      <c r="H58" s="376">
        <f>IFERROR(_xlfn.XLOOKUP($B58,'Air Quality'!B$6:B$35,'Air Quality'!$D$6:$D$35,0,0,1),0)</f>
        <v>0</v>
      </c>
      <c r="I58" s="297">
        <f>IFERROR(_xlfn.XLOOKUP($B58,'Air Quality'!B$6:B$35,'Air Quality'!M$6:M$35,0,0,1),0)</f>
        <v>0</v>
      </c>
      <c r="J58" s="299">
        <f>IFERROR(_xlfn.XLOOKUP($B58,'Air Quality'!B$6:B$35,'Air Quality'!$E$6:$E$35,0,0,1),0)</f>
        <v>0</v>
      </c>
      <c r="K58" s="298">
        <f>IFERROR(_xlfn.XLOOKUP($B58,'Safety -  I-80 Mainline'!B$6:B$35,'Safety -  I-80 Mainline'!E$6:E$35,0,0,1),0)</f>
        <v>0</v>
      </c>
      <c r="L58" s="297">
        <f>IFERROR(_xlfn.XLOOKUP($B58,'Safety - N-103 Interchange'!B$6:B$35,'Safety - N-103 Interchange'!E$6:E$35,0,0,1),0)</f>
        <v>0</v>
      </c>
      <c r="M58" s="299">
        <f>IFERROR(_xlfn.XLOOKUP($B58,'Safety US 6 (I-80 Alt)'!$B$6:$B$35,'Safety US 6 (I-80 Alt)'!$E$6:$E$35,0,0,1),0)</f>
        <v>0</v>
      </c>
      <c r="N58" s="298">
        <f>IFERROR(_xlfn.XLOOKUP($B58,'Operating and Maintenance Costs'!$B$5:$B$60,'Operating and Maintenance Costs'!$E$5:$E$60,0,0,1),0)</f>
        <v>-14357202.552000001</v>
      </c>
      <c r="O58" s="299">
        <f>IFERROR(_xlfn.XLOOKUP($B58,'Capital Cost and RCV'!$B$6:$B$39,'Capital Cost and RCV'!$E$6:$E$39,0,0,1),0)</f>
        <v>0</v>
      </c>
      <c r="P58" s="378">
        <f t="shared" si="0"/>
        <v>-14357202.552000001</v>
      </c>
      <c r="Q58" s="299">
        <f>IFERROR(SUM(C58,D58,E58,F58,G58,I58,K58:O58)*(1+0.07)^-($B58-Assumptions!$D$4)+J58,0)</f>
        <v>-397859.38791157625</v>
      </c>
      <c r="R58" s="364"/>
    </row>
    <row r="59" spans="2:20" ht="15" customHeight="1" x14ac:dyDescent="0.25">
      <c r="B59" s="90">
        <f t="shared" si="1"/>
        <v>2074</v>
      </c>
      <c r="C59" s="298">
        <f>IFERROR(_xlfn.XLOOKUP($B59,'TT-Detour-Car'!B$6:B$35,'TT-Detour-Car'!G$6:G$35,0,0,1),0)</f>
        <v>0</v>
      </c>
      <c r="D59" s="297">
        <f>IFERROR(_xlfn.XLOOKUP($B59,'TT-Detour-Truck'!B$6:B$35,'TT-Detour-Truck'!G$6:G$35,0,0,1),0)</f>
        <v>0</v>
      </c>
      <c r="E59" s="297">
        <f>IFERROR(_xlfn.XLOOKUP($B59,'VOC-Detour-Car'!B$6:B$35,'VOC-Detour-Car'!G$6:G$35,0,0,1),0)</f>
        <v>0</v>
      </c>
      <c r="F59" s="297">
        <f>IFERROR(_xlfn.XLOOKUP($B59,'VOC-Detour-Truck'!B$6:B$35,'VOC-Detour-Truck'!G$6:G$35,0,0,1),0)</f>
        <v>0</v>
      </c>
      <c r="G59" s="378">
        <f>IFERROR(_xlfn.XLOOKUP($B59,'TT - Construction'!$B$6:$B$35,'TT - Construction'!$G$6:$G$35,0,0,1),0)</f>
        <v>0</v>
      </c>
      <c r="H59" s="376">
        <f>IFERROR(_xlfn.XLOOKUP($B59,'Air Quality'!B$6:B$35,'Air Quality'!$D$6:$D$35,0,0,1),0)</f>
        <v>0</v>
      </c>
      <c r="I59" s="297">
        <f>IFERROR(_xlfn.XLOOKUP($B59,'Air Quality'!B$6:B$35,'Air Quality'!M$6:M$35,0,0,1),0)</f>
        <v>0</v>
      </c>
      <c r="J59" s="299">
        <f>IFERROR(_xlfn.XLOOKUP($B59,'Air Quality'!B$6:B$35,'Air Quality'!$E$6:$E$35,0,0,1),0)</f>
        <v>0</v>
      </c>
      <c r="K59" s="298">
        <f>IFERROR(_xlfn.XLOOKUP($B59,'Safety -  I-80 Mainline'!B$6:B$35,'Safety -  I-80 Mainline'!E$6:E$35,0,0,1),0)</f>
        <v>0</v>
      </c>
      <c r="L59" s="297">
        <f>IFERROR(_xlfn.XLOOKUP($B59,'Safety - N-103 Interchange'!B$6:B$35,'Safety - N-103 Interchange'!E$6:E$35,0,0,1),0)</f>
        <v>0</v>
      </c>
      <c r="M59" s="299">
        <f>IFERROR(_xlfn.XLOOKUP($B59,'Safety US 6 (I-80 Alt)'!$B$6:$B$35,'Safety US 6 (I-80 Alt)'!$E$6:$E$35,0,0,1),0)</f>
        <v>0</v>
      </c>
      <c r="N59" s="298">
        <f>IFERROR(_xlfn.XLOOKUP($B59,'Operating and Maintenance Costs'!$B$5:$B$60,'Operating and Maintenance Costs'!$E$5:$E$60,0,0,1),0)</f>
        <v>-545052.55200000014</v>
      </c>
      <c r="O59" s="299">
        <f>IFERROR(_xlfn.XLOOKUP($B59,'Capital Cost and RCV'!$B$6:$B$39,'Capital Cost and RCV'!$E$6:$E$39,0,0,1),0)</f>
        <v>0</v>
      </c>
      <c r="P59" s="378">
        <f t="shared" si="0"/>
        <v>-545052.55200000014</v>
      </c>
      <c r="Q59" s="299">
        <f>IFERROR(SUM(C59,D59,E59,F59,G59,I59,K59:O59)*(1+0.07)^-($B59-Assumptions!$D$4)+J59,0)</f>
        <v>-14116.088822437579</v>
      </c>
      <c r="R59" s="364"/>
    </row>
    <row r="60" spans="2:20" ht="15" customHeight="1" x14ac:dyDescent="0.25">
      <c r="B60" s="90">
        <f t="shared" si="1"/>
        <v>2075</v>
      </c>
      <c r="C60" s="298">
        <f>IFERROR(_xlfn.XLOOKUP($B60,'TT-Detour-Car'!B$6:B$35,'TT-Detour-Car'!G$6:G$35,0,0,1),0)</f>
        <v>0</v>
      </c>
      <c r="D60" s="297">
        <f>IFERROR(_xlfn.XLOOKUP($B60,'TT-Detour-Truck'!B$6:B$35,'TT-Detour-Truck'!G$6:G$35,0,0,1),0)</f>
        <v>0</v>
      </c>
      <c r="E60" s="297">
        <f>IFERROR(_xlfn.XLOOKUP($B60,'VOC-Detour-Car'!B$6:B$35,'VOC-Detour-Car'!G$6:G$35,0,0,1),0)</f>
        <v>0</v>
      </c>
      <c r="F60" s="297">
        <f>IFERROR(_xlfn.XLOOKUP($B60,'VOC-Detour-Truck'!B$6:B$35,'VOC-Detour-Truck'!G$6:G$35,0,0,1),0)</f>
        <v>0</v>
      </c>
      <c r="G60" s="378">
        <f>IFERROR(_xlfn.XLOOKUP($B60,'TT - Construction'!$B$6:$B$35,'TT - Construction'!$G$6:$G$35,0,0,1),0)</f>
        <v>0</v>
      </c>
      <c r="H60" s="376">
        <f>IFERROR(_xlfn.XLOOKUP($B60,'Air Quality'!B$6:B$35,'Air Quality'!$D$6:$D$35,0,0,1),0)</f>
        <v>0</v>
      </c>
      <c r="I60" s="297">
        <f>IFERROR(_xlfn.XLOOKUP($B60,'Air Quality'!B$6:B$35,'Air Quality'!M$6:M$35,0,0,1),0)</f>
        <v>0</v>
      </c>
      <c r="J60" s="299">
        <f>IFERROR(_xlfn.XLOOKUP($B60,'Air Quality'!B$6:B$35,'Air Quality'!$E$6:$E$35,0,0,1),0)</f>
        <v>0</v>
      </c>
      <c r="K60" s="298">
        <f>IFERROR(_xlfn.XLOOKUP($B60,'Safety -  I-80 Mainline'!B$6:B$35,'Safety -  I-80 Mainline'!E$6:E$35,0,0,1),0)</f>
        <v>0</v>
      </c>
      <c r="L60" s="297">
        <f>IFERROR(_xlfn.XLOOKUP($B60,'Safety - N-103 Interchange'!B$6:B$35,'Safety - N-103 Interchange'!E$6:E$35,0,0,1),0)</f>
        <v>0</v>
      </c>
      <c r="M60" s="299">
        <f>IFERROR(_xlfn.XLOOKUP($B60,'Safety US 6 (I-80 Alt)'!$B$6:$B$35,'Safety US 6 (I-80 Alt)'!$E$6:$E$35,0,0,1),0)</f>
        <v>0</v>
      </c>
      <c r="N60" s="298">
        <f>IFERROR(_xlfn.XLOOKUP($B60,'Operating and Maintenance Costs'!$B$5:$B$60,'Operating and Maintenance Costs'!$E$5:$E$60,0,0,1),0)</f>
        <v>-545052.55200000014</v>
      </c>
      <c r="O60" s="299">
        <f>IFERROR(_xlfn.XLOOKUP($B60,'Capital Cost and RCV'!$B$6:$B$39,'Capital Cost and RCV'!$E$6:$E$39,0,0,1),0)</f>
        <v>0</v>
      </c>
      <c r="P60" s="378">
        <f t="shared" si="0"/>
        <v>-545052.55200000014</v>
      </c>
      <c r="Q60" s="299">
        <f>IFERROR(SUM(C60,D60,E60,F60,G60,I60,K60:O60)*(1+0.07)^-($B60-Assumptions!$D$4)+J60,0)</f>
        <v>-13192.606376109887</v>
      </c>
      <c r="R60" s="364"/>
    </row>
    <row r="61" spans="2:20" ht="15" customHeight="1" x14ac:dyDescent="0.25">
      <c r="B61" s="90">
        <f t="shared" si="1"/>
        <v>2076</v>
      </c>
      <c r="C61" s="298">
        <f>IFERROR(_xlfn.XLOOKUP($B61,'TT-Detour-Car'!B$6:B$35,'TT-Detour-Car'!G$6:G$35,0,0,1),0)</f>
        <v>0</v>
      </c>
      <c r="D61" s="297">
        <f>IFERROR(_xlfn.XLOOKUP($B61,'TT-Detour-Truck'!B$6:B$35,'TT-Detour-Truck'!G$6:G$35,0,0,1),0)</f>
        <v>0</v>
      </c>
      <c r="E61" s="297">
        <f>IFERROR(_xlfn.XLOOKUP($B61,'VOC-Detour-Car'!B$6:B$35,'VOC-Detour-Car'!G$6:G$35,0,0,1),0)</f>
        <v>0</v>
      </c>
      <c r="F61" s="297">
        <f>IFERROR(_xlfn.XLOOKUP($B61,'VOC-Detour-Truck'!B$6:B$35,'VOC-Detour-Truck'!G$6:G$35,0,0,1),0)</f>
        <v>0</v>
      </c>
      <c r="G61" s="378">
        <f>IFERROR(_xlfn.XLOOKUP($B61,'TT - Construction'!$B$6:$B$35,'TT - Construction'!$G$6:$G$35,0,0,1),0)</f>
        <v>0</v>
      </c>
      <c r="H61" s="376">
        <f>IFERROR(_xlfn.XLOOKUP($B61,'Air Quality'!B$6:B$35,'Air Quality'!$D$6:$D$35,0,0,1),0)</f>
        <v>0</v>
      </c>
      <c r="I61" s="297">
        <f>IFERROR(_xlfn.XLOOKUP($B61,'Air Quality'!B$6:B$35,'Air Quality'!M$6:M$35,0,0,1),0)</f>
        <v>0</v>
      </c>
      <c r="J61" s="299">
        <f>IFERROR(_xlfn.XLOOKUP($B61,'Air Quality'!B$6:B$35,'Air Quality'!$E$6:$E$35,0,0,1),0)</f>
        <v>0</v>
      </c>
      <c r="K61" s="298">
        <f>IFERROR(_xlfn.XLOOKUP($B61,'Safety -  I-80 Mainline'!B$6:B$35,'Safety -  I-80 Mainline'!E$6:E$35,0,0,1),0)</f>
        <v>0</v>
      </c>
      <c r="L61" s="297">
        <f>IFERROR(_xlfn.XLOOKUP($B61,'Safety - N-103 Interchange'!B$6:B$35,'Safety - N-103 Interchange'!E$6:E$35,0,0,1),0)</f>
        <v>0</v>
      </c>
      <c r="M61" s="299">
        <f>IFERROR(_xlfn.XLOOKUP($B61,'Safety US 6 (I-80 Alt)'!$B$6:$B$35,'Safety US 6 (I-80 Alt)'!$E$6:$E$35,0,0,1),0)</f>
        <v>0</v>
      </c>
      <c r="N61" s="298">
        <f>IFERROR(_xlfn.XLOOKUP($B61,'Operating and Maintenance Costs'!$B$5:$B$60,'Operating and Maintenance Costs'!$E$5:$E$60,0,0,1),0)</f>
        <v>-896634.55200000014</v>
      </c>
      <c r="O61" s="299">
        <f>IFERROR(_xlfn.XLOOKUP($B61,'Capital Cost and RCV'!$B$6:$B$39,'Capital Cost and RCV'!$E$6:$E$39,0,0,1),0)</f>
        <v>0</v>
      </c>
      <c r="P61" s="378">
        <f t="shared" si="0"/>
        <v>-896634.55200000014</v>
      </c>
      <c r="Q61" s="299">
        <f>IFERROR(SUM(C61,D61,E61,F61,G61,I61,K61:O61)*(1+0.07)^-($B61-Assumptions!$D$4)+J61,0)</f>
        <v>-20282.613741582903</v>
      </c>
      <c r="R61" s="364"/>
      <c r="S61" s="136"/>
      <c r="T61" s="9"/>
    </row>
    <row r="62" spans="2:20" ht="15" customHeight="1" thickBot="1" x14ac:dyDescent="0.3">
      <c r="B62" s="91">
        <f t="shared" si="1"/>
        <v>2077</v>
      </c>
      <c r="C62" s="300">
        <f>IFERROR(_xlfn.XLOOKUP($B62,'TT-Detour-Car'!B$6:B$35,'TT-Detour-Car'!G$6:G$35,0,0,1),0)</f>
        <v>0</v>
      </c>
      <c r="D62" s="301">
        <f>IFERROR(_xlfn.XLOOKUP($B62,'TT-Detour-Truck'!B$6:B$35,'TT-Detour-Truck'!G$6:G$35,0,0,1),0)</f>
        <v>0</v>
      </c>
      <c r="E62" s="301">
        <f>IFERROR(_xlfn.XLOOKUP($B62,'VOC-Detour-Car'!B$6:B$35,'VOC-Detour-Car'!G$6:G$35,0,0,1),0)</f>
        <v>0</v>
      </c>
      <c r="F62" s="301">
        <f>IFERROR(_xlfn.XLOOKUP($B62,'VOC-Detour-Truck'!B$6:B$35,'VOC-Detour-Truck'!G$6:G$35,0,0,1),0)</f>
        <v>0</v>
      </c>
      <c r="G62" s="381">
        <f>IFERROR(_xlfn.XLOOKUP($B62,'TT - Construction'!$B$6:$B$35,'TT - Construction'!$G$6:$G$35,0,0,1),0)</f>
        <v>0</v>
      </c>
      <c r="H62" s="377">
        <f>IFERROR(_xlfn.XLOOKUP($B62,'Air Quality'!B$6:B$35,'Air Quality'!$D$6:$D$35,0,0,1),0)</f>
        <v>0</v>
      </c>
      <c r="I62" s="301">
        <f>IFERROR(_xlfn.XLOOKUP($B62,'Air Quality'!B$6:B$35,'Air Quality'!M$6:M$35,0,0,1),0)</f>
        <v>0</v>
      </c>
      <c r="J62" s="302">
        <f>IFERROR(_xlfn.XLOOKUP($B62,'Air Quality'!B$6:B$35,'Air Quality'!$E$6:$E$35,0,0,1),0)</f>
        <v>0</v>
      </c>
      <c r="K62" s="300">
        <f>IFERROR(_xlfn.XLOOKUP($B62,'Safety -  I-80 Mainline'!B$6:B$35,'Safety -  I-80 Mainline'!E$6:E$35,0,0,1),0)</f>
        <v>0</v>
      </c>
      <c r="L62" s="301">
        <f>IFERROR(_xlfn.XLOOKUP($B62,'Safety - N-103 Interchange'!B$6:B$35,'Safety - N-103 Interchange'!E$6:E$35,0,0,1),0)</f>
        <v>0</v>
      </c>
      <c r="M62" s="302">
        <f>IFERROR(_xlfn.XLOOKUP($B62,'Safety US 6 (I-80 Alt)'!$B$6:$B$35,'Safety US 6 (I-80 Alt)'!$E$6:$E$35,0,0,1),0)</f>
        <v>0</v>
      </c>
      <c r="N62" s="300">
        <f>IFERROR(_xlfn.XLOOKUP($B62,'Operating and Maintenance Costs'!$B$5:$B$60,'Operating and Maintenance Costs'!$E$5:$E$60,0,0,1),0)</f>
        <v>-545052.55200000014</v>
      </c>
      <c r="O62" s="302">
        <f>IFERROR(_xlfn.XLOOKUP($B62,'Capital Cost and RCV'!$B$6:$B$39,'Capital Cost and RCV'!$E$6:$E$39,0,0,1),0)</f>
        <v>0</v>
      </c>
      <c r="P62" s="381">
        <f t="shared" si="0"/>
        <v>-545052.55200000014</v>
      </c>
      <c r="Q62" s="302">
        <f>IFERROR(SUM(C62,D62,E62,F62,G62,I62,K62:O62)*(1+0.07)^-($B62-Assumptions!$D$4)+J62,0)</f>
        <v>-11522.933335758484</v>
      </c>
      <c r="R62" s="364"/>
    </row>
    <row r="63" spans="2:20" x14ac:dyDescent="0.25">
      <c r="B63" s="14"/>
      <c r="C63" s="14"/>
      <c r="J63" s="69"/>
      <c r="K63" s="69"/>
      <c r="L63" s="69"/>
      <c r="M63" s="69"/>
      <c r="N63" s="69"/>
      <c r="O63" s="448" t="s">
        <v>83</v>
      </c>
      <c r="P63" s="297">
        <f>SUM(P7:P62)</f>
        <v>1918756542.4842079</v>
      </c>
      <c r="Q63" s="13">
        <f>SUM(Q7:Q62)</f>
        <v>246979146.4814859</v>
      </c>
      <c r="R63" s="364"/>
    </row>
    <row r="64" spans="2:20" x14ac:dyDescent="0.25">
      <c r="O64" s="320"/>
      <c r="P64" s="449"/>
      <c r="Q64" s="450">
        <f>'TT-Detour-Truck'!H36+'VOC-Detour-Truck'!H36+'TT-Detour-Car'!H36+'VOC-Detour-Car'!H36+'TT - Construction'!H42+'Safety -  I-80 Mainline'!F36+'Air Quality'!P36+'Safety - N-103 Interchange'!F36+'Safety US 6 (I-80 Alt)'!F36+'Capital Cost and RCV'!F40+'Operating and Maintenance Costs'!F61</f>
        <v>246979146.4814859</v>
      </c>
    </row>
    <row r="69" spans="1:8" ht="16.5" thickBot="1" x14ac:dyDescent="0.3">
      <c r="B69" s="16" t="s">
        <v>8</v>
      </c>
      <c r="C69" s="16"/>
      <c r="D69" s="15"/>
      <c r="E69" s="15"/>
      <c r="F69" s="15"/>
      <c r="G69" s="15"/>
      <c r="H69" s="13"/>
    </row>
    <row r="70" spans="1:8" x14ac:dyDescent="0.25">
      <c r="B70" s="460" t="s">
        <v>0</v>
      </c>
      <c r="C70" s="460" t="s">
        <v>45</v>
      </c>
      <c r="D70" s="462" t="s">
        <v>36</v>
      </c>
      <c r="E70"/>
      <c r="F70"/>
    </row>
    <row r="71" spans="1:8" ht="15.75" thickBot="1" x14ac:dyDescent="0.3">
      <c r="B71" s="461"/>
      <c r="C71" s="461"/>
      <c r="D71" s="463"/>
      <c r="E71"/>
      <c r="F71"/>
    </row>
    <row r="72" spans="1:8" hidden="1" outlineLevel="1" x14ac:dyDescent="0.25">
      <c r="B72" s="89">
        <f>Assumptions!$D$3</f>
        <v>2022</v>
      </c>
      <c r="C72" s="98">
        <f>IFERROR(_xlfn.XLOOKUP($B72,'Capital Cost and RCV'!$B$6:$B$39,'Capital Cost and RCV'!$C$6:$C$39),0)</f>
        <v>0</v>
      </c>
      <c r="D72" s="98">
        <f>C72*(1+0.07)^-($B72-Assumptions!$D$4)</f>
        <v>0</v>
      </c>
      <c r="E72"/>
      <c r="F72"/>
    </row>
    <row r="73" spans="1:8" hidden="1" outlineLevel="1" x14ac:dyDescent="0.25">
      <c r="B73" s="277">
        <f>B72+1</f>
        <v>2023</v>
      </c>
      <c r="C73" s="102">
        <f>IFERROR(_xlfn.XLOOKUP($B73,'Capital Cost and RCV'!$B$6:$B$39,'Capital Cost and RCV'!$C$6:$C$39),0)</f>
        <v>0</v>
      </c>
      <c r="D73" s="102">
        <f>C73*(1+0.07)^-($B73-Assumptions!$D$4)</f>
        <v>0</v>
      </c>
      <c r="E73"/>
      <c r="F73"/>
    </row>
    <row r="74" spans="1:8" ht="15" hidden="1" customHeight="1" outlineLevel="1" x14ac:dyDescent="0.25">
      <c r="B74" s="277">
        <f>B73+1</f>
        <v>2024</v>
      </c>
      <c r="C74" s="99">
        <f>IFERROR(_xlfn.XLOOKUP($B74,'Capital Cost and RCV'!$B$6:$B$39,'Capital Cost and RCV'!$C$6:$C$39),0)</f>
        <v>4342421.9336414412</v>
      </c>
      <c r="D74" s="99">
        <f>C74*(1+0.07)^-($B74-Assumptions!$D$4)</f>
        <v>3312812.9018652118</v>
      </c>
      <c r="E74"/>
      <c r="F74"/>
    </row>
    <row r="75" spans="1:8" ht="15.75" hidden="1" outlineLevel="1" thickBot="1" x14ac:dyDescent="0.3">
      <c r="B75" s="332">
        <f>B74+1</f>
        <v>2025</v>
      </c>
      <c r="C75" s="334">
        <f>IFERROR(_xlfn.XLOOKUP($B75,'Capital Cost and RCV'!$B$6:$B$39,'Capital Cost and RCV'!$C$6:$C$39),0)</f>
        <v>8064497.8767626761</v>
      </c>
      <c r="D75" s="334">
        <f>C75*(1+0.07)^-($B75-Assumptions!$D$4)</f>
        <v>5749875.530607176</v>
      </c>
      <c r="E75"/>
      <c r="F75"/>
    </row>
    <row r="76" spans="1:8" collapsed="1" x14ac:dyDescent="0.25">
      <c r="A76" s="10"/>
      <c r="B76" s="331">
        <f t="shared" ref="B76:B112" si="3">B75+1</f>
        <v>2026</v>
      </c>
      <c r="C76" s="102">
        <f>IFERROR(_xlfn.XLOOKUP($B76,'Capital Cost and RCV'!$B$6:$B$39,'Capital Cost and RCV'!$C$6:$C$39),0)</f>
        <v>55831139.146818526</v>
      </c>
      <c r="D76" s="102">
        <f>C76*(1+0.07)^-($B76-Assumptions!$D$4)</f>
        <v>37202645.417300202</v>
      </c>
      <c r="E76"/>
      <c r="F76"/>
    </row>
    <row r="77" spans="1:8" x14ac:dyDescent="0.25">
      <c r="B77" s="277">
        <f t="shared" si="3"/>
        <v>2027</v>
      </c>
      <c r="C77" s="99">
        <f>IFERROR(_xlfn.XLOOKUP($B77,'Capital Cost and RCV'!$B$6:$B$39,'Capital Cost and RCV'!$C$6:$C$39),0)</f>
        <v>55831139.146818526</v>
      </c>
      <c r="D77" s="99">
        <f>C77*(1+0.07)^-($B77-Assumptions!$D$4)</f>
        <v>34768827.492803924</v>
      </c>
      <c r="E77"/>
      <c r="F77"/>
    </row>
    <row r="78" spans="1:8" x14ac:dyDescent="0.25">
      <c r="B78" s="277">
        <f t="shared" si="3"/>
        <v>2028</v>
      </c>
      <c r="C78" s="99">
        <f>IFERROR(_xlfn.XLOOKUP($B78,'Capital Cost and RCV'!$B$6:$B$39,'Capital Cost and RCV'!$C$6:$C$39),0)</f>
        <v>0</v>
      </c>
      <c r="D78" s="99">
        <f>C78*(1+0.07)^-($B78-Assumptions!$D$4)</f>
        <v>0</v>
      </c>
      <c r="E78"/>
      <c r="F78"/>
    </row>
    <row r="79" spans="1:8" x14ac:dyDescent="0.25">
      <c r="B79" s="277">
        <f t="shared" si="3"/>
        <v>2029</v>
      </c>
      <c r="C79" s="99">
        <f>IFERROR(_xlfn.XLOOKUP($B79,'Capital Cost and RCV'!$B$6:$B$39,'Capital Cost and RCV'!$C$6:$C$39),0)</f>
        <v>0</v>
      </c>
      <c r="D79" s="99">
        <f>C79*(1+0.07)^-($B79-Assumptions!$D$4)</f>
        <v>0</v>
      </c>
      <c r="E79"/>
      <c r="F79"/>
    </row>
    <row r="80" spans="1:8" x14ac:dyDescent="0.25">
      <c r="B80" s="277">
        <f t="shared" si="3"/>
        <v>2030</v>
      </c>
      <c r="C80" s="99">
        <f>IFERROR(_xlfn.XLOOKUP($B80,'Capital Cost and RCV'!$B$6:$B$39,'Capital Cost and RCV'!$C$6:$C$39),0)</f>
        <v>0</v>
      </c>
      <c r="D80" s="99">
        <f>C80*(1+0.07)^-($B80-Assumptions!$D$4)</f>
        <v>0</v>
      </c>
      <c r="E80"/>
      <c r="F80"/>
    </row>
    <row r="81" spans="2:9" x14ac:dyDescent="0.25">
      <c r="B81" s="277">
        <f t="shared" si="3"/>
        <v>2031</v>
      </c>
      <c r="C81" s="99">
        <f>IFERROR(_xlfn.XLOOKUP($B81,'Capital Cost and RCV'!$B$6:$B$39,'Capital Cost and RCV'!$C$6:$C$39),0)</f>
        <v>0</v>
      </c>
      <c r="D81" s="99">
        <f>C81*(1+0.07)^-($B81-Assumptions!$D$4)</f>
        <v>0</v>
      </c>
      <c r="E81"/>
      <c r="F81"/>
    </row>
    <row r="82" spans="2:9" x14ac:dyDescent="0.25">
      <c r="B82" s="277">
        <f t="shared" si="3"/>
        <v>2032</v>
      </c>
      <c r="C82" s="99">
        <f>IFERROR(_xlfn.XLOOKUP($B82,'Capital Cost and RCV'!$B$6:$B$39,'Capital Cost and RCV'!$C$6:$C$39),0)</f>
        <v>0</v>
      </c>
      <c r="D82" s="99">
        <f>C82*(1+0.07)^-($B82-Assumptions!$D$4)</f>
        <v>0</v>
      </c>
      <c r="E82"/>
      <c r="F82"/>
    </row>
    <row r="83" spans="2:9" x14ac:dyDescent="0.25">
      <c r="B83" s="277">
        <f t="shared" si="3"/>
        <v>2033</v>
      </c>
      <c r="C83" s="99">
        <f>IFERROR(_xlfn.XLOOKUP($B83,'Capital Cost and RCV'!$B$6:$B$39,'Capital Cost and RCV'!$C$6:$C$39),0)</f>
        <v>0</v>
      </c>
      <c r="D83" s="99">
        <f>C83*(1+0.07)^-($B83-Assumptions!$D$4)</f>
        <v>0</v>
      </c>
      <c r="E83"/>
      <c r="F83"/>
    </row>
    <row r="84" spans="2:9" x14ac:dyDescent="0.25">
      <c r="B84" s="277">
        <f t="shared" si="3"/>
        <v>2034</v>
      </c>
      <c r="C84" s="99">
        <f>IFERROR(_xlfn.XLOOKUP($B84,'Capital Cost and RCV'!$B$6:$B$39,'Capital Cost and RCV'!$C$6:$C$39),0)</f>
        <v>0</v>
      </c>
      <c r="D84" s="99">
        <f>C84*(1+0.07)^-($B84-Assumptions!$D$4)</f>
        <v>0</v>
      </c>
      <c r="E84"/>
      <c r="F84"/>
    </row>
    <row r="85" spans="2:9" x14ac:dyDescent="0.25">
      <c r="B85" s="277">
        <f t="shared" si="3"/>
        <v>2035</v>
      </c>
      <c r="C85" s="99">
        <f>IFERROR(_xlfn.XLOOKUP($B85,'Capital Cost and RCV'!$B$6:$B$39,'Capital Cost and RCV'!$C$6:$C$39),0)</f>
        <v>0</v>
      </c>
      <c r="D85" s="99">
        <f>C85*(1+0.07)^-($B85-Assumptions!$D$4)</f>
        <v>0</v>
      </c>
      <c r="E85"/>
      <c r="F85"/>
    </row>
    <row r="86" spans="2:9" x14ac:dyDescent="0.25">
      <c r="B86" s="277">
        <f t="shared" si="3"/>
        <v>2036</v>
      </c>
      <c r="C86" s="99">
        <f>IFERROR(_xlfn.XLOOKUP($B86,'Capital Cost and RCV'!$B$6:$B$39,'Capital Cost and RCV'!$C$6:$C$39),0)</f>
        <v>0</v>
      </c>
      <c r="D86" s="99">
        <f>C86*(1+0.07)^-($B86-Assumptions!$D$4)</f>
        <v>0</v>
      </c>
      <c r="E86"/>
      <c r="F86"/>
    </row>
    <row r="87" spans="2:9" x14ac:dyDescent="0.25">
      <c r="B87" s="277">
        <f t="shared" si="3"/>
        <v>2037</v>
      </c>
      <c r="C87" s="99">
        <f>IFERROR(_xlfn.XLOOKUP($B87,'Capital Cost and RCV'!$B$6:$B$39,'Capital Cost and RCV'!$C$6:$C$39),0)</f>
        <v>0</v>
      </c>
      <c r="D87" s="99">
        <f>C87*(1+0.07)^-($B87-Assumptions!$D$4)</f>
        <v>0</v>
      </c>
      <c r="E87"/>
      <c r="F87"/>
    </row>
    <row r="88" spans="2:9" x14ac:dyDescent="0.25">
      <c r="B88" s="277">
        <f t="shared" si="3"/>
        <v>2038</v>
      </c>
      <c r="C88" s="99">
        <f>IFERROR(_xlfn.XLOOKUP($B88,'Capital Cost and RCV'!$B$6:$B$39,'Capital Cost and RCV'!$C$6:$C$39),0)</f>
        <v>0</v>
      </c>
      <c r="D88" s="99">
        <f>C88*(1+0.07)^-($B88-Assumptions!$D$4)</f>
        <v>0</v>
      </c>
      <c r="E88"/>
      <c r="F88"/>
    </row>
    <row r="89" spans="2:9" x14ac:dyDescent="0.25">
      <c r="B89" s="277">
        <f t="shared" si="3"/>
        <v>2039</v>
      </c>
      <c r="C89" s="99">
        <f>IFERROR(_xlfn.XLOOKUP($B89,'Capital Cost and RCV'!$B$6:$B$39,'Capital Cost and RCV'!$C$6:$C$39),0)</f>
        <v>0</v>
      </c>
      <c r="D89" s="99">
        <f>C89*(1+0.07)^-($B89-Assumptions!$D$4)</f>
        <v>0</v>
      </c>
      <c r="E89"/>
      <c r="F89"/>
    </row>
    <row r="90" spans="2:9" x14ac:dyDescent="0.25">
      <c r="B90" s="277">
        <f t="shared" si="3"/>
        <v>2040</v>
      </c>
      <c r="C90" s="99">
        <f>IFERROR(_xlfn.XLOOKUP($B90,'Capital Cost and RCV'!$B$6:$B$39,'Capital Cost and RCV'!$C$6:$C$39),0)</f>
        <v>0</v>
      </c>
      <c r="D90" s="99">
        <f>C90*(1+0.07)^-($B90-Assumptions!$D$4)</f>
        <v>0</v>
      </c>
      <c r="E90"/>
      <c r="F90"/>
    </row>
    <row r="91" spans="2:9" x14ac:dyDescent="0.25">
      <c r="B91" s="277">
        <f t="shared" si="3"/>
        <v>2041</v>
      </c>
      <c r="C91" s="99">
        <f>IFERROR(_xlfn.XLOOKUP($B91,'Capital Cost and RCV'!$B$6:$B$39,'Capital Cost and RCV'!$C$6:$C$39),0)</f>
        <v>0</v>
      </c>
      <c r="D91" s="99">
        <f>C91*(1+0.07)^-($B91-Assumptions!$D$4)</f>
        <v>0</v>
      </c>
      <c r="E91"/>
      <c r="F91"/>
    </row>
    <row r="92" spans="2:9" x14ac:dyDescent="0.25">
      <c r="B92" s="277">
        <f t="shared" si="3"/>
        <v>2042</v>
      </c>
      <c r="C92" s="99">
        <f>IFERROR(_xlfn.XLOOKUP($B92,'Capital Cost and RCV'!$B$6:$B$39,'Capital Cost and RCV'!$C$6:$C$39),0)</f>
        <v>0</v>
      </c>
      <c r="D92" s="99">
        <f>C92*(1+0.07)^-($B92-Assumptions!$D$4)</f>
        <v>0</v>
      </c>
      <c r="E92"/>
      <c r="F92"/>
    </row>
    <row r="93" spans="2:9" x14ac:dyDescent="0.25">
      <c r="B93" s="277">
        <f t="shared" si="3"/>
        <v>2043</v>
      </c>
      <c r="C93" s="99">
        <f>IFERROR(_xlfn.XLOOKUP($B93,'Capital Cost and RCV'!$B$6:$B$39,'Capital Cost and RCV'!$C$6:$C$39),0)</f>
        <v>0</v>
      </c>
      <c r="D93" s="99">
        <f>C93*(1+0.07)^-($B93-Assumptions!$D$4)</f>
        <v>0</v>
      </c>
      <c r="E93"/>
      <c r="F93"/>
      <c r="I93" s="128"/>
    </row>
    <row r="94" spans="2:9" x14ac:dyDescent="0.25">
      <c r="B94" s="277">
        <f>B93+1</f>
        <v>2044</v>
      </c>
      <c r="C94" s="99">
        <f>IFERROR(_xlfn.XLOOKUP($B94,'Capital Cost and RCV'!$B$6:$B$39,'Capital Cost and RCV'!$C$6:$C$39),0)</f>
        <v>0</v>
      </c>
      <c r="D94" s="99">
        <f>C94*(1+0.07)^-($B94-Assumptions!$D$4)</f>
        <v>0</v>
      </c>
      <c r="E94"/>
      <c r="F94"/>
    </row>
    <row r="95" spans="2:9" x14ac:dyDescent="0.25">
      <c r="B95" s="277">
        <f>B94+1</f>
        <v>2045</v>
      </c>
      <c r="C95" s="99">
        <f>IFERROR(_xlfn.XLOOKUP($B95,'Capital Cost and RCV'!$B$6:$B$39,'Capital Cost and RCV'!$C$6:$C$39),0)</f>
        <v>0</v>
      </c>
      <c r="D95" s="99">
        <f>C95*(1+0.07)^-($B95-Assumptions!$D$4)</f>
        <v>0</v>
      </c>
      <c r="E95"/>
      <c r="F95"/>
    </row>
    <row r="96" spans="2:9" x14ac:dyDescent="0.25">
      <c r="B96" s="277">
        <f t="shared" si="3"/>
        <v>2046</v>
      </c>
      <c r="C96" s="99">
        <f>IFERROR(_xlfn.XLOOKUP($B96,'Capital Cost and RCV'!$B$6:$B$39,'Capital Cost and RCV'!$C$6:$C$39),0)</f>
        <v>0</v>
      </c>
      <c r="D96" s="99">
        <f>C96*(1+0.07)^-($B96-Assumptions!$D$4)</f>
        <v>0</v>
      </c>
      <c r="E96"/>
      <c r="F96"/>
    </row>
    <row r="97" spans="2:15" ht="15.75" thickBot="1" x14ac:dyDescent="0.3">
      <c r="B97" s="277">
        <f t="shared" si="3"/>
        <v>2047</v>
      </c>
      <c r="C97" s="99">
        <f>IFERROR(_xlfn.XLOOKUP($B97,'Capital Cost and RCV'!$B$6:$B$39,'Capital Cost and RCV'!$C$6:$C$39),0)</f>
        <v>0</v>
      </c>
      <c r="D97" s="99">
        <f>C97*(1+0.07)^-($B97-Assumptions!$D$4)</f>
        <v>0</v>
      </c>
      <c r="E97"/>
      <c r="F97"/>
      <c r="I97" s="19"/>
      <c r="J97" s="19"/>
      <c r="K97" s="19"/>
      <c r="L97" s="19"/>
      <c r="M97" s="19"/>
      <c r="N97" s="19"/>
      <c r="O97" s="19"/>
    </row>
    <row r="98" spans="2:15" hidden="1" outlineLevel="1" x14ac:dyDescent="0.25">
      <c r="B98" s="277">
        <f t="shared" si="3"/>
        <v>2048</v>
      </c>
      <c r="C98" s="99">
        <f>IFERROR(_xlfn.XLOOKUP($B98,'Capital Cost and RCV'!$B$6:$B$39,'Capital Cost and RCV'!$C$6:$C$39),0)</f>
        <v>0</v>
      </c>
      <c r="D98" s="99">
        <f>C98*(1+0.07)^-($B98-Assumptions!$D$4)</f>
        <v>0</v>
      </c>
      <c r="E98"/>
      <c r="F98"/>
      <c r="J98" s="18"/>
      <c r="K98" s="18"/>
      <c r="L98" s="18"/>
      <c r="M98" s="18"/>
      <c r="N98" s="18"/>
      <c r="O98" s="18"/>
    </row>
    <row r="99" spans="2:15" hidden="1" outlineLevel="1" x14ac:dyDescent="0.25">
      <c r="B99" s="277">
        <f t="shared" si="3"/>
        <v>2049</v>
      </c>
      <c r="C99" s="99">
        <f>IFERROR(_xlfn.XLOOKUP($B99,'Capital Cost and RCV'!$B$6:$B$39,'Capital Cost and RCV'!$C$6:$C$39),0)</f>
        <v>0</v>
      </c>
      <c r="D99" s="99">
        <f>C99*(1+0.07)^-($B99-Assumptions!$D$4)</f>
        <v>0</v>
      </c>
      <c r="E99"/>
      <c r="F99"/>
      <c r="I99" s="18"/>
      <c r="J99" s="19"/>
      <c r="K99" s="19"/>
      <c r="L99" s="19"/>
      <c r="M99" s="19"/>
      <c r="N99" s="19"/>
      <c r="O99" s="19"/>
    </row>
    <row r="100" spans="2:15" hidden="1" outlineLevel="1" x14ac:dyDescent="0.25">
      <c r="B100" s="277">
        <f t="shared" si="3"/>
        <v>2050</v>
      </c>
      <c r="C100" s="99">
        <f>IFERROR(_xlfn.XLOOKUP($B100,'Capital Cost and RCV'!$B$6:$B$39,'Capital Cost and RCV'!$C$6:$C$39),0)</f>
        <v>0</v>
      </c>
      <c r="D100" s="99">
        <f>C100*(1+0.07)^-($B100-Assumptions!$D$4)</f>
        <v>0</v>
      </c>
      <c r="E100"/>
      <c r="F100"/>
      <c r="I100" s="18"/>
      <c r="J100" s="19"/>
      <c r="K100" s="19"/>
      <c r="L100" s="19"/>
      <c r="M100" s="19"/>
      <c r="N100" s="19"/>
      <c r="O100" s="19"/>
    </row>
    <row r="101" spans="2:15" hidden="1" outlineLevel="1" x14ac:dyDescent="0.25">
      <c r="B101" s="277">
        <f t="shared" si="3"/>
        <v>2051</v>
      </c>
      <c r="C101" s="99">
        <f>IFERROR(_xlfn.XLOOKUP($B101,'Capital Cost and RCV'!$B$6:$B$39,'Capital Cost and RCV'!$C$6:$C$39),0)</f>
        <v>0</v>
      </c>
      <c r="D101" s="99">
        <f>C101*(1+0.07)^-($B101-Assumptions!$D$4)</f>
        <v>0</v>
      </c>
      <c r="E101"/>
      <c r="F101"/>
      <c r="I101" s="18"/>
      <c r="J101" s="19"/>
      <c r="K101" s="19"/>
      <c r="L101" s="19"/>
      <c r="M101" s="19"/>
      <c r="N101" s="19"/>
      <c r="O101" s="19"/>
    </row>
    <row r="102" spans="2:15" hidden="1" outlineLevel="1" x14ac:dyDescent="0.25">
      <c r="B102" s="277">
        <f t="shared" si="3"/>
        <v>2052</v>
      </c>
      <c r="C102" s="99">
        <f>IFERROR(_xlfn.XLOOKUP($B102,'Capital Cost and RCV'!$B$6:$B$39,'Capital Cost and RCV'!$C$6:$C$39),0)</f>
        <v>0</v>
      </c>
      <c r="D102" s="99">
        <f>C102*(1+0.07)^-($B102-Assumptions!$D$4)</f>
        <v>0</v>
      </c>
      <c r="E102"/>
      <c r="F102"/>
      <c r="I102" s="18"/>
      <c r="J102" s="19"/>
      <c r="K102" s="19"/>
      <c r="L102" s="19"/>
      <c r="M102" s="19"/>
      <c r="N102" s="19"/>
      <c r="O102" s="19"/>
    </row>
    <row r="103" spans="2:15" hidden="1" outlineLevel="1" x14ac:dyDescent="0.25">
      <c r="B103" s="277">
        <f t="shared" si="3"/>
        <v>2053</v>
      </c>
      <c r="C103" s="99">
        <f>IFERROR(_xlfn.XLOOKUP($B103,'Capital Cost and RCV'!$B$6:$B$39,'Capital Cost and RCV'!$C$6:$C$39),0)</f>
        <v>0</v>
      </c>
      <c r="D103" s="99">
        <f>C103*(1+0.07)^-($B103-Assumptions!$D$4)</f>
        <v>0</v>
      </c>
      <c r="E103"/>
      <c r="F103"/>
    </row>
    <row r="104" spans="2:15" hidden="1" outlineLevel="1" x14ac:dyDescent="0.25">
      <c r="B104" s="90">
        <f t="shared" si="3"/>
        <v>2054</v>
      </c>
      <c r="C104" s="99">
        <f>IFERROR(_xlfn.XLOOKUP($B104,'Capital Cost and RCV'!$B$6:$B$39,'Capital Cost and RCV'!$C$6:$C$39),0)</f>
        <v>0</v>
      </c>
      <c r="D104" s="99">
        <f>C104*(1+0.07)^-($B104-Assumptions!$D$4)</f>
        <v>0</v>
      </c>
      <c r="E104"/>
      <c r="F104"/>
    </row>
    <row r="105" spans="2:15" hidden="1" outlineLevel="1" x14ac:dyDescent="0.25">
      <c r="B105" s="90">
        <f t="shared" si="3"/>
        <v>2055</v>
      </c>
      <c r="C105" s="99">
        <f>IFERROR(_xlfn.XLOOKUP($B105,'Capital Cost and RCV'!$B$6:$B$39,'Capital Cost and RCV'!$C$6:$C$39),0)</f>
        <v>0</v>
      </c>
      <c r="D105" s="99">
        <f>C105*(1+0.07)^-($B105-Assumptions!$D$4)</f>
        <v>0</v>
      </c>
      <c r="E105"/>
      <c r="F105"/>
    </row>
    <row r="106" spans="2:15" hidden="1" outlineLevel="1" x14ac:dyDescent="0.25">
      <c r="B106" s="90">
        <f t="shared" si="3"/>
        <v>2056</v>
      </c>
      <c r="C106" s="99">
        <f>IFERROR(_xlfn.XLOOKUP($B106,'Capital Cost and RCV'!$B$6:$B$39,'Capital Cost and RCV'!$C$6:$C$39),0)</f>
        <v>0</v>
      </c>
      <c r="D106" s="99">
        <f>C106*(1+0.07)^-($B106-Assumptions!$D$4)</f>
        <v>0</v>
      </c>
      <c r="E106"/>
      <c r="F106"/>
    </row>
    <row r="107" spans="2:15" ht="15.75" hidden="1" outlineLevel="1" thickBot="1" x14ac:dyDescent="0.3">
      <c r="B107" s="447">
        <f t="shared" si="3"/>
        <v>2057</v>
      </c>
      <c r="C107" s="334">
        <f>IFERROR(_xlfn.XLOOKUP($B107,'Capital Cost and RCV'!$B$6:$B$39,'Capital Cost and RCV'!$C$6:$C$39),0)</f>
        <v>0</v>
      </c>
      <c r="D107" s="334">
        <f>C107*(1+0.07)^-($B107-Assumptions!$D$4)</f>
        <v>0</v>
      </c>
      <c r="E107"/>
      <c r="F107"/>
    </row>
    <row r="108" spans="2:15" ht="15.75" hidden="1" outlineLevel="1" thickTop="1" x14ac:dyDescent="0.25">
      <c r="B108" s="446">
        <f t="shared" si="3"/>
        <v>2058</v>
      </c>
      <c r="C108" s="102">
        <f>IFERROR(_xlfn.XLOOKUP($B108,'Capital Cost and RCV'!$B$6:$B$39,'Capital Cost and RCV'!$C$6:$C$39),0)</f>
        <v>0</v>
      </c>
      <c r="D108" s="102">
        <f>C108*(1+0.07)^-($B108-Assumptions!$D$4)</f>
        <v>0</v>
      </c>
      <c r="E108"/>
      <c r="F108"/>
    </row>
    <row r="109" spans="2:15" hidden="1" outlineLevel="1" x14ac:dyDescent="0.25">
      <c r="B109" s="90">
        <f t="shared" si="3"/>
        <v>2059</v>
      </c>
      <c r="C109" s="99">
        <f>IFERROR(_xlfn.XLOOKUP($B109,'Capital Cost and RCV'!$B$6:$B$39,'Capital Cost and RCV'!$C$6:$C$39),0)</f>
        <v>0</v>
      </c>
      <c r="D109" s="99">
        <f>C109*(1+0.07)^-($B109-Assumptions!$D$4)</f>
        <v>0</v>
      </c>
      <c r="E109"/>
      <c r="F109"/>
    </row>
    <row r="110" spans="2:15" hidden="1" outlineLevel="1" x14ac:dyDescent="0.25">
      <c r="B110" s="90">
        <f t="shared" si="3"/>
        <v>2060</v>
      </c>
      <c r="C110" s="99">
        <f>IFERROR(_xlfn.XLOOKUP($B110,'Capital Cost and RCV'!$B$6:$B$39,'Capital Cost and RCV'!$C$6:$C$39),0)</f>
        <v>0</v>
      </c>
      <c r="D110" s="99">
        <f>C110*(1+0.07)^-($B110-Assumptions!$D$4)</f>
        <v>0</v>
      </c>
      <c r="E110"/>
      <c r="F110"/>
    </row>
    <row r="111" spans="2:15" hidden="1" outlineLevel="1" x14ac:dyDescent="0.25">
      <c r="B111" s="90">
        <f t="shared" si="3"/>
        <v>2061</v>
      </c>
      <c r="C111" s="99">
        <f>IFERROR(_xlfn.XLOOKUP($B111,'Capital Cost and RCV'!$B$6:$B$39,'Capital Cost and RCV'!$C$6:$C$39),0)</f>
        <v>0</v>
      </c>
      <c r="D111" s="99">
        <f>C111*(1+0.07)^-($B111-Assumptions!$D$4)</f>
        <v>0</v>
      </c>
      <c r="E111"/>
      <c r="F111"/>
    </row>
    <row r="112" spans="2:15" ht="15.75" hidden="1" outlineLevel="1" thickBot="1" x14ac:dyDescent="0.3">
      <c r="B112" s="91">
        <f t="shared" si="3"/>
        <v>2062</v>
      </c>
      <c r="C112" s="100">
        <f>IFERROR(_xlfn.XLOOKUP($B112,'Capital Cost and RCV'!$B$6:$B$39,'Capital Cost and RCV'!$C$6:$C$39),0)</f>
        <v>0</v>
      </c>
      <c r="D112" s="100">
        <f>C112*(1+0.07)^-($B112-Assumptions!$D$4)</f>
        <v>0</v>
      </c>
      <c r="E112"/>
      <c r="F112"/>
    </row>
    <row r="113" spans="2:8" ht="15.75" collapsed="1" thickBot="1" x14ac:dyDescent="0.3">
      <c r="B113" s="276" t="s">
        <v>83</v>
      </c>
      <c r="C113" s="303">
        <f>SUM(C72:C112)</f>
        <v>124069198.10404116</v>
      </c>
      <c r="D113" s="278">
        <f>SUM(D72:D112)</f>
        <v>81034161.342576504</v>
      </c>
      <c r="E113"/>
      <c r="F113"/>
    </row>
    <row r="114" spans="2:8" x14ac:dyDescent="0.25">
      <c r="B114" s="307"/>
      <c r="C114" s="308"/>
      <c r="D114" s="308"/>
      <c r="H114" s="97"/>
    </row>
    <row r="115" spans="2:8" ht="16.5" thickBot="1" x14ac:dyDescent="0.3">
      <c r="B115" s="168" t="s">
        <v>14</v>
      </c>
      <c r="C115" s="168"/>
      <c r="H115" s="97"/>
    </row>
    <row r="116" spans="2:8" ht="15.75" thickBot="1" x14ac:dyDescent="0.3">
      <c r="B116" s="20"/>
      <c r="C116" s="23">
        <v>7.0000000000000007E-2</v>
      </c>
      <c r="E116"/>
      <c r="F116"/>
      <c r="H116" s="97"/>
    </row>
    <row r="117" spans="2:8" x14ac:dyDescent="0.25">
      <c r="B117" s="21" t="s">
        <v>11</v>
      </c>
      <c r="C117" s="72">
        <f>Q63</f>
        <v>246979146.4814859</v>
      </c>
      <c r="E117"/>
      <c r="F117"/>
      <c r="H117" s="19"/>
    </row>
    <row r="118" spans="2:8" ht="15.75" thickBot="1" x14ac:dyDescent="0.3">
      <c r="B118" s="22" t="s">
        <v>12</v>
      </c>
      <c r="C118" s="73">
        <f>D113</f>
        <v>81034161.342576504</v>
      </c>
      <c r="E118"/>
      <c r="F118"/>
    </row>
    <row r="119" spans="2:8" ht="15.75" thickTop="1" x14ac:dyDescent="0.25">
      <c r="B119" s="106" t="s">
        <v>13</v>
      </c>
      <c r="C119" s="158">
        <f>C117/C118</f>
        <v>3.047839854075463</v>
      </c>
      <c r="E119" s="294"/>
      <c r="F119" s="294"/>
      <c r="G119" s="294"/>
    </row>
    <row r="120" spans="2:8" ht="15.75" thickBot="1" x14ac:dyDescent="0.3">
      <c r="B120" s="107" t="s">
        <v>44</v>
      </c>
      <c r="C120" s="108">
        <f>C117-C118</f>
        <v>165944985.1389094</v>
      </c>
      <c r="E120" s="295"/>
      <c r="F120" s="295"/>
      <c r="G120" s="295"/>
    </row>
  </sheetData>
  <mergeCells count="23">
    <mergeCell ref="C4:G4"/>
    <mergeCell ref="L5:L6"/>
    <mergeCell ref="F5:F6"/>
    <mergeCell ref="K4:M4"/>
    <mergeCell ref="P5:P6"/>
    <mergeCell ref="N4:O4"/>
    <mergeCell ref="N5:N6"/>
    <mergeCell ref="O5:O6"/>
    <mergeCell ref="H4:J4"/>
    <mergeCell ref="H5:H6"/>
    <mergeCell ref="Q5:Q6"/>
    <mergeCell ref="B70:B71"/>
    <mergeCell ref="C70:C71"/>
    <mergeCell ref="D70:D71"/>
    <mergeCell ref="K5:K6"/>
    <mergeCell ref="J5:J6"/>
    <mergeCell ref="B5:B6"/>
    <mergeCell ref="D5:D6"/>
    <mergeCell ref="I5:I6"/>
    <mergeCell ref="C5:C6"/>
    <mergeCell ref="G5:G6"/>
    <mergeCell ref="E5:E6"/>
    <mergeCell ref="M5:M6"/>
  </mergeCells>
  <pageMargins left="0.25" right="0.25" top="0.75" bottom="0.75" header="0.3" footer="0.3"/>
  <pageSetup paperSize="3"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04133-DA3A-469C-8E95-79E4B9C21098}">
  <sheetPr>
    <tabColor theme="6" tint="0.79998168889431442"/>
    <pageSetUpPr fitToPage="1"/>
  </sheetPr>
  <dimension ref="A1:AS115"/>
  <sheetViews>
    <sheetView zoomScale="70" zoomScaleNormal="70" zoomScaleSheetLayoutView="70" zoomScalePageLayoutView="55" workbookViewId="0">
      <selection activeCell="F16" sqref="F16"/>
    </sheetView>
  </sheetViews>
  <sheetFormatPr defaultRowHeight="15" x14ac:dyDescent="0.25"/>
  <cols>
    <col min="1" max="1" width="3.7109375" style="181" customWidth="1"/>
    <col min="2" max="8" width="20.7109375" style="181" customWidth="1"/>
    <col min="9" max="9" width="14.85546875" style="181" bestFit="1" customWidth="1"/>
    <col min="10" max="10" width="3" style="181" customWidth="1"/>
    <col min="11" max="11" width="39.140625" style="181" customWidth="1"/>
    <col min="12" max="12" width="29.28515625" style="181" bestFit="1" customWidth="1"/>
    <col min="13" max="13" width="39.140625" style="181" customWidth="1"/>
    <col min="14" max="14" width="29.28515625" style="181" bestFit="1" customWidth="1"/>
    <col min="15" max="15" width="29.28515625" style="242" bestFit="1" customWidth="1"/>
    <col min="16" max="17" width="15.7109375" style="242" customWidth="1"/>
    <col min="18" max="24" width="30.7109375" style="242" customWidth="1"/>
    <col min="25" max="25" width="30.7109375" style="346" customWidth="1"/>
    <col min="26" max="39" width="30.7109375" style="242" customWidth="1"/>
    <col min="40" max="45" width="9.140625" style="242"/>
    <col min="46" max="16384" width="9.140625" style="181"/>
  </cols>
  <sheetData>
    <row r="1" spans="2:43" ht="14.25" customHeight="1" x14ac:dyDescent="0.25">
      <c r="B1" s="419">
        <v>1</v>
      </c>
      <c r="C1" s="419">
        <v>2</v>
      </c>
      <c r="D1" s="419">
        <v>3</v>
      </c>
      <c r="E1" s="419">
        <v>4</v>
      </c>
      <c r="F1" s="419">
        <v>5</v>
      </c>
      <c r="G1" s="419">
        <v>6</v>
      </c>
      <c r="H1" s="419">
        <v>7</v>
      </c>
    </row>
    <row r="2" spans="2:43" x14ac:dyDescent="0.25">
      <c r="B2" s="9" t="s">
        <v>107</v>
      </c>
      <c r="C2" s="9"/>
      <c r="D2" s="9"/>
    </row>
    <row r="3" spans="2:43" ht="15.75" thickBot="1" x14ac:dyDescent="0.3">
      <c r="K3" s="66"/>
    </row>
    <row r="4" spans="2:43" ht="35.1" customHeight="1" x14ac:dyDescent="0.25">
      <c r="B4" s="488" t="s">
        <v>0</v>
      </c>
      <c r="C4" s="488" t="s">
        <v>135</v>
      </c>
      <c r="D4" s="490" t="s">
        <v>136</v>
      </c>
      <c r="E4" s="488" t="s">
        <v>108</v>
      </c>
      <c r="F4" s="488" t="s">
        <v>109</v>
      </c>
      <c r="G4" s="493" t="s">
        <v>35</v>
      </c>
      <c r="H4" s="485" t="s">
        <v>1</v>
      </c>
      <c r="K4" s="66"/>
      <c r="R4" s="160"/>
      <c r="AA4" s="160"/>
    </row>
    <row r="5" spans="2:43" ht="43.5" customHeight="1" thickBot="1" x14ac:dyDescent="0.6">
      <c r="B5" s="489"/>
      <c r="C5" s="489"/>
      <c r="D5" s="491"/>
      <c r="E5" s="489"/>
      <c r="F5" s="489"/>
      <c r="G5" s="494"/>
      <c r="H5" s="486"/>
      <c r="K5" s="487" t="s">
        <v>131</v>
      </c>
      <c r="L5" s="487"/>
      <c r="M5" s="206"/>
      <c r="R5" s="222"/>
      <c r="S5" s="222"/>
      <c r="T5" s="222"/>
      <c r="U5" s="222"/>
      <c r="V5" s="222"/>
      <c r="W5" s="222"/>
      <c r="X5" s="222"/>
      <c r="Y5" s="222"/>
      <c r="Z5" s="222"/>
      <c r="AA5" s="222"/>
      <c r="AB5" s="222"/>
      <c r="AC5" s="222"/>
      <c r="AD5" s="222"/>
      <c r="AE5" s="222"/>
      <c r="AF5" s="279"/>
      <c r="AG5" s="279"/>
      <c r="AH5" s="279"/>
      <c r="AI5" s="279"/>
      <c r="AJ5" s="279"/>
      <c r="AK5" s="279"/>
      <c r="AL5" s="279"/>
      <c r="AM5" s="279"/>
      <c r="AN5" s="279"/>
      <c r="AO5" s="279"/>
      <c r="AP5" s="279"/>
      <c r="AQ5" s="279"/>
    </row>
    <row r="6" spans="2:43" x14ac:dyDescent="0.25">
      <c r="B6" s="1">
        <f>Assumptions!$D$8</f>
        <v>2028</v>
      </c>
      <c r="C6" s="207">
        <f>IF(B6&lt;=Assumptions!$D$9,IF(B6&gt;=Assumptions!$D$29,TREND($L$27:$L$28,$K$27:$K$28,B6),0),0)</f>
        <v>0</v>
      </c>
      <c r="D6" s="207">
        <f>IF(B6&lt;=Assumptions!$D$9,IF(B6&gt;=Assumptions!$D$29,TREND($N$27:$N$28,$M$27:$M$28,B6),0),0)</f>
        <v>0</v>
      </c>
      <c r="E6" s="208">
        <f>C6*$L$6</f>
        <v>0</v>
      </c>
      <c r="F6" s="208">
        <f>D6*($L$6*$L$12)</f>
        <v>0</v>
      </c>
      <c r="G6" s="209">
        <f>(E6-F6)</f>
        <v>0</v>
      </c>
      <c r="H6" s="208">
        <f>G6*(1+0.07)^-(B6-Assumptions!$D$4)</f>
        <v>0</v>
      </c>
      <c r="K6" s="149" t="s">
        <v>110</v>
      </c>
      <c r="L6" s="104">
        <f>Assumptions!$D$21</f>
        <v>32</v>
      </c>
      <c r="M6" s="181" t="s">
        <v>111</v>
      </c>
      <c r="R6" s="9" t="s">
        <v>212</v>
      </c>
      <c r="AA6" s="9" t="s">
        <v>212</v>
      </c>
    </row>
    <row r="7" spans="2:43" x14ac:dyDescent="0.25">
      <c r="B7" s="2">
        <f>B6+1</f>
        <v>2029</v>
      </c>
      <c r="C7" s="207">
        <f>IF(B7&lt;=Assumptions!$D$9,IF(B7&gt;=Assumptions!$D$29,TREND($L$27:$L$28,$K$27:$K$28,B7),0),0)</f>
        <v>0</v>
      </c>
      <c r="D7" s="207">
        <f>IF(B7&lt;=Assumptions!$D$9,IF(B7&gt;=Assumptions!$D$29,TREND($N$27:$N$28,$M$27:$M$28,B7),0),0)</f>
        <v>0</v>
      </c>
      <c r="E7" s="210">
        <f t="shared" ref="E7:E24" si="0">C7*$L$6</f>
        <v>0</v>
      </c>
      <c r="F7" s="210">
        <f t="shared" ref="F7:F35" si="1">D7*($L$6*$L$12)</f>
        <v>0</v>
      </c>
      <c r="G7" s="211">
        <f t="shared" ref="G7:G34" si="2">(E7-F7)</f>
        <v>0</v>
      </c>
      <c r="H7" s="210">
        <f>G7*(1+0.07)^-(B7-Assumptions!$D$4)</f>
        <v>0</v>
      </c>
      <c r="M7" s="12"/>
    </row>
    <row r="8" spans="2:43" x14ac:dyDescent="0.25">
      <c r="B8" s="2">
        <f t="shared" ref="B8:B35" si="3">B7+1</f>
        <v>2030</v>
      </c>
      <c r="C8" s="207">
        <f>IF(B8&lt;=Assumptions!$D$9,IF(B8&gt;=Assumptions!$D$29,TREND($L$27:$L$28,$K$27:$K$28,B8),0),0)</f>
        <v>0</v>
      </c>
      <c r="D8" s="207">
        <f>IF(B8&lt;=Assumptions!$D$9,IF(B8&gt;=Assumptions!$D$29,TREND($N$27:$N$28,$M$27:$M$28,B8),0),0)</f>
        <v>0</v>
      </c>
      <c r="E8" s="210">
        <f t="shared" si="0"/>
        <v>0</v>
      </c>
      <c r="F8" s="210">
        <f t="shared" si="1"/>
        <v>0</v>
      </c>
      <c r="G8" s="211">
        <f t="shared" si="2"/>
        <v>0</v>
      </c>
      <c r="H8" s="210">
        <f>G8*(1+0.07)^-(B8-Assumptions!$D$4)</f>
        <v>0</v>
      </c>
      <c r="J8" s="67"/>
      <c r="K8" s="77" t="s">
        <v>132</v>
      </c>
      <c r="L8" s="77"/>
      <c r="T8" s="483" t="s">
        <v>210</v>
      </c>
      <c r="U8" s="484"/>
      <c r="AC8" s="346"/>
      <c r="AD8" s="483" t="s">
        <v>210</v>
      </c>
      <c r="AE8" s="484"/>
    </row>
    <row r="9" spans="2:43" ht="15" customHeight="1" x14ac:dyDescent="0.25">
      <c r="B9" s="2">
        <f t="shared" si="3"/>
        <v>2031</v>
      </c>
      <c r="C9" s="207">
        <f>IF(B9&lt;=Assumptions!$D$9,IF(B9&gt;=Assumptions!$D$29,TREND($L$27:$L$28,$K$27:$K$28,B9),0),0)</f>
        <v>0</v>
      </c>
      <c r="D9" s="207">
        <f>IF(B9&lt;=Assumptions!$D$9,IF(B9&gt;=Assumptions!$D$29,TREND($N$27:$N$28,$M$27:$M$28,B9),0),0)</f>
        <v>0</v>
      </c>
      <c r="E9" s="210">
        <f t="shared" si="0"/>
        <v>0</v>
      </c>
      <c r="F9" s="210">
        <f t="shared" si="1"/>
        <v>0</v>
      </c>
      <c r="G9" s="211">
        <f t="shared" si="2"/>
        <v>0</v>
      </c>
      <c r="H9" s="210">
        <f>G9*(1+0.07)^-(B9-Assumptions!$D$4)</f>
        <v>0</v>
      </c>
      <c r="K9" s="149" t="s">
        <v>112</v>
      </c>
      <c r="L9" s="212">
        <f>Assumptions!$D$14</f>
        <v>0.25</v>
      </c>
      <c r="T9" s="327" t="s">
        <v>215</v>
      </c>
      <c r="U9" s="327" t="s">
        <v>213</v>
      </c>
      <c r="AC9" s="346"/>
      <c r="AD9" s="345" t="s">
        <v>216</v>
      </c>
      <c r="AE9" s="345" t="s">
        <v>214</v>
      </c>
    </row>
    <row r="10" spans="2:43" x14ac:dyDescent="0.25">
      <c r="B10" s="2">
        <f t="shared" si="3"/>
        <v>2032</v>
      </c>
      <c r="C10" s="207">
        <f>IF(B10&lt;=Assumptions!$D$9,IF(B10&gt;=Assumptions!$D$29,TREND($L$27:$L$28,$K$27:$K$28,B10),0),0)</f>
        <v>0</v>
      </c>
      <c r="D10" s="207">
        <f>IF(B10&lt;=Assumptions!$D$9,IF(B10&gt;=Assumptions!$D$29,TREND($N$27:$N$28,$M$27:$M$28,B10),0),0)</f>
        <v>0</v>
      </c>
      <c r="E10" s="210">
        <f t="shared" si="0"/>
        <v>0</v>
      </c>
      <c r="F10" s="210">
        <f t="shared" si="1"/>
        <v>0</v>
      </c>
      <c r="G10" s="211">
        <f t="shared" si="2"/>
        <v>0</v>
      </c>
      <c r="H10" s="210">
        <f>G10*(1+0.07)^-(B10-Assumptions!$D$4)</f>
        <v>0</v>
      </c>
      <c r="M10" s="66"/>
      <c r="S10" s="327" t="s">
        <v>115</v>
      </c>
      <c r="T10" s="327">
        <v>9.9</v>
      </c>
      <c r="U10" s="327">
        <v>9.3000000000000007</v>
      </c>
      <c r="AC10" s="345" t="s">
        <v>115</v>
      </c>
      <c r="AD10" s="345">
        <v>10.199999999999999</v>
      </c>
      <c r="AE10" s="345">
        <v>9.3000000000000007</v>
      </c>
    </row>
    <row r="11" spans="2:43" x14ac:dyDescent="0.25">
      <c r="B11" s="2">
        <f t="shared" si="3"/>
        <v>2033</v>
      </c>
      <c r="C11" s="207">
        <f>IF(B11&lt;=Assumptions!$D$9,IF(B11&gt;=Assumptions!$D$29,TREND($L$27:$L$28,$K$27:$K$28,B11),0),0)</f>
        <v>0</v>
      </c>
      <c r="D11" s="207">
        <f>IF(B11&lt;=Assumptions!$D$9,IF(B11&gt;=Assumptions!$D$29,TREND($N$27:$N$28,$M$27:$M$28,B11),0),0)</f>
        <v>0</v>
      </c>
      <c r="E11" s="210">
        <f t="shared" si="0"/>
        <v>0</v>
      </c>
      <c r="F11" s="210">
        <f t="shared" si="1"/>
        <v>0</v>
      </c>
      <c r="G11" s="211">
        <f t="shared" si="2"/>
        <v>0</v>
      </c>
      <c r="H11" s="210">
        <f>G11*(1+0.07)^-(B11-Assumptions!$D$4)</f>
        <v>0</v>
      </c>
      <c r="K11" s="77" t="s">
        <v>133</v>
      </c>
      <c r="L11" s="77"/>
      <c r="S11" s="327" t="s">
        <v>116</v>
      </c>
      <c r="T11" s="327">
        <v>14</v>
      </c>
      <c r="U11" s="327">
        <v>9</v>
      </c>
      <c r="AC11" s="345" t="s">
        <v>116</v>
      </c>
      <c r="AD11" s="345">
        <v>14</v>
      </c>
      <c r="AE11" s="345">
        <v>9</v>
      </c>
    </row>
    <row r="12" spans="2:43" x14ac:dyDescent="0.25">
      <c r="B12" s="2">
        <f t="shared" si="3"/>
        <v>2034</v>
      </c>
      <c r="C12" s="207">
        <f>IF(B12&lt;=Assumptions!$D$9,IF(B12&gt;=Assumptions!$D$29,TREND($L$27:$L$28,$K$27:$K$28,B12),0),0)</f>
        <v>0</v>
      </c>
      <c r="D12" s="207">
        <f>IF(B12&lt;=Assumptions!$D$9,IF(B12&gt;=Assumptions!$D$29,TREND($N$27:$N$28,$M$27:$M$28,B12),0),0)</f>
        <v>0</v>
      </c>
      <c r="E12" s="210">
        <f t="shared" si="0"/>
        <v>0</v>
      </c>
      <c r="F12" s="210">
        <f t="shared" si="1"/>
        <v>0</v>
      </c>
      <c r="G12" s="211">
        <f t="shared" si="2"/>
        <v>0</v>
      </c>
      <c r="H12" s="210">
        <f>G12*(1+0.07)^-(B12-Assumptions!$D$4)</f>
        <v>0</v>
      </c>
      <c r="K12" s="149" t="s">
        <v>34</v>
      </c>
      <c r="L12" s="103">
        <f>Assumptions!$D$16</f>
        <v>1</v>
      </c>
      <c r="M12" s="181" t="s">
        <v>111</v>
      </c>
      <c r="S12" s="327" t="s">
        <v>211</v>
      </c>
      <c r="T12" s="310" t="s">
        <v>226</v>
      </c>
      <c r="U12" s="310" t="s">
        <v>227</v>
      </c>
      <c r="AC12" s="345" t="s">
        <v>211</v>
      </c>
      <c r="AD12" s="310" t="s">
        <v>229</v>
      </c>
      <c r="AE12" s="310" t="s">
        <v>228</v>
      </c>
    </row>
    <row r="13" spans="2:43" ht="15" customHeight="1" x14ac:dyDescent="0.25">
      <c r="B13" s="2">
        <f t="shared" si="3"/>
        <v>2035</v>
      </c>
      <c r="C13" s="207">
        <f>IF(B13&lt;=Assumptions!$D$9,IF(B13&gt;=Assumptions!$D$29,TREND($L$27:$L$28,$K$27:$K$28,B13),0),0)</f>
        <v>0</v>
      </c>
      <c r="D13" s="207">
        <f>IF(B13&lt;=Assumptions!$D$9,IF(B13&gt;=Assumptions!$D$29,TREND($N$27:$N$28,$M$27:$M$28,B13),0),0)</f>
        <v>0</v>
      </c>
      <c r="E13" s="210">
        <f t="shared" si="0"/>
        <v>0</v>
      </c>
      <c r="F13" s="210">
        <f t="shared" si="1"/>
        <v>0</v>
      </c>
      <c r="G13" s="211">
        <f t="shared" si="2"/>
        <v>0</v>
      </c>
      <c r="H13" s="210">
        <f>G13*(1+0.07)^-(B13-Assumptions!$D$4)</f>
        <v>0</v>
      </c>
    </row>
    <row r="14" spans="2:43" x14ac:dyDescent="0.25">
      <c r="B14" s="2">
        <f t="shared" si="3"/>
        <v>2036</v>
      </c>
      <c r="C14" s="207">
        <f>IF(B14&lt;=Assumptions!$D$9,IF(B14&gt;=Assumptions!$D$29,TREND($L$27:$L$28,$K$27:$K$28,B14),0),0)</f>
        <v>0</v>
      </c>
      <c r="D14" s="207">
        <f>IF(B14&lt;=Assumptions!$D$9,IF(B14&gt;=Assumptions!$D$29,TREND($N$27:$N$28,$M$27:$M$28,B14),0),0)</f>
        <v>0</v>
      </c>
      <c r="E14" s="210">
        <f t="shared" si="0"/>
        <v>0</v>
      </c>
      <c r="F14" s="210">
        <f t="shared" si="1"/>
        <v>0</v>
      </c>
      <c r="G14" s="211">
        <f t="shared" si="2"/>
        <v>0</v>
      </c>
      <c r="H14" s="210">
        <f>G14*(1+0.07)^-(B14-Assumptions!$D$4)</f>
        <v>0</v>
      </c>
      <c r="K14" s="77" t="s">
        <v>217</v>
      </c>
      <c r="L14" s="319"/>
      <c r="R14" s="348" t="s">
        <v>232</v>
      </c>
      <c r="S14" s="222"/>
      <c r="T14" s="222"/>
      <c r="U14" s="222"/>
      <c r="V14" s="222"/>
      <c r="W14" s="222"/>
      <c r="X14" s="222"/>
      <c r="Y14" s="222"/>
      <c r="Z14" s="222"/>
      <c r="AA14" s="348" t="s">
        <v>233</v>
      </c>
      <c r="AB14" s="222"/>
      <c r="AC14" s="222"/>
      <c r="AD14" s="222"/>
      <c r="AE14" s="222"/>
    </row>
    <row r="15" spans="2:43" x14ac:dyDescent="0.25">
      <c r="B15" s="2">
        <f t="shared" si="3"/>
        <v>2037</v>
      </c>
      <c r="C15" s="207">
        <f>IF(B15&lt;=Assumptions!$D$9,IF(B15&gt;=Assumptions!$D$29,TREND($L$27:$L$28,$K$27:$K$28,B15),0),0)</f>
        <v>0</v>
      </c>
      <c r="D15" s="207">
        <f>IF(B15&lt;=Assumptions!$D$9,IF(B15&gt;=Assumptions!$D$29,TREND($N$27:$N$28,$M$27:$M$28,B15),0),0)</f>
        <v>0</v>
      </c>
      <c r="E15" s="210">
        <f t="shared" si="0"/>
        <v>0</v>
      </c>
      <c r="F15" s="210">
        <f t="shared" si="1"/>
        <v>0</v>
      </c>
      <c r="G15" s="211">
        <f t="shared" si="2"/>
        <v>0</v>
      </c>
      <c r="H15" s="210">
        <f>G15*(1+0.07)^-(B15-Assumptions!$D$4)</f>
        <v>0</v>
      </c>
      <c r="I15" s="135"/>
      <c r="K15" s="201" t="s">
        <v>43</v>
      </c>
      <c r="L15" s="335" t="s">
        <v>103</v>
      </c>
      <c r="M15" s="346"/>
      <c r="N15" s="346"/>
      <c r="O15" s="346"/>
      <c r="R15" s="222"/>
      <c r="S15" s="222"/>
      <c r="T15" s="222"/>
      <c r="U15" s="222"/>
      <c r="V15" s="222"/>
      <c r="W15" s="222"/>
      <c r="X15" s="222"/>
      <c r="Y15" s="222"/>
      <c r="Z15" s="222"/>
      <c r="AA15" s="222"/>
      <c r="AB15" s="222"/>
      <c r="AC15" s="222"/>
      <c r="AD15" s="222"/>
      <c r="AE15" s="222"/>
    </row>
    <row r="16" spans="2:43" x14ac:dyDescent="0.25">
      <c r="B16" s="2">
        <f t="shared" si="3"/>
        <v>2038</v>
      </c>
      <c r="C16" s="207">
        <f>IF(B16&lt;=Assumptions!$D$9,IF(B16&gt;=Assumptions!$D$29,TREND($L$27:$L$28,$K$27:$K$28,B16),0),0)</f>
        <v>0</v>
      </c>
      <c r="D16" s="207">
        <f>IF(B16&lt;=Assumptions!$D$9,IF(B16&gt;=Assumptions!$D$29,TREND($N$27:$N$28,$M$27:$M$28,B16),0),0)</f>
        <v>0</v>
      </c>
      <c r="E16" s="210">
        <f t="shared" si="0"/>
        <v>0</v>
      </c>
      <c r="F16" s="210">
        <f t="shared" si="1"/>
        <v>0</v>
      </c>
      <c r="G16" s="211">
        <f t="shared" si="2"/>
        <v>0</v>
      </c>
      <c r="H16" s="210">
        <f>G16*(1+0.07)^-(B16-Assumptions!$D$4)</f>
        <v>0</v>
      </c>
      <c r="I16" s="135"/>
      <c r="K16" s="201">
        <v>2022</v>
      </c>
      <c r="L16" s="150">
        <f>Assumptions!$D$30</f>
        <v>37825</v>
      </c>
      <c r="M16" s="346"/>
      <c r="N16" s="346"/>
      <c r="O16" s="346"/>
      <c r="R16" s="222"/>
      <c r="S16" s="222"/>
      <c r="T16" s="222"/>
      <c r="U16" s="222"/>
      <c r="V16" s="222"/>
      <c r="W16" s="222"/>
      <c r="X16" s="222"/>
      <c r="Y16" s="222"/>
      <c r="Z16" s="222"/>
      <c r="AA16" s="222"/>
      <c r="AB16" s="222"/>
      <c r="AC16" s="222"/>
      <c r="AD16" s="222"/>
      <c r="AE16" s="222"/>
    </row>
    <row r="17" spans="1:31" x14ac:dyDescent="0.25">
      <c r="B17" s="2">
        <f t="shared" si="3"/>
        <v>2039</v>
      </c>
      <c r="C17" s="207">
        <f>IF(B17&lt;=Assumptions!$D$9,IF(B17&gt;=Assumptions!$D$29,TREND($L$27:$L$28,$K$27:$K$28,B17),0),0)</f>
        <v>0</v>
      </c>
      <c r="D17" s="207">
        <f>IF(B17&lt;=Assumptions!$D$9,IF(B17&gt;=Assumptions!$D$29,TREND($N$27:$N$28,$M$27:$M$28,B17),0),0)</f>
        <v>0</v>
      </c>
      <c r="E17" s="210">
        <f t="shared" si="0"/>
        <v>0</v>
      </c>
      <c r="F17" s="210">
        <f t="shared" si="1"/>
        <v>0</v>
      </c>
      <c r="G17" s="211">
        <f t="shared" si="2"/>
        <v>0</v>
      </c>
      <c r="H17" s="210">
        <f>G17*(1+0.07)^-(B17-Assumptions!$D$4)</f>
        <v>0</v>
      </c>
      <c r="I17" s="135"/>
      <c r="K17" s="201">
        <v>2042</v>
      </c>
      <c r="L17" s="150">
        <f>Assumptions!$D$31</f>
        <v>49525</v>
      </c>
      <c r="M17" s="346"/>
      <c r="N17" s="346"/>
      <c r="O17" s="346"/>
      <c r="R17" s="222"/>
      <c r="S17" s="222"/>
      <c r="T17" s="222"/>
      <c r="U17" s="222"/>
      <c r="V17" s="222"/>
      <c r="W17" s="222"/>
      <c r="X17" s="222"/>
      <c r="Y17" s="222"/>
      <c r="Z17" s="222"/>
      <c r="AA17" s="222"/>
      <c r="AB17" s="222"/>
      <c r="AC17" s="222"/>
      <c r="AD17" s="222"/>
      <c r="AE17" s="222"/>
    </row>
    <row r="18" spans="1:31" x14ac:dyDescent="0.25">
      <c r="B18" s="2">
        <f t="shared" si="3"/>
        <v>2040</v>
      </c>
      <c r="C18" s="207">
        <f>IF(B18&lt;=Assumptions!$D$9,IF(B18&gt;=Assumptions!$D$29,TREND($L$27:$L$28,$K$27:$K$28,B18),0),0)</f>
        <v>0</v>
      </c>
      <c r="D18" s="207">
        <f>IF(B18&lt;=Assumptions!$D$9,IF(B18&gt;=Assumptions!$D$29,TREND($N$27:$N$28,$M$27:$M$28,B18),0),0)</f>
        <v>0</v>
      </c>
      <c r="E18" s="210">
        <f t="shared" si="0"/>
        <v>0</v>
      </c>
      <c r="F18" s="210">
        <f t="shared" si="1"/>
        <v>0</v>
      </c>
      <c r="G18" s="211">
        <f t="shared" si="2"/>
        <v>0</v>
      </c>
      <c r="H18" s="210">
        <f>G18*(1+0.07)^-(B18-Assumptions!$D$4)</f>
        <v>0</v>
      </c>
      <c r="I18" s="135"/>
      <c r="R18" s="222"/>
      <c r="S18" s="222"/>
      <c r="T18" s="222"/>
      <c r="U18" s="222"/>
      <c r="V18" s="222"/>
      <c r="W18" s="222"/>
      <c r="X18" s="222"/>
      <c r="Y18" s="222"/>
      <c r="Z18" s="222"/>
      <c r="AA18" s="222"/>
      <c r="AB18" s="222"/>
      <c r="AC18" s="222"/>
      <c r="AD18" s="222"/>
      <c r="AE18" s="222"/>
    </row>
    <row r="19" spans="1:31" x14ac:dyDescent="0.25">
      <c r="B19" s="2">
        <f t="shared" si="3"/>
        <v>2041</v>
      </c>
      <c r="C19" s="207">
        <f>IF(B19&lt;=Assumptions!$D$9,IF(B19&gt;=Assumptions!$D$29,TREND($L$27:$L$28,$K$27:$K$28,B19),0),0)</f>
        <v>0</v>
      </c>
      <c r="D19" s="207">
        <f>IF(B19&lt;=Assumptions!$D$9,IF(B19&gt;=Assumptions!$D$29,TREND($N$27:$N$28,$M$27:$M$28,B19),0),0)</f>
        <v>0</v>
      </c>
      <c r="E19" s="210">
        <f t="shared" si="0"/>
        <v>0</v>
      </c>
      <c r="F19" s="210">
        <f t="shared" si="1"/>
        <v>0</v>
      </c>
      <c r="G19" s="211">
        <f t="shared" si="2"/>
        <v>0</v>
      </c>
      <c r="H19" s="210">
        <f>G19*(1+0.07)^-(B19-Assumptions!$D$4)</f>
        <v>0</v>
      </c>
      <c r="I19" s="135"/>
      <c r="K19" s="245" t="s">
        <v>190</v>
      </c>
      <c r="R19" s="222"/>
      <c r="S19" s="222"/>
      <c r="T19" s="222"/>
      <c r="U19" s="222"/>
      <c r="V19" s="222"/>
      <c r="W19" s="222"/>
      <c r="X19" s="222"/>
      <c r="Y19" s="222"/>
      <c r="Z19" s="222"/>
      <c r="AA19" s="222"/>
      <c r="AB19" s="222"/>
      <c r="AC19" s="222"/>
      <c r="AD19" s="222"/>
      <c r="AE19" s="222"/>
    </row>
    <row r="20" spans="1:31" ht="14.25" customHeight="1" x14ac:dyDescent="0.25">
      <c r="B20" s="2">
        <f t="shared" si="3"/>
        <v>2042</v>
      </c>
      <c r="C20" s="207">
        <f>IF(B20&lt;=Assumptions!$D$9,IF(B20&gt;=Assumptions!$D$29,TREND($L$27:$L$28,$K$27:$K$28,B20),0),0)</f>
        <v>0</v>
      </c>
      <c r="D20" s="207">
        <f>IF(B20&lt;=Assumptions!$D$9,IF(B20&gt;=Assumptions!$D$29,TREND($N$27:$N$28,$M$27:$M$28,B20),0),0)</f>
        <v>0</v>
      </c>
      <c r="E20" s="210">
        <f t="shared" si="0"/>
        <v>0</v>
      </c>
      <c r="F20" s="210">
        <f t="shared" si="1"/>
        <v>0</v>
      </c>
      <c r="G20" s="211">
        <f t="shared" si="2"/>
        <v>0</v>
      </c>
      <c r="H20" s="210">
        <f>G20*(1+0.07)^-(B20-Assumptions!$D$4)</f>
        <v>0</v>
      </c>
      <c r="I20" s="135"/>
      <c r="K20" s="483" t="s">
        <v>113</v>
      </c>
      <c r="L20" s="484"/>
      <c r="M20" s="483" t="s">
        <v>114</v>
      </c>
      <c r="N20" s="484"/>
      <c r="R20" s="222"/>
      <c r="S20" s="222"/>
      <c r="T20" s="222"/>
      <c r="U20" s="222"/>
      <c r="V20" s="222"/>
      <c r="W20" s="222"/>
      <c r="X20" s="222"/>
      <c r="Y20" s="222"/>
      <c r="Z20" s="222"/>
      <c r="AA20" s="222"/>
      <c r="AB20" s="222"/>
      <c r="AC20" s="222"/>
      <c r="AD20" s="222"/>
      <c r="AE20" s="222"/>
    </row>
    <row r="21" spans="1:31" ht="15" customHeight="1" x14ac:dyDescent="0.25">
      <c r="B21" s="2">
        <f t="shared" si="3"/>
        <v>2043</v>
      </c>
      <c r="C21" s="207">
        <f>IF(B21&lt;=Assumptions!$D$9,IF(B21&gt;=Assumptions!$D$29,TREND($L$27:$L$28,$K$27:$K$28,B21),0),0)</f>
        <v>0</v>
      </c>
      <c r="D21" s="207">
        <f>IF(B21&lt;=Assumptions!$D$9,IF(B21&gt;=Assumptions!$D$29,TREND($N$27:$N$28,$M$27:$M$28,B21),0),0)</f>
        <v>0</v>
      </c>
      <c r="E21" s="210">
        <f t="shared" si="0"/>
        <v>0</v>
      </c>
      <c r="F21" s="210">
        <f t="shared" si="1"/>
        <v>0</v>
      </c>
      <c r="G21" s="211">
        <f t="shared" si="2"/>
        <v>0</v>
      </c>
      <c r="H21" s="210">
        <f>G21*(1+0.07)^-(B21-Assumptions!$D$4)</f>
        <v>0</v>
      </c>
      <c r="I21" s="135"/>
      <c r="K21" s="201" t="s">
        <v>115</v>
      </c>
      <c r="L21" s="201">
        <f>AVERAGE($T$10,$AD$10)</f>
        <v>10.050000000000001</v>
      </c>
      <c r="M21" s="201" t="s">
        <v>115</v>
      </c>
      <c r="N21" s="201">
        <f>AVERAGE($U$10,$AE$10)</f>
        <v>9.3000000000000007</v>
      </c>
      <c r="P21" s="75"/>
      <c r="R21" s="222"/>
      <c r="S21" s="222"/>
      <c r="T21" s="222"/>
      <c r="U21" s="222"/>
      <c r="V21" s="222"/>
      <c r="W21" s="222"/>
      <c r="X21" s="222"/>
      <c r="Y21" s="222"/>
      <c r="Z21" s="222"/>
      <c r="AA21" s="222"/>
      <c r="AB21" s="222"/>
      <c r="AC21" s="222"/>
      <c r="AD21" s="222"/>
      <c r="AE21" s="222"/>
    </row>
    <row r="22" spans="1:31" x14ac:dyDescent="0.25">
      <c r="B22" s="2">
        <f t="shared" si="3"/>
        <v>2044</v>
      </c>
      <c r="C22" s="207">
        <f>IF(B22&lt;=Assumptions!$D$9,IF(B22&gt;=Assumptions!$D$29,TREND($L$27:$L$28,$K$27:$K$28,B22),0),0)</f>
        <v>0</v>
      </c>
      <c r="D22" s="207">
        <f>IF(B22&lt;=Assumptions!$D$9,IF(B22&gt;=Assumptions!$D$29,TREND($N$27:$N$28,$M$27:$M$28,B22),0),0)</f>
        <v>0</v>
      </c>
      <c r="E22" s="210">
        <f t="shared" si="0"/>
        <v>0</v>
      </c>
      <c r="F22" s="210">
        <f t="shared" si="1"/>
        <v>0</v>
      </c>
      <c r="G22" s="211">
        <f t="shared" si="2"/>
        <v>0</v>
      </c>
      <c r="H22" s="210">
        <f>G22*(1+0.07)^-(B22-Assumptions!$D$4)</f>
        <v>0</v>
      </c>
      <c r="I22" s="135"/>
      <c r="K22" s="201" t="s">
        <v>116</v>
      </c>
      <c r="L22" s="270">
        <f>AVERAGE($T$11,$AD$11)</f>
        <v>14</v>
      </c>
      <c r="M22" s="201" t="s">
        <v>116</v>
      </c>
      <c r="N22" s="270">
        <f>AVERAGE($U$11,$AE$11)</f>
        <v>9</v>
      </c>
      <c r="P22" s="75"/>
      <c r="R22" s="222"/>
      <c r="S22" s="222"/>
      <c r="T22" s="222"/>
      <c r="U22" s="222"/>
      <c r="V22" s="222"/>
      <c r="W22" s="222"/>
      <c r="X22" s="222"/>
      <c r="Y22" s="222"/>
      <c r="Z22" s="222"/>
      <c r="AA22" s="222"/>
      <c r="AB22" s="222"/>
      <c r="AC22" s="222"/>
      <c r="AD22" s="222"/>
      <c r="AE22" s="222"/>
    </row>
    <row r="23" spans="1:31" x14ac:dyDescent="0.25">
      <c r="B23" s="2">
        <f t="shared" si="3"/>
        <v>2045</v>
      </c>
      <c r="C23" s="207">
        <f>IF(B23&lt;=Assumptions!$D$9,IF(B23&gt;=Assumptions!$D$29,TREND($L$27:$L$28,$K$27:$K$28,B23),0),0)</f>
        <v>0</v>
      </c>
      <c r="D23" s="207">
        <f>IF(B23&lt;=Assumptions!$D$9,IF(B23&gt;=Assumptions!$D$29,TREND($N$27:$N$28,$M$27:$M$28,B23),0),0)</f>
        <v>0</v>
      </c>
      <c r="E23" s="210">
        <f t="shared" si="0"/>
        <v>0</v>
      </c>
      <c r="F23" s="210">
        <f t="shared" si="1"/>
        <v>0</v>
      </c>
      <c r="G23" s="211">
        <f t="shared" si="2"/>
        <v>0</v>
      </c>
      <c r="H23" s="210">
        <f>G23*(1+0.07)^-(B23-Assumptions!$D$4)</f>
        <v>0</v>
      </c>
      <c r="I23" s="135"/>
      <c r="S23" s="222"/>
      <c r="T23" s="222"/>
      <c r="U23" s="222"/>
      <c r="V23" s="222"/>
      <c r="W23" s="222"/>
      <c r="X23" s="222"/>
      <c r="Y23" s="222"/>
      <c r="Z23" s="222"/>
      <c r="AA23" s="346"/>
      <c r="AB23" s="222"/>
      <c r="AC23" s="222"/>
      <c r="AD23" s="222"/>
      <c r="AE23" s="222"/>
    </row>
    <row r="24" spans="1:31" x14ac:dyDescent="0.25">
      <c r="B24" s="2">
        <f t="shared" si="3"/>
        <v>2046</v>
      </c>
      <c r="C24" s="207">
        <f>IF(B24&lt;=Assumptions!$D$9,IF(B24&gt;=Assumptions!$D$29,TREND($L$27:$L$28,$K$27:$K$28,B24),0),0)</f>
        <v>1104292.2916666679</v>
      </c>
      <c r="D24" s="207">
        <f>IF(B24&lt;=Assumptions!$D$9,IF(B24&gt;=Assumptions!$D$29,TREND($N$27:$N$28,$M$27:$M$28,B24),0),0)</f>
        <v>709902.1875</v>
      </c>
      <c r="E24" s="210">
        <f t="shared" si="0"/>
        <v>35337353.333333373</v>
      </c>
      <c r="F24" s="210">
        <f t="shared" si="1"/>
        <v>22716870</v>
      </c>
      <c r="G24" s="211">
        <f t="shared" si="2"/>
        <v>12620483.333333373</v>
      </c>
      <c r="H24" s="210">
        <f>G24*(1+0.07)^-(B24-Assumptions!$D$4)</f>
        <v>2173190.3496259879</v>
      </c>
      <c r="I24" s="135"/>
      <c r="K24" s="179" t="s">
        <v>117</v>
      </c>
      <c r="X24" s="222"/>
      <c r="Y24" s="222"/>
      <c r="Z24" s="222"/>
      <c r="AA24" s="346"/>
      <c r="AB24" s="222"/>
      <c r="AC24" s="222"/>
      <c r="AD24" s="222"/>
      <c r="AE24" s="222"/>
    </row>
    <row r="25" spans="1:31" ht="15" customHeight="1" x14ac:dyDescent="0.25">
      <c r="B25" s="2">
        <f t="shared" si="3"/>
        <v>2047</v>
      </c>
      <c r="C25" s="207">
        <f>IF(B25&lt;=Assumptions!$D$9,IF(B25&gt;=Assumptions!$D$29,TREND($L$27:$L$28,$K$27:$K$28,B25),0),0)</f>
        <v>1116747.9166666679</v>
      </c>
      <c r="D25" s="207">
        <f>IF(B25&lt;=Assumptions!$D$9,IF(B25&gt;=Assumptions!$D$29,TREND($N$27:$N$28,$M$27:$M$28,B25),0),0)</f>
        <v>717909.375</v>
      </c>
      <c r="E25" s="210">
        <f t="shared" ref="E25:E34" si="4">C25*$L$6</f>
        <v>35735933.333333373</v>
      </c>
      <c r="F25" s="210">
        <f t="shared" si="1"/>
        <v>22973100</v>
      </c>
      <c r="G25" s="211">
        <f t="shared" si="2"/>
        <v>12762833.333333373</v>
      </c>
      <c r="H25" s="210">
        <f>G25*(1+0.07)^-(B25-Assumptions!$D$4)</f>
        <v>2053927.4561272576</v>
      </c>
      <c r="I25" s="135"/>
      <c r="K25" s="483" t="s">
        <v>113</v>
      </c>
      <c r="L25" s="484"/>
      <c r="M25" s="483" t="s">
        <v>114</v>
      </c>
      <c r="N25" s="484"/>
      <c r="X25" s="222"/>
      <c r="Y25" s="222"/>
      <c r="Z25" s="222"/>
      <c r="AA25" s="346"/>
      <c r="AB25" s="222"/>
      <c r="AC25" s="222"/>
      <c r="AD25" s="222"/>
      <c r="AE25" s="222"/>
    </row>
    <row r="26" spans="1:31" ht="15" customHeight="1" x14ac:dyDescent="0.25">
      <c r="B26" s="2">
        <f t="shared" si="3"/>
        <v>2048</v>
      </c>
      <c r="C26" s="207">
        <f>IF(B26&lt;=Assumptions!$D$9,IF(B26&gt;=Assumptions!$D$29,TREND($L$27:$L$28,$K$27:$K$28,B26),0),0)</f>
        <v>1129203.5416666679</v>
      </c>
      <c r="D26" s="207">
        <f>IF(B26&lt;=Assumptions!$D$9,IF(B26&gt;=Assumptions!$D$29,TREND($N$27:$N$28,$M$27:$M$28,B26),0),0)</f>
        <v>725916.5625</v>
      </c>
      <c r="E26" s="210">
        <f t="shared" si="4"/>
        <v>36134513.333333373</v>
      </c>
      <c r="F26" s="210">
        <f t="shared" si="1"/>
        <v>23229330</v>
      </c>
      <c r="G26" s="211">
        <f t="shared" si="2"/>
        <v>12905183.333333373</v>
      </c>
      <c r="H26" s="210">
        <f>G26*(1+0.07)^-(B26-Assumptions!$D$4)</f>
        <v>1940968.1251518424</v>
      </c>
      <c r="K26" s="240" t="s">
        <v>43</v>
      </c>
      <c r="L26" s="127" t="s">
        <v>118</v>
      </c>
      <c r="M26" s="240" t="s">
        <v>43</v>
      </c>
      <c r="N26" s="127" t="s">
        <v>118</v>
      </c>
      <c r="X26" s="222"/>
      <c r="Y26" s="222"/>
      <c r="Z26" s="222"/>
      <c r="AA26" s="346"/>
      <c r="AB26" s="222"/>
      <c r="AC26" s="222"/>
      <c r="AD26" s="222"/>
      <c r="AE26" s="222"/>
    </row>
    <row r="27" spans="1:31" ht="15" customHeight="1" x14ac:dyDescent="0.25">
      <c r="B27" s="2">
        <f t="shared" si="3"/>
        <v>2049</v>
      </c>
      <c r="C27" s="207">
        <f>IF(B27&lt;=Assumptions!$D$9,IF(B27&gt;=Assumptions!$D$29,TREND($L$27:$L$28,$K$27:$K$28,B27),0),0)</f>
        <v>1141659.1666666679</v>
      </c>
      <c r="D27" s="207">
        <f>IF(B27&lt;=Assumptions!$D$9,IF(B27&gt;=Assumptions!$D$29,TREND($N$27:$N$28,$M$27:$M$28,B27),0),0)</f>
        <v>733923.75</v>
      </c>
      <c r="E27" s="210">
        <f t="shared" si="4"/>
        <v>36533093.333333373</v>
      </c>
      <c r="F27" s="210">
        <f t="shared" si="1"/>
        <v>23485560</v>
      </c>
      <c r="G27" s="211">
        <f t="shared" si="2"/>
        <v>13047533.333333373</v>
      </c>
      <c r="H27" s="210">
        <f>G27*(1+0.07)^-(B27-Assumptions!$D$4)</f>
        <v>1833998.0187769104</v>
      </c>
      <c r="I27" s="12"/>
      <c r="K27" s="293">
        <v>2022</v>
      </c>
      <c r="L27" s="150">
        <f>$L$9*L16*($L$22/60)*365</f>
        <v>805357.29166666674</v>
      </c>
      <c r="M27" s="293">
        <v>2022</v>
      </c>
      <c r="N27" s="150">
        <f>$L$9*L16*($N$22/60)*365</f>
        <v>517729.6875</v>
      </c>
      <c r="X27" s="222"/>
      <c r="Y27" s="222"/>
      <c r="Z27" s="222"/>
      <c r="AA27" s="346"/>
      <c r="AB27" s="222"/>
      <c r="AC27" s="222"/>
      <c r="AD27" s="222"/>
      <c r="AE27" s="222"/>
    </row>
    <row r="28" spans="1:31" x14ac:dyDescent="0.25">
      <c r="A28" s="10"/>
      <c r="B28" s="2">
        <f t="shared" si="3"/>
        <v>2050</v>
      </c>
      <c r="C28" s="207">
        <f>IF(B28&lt;=Assumptions!$D$9,IF(B28&gt;=Assumptions!$D$29,TREND($L$27:$L$28,$K$27:$K$28,B28),0),0)</f>
        <v>1154114.7916666679</v>
      </c>
      <c r="D28" s="207">
        <f>IF(B28&lt;=Assumptions!$D$9,IF(B28&gt;=Assumptions!$D$29,TREND($N$27:$N$28,$M$27:$M$28,B28),0),0)</f>
        <v>741930.9375</v>
      </c>
      <c r="E28" s="210">
        <f t="shared" si="4"/>
        <v>36931673.333333373</v>
      </c>
      <c r="F28" s="210">
        <f t="shared" si="1"/>
        <v>23741790</v>
      </c>
      <c r="G28" s="211">
        <f t="shared" si="2"/>
        <v>13189883.333333373</v>
      </c>
      <c r="H28" s="210">
        <f>G28*(1+0.07)^-(B28-Assumptions!$D$4)</f>
        <v>1732716.9491053768</v>
      </c>
      <c r="K28" s="293">
        <v>2042</v>
      </c>
      <c r="L28" s="150">
        <f>$L$9*L17*($L$22/60)*365</f>
        <v>1054469.7916666667</v>
      </c>
      <c r="M28" s="293">
        <v>2042</v>
      </c>
      <c r="N28" s="150">
        <f>$L$9*L17*($N$22/60)*365</f>
        <v>677873.4375</v>
      </c>
      <c r="X28" s="222"/>
      <c r="Y28" s="222"/>
      <c r="Z28" s="222"/>
      <c r="AA28" s="346"/>
      <c r="AB28" s="222"/>
      <c r="AC28" s="222"/>
      <c r="AD28" s="222"/>
      <c r="AE28" s="222"/>
    </row>
    <row r="29" spans="1:31" ht="15" customHeight="1" x14ac:dyDescent="0.25">
      <c r="A29" s="222"/>
      <c r="B29" s="2">
        <f t="shared" si="3"/>
        <v>2051</v>
      </c>
      <c r="C29" s="207">
        <f>IF(B29&lt;=Assumptions!$D$9,IF(B29&gt;=Assumptions!$D$29,TREND($L$27:$L$28,$K$27:$K$28,B29),0),0)</f>
        <v>1166570.4166666679</v>
      </c>
      <c r="D29" s="207">
        <f>IF(B29&lt;=Assumptions!$D$9,IF(B29&gt;=Assumptions!$D$29,TREND($N$27:$N$28,$M$27:$M$28,B29),0),0)</f>
        <v>749938.125</v>
      </c>
      <c r="E29" s="210">
        <f t="shared" si="4"/>
        <v>37330253.333333373</v>
      </c>
      <c r="F29" s="210">
        <f t="shared" si="1"/>
        <v>23998020</v>
      </c>
      <c r="G29" s="211">
        <f t="shared" si="2"/>
        <v>13332233.333333373</v>
      </c>
      <c r="H29" s="210">
        <f>G29*(1+0.07)^-(B29-Assumptions!$D$4)</f>
        <v>1636838.3721797497</v>
      </c>
      <c r="X29" s="222"/>
      <c r="Y29" s="222"/>
      <c r="Z29" s="222"/>
      <c r="AA29" s="346"/>
      <c r="AB29" s="222"/>
      <c r="AC29" s="222"/>
      <c r="AD29" s="222"/>
      <c r="AE29" s="222"/>
    </row>
    <row r="30" spans="1:31" x14ac:dyDescent="0.25">
      <c r="A30" s="222"/>
      <c r="B30" s="2">
        <f t="shared" si="3"/>
        <v>2052</v>
      </c>
      <c r="C30" s="207">
        <f>IF(B30&lt;=Assumptions!$D$9,IF(B30&gt;=Assumptions!$D$29,TREND($L$27:$L$28,$K$27:$K$28,B30),0),0)</f>
        <v>1179026.0416666679</v>
      </c>
      <c r="D30" s="207">
        <f>IF(B30&lt;=Assumptions!$D$9,IF(B30&gt;=Assumptions!$D$29,TREND($N$27:$N$28,$M$27:$M$28,B30),0),0)</f>
        <v>757945.3125</v>
      </c>
      <c r="E30" s="210">
        <f t="shared" si="4"/>
        <v>37728833.333333373</v>
      </c>
      <c r="F30" s="210">
        <f t="shared" si="1"/>
        <v>24254250</v>
      </c>
      <c r="G30" s="211">
        <f t="shared" si="2"/>
        <v>13474583.333333373</v>
      </c>
      <c r="H30" s="210">
        <f>G30*(1+0.07)^-(B30-Assumptions!$D$4)</f>
        <v>1546088.8875528765</v>
      </c>
      <c r="N30" s="217"/>
      <c r="X30" s="222"/>
      <c r="Y30" s="222"/>
      <c r="Z30" s="222"/>
      <c r="AA30" s="346"/>
      <c r="AB30" s="222"/>
      <c r="AC30" s="222"/>
      <c r="AD30" s="222"/>
      <c r="AE30" s="222"/>
    </row>
    <row r="31" spans="1:31" x14ac:dyDescent="0.25">
      <c r="A31" s="222"/>
      <c r="B31" s="2">
        <f t="shared" si="3"/>
        <v>2053</v>
      </c>
      <c r="C31" s="207">
        <f>IF(B31&lt;=Assumptions!$D$9,IF(B31&gt;=Assumptions!$D$29,TREND($L$27:$L$28,$K$27:$K$28,B31),0),0)</f>
        <v>1191481.6666666679</v>
      </c>
      <c r="D31" s="207">
        <f>IF(B31&lt;=Assumptions!$D$9,IF(B31&gt;=Assumptions!$D$29,TREND($N$27:$N$28,$M$27:$M$28,B31),0),0)</f>
        <v>765952.5</v>
      </c>
      <c r="E31" s="210">
        <f t="shared" si="4"/>
        <v>38127413.333333373</v>
      </c>
      <c r="F31" s="210">
        <f t="shared" si="1"/>
        <v>24510480</v>
      </c>
      <c r="G31" s="211">
        <f t="shared" si="2"/>
        <v>13616933.333333373</v>
      </c>
      <c r="H31" s="210">
        <f>G31*(1+0.07)^-(B31-Assumptions!$D$4)</f>
        <v>1460207.7449413973</v>
      </c>
      <c r="X31" s="222"/>
      <c r="Y31" s="222"/>
      <c r="Z31" s="222"/>
      <c r="AA31" s="346"/>
      <c r="AB31" s="222"/>
      <c r="AC31" s="222"/>
      <c r="AD31" s="222"/>
      <c r="AE31" s="222"/>
    </row>
    <row r="32" spans="1:31" x14ac:dyDescent="0.25">
      <c r="A32" s="222"/>
      <c r="B32" s="2">
        <f t="shared" si="3"/>
        <v>2054</v>
      </c>
      <c r="C32" s="207">
        <f>IF(B32&lt;=Assumptions!$D$9,IF(B32&gt;=Assumptions!$D$29,TREND($L$27:$L$28,$K$27:$K$28,B32),0),0)</f>
        <v>1203937.2916666679</v>
      </c>
      <c r="D32" s="207">
        <f>IF(B32&lt;=Assumptions!$D$9,IF(B32&gt;=Assumptions!$D$29,TREND($N$27:$N$28,$M$27:$M$28,B32),0),0)</f>
        <v>773959.6875</v>
      </c>
      <c r="E32" s="210">
        <f t="shared" si="4"/>
        <v>38525993.333333373</v>
      </c>
      <c r="F32" s="210">
        <f t="shared" si="1"/>
        <v>24766710</v>
      </c>
      <c r="G32" s="211">
        <f t="shared" si="2"/>
        <v>13759283.333333373</v>
      </c>
      <c r="H32" s="210">
        <f>G32*(1+0.07)^-(B32-Assumptions!$D$4)</f>
        <v>1378946.3591769708</v>
      </c>
      <c r="X32" s="222"/>
      <c r="Y32" s="222"/>
      <c r="Z32" s="222"/>
      <c r="AA32" s="346"/>
      <c r="AB32" s="222"/>
      <c r="AC32" s="222"/>
      <c r="AD32" s="222"/>
      <c r="AE32" s="222"/>
    </row>
    <row r="33" spans="1:31" ht="15" customHeight="1" x14ac:dyDescent="0.25">
      <c r="A33" s="222"/>
      <c r="B33" s="2">
        <f t="shared" si="3"/>
        <v>2055</v>
      </c>
      <c r="C33" s="207">
        <f>IF(B33&lt;=Assumptions!$D$9,IF(B33&gt;=Assumptions!$D$29,TREND($L$27:$L$28,$K$27:$K$28,B33),0),0)</f>
        <v>1216392.9166666679</v>
      </c>
      <c r="D33" s="207">
        <f>IF(B33&lt;=Assumptions!$D$9,IF(B33&gt;=Assumptions!$D$29,TREND($N$27:$N$28,$M$27:$M$28,B33),0),0)</f>
        <v>781966.875</v>
      </c>
      <c r="E33" s="210">
        <f t="shared" si="4"/>
        <v>38924573.333333373</v>
      </c>
      <c r="F33" s="210">
        <f t="shared" si="1"/>
        <v>25022940</v>
      </c>
      <c r="G33" s="211">
        <f t="shared" si="2"/>
        <v>13901633.333333373</v>
      </c>
      <c r="H33" s="210">
        <f>G33*(1+0.07)^-(B33-Assumptions!$D$4)</f>
        <v>1302067.83448102</v>
      </c>
      <c r="R33" s="348" t="s">
        <v>234</v>
      </c>
      <c r="X33" s="222"/>
      <c r="Y33" s="222"/>
      <c r="Z33" s="222"/>
      <c r="AA33" s="348" t="s">
        <v>235</v>
      </c>
      <c r="AB33" s="222"/>
      <c r="AC33" s="222"/>
      <c r="AD33" s="222"/>
      <c r="AE33" s="222"/>
    </row>
    <row r="34" spans="1:31" ht="15" customHeight="1" x14ac:dyDescent="0.25">
      <c r="A34" s="222"/>
      <c r="B34" s="2">
        <f t="shared" si="3"/>
        <v>2056</v>
      </c>
      <c r="C34" s="207">
        <f>IF(B34&lt;=Assumptions!$D$9,IF(B34&gt;=Assumptions!$D$29,TREND($L$27:$L$28,$K$27:$K$28,B34),0),0)</f>
        <v>1228848.5416666679</v>
      </c>
      <c r="D34" s="207">
        <f>IF(B34&lt;=Assumptions!$D$9,IF(B34&gt;=Assumptions!$D$29,TREND($N$27:$N$28,$M$27:$M$28,B34),0),0)</f>
        <v>789974.0625</v>
      </c>
      <c r="E34" s="210">
        <f t="shared" si="4"/>
        <v>39323153.333333373</v>
      </c>
      <c r="F34" s="210">
        <f t="shared" si="1"/>
        <v>25279170</v>
      </c>
      <c r="G34" s="211">
        <f t="shared" si="2"/>
        <v>14043983.333333373</v>
      </c>
      <c r="H34" s="210">
        <f>G34*(1+0.07)^-(B34-Assumptions!$D$4)</f>
        <v>1229346.498919043</v>
      </c>
      <c r="X34" s="222"/>
      <c r="Y34" s="222"/>
      <c r="Z34" s="222"/>
      <c r="AA34" s="222"/>
      <c r="AB34" s="222"/>
      <c r="AC34" s="222"/>
      <c r="AD34" s="222"/>
      <c r="AE34" s="222"/>
    </row>
    <row r="35" spans="1:31" ht="15" customHeight="1" thickBot="1" x14ac:dyDescent="0.3">
      <c r="A35" s="222"/>
      <c r="B35" s="3">
        <f t="shared" si="3"/>
        <v>2057</v>
      </c>
      <c r="C35" s="213">
        <f>IF(B35&lt;=Assumptions!$D$9,IF(B35&gt;=Assumptions!$D$29,TREND($L$27:$L$28,$K$27:$K$28,B35),0),0)</f>
        <v>1241304.1666666679</v>
      </c>
      <c r="D35" s="213">
        <f>IF(B35&lt;=Assumptions!$D$9,IF(B35&gt;=Assumptions!$D$29,TREND($N$27:$N$28,$M$27:$M$28,B35),0),0)</f>
        <v>797981.25</v>
      </c>
      <c r="E35" s="214">
        <f>C35*$L$6</f>
        <v>39721733.333333373</v>
      </c>
      <c r="F35" s="214">
        <f t="shared" si="1"/>
        <v>25535400</v>
      </c>
      <c r="G35" s="215">
        <f>(E35-F35)</f>
        <v>14186333.333333373</v>
      </c>
      <c r="H35" s="214">
        <f>G35*(1+0.07)^-(B35-Assumptions!$D$4)</f>
        <v>1160567.4497386077</v>
      </c>
      <c r="I35" s="206"/>
      <c r="X35" s="222"/>
      <c r="Y35" s="222"/>
      <c r="Z35" s="222"/>
      <c r="AA35" s="222"/>
      <c r="AB35" s="222"/>
      <c r="AC35" s="222"/>
      <c r="AD35" s="222"/>
      <c r="AE35" s="222"/>
    </row>
    <row r="36" spans="1:31" ht="15" customHeight="1" thickBot="1" x14ac:dyDescent="0.3">
      <c r="A36" s="222"/>
      <c r="B36" s="4"/>
      <c r="C36" s="4"/>
      <c r="D36" s="4"/>
      <c r="E36" s="216"/>
      <c r="F36" s="216"/>
      <c r="G36" s="80" t="s">
        <v>2</v>
      </c>
      <c r="H36" s="190">
        <f>SUM(H6:H35)</f>
        <v>19448864.045777041</v>
      </c>
      <c r="I36" s="218"/>
      <c r="X36" s="222"/>
      <c r="Y36" s="222"/>
      <c r="Z36" s="222"/>
      <c r="AA36" s="222"/>
      <c r="AB36" s="222"/>
      <c r="AC36" s="222"/>
      <c r="AD36" s="222"/>
      <c r="AE36" s="222"/>
    </row>
    <row r="37" spans="1:31" x14ac:dyDescent="0.25">
      <c r="A37" s="222"/>
      <c r="B37" s="222"/>
      <c r="C37" s="222"/>
      <c r="D37" s="222"/>
      <c r="E37" s="222"/>
      <c r="F37" s="222"/>
      <c r="G37" s="222"/>
      <c r="X37" s="222"/>
      <c r="Y37" s="222"/>
      <c r="Z37" s="222"/>
      <c r="AA37" s="222"/>
      <c r="AB37" s="222"/>
      <c r="AC37" s="222"/>
      <c r="AD37" s="222"/>
      <c r="AE37" s="222"/>
    </row>
    <row r="38" spans="1:31" x14ac:dyDescent="0.25">
      <c r="X38" s="222"/>
      <c r="Y38" s="222"/>
      <c r="Z38" s="222"/>
      <c r="AA38" s="222"/>
      <c r="AB38" s="222"/>
      <c r="AC38" s="222"/>
      <c r="AD38" s="222"/>
      <c r="AE38" s="222"/>
    </row>
    <row r="39" spans="1:31" ht="15" customHeight="1" x14ac:dyDescent="0.25">
      <c r="X39" s="222"/>
      <c r="Y39" s="222"/>
      <c r="Z39" s="222"/>
      <c r="AA39" s="222"/>
      <c r="AB39" s="222"/>
      <c r="AC39" s="222"/>
      <c r="AD39" s="222"/>
      <c r="AE39" s="222"/>
    </row>
    <row r="40" spans="1:31" ht="15" customHeight="1" x14ac:dyDescent="0.25">
      <c r="X40" s="222"/>
      <c r="Y40" s="222"/>
      <c r="Z40" s="222"/>
      <c r="AA40" s="222"/>
      <c r="AB40" s="222"/>
      <c r="AC40" s="222"/>
      <c r="AD40" s="222"/>
      <c r="AE40" s="222"/>
    </row>
    <row r="41" spans="1:31" ht="15" customHeight="1" x14ac:dyDescent="0.25">
      <c r="A41" s="10"/>
      <c r="B41" s="9" t="s">
        <v>3</v>
      </c>
      <c r="C41" s="9"/>
      <c r="D41" s="9"/>
      <c r="E41" s="242"/>
      <c r="F41" s="242"/>
      <c r="G41" s="242"/>
      <c r="X41" s="222"/>
      <c r="Y41" s="222"/>
      <c r="Z41" s="222"/>
      <c r="AA41" s="222"/>
      <c r="AB41" s="222"/>
      <c r="AC41" s="222"/>
      <c r="AD41" s="222"/>
      <c r="AE41" s="222"/>
    </row>
    <row r="42" spans="1:31" ht="15" customHeight="1" x14ac:dyDescent="0.25">
      <c r="A42" s="10" t="s">
        <v>21</v>
      </c>
      <c r="B42" s="492" t="s">
        <v>650</v>
      </c>
      <c r="C42" s="492"/>
      <c r="D42" s="492"/>
      <c r="E42" s="492"/>
      <c r="F42" s="492"/>
      <c r="G42" s="492"/>
      <c r="H42" s="135"/>
      <c r="X42" s="222"/>
      <c r="Y42" s="222"/>
      <c r="Z42" s="222"/>
      <c r="AA42" s="222"/>
      <c r="AB42" s="222"/>
      <c r="AC42" s="222"/>
      <c r="AD42" s="222"/>
      <c r="AE42" s="222"/>
    </row>
    <row r="43" spans="1:31" x14ac:dyDescent="0.25">
      <c r="A43" s="10"/>
      <c r="B43" s="492"/>
      <c r="C43" s="492"/>
      <c r="D43" s="492"/>
      <c r="E43" s="492"/>
      <c r="F43" s="492"/>
      <c r="G43" s="492"/>
      <c r="X43" s="222"/>
      <c r="Y43" s="222"/>
      <c r="Z43" s="222"/>
      <c r="AA43" s="222"/>
      <c r="AB43" s="222"/>
      <c r="AC43" s="222"/>
      <c r="AD43" s="222"/>
      <c r="AE43" s="222"/>
    </row>
    <row r="44" spans="1:31" ht="15" customHeight="1" x14ac:dyDescent="0.25">
      <c r="A44" s="10"/>
      <c r="B44" s="492"/>
      <c r="C44" s="492"/>
      <c r="D44" s="492"/>
      <c r="E44" s="492"/>
      <c r="F44" s="492"/>
      <c r="G44" s="492"/>
      <c r="X44" s="222"/>
      <c r="Y44" s="222"/>
      <c r="Z44" s="222"/>
      <c r="AA44" s="222"/>
      <c r="AB44" s="222"/>
      <c r="AC44" s="222"/>
      <c r="AD44" s="222"/>
      <c r="AE44" s="222"/>
    </row>
    <row r="45" spans="1:31" x14ac:dyDescent="0.25">
      <c r="A45" s="10"/>
      <c r="B45" s="492"/>
      <c r="C45" s="492"/>
      <c r="D45" s="492"/>
      <c r="E45" s="492"/>
      <c r="F45" s="492"/>
      <c r="G45" s="492"/>
      <c r="X45" s="222"/>
      <c r="Y45" s="222"/>
      <c r="Z45" s="222"/>
      <c r="AA45" s="222"/>
      <c r="AB45" s="222"/>
      <c r="AC45" s="222"/>
      <c r="AD45" s="222"/>
      <c r="AE45" s="222"/>
    </row>
    <row r="46" spans="1:31" ht="15" customHeight="1" x14ac:dyDescent="0.25">
      <c r="A46" s="222"/>
      <c r="B46" s="222"/>
      <c r="C46" s="222"/>
      <c r="D46" s="222"/>
      <c r="E46" s="222"/>
      <c r="F46" s="222"/>
      <c r="G46" s="222"/>
      <c r="X46" s="222"/>
      <c r="Y46" s="222"/>
      <c r="Z46" s="222"/>
      <c r="AA46" s="222"/>
      <c r="AB46" s="222"/>
      <c r="AC46" s="222"/>
      <c r="AD46" s="222"/>
      <c r="AE46" s="222"/>
    </row>
    <row r="47" spans="1:31" x14ac:dyDescent="0.25">
      <c r="A47" s="10" t="s">
        <v>28</v>
      </c>
      <c r="B47" s="492" t="s">
        <v>644</v>
      </c>
      <c r="C47" s="492"/>
      <c r="D47" s="492"/>
      <c r="E47" s="492"/>
      <c r="F47" s="492"/>
      <c r="G47" s="492"/>
      <c r="X47" s="222"/>
      <c r="Y47" s="222"/>
      <c r="Z47" s="222"/>
      <c r="AA47" s="222"/>
      <c r="AB47" s="222"/>
      <c r="AC47" s="222"/>
      <c r="AD47" s="222"/>
      <c r="AE47" s="222"/>
    </row>
    <row r="48" spans="1:31" ht="15" customHeight="1" x14ac:dyDescent="0.25">
      <c r="A48" s="10"/>
      <c r="B48" s="492"/>
      <c r="C48" s="492"/>
      <c r="D48" s="492"/>
      <c r="E48" s="492"/>
      <c r="F48" s="492"/>
      <c r="G48" s="492"/>
      <c r="X48" s="222"/>
      <c r="Y48" s="222"/>
      <c r="Z48" s="222"/>
      <c r="AA48" s="222"/>
      <c r="AB48" s="222"/>
      <c r="AC48" s="222"/>
      <c r="AD48" s="222"/>
      <c r="AE48" s="222"/>
    </row>
    <row r="49" spans="1:31" ht="15" customHeight="1" x14ac:dyDescent="0.25">
      <c r="A49" s="10"/>
      <c r="B49" s="291"/>
      <c r="C49" s="291"/>
      <c r="D49" s="291"/>
      <c r="E49" s="291"/>
      <c r="F49" s="291"/>
      <c r="G49" s="291"/>
      <c r="X49" s="222"/>
      <c r="Y49" s="222"/>
      <c r="Z49" s="222"/>
      <c r="AA49" s="222"/>
      <c r="AB49" s="222"/>
      <c r="AC49" s="222"/>
      <c r="AD49" s="222"/>
      <c r="AE49" s="222"/>
    </row>
    <row r="50" spans="1:31" ht="15" customHeight="1" x14ac:dyDescent="0.25">
      <c r="A50" s="10" t="s">
        <v>29</v>
      </c>
      <c r="B50" s="492" t="s">
        <v>597</v>
      </c>
      <c r="C50" s="492"/>
      <c r="D50" s="492"/>
      <c r="E50" s="492"/>
      <c r="F50" s="492"/>
      <c r="G50" s="492"/>
      <c r="X50" s="222"/>
      <c r="Y50" s="222"/>
      <c r="Z50" s="222"/>
      <c r="AA50" s="222"/>
      <c r="AB50" s="222"/>
      <c r="AC50" s="222"/>
      <c r="AD50" s="222"/>
      <c r="AE50" s="222"/>
    </row>
    <row r="51" spans="1:31" x14ac:dyDescent="0.25">
      <c r="A51" s="10"/>
      <c r="B51" s="492"/>
      <c r="C51" s="492"/>
      <c r="D51" s="492"/>
      <c r="E51" s="492"/>
      <c r="F51" s="492"/>
      <c r="G51" s="492"/>
      <c r="X51" s="222"/>
      <c r="Y51" s="222"/>
      <c r="Z51" s="222"/>
      <c r="AA51" s="222"/>
      <c r="AB51" s="222"/>
      <c r="AC51" s="222"/>
      <c r="AD51" s="222"/>
      <c r="AE51" s="222"/>
    </row>
    <row r="52" spans="1:31" x14ac:dyDescent="0.25">
      <c r="A52" s="10"/>
      <c r="B52" s="492"/>
      <c r="C52" s="492"/>
      <c r="D52" s="492"/>
      <c r="E52" s="492"/>
      <c r="F52" s="492"/>
      <c r="G52" s="492"/>
      <c r="X52" s="222"/>
      <c r="Y52" s="222"/>
      <c r="Z52" s="222"/>
      <c r="AA52" s="222"/>
      <c r="AB52" s="222"/>
      <c r="AC52" s="222"/>
      <c r="AD52" s="222"/>
      <c r="AE52" s="222"/>
    </row>
    <row r="53" spans="1:31" x14ac:dyDescent="0.25">
      <c r="A53" s="10"/>
      <c r="B53" s="492"/>
      <c r="C53" s="492"/>
      <c r="D53" s="492"/>
      <c r="E53" s="492"/>
      <c r="F53" s="492"/>
      <c r="G53" s="492"/>
      <c r="X53" s="222"/>
      <c r="Y53" s="222"/>
      <c r="Z53" s="222"/>
      <c r="AA53" s="222"/>
      <c r="AB53" s="222"/>
      <c r="AC53" s="222"/>
      <c r="AD53" s="222"/>
      <c r="AE53" s="222"/>
    </row>
    <row r="54" spans="1:31" ht="15" customHeight="1" x14ac:dyDescent="0.25">
      <c r="A54" s="10"/>
      <c r="B54" s="65"/>
      <c r="C54" s="65"/>
      <c r="D54" s="65"/>
      <c r="E54" s="65"/>
      <c r="F54" s="65"/>
      <c r="G54" s="242"/>
      <c r="X54" s="222"/>
      <c r="Y54" s="222"/>
      <c r="Z54" s="222"/>
      <c r="AA54" s="222"/>
      <c r="AB54" s="222"/>
      <c r="AC54" s="222"/>
      <c r="AD54" s="222"/>
      <c r="AE54" s="222"/>
    </row>
    <row r="55" spans="1:31" x14ac:dyDescent="0.25">
      <c r="A55" s="10" t="s">
        <v>30</v>
      </c>
      <c r="B55" s="492" t="s">
        <v>649</v>
      </c>
      <c r="C55" s="492"/>
      <c r="D55" s="492"/>
      <c r="E55" s="492"/>
      <c r="F55" s="492"/>
      <c r="G55" s="492"/>
      <c r="R55" s="9" t="s">
        <v>230</v>
      </c>
      <c r="X55" s="222"/>
      <c r="Y55" s="222"/>
      <c r="Z55" s="222"/>
      <c r="AA55" s="348" t="s">
        <v>231</v>
      </c>
      <c r="AB55" s="222"/>
      <c r="AC55" s="222"/>
      <c r="AD55" s="222"/>
      <c r="AE55" s="222"/>
    </row>
    <row r="56" spans="1:31" x14ac:dyDescent="0.25">
      <c r="A56" s="222"/>
      <c r="B56" s="492"/>
      <c r="C56" s="492"/>
      <c r="D56" s="492"/>
      <c r="E56" s="492"/>
      <c r="F56" s="492"/>
      <c r="G56" s="492"/>
      <c r="X56" s="222"/>
      <c r="Y56" s="222"/>
      <c r="Z56" s="222"/>
      <c r="AA56" s="222"/>
      <c r="AB56" s="222"/>
      <c r="AC56" s="222"/>
      <c r="AD56" s="222"/>
      <c r="AE56" s="222"/>
    </row>
    <row r="57" spans="1:31" ht="15" customHeight="1" x14ac:dyDescent="0.25">
      <c r="A57" s="222"/>
      <c r="B57" s="492"/>
      <c r="C57" s="492"/>
      <c r="D57" s="492"/>
      <c r="E57" s="492"/>
      <c r="F57" s="492"/>
      <c r="G57" s="492"/>
      <c r="X57" s="222"/>
      <c r="Y57" s="222"/>
      <c r="Z57" s="222"/>
      <c r="AA57" s="222"/>
      <c r="AB57" s="222"/>
      <c r="AC57" s="222"/>
      <c r="AD57" s="222"/>
      <c r="AE57" s="222"/>
    </row>
    <row r="58" spans="1:31" x14ac:dyDescent="0.25">
      <c r="A58" s="222"/>
      <c r="B58" s="222"/>
      <c r="C58" s="222"/>
      <c r="D58" s="222"/>
      <c r="E58" s="222"/>
      <c r="F58" s="222"/>
      <c r="G58" s="222"/>
      <c r="X58" s="222"/>
      <c r="Y58" s="222"/>
      <c r="Z58" s="222"/>
      <c r="AA58" s="222"/>
      <c r="AB58" s="222"/>
      <c r="AC58" s="222"/>
      <c r="AD58" s="222"/>
      <c r="AE58" s="222"/>
    </row>
    <row r="59" spans="1:31" x14ac:dyDescent="0.25">
      <c r="A59" s="10" t="s">
        <v>30</v>
      </c>
      <c r="B59" s="492" t="s">
        <v>647</v>
      </c>
      <c r="C59" s="492"/>
      <c r="D59" s="492"/>
      <c r="E59" s="492"/>
      <c r="F59" s="492"/>
      <c r="G59" s="492"/>
      <c r="X59" s="222"/>
      <c r="Y59" s="222"/>
      <c r="Z59" s="222"/>
      <c r="AA59" s="222"/>
      <c r="AB59" s="222"/>
      <c r="AC59" s="222"/>
      <c r="AD59" s="222"/>
      <c r="AE59" s="222"/>
    </row>
    <row r="60" spans="1:31" ht="15" customHeight="1" x14ac:dyDescent="0.25">
      <c r="A60" s="10"/>
      <c r="B60" s="492"/>
      <c r="C60" s="492"/>
      <c r="D60" s="492"/>
      <c r="E60" s="492"/>
      <c r="F60" s="492"/>
      <c r="G60" s="492"/>
      <c r="X60" s="222"/>
      <c r="Y60" s="222"/>
      <c r="Z60" s="222"/>
      <c r="AA60" s="222"/>
      <c r="AB60" s="222"/>
      <c r="AC60" s="222"/>
      <c r="AD60" s="222"/>
      <c r="AE60" s="222"/>
    </row>
    <row r="61" spans="1:31" x14ac:dyDescent="0.25">
      <c r="A61" s="10"/>
      <c r="B61" s="492"/>
      <c r="C61" s="492"/>
      <c r="D61" s="492"/>
      <c r="E61" s="492"/>
      <c r="F61" s="492"/>
      <c r="G61" s="492"/>
      <c r="X61" s="222"/>
      <c r="Y61" s="222"/>
      <c r="Z61" s="222"/>
      <c r="AA61" s="222"/>
      <c r="AB61" s="222"/>
      <c r="AC61" s="222"/>
      <c r="AD61" s="222"/>
      <c r="AE61" s="222"/>
    </row>
    <row r="62" spans="1:31" x14ac:dyDescent="0.25">
      <c r="A62" s="10"/>
      <c r="B62" s="492"/>
      <c r="C62" s="492"/>
      <c r="D62" s="492"/>
      <c r="E62" s="492"/>
      <c r="F62" s="492"/>
      <c r="G62" s="492"/>
      <c r="X62" s="222"/>
      <c r="Y62" s="222"/>
      <c r="Z62" s="222"/>
      <c r="AA62" s="222"/>
      <c r="AB62" s="222"/>
      <c r="AC62" s="222"/>
      <c r="AD62" s="222"/>
      <c r="AE62" s="222"/>
    </row>
    <row r="63" spans="1:31" ht="15" customHeight="1" x14ac:dyDescent="0.25">
      <c r="A63" s="10"/>
      <c r="B63" s="65"/>
      <c r="C63" s="65"/>
      <c r="D63" s="65"/>
      <c r="E63" s="65"/>
      <c r="F63" s="65"/>
      <c r="G63" s="65"/>
      <c r="X63" s="222"/>
      <c r="Y63" s="222"/>
      <c r="Z63" s="222"/>
      <c r="AA63" s="222"/>
      <c r="AB63" s="222"/>
      <c r="AC63" s="222"/>
      <c r="AD63" s="222"/>
      <c r="AE63" s="222"/>
    </row>
    <row r="64" spans="1:31" x14ac:dyDescent="0.25">
      <c r="A64" s="10" t="s">
        <v>31</v>
      </c>
      <c r="B64" s="492" t="s">
        <v>648</v>
      </c>
      <c r="C64" s="492"/>
      <c r="D64" s="492"/>
      <c r="E64" s="492"/>
      <c r="F64" s="492"/>
      <c r="G64" s="492"/>
      <c r="X64" s="222"/>
      <c r="Y64" s="222"/>
      <c r="Z64" s="222"/>
      <c r="AA64" s="222"/>
      <c r="AB64" s="222"/>
      <c r="AC64" s="222"/>
      <c r="AD64" s="222"/>
      <c r="AE64" s="222"/>
    </row>
    <row r="65" spans="1:37" x14ac:dyDescent="0.25">
      <c r="A65" s="10"/>
      <c r="B65" s="492"/>
      <c r="C65" s="492"/>
      <c r="D65" s="492"/>
      <c r="E65" s="492"/>
      <c r="F65" s="492"/>
      <c r="G65" s="492"/>
    </row>
    <row r="66" spans="1:37" x14ac:dyDescent="0.25">
      <c r="A66" s="222"/>
      <c r="B66" s="222"/>
      <c r="C66" s="222"/>
      <c r="D66" s="222"/>
      <c r="E66" s="222"/>
      <c r="F66" s="222"/>
      <c r="G66" s="222"/>
    </row>
    <row r="67" spans="1:37" x14ac:dyDescent="0.25">
      <c r="A67" s="222"/>
      <c r="B67" s="222"/>
      <c r="C67" s="222"/>
      <c r="D67" s="222"/>
      <c r="E67" s="222"/>
      <c r="F67" s="222"/>
      <c r="G67" s="222"/>
    </row>
    <row r="68" spans="1:37" x14ac:dyDescent="0.25">
      <c r="A68" s="222"/>
      <c r="B68" s="222"/>
      <c r="C68" s="222"/>
      <c r="D68" s="222"/>
      <c r="E68" s="222"/>
      <c r="F68" s="222"/>
      <c r="G68" s="222"/>
    </row>
    <row r="69" spans="1:37" x14ac:dyDescent="0.25">
      <c r="A69" s="222"/>
      <c r="B69" s="222"/>
      <c r="C69" s="222"/>
      <c r="D69" s="222"/>
      <c r="E69" s="222"/>
      <c r="F69" s="222"/>
      <c r="G69" s="222"/>
    </row>
    <row r="70" spans="1:37" x14ac:dyDescent="0.25">
      <c r="A70" s="222"/>
      <c r="B70" s="222"/>
      <c r="C70" s="222"/>
      <c r="D70" s="222"/>
      <c r="E70" s="222"/>
      <c r="F70" s="222"/>
      <c r="G70" s="222"/>
    </row>
    <row r="75" spans="1:37" x14ac:dyDescent="0.25">
      <c r="S75" s="222"/>
      <c r="T75" s="222"/>
      <c r="U75" s="222"/>
      <c r="V75" s="222"/>
      <c r="W75" s="222"/>
    </row>
    <row r="76" spans="1:37" x14ac:dyDescent="0.25">
      <c r="R76" s="222"/>
      <c r="S76" s="222"/>
      <c r="T76" s="222"/>
      <c r="U76" s="222"/>
      <c r="V76" s="222"/>
      <c r="W76" s="222"/>
      <c r="AK76" s="219"/>
    </row>
    <row r="77" spans="1:37" x14ac:dyDescent="0.25">
      <c r="R77" s="222"/>
      <c r="S77" s="222"/>
      <c r="T77" s="222"/>
      <c r="U77" s="222"/>
      <c r="V77" s="222"/>
      <c r="W77" s="222"/>
    </row>
    <row r="78" spans="1:37" x14ac:dyDescent="0.25">
      <c r="R78" s="222"/>
      <c r="S78" s="222"/>
      <c r="T78" s="222"/>
      <c r="U78" s="222"/>
      <c r="V78" s="222"/>
      <c r="W78" s="222"/>
    </row>
    <row r="79" spans="1:37" x14ac:dyDescent="0.25">
      <c r="R79" s="222"/>
      <c r="S79" s="222"/>
      <c r="T79" s="222"/>
      <c r="U79" s="222"/>
      <c r="V79" s="222"/>
      <c r="W79" s="222"/>
    </row>
    <row r="80" spans="1:37" x14ac:dyDescent="0.25">
      <c r="R80" s="222"/>
      <c r="S80" s="222"/>
      <c r="T80" s="222"/>
      <c r="U80" s="222"/>
      <c r="V80" s="222"/>
      <c r="W80" s="222"/>
    </row>
    <row r="81" spans="18:23" x14ac:dyDescent="0.25">
      <c r="R81" s="222"/>
      <c r="S81" s="222"/>
      <c r="T81" s="222"/>
      <c r="U81" s="222"/>
      <c r="V81" s="222"/>
      <c r="W81" s="222"/>
    </row>
    <row r="82" spans="18:23" x14ac:dyDescent="0.25">
      <c r="R82" s="222"/>
      <c r="S82" s="222"/>
      <c r="T82" s="222"/>
      <c r="U82" s="222"/>
      <c r="V82" s="222"/>
      <c r="W82" s="222"/>
    </row>
    <row r="83" spans="18:23" x14ac:dyDescent="0.25">
      <c r="R83" s="9"/>
      <c r="S83" s="222"/>
      <c r="T83" s="222"/>
      <c r="U83" s="222"/>
      <c r="V83" s="222"/>
      <c r="W83" s="222"/>
    </row>
    <row r="84" spans="18:23" x14ac:dyDescent="0.25">
      <c r="R84" s="222"/>
      <c r="S84" s="222"/>
      <c r="T84" s="222"/>
      <c r="U84" s="222"/>
      <c r="V84" s="222"/>
      <c r="W84" s="222"/>
    </row>
    <row r="85" spans="18:23" x14ac:dyDescent="0.25">
      <c r="R85" s="222"/>
      <c r="S85" s="222"/>
      <c r="T85" s="222"/>
      <c r="U85" s="222"/>
      <c r="V85" s="222"/>
      <c r="W85" s="222"/>
    </row>
    <row r="86" spans="18:23" x14ac:dyDescent="0.25">
      <c r="R86" s="222"/>
      <c r="S86" s="222"/>
      <c r="T86" s="222"/>
      <c r="U86" s="222"/>
      <c r="V86" s="222"/>
      <c r="W86" s="222"/>
    </row>
    <row r="87" spans="18:23" x14ac:dyDescent="0.25">
      <c r="R87" s="222"/>
      <c r="S87" s="222"/>
      <c r="T87" s="222"/>
      <c r="U87" s="222"/>
      <c r="V87" s="222"/>
      <c r="W87" s="222"/>
    </row>
    <row r="88" spans="18:23" x14ac:dyDescent="0.25">
      <c r="R88" s="222"/>
      <c r="S88" s="222"/>
      <c r="T88" s="222"/>
      <c r="U88" s="222"/>
      <c r="V88" s="222"/>
      <c r="W88" s="222"/>
    </row>
    <row r="89" spans="18:23" x14ac:dyDescent="0.25">
      <c r="R89" s="222"/>
      <c r="S89" s="222"/>
      <c r="T89" s="222"/>
      <c r="U89" s="222"/>
      <c r="V89" s="222"/>
      <c r="W89" s="222"/>
    </row>
    <row r="90" spans="18:23" x14ac:dyDescent="0.25">
      <c r="R90" s="222"/>
      <c r="S90" s="222"/>
      <c r="T90" s="222"/>
      <c r="U90" s="222"/>
      <c r="V90" s="222"/>
      <c r="W90" s="222"/>
    </row>
    <row r="91" spans="18:23" x14ac:dyDescent="0.25">
      <c r="R91" s="222"/>
      <c r="S91" s="222"/>
      <c r="T91" s="222"/>
      <c r="U91" s="222"/>
      <c r="V91" s="222"/>
      <c r="W91" s="222"/>
    </row>
    <row r="92" spans="18:23" x14ac:dyDescent="0.25">
      <c r="R92" s="222"/>
      <c r="S92" s="222"/>
      <c r="T92" s="222"/>
      <c r="U92" s="222"/>
      <c r="V92" s="222"/>
      <c r="W92" s="222"/>
    </row>
    <row r="93" spans="18:23" x14ac:dyDescent="0.25">
      <c r="R93" s="222"/>
      <c r="S93" s="222"/>
      <c r="T93" s="222"/>
      <c r="U93" s="222"/>
      <c r="V93" s="222"/>
      <c r="W93" s="222"/>
    </row>
    <row r="94" spans="18:23" x14ac:dyDescent="0.25">
      <c r="R94" s="222"/>
      <c r="S94" s="222"/>
      <c r="T94" s="222"/>
      <c r="U94" s="222"/>
      <c r="V94" s="222"/>
      <c r="W94" s="222"/>
    </row>
    <row r="95" spans="18:23" x14ac:dyDescent="0.25">
      <c r="R95" s="222"/>
      <c r="S95" s="222"/>
      <c r="T95" s="222"/>
      <c r="U95" s="222"/>
      <c r="V95" s="222"/>
      <c r="W95" s="222"/>
    </row>
    <row r="96" spans="18:23" x14ac:dyDescent="0.25">
      <c r="R96" s="222"/>
      <c r="S96" s="222"/>
      <c r="T96" s="222"/>
      <c r="U96" s="222"/>
      <c r="V96" s="222"/>
      <c r="W96" s="222"/>
    </row>
    <row r="97" spans="18:23" x14ac:dyDescent="0.25">
      <c r="R97" s="222"/>
      <c r="S97" s="222"/>
      <c r="T97" s="222"/>
      <c r="U97" s="222"/>
      <c r="V97" s="222"/>
      <c r="W97" s="222"/>
    </row>
    <row r="98" spans="18:23" x14ac:dyDescent="0.25">
      <c r="R98" s="222"/>
      <c r="S98" s="222"/>
      <c r="T98" s="222"/>
      <c r="U98" s="222"/>
      <c r="V98" s="222"/>
      <c r="W98" s="222"/>
    </row>
    <row r="99" spans="18:23" x14ac:dyDescent="0.25">
      <c r="R99" s="222"/>
      <c r="S99" s="222"/>
      <c r="T99" s="222"/>
      <c r="U99" s="222"/>
      <c r="V99" s="222"/>
      <c r="W99" s="222"/>
    </row>
    <row r="100" spans="18:23" x14ac:dyDescent="0.25">
      <c r="R100" s="222"/>
      <c r="S100" s="222"/>
      <c r="T100" s="222"/>
      <c r="U100" s="222"/>
      <c r="V100" s="222"/>
      <c r="W100" s="222"/>
    </row>
    <row r="101" spans="18:23" x14ac:dyDescent="0.25">
      <c r="S101" s="222"/>
      <c r="T101" s="222"/>
      <c r="U101" s="222"/>
      <c r="V101" s="222"/>
      <c r="W101" s="222"/>
    </row>
    <row r="102" spans="18:23" x14ac:dyDescent="0.25">
      <c r="S102" s="222"/>
      <c r="T102" s="222"/>
      <c r="U102" s="222"/>
      <c r="V102" s="222"/>
      <c r="W102" s="222"/>
    </row>
    <row r="103" spans="18:23" x14ac:dyDescent="0.25">
      <c r="R103" s="222"/>
      <c r="S103" s="222"/>
      <c r="T103" s="222"/>
      <c r="U103" s="222"/>
      <c r="V103" s="222"/>
      <c r="W103" s="222"/>
    </row>
    <row r="104" spans="18:23" x14ac:dyDescent="0.25">
      <c r="R104" s="222"/>
      <c r="S104" s="222"/>
      <c r="T104" s="222"/>
      <c r="U104" s="222"/>
      <c r="V104" s="222"/>
      <c r="W104" s="222"/>
    </row>
    <row r="105" spans="18:23" x14ac:dyDescent="0.25">
      <c r="R105" s="222"/>
      <c r="S105" s="222"/>
      <c r="T105" s="222"/>
      <c r="U105" s="222"/>
      <c r="V105" s="222"/>
      <c r="W105" s="222"/>
    </row>
    <row r="106" spans="18:23" x14ac:dyDescent="0.25">
      <c r="R106" s="222"/>
      <c r="S106" s="222"/>
      <c r="T106" s="222"/>
      <c r="U106" s="222"/>
      <c r="V106" s="222"/>
      <c r="W106" s="222"/>
    </row>
    <row r="107" spans="18:23" x14ac:dyDescent="0.25">
      <c r="R107" s="222"/>
      <c r="S107" s="222"/>
      <c r="T107" s="222"/>
      <c r="U107" s="222"/>
      <c r="V107" s="222"/>
      <c r="W107" s="222"/>
    </row>
    <row r="108" spans="18:23" x14ac:dyDescent="0.25">
      <c r="R108" s="222"/>
      <c r="S108" s="222"/>
      <c r="T108" s="222"/>
      <c r="U108" s="222"/>
      <c r="V108" s="222"/>
      <c r="W108" s="222"/>
    </row>
    <row r="109" spans="18:23" x14ac:dyDescent="0.25">
      <c r="R109" s="222"/>
      <c r="S109" s="222"/>
      <c r="T109" s="222"/>
      <c r="U109" s="222"/>
      <c r="V109" s="222"/>
      <c r="W109" s="222"/>
    </row>
    <row r="110" spans="18:23" x14ac:dyDescent="0.25">
      <c r="R110" s="222"/>
      <c r="S110" s="222"/>
      <c r="T110" s="222"/>
      <c r="U110" s="222"/>
      <c r="V110" s="222"/>
      <c r="W110" s="222"/>
    </row>
    <row r="111" spans="18:23" x14ac:dyDescent="0.25">
      <c r="R111" s="222"/>
      <c r="S111" s="222"/>
      <c r="T111" s="222"/>
      <c r="U111" s="222"/>
      <c r="V111" s="222"/>
      <c r="W111" s="222"/>
    </row>
    <row r="112" spans="18:23" x14ac:dyDescent="0.25">
      <c r="R112" s="222"/>
      <c r="S112" s="222"/>
      <c r="T112" s="222"/>
      <c r="U112" s="222"/>
      <c r="V112" s="222"/>
      <c r="W112" s="222"/>
    </row>
    <row r="113" spans="18:23" x14ac:dyDescent="0.25">
      <c r="R113" s="222"/>
      <c r="S113" s="222"/>
      <c r="T113" s="222"/>
      <c r="U113" s="222"/>
      <c r="V113" s="222"/>
      <c r="W113" s="222"/>
    </row>
    <row r="114" spans="18:23" x14ac:dyDescent="0.25">
      <c r="R114" s="222"/>
      <c r="S114" s="222"/>
      <c r="T114" s="222"/>
      <c r="U114" s="222"/>
      <c r="V114" s="222"/>
      <c r="W114" s="222"/>
    </row>
    <row r="115" spans="18:23" x14ac:dyDescent="0.25">
      <c r="R115" s="222"/>
      <c r="S115" s="222"/>
      <c r="T115" s="222"/>
      <c r="U115" s="222"/>
      <c r="V115" s="222"/>
      <c r="W115" s="222"/>
    </row>
  </sheetData>
  <mergeCells count="20">
    <mergeCell ref="B47:G48"/>
    <mergeCell ref="B50:G53"/>
    <mergeCell ref="B59:G62"/>
    <mergeCell ref="B64:G65"/>
    <mergeCell ref="G4:G5"/>
    <mergeCell ref="B42:G45"/>
    <mergeCell ref="B55:G57"/>
    <mergeCell ref="H4:H5"/>
    <mergeCell ref="K5:L5"/>
    <mergeCell ref="K20:L20"/>
    <mergeCell ref="B4:B5"/>
    <mergeCell ref="C4:C5"/>
    <mergeCell ref="D4:D5"/>
    <mergeCell ref="E4:E5"/>
    <mergeCell ref="F4:F5"/>
    <mergeCell ref="T8:U8"/>
    <mergeCell ref="AD8:AE8"/>
    <mergeCell ref="M20:N20"/>
    <mergeCell ref="K25:L25"/>
    <mergeCell ref="M25:N25"/>
  </mergeCells>
  <hyperlinks>
    <hyperlink ref="T12" r:id="rId1" xr:uid="{37A4A9EE-60FE-4163-A06A-FDD5DC8FA1BE}"/>
    <hyperlink ref="U12" r:id="rId2" xr:uid="{EE3AEAD6-FAEA-4054-AD4B-C9E50F7E2D47}"/>
    <hyperlink ref="AE12" r:id="rId3" xr:uid="{48395330-1682-4A74-A2DF-74814A954ACC}"/>
    <hyperlink ref="AD12" r:id="rId4" xr:uid="{4D89CD37-4485-4853-BEE8-BDDA02467B8F}"/>
  </hyperlinks>
  <pageMargins left="0.25" right="0.25" top="0.75" bottom="0.75" header="0.3" footer="0.3"/>
  <pageSetup scale="40"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1515F-788C-4772-9E65-3E45FC2780DC}">
  <sheetPr>
    <tabColor theme="6" tint="0.79998168889431442"/>
    <pageSetUpPr fitToPage="1"/>
  </sheetPr>
  <dimension ref="A1:AU115"/>
  <sheetViews>
    <sheetView zoomScale="70" zoomScaleNormal="70" zoomScaleSheetLayoutView="70" zoomScalePageLayoutView="55" workbookViewId="0">
      <selection activeCell="D27" sqref="D27"/>
    </sheetView>
  </sheetViews>
  <sheetFormatPr defaultRowHeight="15" x14ac:dyDescent="0.25"/>
  <cols>
    <col min="1" max="1" width="3.7109375" style="181" customWidth="1"/>
    <col min="2" max="8" width="20.7109375" style="181" customWidth="1"/>
    <col min="9" max="9" width="5.7109375" style="181" customWidth="1"/>
    <col min="10" max="10" width="3" style="181" customWidth="1"/>
    <col min="11" max="11" width="39.140625" style="181" customWidth="1"/>
    <col min="12" max="12" width="29.28515625" style="181" bestFit="1" customWidth="1"/>
    <col min="13" max="13" width="39.140625" style="181" customWidth="1"/>
    <col min="14" max="14" width="29.28515625" style="181" bestFit="1" customWidth="1"/>
    <col min="15" max="15" width="15.7109375" style="242" customWidth="1"/>
    <col min="16" max="17" width="15.7109375" style="346" customWidth="1"/>
    <col min="18" max="35" width="30.7109375" style="346" customWidth="1"/>
    <col min="36" max="36" width="30.7109375" style="222" customWidth="1"/>
    <col min="37" max="39" width="30.7109375" style="242" customWidth="1"/>
    <col min="40" max="40" width="15.7109375" style="242" customWidth="1"/>
    <col min="41" max="47" width="9.140625" style="242"/>
    <col min="48" max="16384" width="9.140625" style="181"/>
  </cols>
  <sheetData>
    <row r="1" spans="2:43" ht="14.25" customHeight="1" x14ac:dyDescent="0.25">
      <c r="B1" s="419">
        <v>1</v>
      </c>
      <c r="C1" s="419"/>
      <c r="D1" s="419"/>
      <c r="E1" s="419">
        <v>2</v>
      </c>
      <c r="F1" s="419">
        <v>3</v>
      </c>
      <c r="G1" s="419">
        <v>6</v>
      </c>
      <c r="H1" s="419">
        <v>7</v>
      </c>
    </row>
    <row r="2" spans="2:43" x14ac:dyDescent="0.25">
      <c r="B2" s="9" t="s">
        <v>119</v>
      </c>
      <c r="C2" s="9"/>
      <c r="D2" s="9"/>
    </row>
    <row r="3" spans="2:43" ht="15.75" thickBot="1" x14ac:dyDescent="0.3">
      <c r="K3" s="66"/>
    </row>
    <row r="4" spans="2:43" ht="35.1" customHeight="1" x14ac:dyDescent="0.25">
      <c r="B4" s="488" t="s">
        <v>0</v>
      </c>
      <c r="C4" s="488" t="s">
        <v>137</v>
      </c>
      <c r="D4" s="490" t="s">
        <v>120</v>
      </c>
      <c r="E4" s="488" t="s">
        <v>121</v>
      </c>
      <c r="F4" s="488" t="s">
        <v>122</v>
      </c>
      <c r="G4" s="493" t="s">
        <v>123</v>
      </c>
      <c r="H4" s="485" t="s">
        <v>1</v>
      </c>
      <c r="K4" s="66"/>
      <c r="R4" s="160"/>
      <c r="AA4" s="160"/>
    </row>
    <row r="5" spans="2:43" ht="43.5" customHeight="1" thickBot="1" x14ac:dyDescent="0.6">
      <c r="B5" s="489"/>
      <c r="C5" s="489"/>
      <c r="D5" s="491"/>
      <c r="E5" s="489"/>
      <c r="F5" s="489"/>
      <c r="G5" s="494"/>
      <c r="H5" s="486"/>
      <c r="K5" s="487" t="s">
        <v>138</v>
      </c>
      <c r="L5" s="487"/>
      <c r="M5" s="206"/>
      <c r="R5" s="222"/>
      <c r="S5" s="222"/>
      <c r="T5" s="222"/>
      <c r="U5" s="222"/>
      <c r="V5" s="222"/>
      <c r="W5" s="222"/>
      <c r="X5" s="222"/>
      <c r="Y5" s="222"/>
      <c r="Z5" s="222"/>
      <c r="AA5" s="222"/>
      <c r="AB5" s="222"/>
      <c r="AC5" s="222"/>
      <c r="AD5" s="222"/>
      <c r="AE5" s="222"/>
      <c r="AF5" s="279"/>
      <c r="AG5" s="279"/>
      <c r="AH5" s="279"/>
      <c r="AI5" s="279"/>
      <c r="AK5" s="279"/>
      <c r="AL5" s="279"/>
      <c r="AO5" s="279"/>
      <c r="AP5" s="279"/>
      <c r="AQ5" s="279"/>
    </row>
    <row r="6" spans="2:43" x14ac:dyDescent="0.25">
      <c r="B6" s="1">
        <f>Assumptions!$D$8</f>
        <v>2028</v>
      </c>
      <c r="C6" s="207">
        <f>IF(B6&lt;=Assumptions!$D$9,IF(B6&gt;=Assumptions!$D$29,TREND($L$24:$L$25,$K$24:$K$25,B6),0),0)</f>
        <v>0</v>
      </c>
      <c r="D6" s="207">
        <f>IF(B6&lt;=Assumptions!$D$9,IF(B6&gt;=Assumptions!$D$29,TREND($N$24:$N$25,$M$24:$M$25,B6),0),0)</f>
        <v>0</v>
      </c>
      <c r="E6" s="208">
        <f>C6*$L$6</f>
        <v>0</v>
      </c>
      <c r="F6" s="208">
        <f>D6*$L$6</f>
        <v>0</v>
      </c>
      <c r="G6" s="209">
        <f>(E6-F6)</f>
        <v>0</v>
      </c>
      <c r="H6" s="208">
        <f>G6*(1+0.07)^-(B6-Assumptions!$D$4)</f>
        <v>0</v>
      </c>
      <c r="K6" s="149" t="s">
        <v>124</v>
      </c>
      <c r="L6" s="104">
        <f>Assumptions!$D$24</f>
        <v>0.94</v>
      </c>
      <c r="M6" s="242" t="s">
        <v>111</v>
      </c>
      <c r="R6" s="9" t="s">
        <v>212</v>
      </c>
      <c r="AA6" s="9" t="s">
        <v>212</v>
      </c>
    </row>
    <row r="7" spans="2:43" x14ac:dyDescent="0.25">
      <c r="B7" s="2">
        <f>B6+1</f>
        <v>2029</v>
      </c>
      <c r="C7" s="207">
        <f>IF(B7&lt;=Assumptions!$D$9,IF(B7&gt;=Assumptions!$D$29,TREND($L$24:$L$25,$K$24:$K$25,B7),0),0)</f>
        <v>0</v>
      </c>
      <c r="D7" s="207">
        <f>IF(B7&lt;=Assumptions!$D$9,IF(B7&gt;=Assumptions!$D$29,TREND($N$24:$N$25,$M$24:$M$25,B7),0),0)</f>
        <v>0</v>
      </c>
      <c r="E7" s="210">
        <f t="shared" ref="E7:F24" si="0">C7*$L$6</f>
        <v>0</v>
      </c>
      <c r="F7" s="210">
        <f t="shared" si="0"/>
        <v>0</v>
      </c>
      <c r="G7" s="211">
        <f t="shared" ref="G7:G24" si="1">(E7-F7)</f>
        <v>0</v>
      </c>
      <c r="H7" s="210">
        <f>G7*(1+0.07)^-(B7-Assumptions!$D$4)</f>
        <v>0</v>
      </c>
      <c r="M7" s="12"/>
    </row>
    <row r="8" spans="2:43" x14ac:dyDescent="0.25">
      <c r="B8" s="2">
        <f t="shared" ref="B8:B34" si="2">B7+1</f>
        <v>2030</v>
      </c>
      <c r="C8" s="207">
        <f>IF(B8&lt;=Assumptions!$D$9,IF(B8&gt;=Assumptions!$D$29,TREND($L$24:$L$25,$K$24:$K$25,B8),0),0)</f>
        <v>0</v>
      </c>
      <c r="D8" s="207">
        <f>IF(B8&lt;=Assumptions!$D$9,IF(B8&gt;=Assumptions!$D$29,TREND($N$24:$N$25,$M$24:$M$25,B8),0),0)</f>
        <v>0</v>
      </c>
      <c r="E8" s="210">
        <f t="shared" si="0"/>
        <v>0</v>
      </c>
      <c r="F8" s="210">
        <f t="shared" si="0"/>
        <v>0</v>
      </c>
      <c r="G8" s="211">
        <f t="shared" si="1"/>
        <v>0</v>
      </c>
      <c r="H8" s="210">
        <f>G8*(1+0.07)^-(B8-Assumptions!$D$4)</f>
        <v>0</v>
      </c>
      <c r="J8" s="67"/>
      <c r="K8" s="77" t="s">
        <v>132</v>
      </c>
      <c r="L8" s="77"/>
      <c r="M8" s="242"/>
      <c r="T8" s="483" t="s">
        <v>210</v>
      </c>
      <c r="U8" s="484"/>
      <c r="AD8" s="483" t="s">
        <v>210</v>
      </c>
      <c r="AE8" s="484"/>
    </row>
    <row r="9" spans="2:43" ht="15" customHeight="1" x14ac:dyDescent="0.25">
      <c r="B9" s="2">
        <f t="shared" si="2"/>
        <v>2031</v>
      </c>
      <c r="C9" s="207">
        <f>IF(B9&lt;=Assumptions!$D$9,IF(B9&gt;=Assumptions!$D$29,TREND($L$24:$L$25,$K$24:$K$25,B9),0),0)</f>
        <v>0</v>
      </c>
      <c r="D9" s="207">
        <f>IF(B9&lt;=Assumptions!$D$9,IF(B9&gt;=Assumptions!$D$29,TREND($N$24:$N$25,$M$24:$M$25,B9),0),0)</f>
        <v>0</v>
      </c>
      <c r="E9" s="210">
        <f t="shared" si="0"/>
        <v>0</v>
      </c>
      <c r="F9" s="210">
        <f t="shared" si="0"/>
        <v>0</v>
      </c>
      <c r="G9" s="211">
        <f t="shared" si="1"/>
        <v>0</v>
      </c>
      <c r="H9" s="210">
        <f>G9*(1+0.07)^-(B9-Assumptions!$D$4)</f>
        <v>0</v>
      </c>
      <c r="K9" s="149" t="s">
        <v>112</v>
      </c>
      <c r="L9" s="212">
        <f>Assumptions!$D$14</f>
        <v>0.25</v>
      </c>
      <c r="M9" s="242"/>
      <c r="T9" s="345" t="s">
        <v>215</v>
      </c>
      <c r="U9" s="345" t="s">
        <v>213</v>
      </c>
      <c r="AD9" s="345" t="s">
        <v>216</v>
      </c>
      <c r="AE9" s="345" t="s">
        <v>214</v>
      </c>
    </row>
    <row r="10" spans="2:43" x14ac:dyDescent="0.25">
      <c r="B10" s="2">
        <f t="shared" si="2"/>
        <v>2032</v>
      </c>
      <c r="C10" s="207">
        <f>IF(B10&lt;=Assumptions!$D$9,IF(B10&gt;=Assumptions!$D$29,TREND($L$24:$L$25,$K$24:$K$25,B10),0),0)</f>
        <v>0</v>
      </c>
      <c r="D10" s="207">
        <f>IF(B10&lt;=Assumptions!$D$9,IF(B10&gt;=Assumptions!$D$29,TREND($N$24:$N$25,$M$24:$M$25,B10),0),0)</f>
        <v>0</v>
      </c>
      <c r="E10" s="210">
        <f t="shared" si="0"/>
        <v>0</v>
      </c>
      <c r="F10" s="210">
        <f t="shared" si="0"/>
        <v>0</v>
      </c>
      <c r="G10" s="211">
        <f t="shared" si="1"/>
        <v>0</v>
      </c>
      <c r="H10" s="210">
        <f>G10*(1+0.07)^-(B10-Assumptions!$D$4)</f>
        <v>0</v>
      </c>
      <c r="S10" s="345" t="s">
        <v>115</v>
      </c>
      <c r="T10" s="345">
        <v>9.9</v>
      </c>
      <c r="U10" s="345">
        <v>9.3000000000000007</v>
      </c>
      <c r="AC10" s="345" t="s">
        <v>115</v>
      </c>
      <c r="AD10" s="345">
        <v>10.199999999999999</v>
      </c>
      <c r="AE10" s="345">
        <v>9.3000000000000007</v>
      </c>
    </row>
    <row r="11" spans="2:43" x14ac:dyDescent="0.25">
      <c r="B11" s="2">
        <f t="shared" si="2"/>
        <v>2033</v>
      </c>
      <c r="C11" s="207">
        <f>IF(B11&lt;=Assumptions!$D$9,IF(B11&gt;=Assumptions!$D$29,TREND($L$24:$L$25,$K$24:$K$25,B11),0),0)</f>
        <v>0</v>
      </c>
      <c r="D11" s="207">
        <f>IF(B11&lt;=Assumptions!$D$9,IF(B11&gt;=Assumptions!$D$29,TREND($N$24:$N$25,$M$24:$M$25,B11),0),0)</f>
        <v>0</v>
      </c>
      <c r="E11" s="210">
        <f t="shared" si="0"/>
        <v>0</v>
      </c>
      <c r="F11" s="210">
        <f t="shared" si="0"/>
        <v>0</v>
      </c>
      <c r="G11" s="211">
        <f t="shared" si="1"/>
        <v>0</v>
      </c>
      <c r="H11" s="210">
        <f>G11*(1+0.07)^-(B11-Assumptions!$D$4)</f>
        <v>0</v>
      </c>
      <c r="K11" s="77" t="s">
        <v>207</v>
      </c>
      <c r="L11" s="77"/>
      <c r="S11" s="345" t="s">
        <v>116</v>
      </c>
      <c r="T11" s="345">
        <v>14</v>
      </c>
      <c r="U11" s="345">
        <v>9</v>
      </c>
      <c r="AC11" s="345" t="s">
        <v>116</v>
      </c>
      <c r="AD11" s="345">
        <v>14</v>
      </c>
      <c r="AE11" s="345">
        <v>9</v>
      </c>
    </row>
    <row r="12" spans="2:43" x14ac:dyDescent="0.25">
      <c r="B12" s="2">
        <f t="shared" si="2"/>
        <v>2034</v>
      </c>
      <c r="C12" s="207">
        <f>IF(B12&lt;=Assumptions!$D$9,IF(B12&gt;=Assumptions!$D$29,TREND($L$24:$L$25,$K$24:$K$25,B12),0),0)</f>
        <v>0</v>
      </c>
      <c r="D12" s="207">
        <f>IF(B12&lt;=Assumptions!$D$9,IF(B12&gt;=Assumptions!$D$29,TREND($N$24:$N$25,$M$24:$M$25,B12),0),0)</f>
        <v>0</v>
      </c>
      <c r="E12" s="210">
        <f t="shared" si="0"/>
        <v>0</v>
      </c>
      <c r="F12" s="210">
        <f t="shared" si="0"/>
        <v>0</v>
      </c>
      <c r="G12" s="211">
        <f t="shared" si="1"/>
        <v>0</v>
      </c>
      <c r="H12" s="210">
        <f>G12*(1+0.07)^-(B12-Assumptions!$D$4)</f>
        <v>0</v>
      </c>
      <c r="K12" s="201" t="s">
        <v>43</v>
      </c>
      <c r="L12" s="201" t="s">
        <v>103</v>
      </c>
      <c r="M12" s="12"/>
      <c r="S12" s="345" t="s">
        <v>211</v>
      </c>
      <c r="T12" s="310" t="s">
        <v>226</v>
      </c>
      <c r="U12" s="310" t="s">
        <v>227</v>
      </c>
      <c r="AC12" s="345" t="s">
        <v>211</v>
      </c>
      <c r="AD12" s="310" t="s">
        <v>229</v>
      </c>
      <c r="AE12" s="310" t="s">
        <v>228</v>
      </c>
    </row>
    <row r="13" spans="2:43" ht="15" customHeight="1" x14ac:dyDescent="0.25">
      <c r="B13" s="2">
        <f t="shared" si="2"/>
        <v>2035</v>
      </c>
      <c r="C13" s="207">
        <f>IF(B13&lt;=Assumptions!$D$9,IF(B13&gt;=Assumptions!$D$29,TREND($L$24:$L$25,$K$24:$K$25,B13),0),0)</f>
        <v>0</v>
      </c>
      <c r="D13" s="207">
        <f>IF(B13&lt;=Assumptions!$D$9,IF(B13&gt;=Assumptions!$D$29,TREND($N$24:$N$25,$M$24:$M$25,B13),0),0)</f>
        <v>0</v>
      </c>
      <c r="E13" s="210">
        <f t="shared" si="0"/>
        <v>0</v>
      </c>
      <c r="F13" s="210">
        <f t="shared" si="0"/>
        <v>0</v>
      </c>
      <c r="G13" s="211">
        <f t="shared" si="1"/>
        <v>0</v>
      </c>
      <c r="H13" s="210">
        <f>G13*(1+0.07)^-(B13-Assumptions!$D$4)</f>
        <v>0</v>
      </c>
      <c r="K13" s="201">
        <v>2022</v>
      </c>
      <c r="L13" s="150">
        <f>Assumptions!$D$30</f>
        <v>37825</v>
      </c>
    </row>
    <row r="14" spans="2:43" x14ac:dyDescent="0.25">
      <c r="B14" s="2">
        <f t="shared" si="2"/>
        <v>2036</v>
      </c>
      <c r="C14" s="207">
        <f>IF(B14&lt;=Assumptions!$D$9,IF(B14&gt;=Assumptions!$D$29,TREND($L$24:$L$25,$K$24:$K$25,B14),0),0)</f>
        <v>0</v>
      </c>
      <c r="D14" s="207">
        <f>IF(B14&lt;=Assumptions!$D$9,IF(B14&gt;=Assumptions!$D$29,TREND($N$24:$N$25,$M$24:$M$25,B14),0),0)</f>
        <v>0</v>
      </c>
      <c r="E14" s="210">
        <f t="shared" si="0"/>
        <v>0</v>
      </c>
      <c r="F14" s="210">
        <f t="shared" si="0"/>
        <v>0</v>
      </c>
      <c r="G14" s="211">
        <f t="shared" si="1"/>
        <v>0</v>
      </c>
      <c r="H14" s="210">
        <f>G14*(1+0.07)^-(B14-Assumptions!$D$4)</f>
        <v>0</v>
      </c>
      <c r="K14" s="201">
        <v>2042</v>
      </c>
      <c r="L14" s="150">
        <f>Assumptions!$D$31</f>
        <v>49525</v>
      </c>
      <c r="R14" s="348" t="s">
        <v>232</v>
      </c>
      <c r="S14" s="222"/>
      <c r="T14" s="222"/>
      <c r="U14" s="222"/>
      <c r="V14" s="222"/>
      <c r="W14" s="222"/>
      <c r="X14" s="222"/>
      <c r="Y14" s="222"/>
      <c r="Z14" s="222"/>
      <c r="AA14" s="348" t="s">
        <v>233</v>
      </c>
      <c r="AB14" s="222"/>
      <c r="AC14" s="222"/>
      <c r="AD14" s="222"/>
      <c r="AE14" s="222"/>
    </row>
    <row r="15" spans="2:43" x14ac:dyDescent="0.25">
      <c r="B15" s="2">
        <f t="shared" si="2"/>
        <v>2037</v>
      </c>
      <c r="C15" s="207">
        <f>IF(B15&lt;=Assumptions!$D$9,IF(B15&gt;=Assumptions!$D$29,TREND($L$24:$L$25,$K$24:$K$25,B15),0),0)</f>
        <v>0</v>
      </c>
      <c r="D15" s="207">
        <f>IF(B15&lt;=Assumptions!$D$9,IF(B15&gt;=Assumptions!$D$29,TREND($N$24:$N$25,$M$24:$M$25,B15),0),0)</f>
        <v>0</v>
      </c>
      <c r="E15" s="210">
        <f t="shared" si="0"/>
        <v>0</v>
      </c>
      <c r="F15" s="210">
        <f t="shared" si="0"/>
        <v>0</v>
      </c>
      <c r="G15" s="211">
        <f t="shared" si="1"/>
        <v>0</v>
      </c>
      <c r="H15" s="210">
        <f>G15*(1+0.07)^-(B15-Assumptions!$D$4)</f>
        <v>0</v>
      </c>
      <c r="R15" s="222"/>
      <c r="S15" s="222"/>
      <c r="T15" s="222"/>
      <c r="U15" s="222"/>
      <c r="V15" s="222"/>
      <c r="W15" s="222"/>
      <c r="X15" s="222"/>
      <c r="Y15" s="222"/>
      <c r="Z15" s="222"/>
      <c r="AA15" s="222"/>
      <c r="AB15" s="222"/>
      <c r="AC15" s="222"/>
      <c r="AD15" s="222"/>
      <c r="AE15" s="222"/>
    </row>
    <row r="16" spans="2:43" x14ac:dyDescent="0.25">
      <c r="B16" s="2">
        <f t="shared" si="2"/>
        <v>2038</v>
      </c>
      <c r="C16" s="207">
        <f>IF(B16&lt;=Assumptions!$D$9,IF(B16&gt;=Assumptions!$D$29,TREND($L$24:$L$25,$K$24:$K$25,B16),0),0)</f>
        <v>0</v>
      </c>
      <c r="D16" s="207">
        <f>IF(B16&lt;=Assumptions!$D$9,IF(B16&gt;=Assumptions!$D$29,TREND($N$24:$N$25,$M$24:$M$25,B16),0),0)</f>
        <v>0</v>
      </c>
      <c r="E16" s="210">
        <f t="shared" si="0"/>
        <v>0</v>
      </c>
      <c r="F16" s="210">
        <f t="shared" si="0"/>
        <v>0</v>
      </c>
      <c r="G16" s="211">
        <f t="shared" si="1"/>
        <v>0</v>
      </c>
      <c r="H16" s="210">
        <f>G16*(1+0.07)^-(B16-Assumptions!$D$4)</f>
        <v>0</v>
      </c>
      <c r="K16" s="245" t="s">
        <v>208</v>
      </c>
      <c r="R16" s="222"/>
      <c r="S16" s="222"/>
      <c r="T16" s="222"/>
      <c r="U16" s="222"/>
      <c r="V16" s="222"/>
      <c r="W16" s="222"/>
      <c r="X16" s="222"/>
      <c r="Y16" s="222"/>
      <c r="Z16" s="222"/>
      <c r="AA16" s="222"/>
      <c r="AB16" s="222"/>
      <c r="AC16" s="222"/>
      <c r="AD16" s="222"/>
      <c r="AE16" s="222"/>
    </row>
    <row r="17" spans="1:31" x14ac:dyDescent="0.25">
      <c r="B17" s="2">
        <f t="shared" si="2"/>
        <v>2039</v>
      </c>
      <c r="C17" s="207">
        <f>IF(B17&lt;=Assumptions!$D$9,IF(B17&gt;=Assumptions!$D$29,TREND($L$24:$L$25,$K$24:$K$25,B17),0),0)</f>
        <v>0</v>
      </c>
      <c r="D17" s="207">
        <f>IF(B17&lt;=Assumptions!$D$9,IF(B17&gt;=Assumptions!$D$29,TREND($N$24:$N$25,$M$24:$M$25,B17),0),0)</f>
        <v>0</v>
      </c>
      <c r="E17" s="210">
        <f t="shared" si="0"/>
        <v>0</v>
      </c>
      <c r="F17" s="210">
        <f t="shared" si="0"/>
        <v>0</v>
      </c>
      <c r="G17" s="211">
        <f t="shared" si="1"/>
        <v>0</v>
      </c>
      <c r="H17" s="210">
        <f>G17*(1+0.07)^-(B17-Assumptions!$D$4)</f>
        <v>0</v>
      </c>
      <c r="K17" s="483" t="s">
        <v>113</v>
      </c>
      <c r="L17" s="484"/>
      <c r="M17" s="483" t="s">
        <v>114</v>
      </c>
      <c r="N17" s="484"/>
      <c r="R17" s="222"/>
      <c r="S17" s="222"/>
      <c r="T17" s="222"/>
      <c r="U17" s="222"/>
      <c r="V17" s="222"/>
      <c r="W17" s="222"/>
      <c r="X17" s="222"/>
      <c r="Y17" s="222"/>
      <c r="Z17" s="222"/>
      <c r="AA17" s="222"/>
      <c r="AB17" s="222"/>
      <c r="AC17" s="222"/>
      <c r="AD17" s="222"/>
      <c r="AE17" s="222"/>
    </row>
    <row r="18" spans="1:31" x14ac:dyDescent="0.25">
      <c r="B18" s="2">
        <f t="shared" si="2"/>
        <v>2040</v>
      </c>
      <c r="C18" s="207">
        <f>IF(B18&lt;=Assumptions!$D$9,IF(B18&gt;=Assumptions!$D$29,TREND($L$24:$L$25,$K$24:$K$25,B18),0),0)</f>
        <v>0</v>
      </c>
      <c r="D18" s="207">
        <f>IF(B18&lt;=Assumptions!$D$9,IF(B18&gt;=Assumptions!$D$29,TREND($N$24:$N$25,$M$24:$M$25,B18),0),0)</f>
        <v>0</v>
      </c>
      <c r="E18" s="210">
        <f t="shared" si="0"/>
        <v>0</v>
      </c>
      <c r="F18" s="210">
        <f t="shared" si="0"/>
        <v>0</v>
      </c>
      <c r="G18" s="211">
        <f t="shared" si="1"/>
        <v>0</v>
      </c>
      <c r="H18" s="210">
        <f>G18*(1+0.07)^-(B18-Assumptions!$D$4)</f>
        <v>0</v>
      </c>
      <c r="K18" s="345" t="s">
        <v>115</v>
      </c>
      <c r="L18" s="345">
        <f>AVERAGE($T$10,$AD$10)</f>
        <v>10.050000000000001</v>
      </c>
      <c r="M18" s="345" t="s">
        <v>115</v>
      </c>
      <c r="N18" s="345">
        <f>AVERAGE($U$10,$AE$10)</f>
        <v>9.3000000000000007</v>
      </c>
      <c r="R18" s="222"/>
      <c r="S18" s="222"/>
      <c r="T18" s="222"/>
      <c r="U18" s="222"/>
      <c r="V18" s="222"/>
      <c r="W18" s="222"/>
      <c r="X18" s="222"/>
      <c r="Y18" s="222"/>
      <c r="Z18" s="222"/>
      <c r="AA18" s="222"/>
      <c r="AB18" s="222"/>
      <c r="AC18" s="222"/>
      <c r="AD18" s="222"/>
      <c r="AE18" s="222"/>
    </row>
    <row r="19" spans="1:31" x14ac:dyDescent="0.25">
      <c r="B19" s="2">
        <f t="shared" si="2"/>
        <v>2041</v>
      </c>
      <c r="C19" s="207">
        <f>IF(B19&lt;=Assumptions!$D$9,IF(B19&gt;=Assumptions!$D$29,TREND($L$24:$L$25,$K$24:$K$25,B19),0),0)</f>
        <v>0</v>
      </c>
      <c r="D19" s="207">
        <f>IF(B19&lt;=Assumptions!$D$9,IF(B19&gt;=Assumptions!$D$29,TREND($N$24:$N$25,$M$24:$M$25,B19),0),0)</f>
        <v>0</v>
      </c>
      <c r="E19" s="210">
        <f t="shared" si="0"/>
        <v>0</v>
      </c>
      <c r="F19" s="210">
        <f t="shared" si="0"/>
        <v>0</v>
      </c>
      <c r="G19" s="211">
        <f t="shared" si="1"/>
        <v>0</v>
      </c>
      <c r="H19" s="210">
        <f>G19*(1+0.07)^-(B19-Assumptions!$D$4)</f>
        <v>0</v>
      </c>
      <c r="K19" s="345" t="s">
        <v>116</v>
      </c>
      <c r="L19" s="270">
        <f>AVERAGE($T$11,$AD$11)</f>
        <v>14</v>
      </c>
      <c r="M19" s="345" t="s">
        <v>116</v>
      </c>
      <c r="N19" s="270">
        <f>AVERAGE($U$11,$AE$11)</f>
        <v>9</v>
      </c>
      <c r="R19" s="222"/>
      <c r="S19" s="222"/>
      <c r="T19" s="222"/>
      <c r="U19" s="222"/>
      <c r="V19" s="222"/>
      <c r="W19" s="222"/>
      <c r="X19" s="222"/>
      <c r="Y19" s="222"/>
      <c r="Z19" s="222"/>
      <c r="AA19" s="222"/>
      <c r="AB19" s="222"/>
      <c r="AC19" s="222"/>
      <c r="AD19" s="222"/>
      <c r="AE19" s="222"/>
    </row>
    <row r="20" spans="1:31" ht="14.25" customHeight="1" x14ac:dyDescent="0.25">
      <c r="B20" s="2">
        <f t="shared" si="2"/>
        <v>2042</v>
      </c>
      <c r="C20" s="207">
        <f>IF(B20&lt;=Assumptions!$D$9,IF(B20&gt;=Assumptions!$D$29,TREND($L$24:$L$25,$K$24:$K$25,B20),0),0)</f>
        <v>0</v>
      </c>
      <c r="D20" s="207">
        <f>IF(B20&lt;=Assumptions!$D$9,IF(B20&gt;=Assumptions!$D$29,TREND($N$24:$N$25,$M$24:$M$25,B20),0),0)</f>
        <v>0</v>
      </c>
      <c r="E20" s="210">
        <f t="shared" si="0"/>
        <v>0</v>
      </c>
      <c r="F20" s="210">
        <f t="shared" si="0"/>
        <v>0</v>
      </c>
      <c r="G20" s="211">
        <f t="shared" si="1"/>
        <v>0</v>
      </c>
      <c r="H20" s="210">
        <f>G20*(1+0.07)^-(B20-Assumptions!$D$4)</f>
        <v>0</v>
      </c>
      <c r="N20" s="242"/>
      <c r="R20" s="222"/>
      <c r="S20" s="222"/>
      <c r="T20" s="222"/>
      <c r="U20" s="222"/>
      <c r="V20" s="222"/>
      <c r="W20" s="222"/>
      <c r="X20" s="222"/>
      <c r="Y20" s="222"/>
      <c r="Z20" s="222"/>
      <c r="AA20" s="222"/>
      <c r="AB20" s="222"/>
      <c r="AC20" s="222"/>
      <c r="AD20" s="222"/>
      <c r="AE20" s="222"/>
    </row>
    <row r="21" spans="1:31" ht="15" customHeight="1" x14ac:dyDescent="0.25">
      <c r="B21" s="2">
        <f t="shared" si="2"/>
        <v>2043</v>
      </c>
      <c r="C21" s="207">
        <f>IF(B21&lt;=Assumptions!$D$9,IF(B21&gt;=Assumptions!$D$29,TREND($L$24:$L$25,$K$24:$K$25,B21),0),0)</f>
        <v>0</v>
      </c>
      <c r="D21" s="207">
        <f>IF(B21&lt;=Assumptions!$D$9,IF(B21&gt;=Assumptions!$D$29,TREND($N$24:$N$25,$M$24:$M$25,B21),0),0)</f>
        <v>0</v>
      </c>
      <c r="E21" s="210">
        <f t="shared" si="0"/>
        <v>0</v>
      </c>
      <c r="F21" s="210">
        <f t="shared" si="0"/>
        <v>0</v>
      </c>
      <c r="G21" s="211">
        <f t="shared" si="1"/>
        <v>0</v>
      </c>
      <c r="H21" s="210">
        <f>G21*(1+0.07)^-(B21-Assumptions!$D$4)</f>
        <v>0</v>
      </c>
      <c r="K21" s="179" t="s">
        <v>209</v>
      </c>
      <c r="N21" s="242"/>
      <c r="P21" s="75"/>
      <c r="R21" s="222"/>
      <c r="S21" s="222"/>
      <c r="T21" s="222"/>
      <c r="U21" s="222"/>
      <c r="V21" s="222"/>
      <c r="W21" s="222"/>
      <c r="X21" s="222"/>
      <c r="Y21" s="222"/>
      <c r="Z21" s="222"/>
      <c r="AA21" s="222"/>
      <c r="AB21" s="222"/>
      <c r="AC21" s="222"/>
      <c r="AD21" s="222"/>
      <c r="AE21" s="222"/>
    </row>
    <row r="22" spans="1:31" x14ac:dyDescent="0.25">
      <c r="B22" s="2">
        <f t="shared" si="2"/>
        <v>2044</v>
      </c>
      <c r="C22" s="207">
        <f>IF(B22&lt;=Assumptions!$D$9,IF(B22&gt;=Assumptions!$D$29,TREND($L$24:$L$25,$K$24:$K$25,B22),0),0)</f>
        <v>0</v>
      </c>
      <c r="D22" s="207">
        <f>IF(B22&lt;=Assumptions!$D$9,IF(B22&gt;=Assumptions!$D$29,TREND($N$24:$N$25,$M$24:$M$25,B22),0),0)</f>
        <v>0</v>
      </c>
      <c r="E22" s="210">
        <f t="shared" si="0"/>
        <v>0</v>
      </c>
      <c r="F22" s="210">
        <f t="shared" si="0"/>
        <v>0</v>
      </c>
      <c r="G22" s="211">
        <f t="shared" si="1"/>
        <v>0</v>
      </c>
      <c r="H22" s="210">
        <f>G22*(1+0.07)^-(B22-Assumptions!$D$4)</f>
        <v>0</v>
      </c>
      <c r="K22" s="495" t="s">
        <v>113</v>
      </c>
      <c r="L22" s="495"/>
      <c r="M22" s="495" t="s">
        <v>114</v>
      </c>
      <c r="N22" s="495"/>
      <c r="O22" s="289"/>
      <c r="P22" s="75"/>
      <c r="R22" s="222"/>
      <c r="S22" s="222"/>
      <c r="T22" s="222"/>
      <c r="U22" s="222"/>
      <c r="V22" s="222"/>
      <c r="W22" s="222"/>
      <c r="X22" s="222"/>
      <c r="Y22" s="222"/>
      <c r="Z22" s="222"/>
      <c r="AA22" s="222"/>
      <c r="AB22" s="222"/>
      <c r="AC22" s="222"/>
      <c r="AD22" s="222"/>
      <c r="AE22" s="222"/>
    </row>
    <row r="23" spans="1:31" x14ac:dyDescent="0.25">
      <c r="B23" s="2">
        <f t="shared" si="2"/>
        <v>2045</v>
      </c>
      <c r="C23" s="207">
        <f>IF(B23&lt;=Assumptions!$D$9,IF(B23&gt;=Assumptions!$D$29,TREND($L$24:$L$25,$K$24:$K$25,B23),0),0)</f>
        <v>0</v>
      </c>
      <c r="D23" s="207">
        <f>IF(B23&lt;=Assumptions!$D$9,IF(B23&gt;=Assumptions!$D$29,TREND($N$24:$N$25,$M$24:$M$25,B23),0),0)</f>
        <v>0</v>
      </c>
      <c r="E23" s="210">
        <f t="shared" si="0"/>
        <v>0</v>
      </c>
      <c r="F23" s="210">
        <f t="shared" si="0"/>
        <v>0</v>
      </c>
      <c r="G23" s="211">
        <f t="shared" si="1"/>
        <v>0</v>
      </c>
      <c r="H23" s="210">
        <f>G23*(1+0.07)^-(B23-Assumptions!$D$4)</f>
        <v>0</v>
      </c>
      <c r="K23" s="240" t="s">
        <v>43</v>
      </c>
      <c r="L23" s="240" t="s">
        <v>126</v>
      </c>
      <c r="M23" s="240" t="s">
        <v>43</v>
      </c>
      <c r="N23" s="240" t="s">
        <v>126</v>
      </c>
      <c r="S23" s="222"/>
      <c r="T23" s="222"/>
      <c r="U23" s="222"/>
      <c r="V23" s="222"/>
      <c r="W23" s="222"/>
      <c r="X23" s="222"/>
      <c r="Y23" s="222"/>
      <c r="Z23" s="222"/>
      <c r="AB23" s="222"/>
      <c r="AC23" s="222"/>
      <c r="AD23" s="222"/>
      <c r="AE23" s="222"/>
    </row>
    <row r="24" spans="1:31" x14ac:dyDescent="0.25">
      <c r="B24" s="2">
        <f t="shared" si="2"/>
        <v>2046</v>
      </c>
      <c r="C24" s="207">
        <f>IF(B24&lt;=Assumptions!$D$9,IF(B24&gt;=Assumptions!$D$29,TREND($L$24:$L$25,$K$24:$K$25,B24),0),0)</f>
        <v>47563446.5625</v>
      </c>
      <c r="D24" s="207">
        <f>IF(B24&lt;=Assumptions!$D$9,IF(B24&gt;=Assumptions!$D$29,TREND($N$24:$N$25,$M$24:$M$25,B24),0),0)</f>
        <v>44013935.625</v>
      </c>
      <c r="E24" s="210">
        <f t="shared" si="0"/>
        <v>44709639.768749997</v>
      </c>
      <c r="F24" s="210">
        <f t="shared" si="0"/>
        <v>41373099.487499997</v>
      </c>
      <c r="G24" s="211">
        <f t="shared" si="1"/>
        <v>3336540.28125</v>
      </c>
      <c r="H24" s="210">
        <f>G24*(1+0.07)^-(B24-Assumptions!$D$4)</f>
        <v>574537.19868236873</v>
      </c>
      <c r="K24" s="240">
        <v>2022</v>
      </c>
      <c r="L24" s="150">
        <f>$L$9*L13*$L$18*365</f>
        <v>34687889.0625</v>
      </c>
      <c r="M24" s="240">
        <v>2022</v>
      </c>
      <c r="N24" s="150">
        <f>$L$9*L13*$N$18*365</f>
        <v>32099240.625</v>
      </c>
      <c r="X24" s="222"/>
      <c r="Y24" s="222"/>
      <c r="Z24" s="222"/>
      <c r="AB24" s="222"/>
      <c r="AC24" s="222"/>
      <c r="AD24" s="222"/>
      <c r="AE24" s="222"/>
    </row>
    <row r="25" spans="1:31" ht="15" customHeight="1" x14ac:dyDescent="0.25">
      <c r="B25" s="2">
        <f t="shared" si="2"/>
        <v>2047</v>
      </c>
      <c r="C25" s="207">
        <f>IF(B25&lt;=Assumptions!$D$9,IF(B25&gt;=Assumptions!$D$29,TREND($L$24:$L$25,$K$24:$K$25,B25),0),0)</f>
        <v>48099928.125</v>
      </c>
      <c r="D25" s="207">
        <f>IF(B25&lt;=Assumptions!$D$9,IF(B25&gt;=Assumptions!$D$29,TREND($N$24:$N$25,$M$24:$M$25,B25),0),0)</f>
        <v>44510381.25</v>
      </c>
      <c r="E25" s="210">
        <f t="shared" ref="E25:E34" si="3">C25*$L$6</f>
        <v>45213932.4375</v>
      </c>
      <c r="F25" s="210">
        <f t="shared" ref="F25:F34" si="4">D25*$L$6</f>
        <v>41839758.375</v>
      </c>
      <c r="G25" s="211">
        <f t="shared" ref="G25:G34" si="5">(E25-F25)</f>
        <v>3374174.0625</v>
      </c>
      <c r="H25" s="210">
        <f>G25*(1+0.07)^-(B25-Assumptions!$D$4)</f>
        <v>543007.07121364202</v>
      </c>
      <c r="K25" s="240">
        <v>2042</v>
      </c>
      <c r="L25" s="150">
        <f>$L$9*L14*$L$18*365</f>
        <v>45417520.312500007</v>
      </c>
      <c r="M25" s="240">
        <v>2042</v>
      </c>
      <c r="N25" s="150">
        <f>$L$9*L14*$N$18*365</f>
        <v>42028153.125000007</v>
      </c>
      <c r="X25" s="222"/>
      <c r="Y25" s="222"/>
      <c r="Z25" s="222"/>
      <c r="AB25" s="222"/>
      <c r="AC25" s="222"/>
      <c r="AD25" s="222"/>
      <c r="AE25" s="222"/>
    </row>
    <row r="26" spans="1:31" ht="15" customHeight="1" x14ac:dyDescent="0.25">
      <c r="B26" s="2">
        <f t="shared" si="2"/>
        <v>2048</v>
      </c>
      <c r="C26" s="207">
        <f>IF(B26&lt;=Assumptions!$D$9,IF(B26&gt;=Assumptions!$D$29,TREND($L$24:$L$25,$K$24:$K$25,B26),0),0)</f>
        <v>48636409.6875</v>
      </c>
      <c r="D26" s="207">
        <f>IF(B26&lt;=Assumptions!$D$9,IF(B26&gt;=Assumptions!$D$29,TREND($N$24:$N$25,$M$24:$M$25,B26),0),0)</f>
        <v>45006826.875</v>
      </c>
      <c r="E26" s="210">
        <f t="shared" si="3"/>
        <v>45718225.106249996</v>
      </c>
      <c r="F26" s="210">
        <f t="shared" si="4"/>
        <v>42306417.262499996</v>
      </c>
      <c r="G26" s="211">
        <f t="shared" si="5"/>
        <v>3411807.84375</v>
      </c>
      <c r="H26" s="210">
        <f>G26*(1+0.07)^-(B26-Assumptions!$D$4)</f>
        <v>513143.4480870167</v>
      </c>
      <c r="M26" s="66"/>
      <c r="N26" s="320"/>
      <c r="X26" s="222"/>
      <c r="Y26" s="222"/>
      <c r="Z26" s="222"/>
      <c r="AB26" s="222"/>
      <c r="AC26" s="222"/>
      <c r="AD26" s="222"/>
      <c r="AE26" s="222"/>
    </row>
    <row r="27" spans="1:31" ht="15" customHeight="1" x14ac:dyDescent="0.25">
      <c r="B27" s="2">
        <f t="shared" si="2"/>
        <v>2049</v>
      </c>
      <c r="C27" s="207">
        <f>IF(B27&lt;=Assumptions!$D$9,IF(B27&gt;=Assumptions!$D$29,TREND($L$24:$L$25,$K$24:$K$25,B27),0),0)</f>
        <v>49172891.25</v>
      </c>
      <c r="D27" s="207">
        <f>IF(B27&lt;=Assumptions!$D$9,IF(B27&gt;=Assumptions!$D$29,TREND($N$24:$N$25,$M$24:$M$25,B27),0),0)</f>
        <v>45503272.5</v>
      </c>
      <c r="E27" s="210">
        <f t="shared" si="3"/>
        <v>46222517.774999999</v>
      </c>
      <c r="F27" s="210">
        <f t="shared" si="4"/>
        <v>42773076.149999999</v>
      </c>
      <c r="G27" s="211">
        <f t="shared" si="5"/>
        <v>3449441.625</v>
      </c>
      <c r="H27" s="210">
        <f>G27*(1+0.07)^-(B27-Assumptions!$D$4)</f>
        <v>484863.2262141442</v>
      </c>
      <c r="I27" s="12"/>
      <c r="K27" s="242"/>
      <c r="L27" s="242"/>
      <c r="M27" s="242"/>
      <c r="N27" s="242"/>
      <c r="X27" s="222"/>
      <c r="Y27" s="222"/>
      <c r="Z27" s="222"/>
      <c r="AB27" s="222"/>
      <c r="AC27" s="222"/>
      <c r="AD27" s="222"/>
      <c r="AE27" s="222"/>
    </row>
    <row r="28" spans="1:31" x14ac:dyDescent="0.25">
      <c r="A28" s="10"/>
      <c r="B28" s="2">
        <f t="shared" si="2"/>
        <v>2050</v>
      </c>
      <c r="C28" s="207">
        <f>IF(B28&lt;=Assumptions!$D$9,IF(B28&gt;=Assumptions!$D$29,TREND($L$24:$L$25,$K$24:$K$25,B28),0),0)</f>
        <v>49709372.8125</v>
      </c>
      <c r="D28" s="207">
        <f>IF(B28&lt;=Assumptions!$D$9,IF(B28&gt;=Assumptions!$D$29,TREND($N$24:$N$25,$M$24:$M$25,B28),0),0)</f>
        <v>45999718.125</v>
      </c>
      <c r="E28" s="210">
        <f t="shared" si="3"/>
        <v>46726810.443749994</v>
      </c>
      <c r="F28" s="210">
        <f t="shared" si="4"/>
        <v>43239735.037499994</v>
      </c>
      <c r="G28" s="211">
        <f t="shared" si="5"/>
        <v>3487075.40625</v>
      </c>
      <c r="H28" s="210">
        <f>G28*(1+0.07)^-(B28-Assumptions!$D$4)</f>
        <v>458087.04341973265</v>
      </c>
      <c r="K28" s="496"/>
      <c r="L28" s="496"/>
      <c r="M28" s="496"/>
      <c r="N28" s="496"/>
      <c r="X28" s="222"/>
      <c r="Y28" s="222"/>
      <c r="Z28" s="222"/>
      <c r="AB28" s="222"/>
      <c r="AC28" s="222"/>
      <c r="AD28" s="222"/>
      <c r="AE28" s="222"/>
    </row>
    <row r="29" spans="1:31" ht="15" customHeight="1" x14ac:dyDescent="0.25">
      <c r="A29" s="222"/>
      <c r="B29" s="2">
        <f t="shared" si="2"/>
        <v>2051</v>
      </c>
      <c r="C29" s="207">
        <f>IF(B29&lt;=Assumptions!$D$9,IF(B29&gt;=Assumptions!$D$29,TREND($L$24:$L$25,$K$24:$K$25,B29),0),0)</f>
        <v>50245854.375</v>
      </c>
      <c r="D29" s="207">
        <f>IF(B29&lt;=Assumptions!$D$9,IF(B29&gt;=Assumptions!$D$29,TREND($N$24:$N$25,$M$24:$M$25,B29),0),0)</f>
        <v>46496163.75</v>
      </c>
      <c r="E29" s="210">
        <f t="shared" si="3"/>
        <v>47231103.112499997</v>
      </c>
      <c r="F29" s="210">
        <f t="shared" si="4"/>
        <v>43706393.924999997</v>
      </c>
      <c r="G29" s="211">
        <f t="shared" si="5"/>
        <v>3524709.1875</v>
      </c>
      <c r="H29" s="210">
        <f>G29*(1+0.07)^-(B29-Assumptions!$D$4)</f>
        <v>432739.14464502002</v>
      </c>
      <c r="K29" s="242"/>
      <c r="L29" s="242"/>
      <c r="M29" s="242"/>
      <c r="N29" s="242"/>
      <c r="X29" s="222"/>
      <c r="Y29" s="222"/>
      <c r="Z29" s="222"/>
      <c r="AB29" s="222"/>
      <c r="AC29" s="222"/>
      <c r="AD29" s="222"/>
      <c r="AE29" s="222"/>
    </row>
    <row r="30" spans="1:31" x14ac:dyDescent="0.25">
      <c r="A30" s="222"/>
      <c r="B30" s="2">
        <f t="shared" si="2"/>
        <v>2052</v>
      </c>
      <c r="C30" s="207">
        <f>IF(B30&lt;=Assumptions!$D$9,IF(B30&gt;=Assumptions!$D$29,TREND($L$24:$L$25,$K$24:$K$25,B30),0),0)</f>
        <v>50782335.9375</v>
      </c>
      <c r="D30" s="207">
        <f>IF(B30&lt;=Assumptions!$D$9,IF(B30&gt;=Assumptions!$D$29,TREND($N$24:$N$25,$M$24:$M$25,B30),0),0)</f>
        <v>46992609.375</v>
      </c>
      <c r="E30" s="210">
        <f t="shared" si="3"/>
        <v>47735395.78125</v>
      </c>
      <c r="F30" s="210">
        <f t="shared" si="4"/>
        <v>44173052.8125</v>
      </c>
      <c r="G30" s="211">
        <f t="shared" si="5"/>
        <v>3562342.96875</v>
      </c>
      <c r="H30" s="210">
        <f>G30*(1+0.07)^-(B30-Assumptions!$D$4)</f>
        <v>408747.2496467905</v>
      </c>
      <c r="K30" s="242"/>
      <c r="L30" s="242"/>
      <c r="M30" s="242"/>
      <c r="N30" s="242"/>
      <c r="X30" s="222"/>
      <c r="Y30" s="222"/>
      <c r="Z30" s="222"/>
      <c r="AB30" s="222"/>
      <c r="AC30" s="222"/>
      <c r="AD30" s="222"/>
      <c r="AE30" s="222"/>
    </row>
    <row r="31" spans="1:31" x14ac:dyDescent="0.25">
      <c r="A31" s="222"/>
      <c r="B31" s="2">
        <f t="shared" si="2"/>
        <v>2053</v>
      </c>
      <c r="C31" s="207">
        <f>IF(B31&lt;=Assumptions!$D$9,IF(B31&gt;=Assumptions!$D$29,TREND($L$24:$L$25,$K$24:$K$25,B31),0),0)</f>
        <v>51318817.5</v>
      </c>
      <c r="D31" s="207">
        <f>IF(B31&lt;=Assumptions!$D$9,IF(B31&gt;=Assumptions!$D$29,TREND($N$24:$N$25,$M$24:$M$25,B31),0),0)</f>
        <v>47489055</v>
      </c>
      <c r="E31" s="210">
        <f t="shared" si="3"/>
        <v>48239688.449999996</v>
      </c>
      <c r="F31" s="210">
        <f t="shared" si="4"/>
        <v>44639711.699999996</v>
      </c>
      <c r="G31" s="211">
        <f t="shared" si="5"/>
        <v>3599976.75</v>
      </c>
      <c r="H31" s="210">
        <f>G31*(1+0.07)^-(B31-Assumptions!$D$4)</f>
        <v>386042.42256888078</v>
      </c>
      <c r="K31" s="242"/>
      <c r="L31" s="242"/>
      <c r="M31" s="242"/>
      <c r="N31" s="242"/>
      <c r="X31" s="222"/>
      <c r="Y31" s="222"/>
      <c r="Z31" s="222"/>
      <c r="AB31" s="222"/>
      <c r="AC31" s="222"/>
      <c r="AD31" s="222"/>
      <c r="AE31" s="222"/>
    </row>
    <row r="32" spans="1:31" x14ac:dyDescent="0.25">
      <c r="A32" s="222"/>
      <c r="B32" s="2">
        <f t="shared" si="2"/>
        <v>2054</v>
      </c>
      <c r="C32" s="207">
        <f>IF(B32&lt;=Assumptions!$D$9,IF(B32&gt;=Assumptions!$D$29,TREND($L$24:$L$25,$K$24:$K$25,B32),0),0)</f>
        <v>51855299.0625</v>
      </c>
      <c r="D32" s="207">
        <f>IF(B32&lt;=Assumptions!$D$9,IF(B32&gt;=Assumptions!$D$29,TREND($N$24:$N$25,$M$24:$M$25,B32),0),0)</f>
        <v>47985500.625</v>
      </c>
      <c r="E32" s="210">
        <f t="shared" si="3"/>
        <v>48743981.118749999</v>
      </c>
      <c r="F32" s="210">
        <f t="shared" si="4"/>
        <v>45106370.587499999</v>
      </c>
      <c r="G32" s="211">
        <f t="shared" si="5"/>
        <v>3637610.53125</v>
      </c>
      <c r="H32" s="210">
        <f>G32*(1+0.07)^-(B32-Assumptions!$D$4)</f>
        <v>364558.9437074106</v>
      </c>
      <c r="X32" s="222"/>
      <c r="Y32" s="222"/>
      <c r="Z32" s="222"/>
      <c r="AB32" s="222"/>
      <c r="AC32" s="222"/>
      <c r="AD32" s="222"/>
      <c r="AE32" s="222"/>
    </row>
    <row r="33" spans="1:31" ht="15" customHeight="1" x14ac:dyDescent="0.25">
      <c r="A33" s="222"/>
      <c r="B33" s="2">
        <f t="shared" si="2"/>
        <v>2055</v>
      </c>
      <c r="C33" s="207">
        <f>IF(B33&lt;=Assumptions!$D$9,IF(B33&gt;=Assumptions!$D$29,TREND($L$24:$L$25,$K$24:$K$25,B33),0),0)</f>
        <v>52391780.625</v>
      </c>
      <c r="D33" s="207">
        <f>IF(B33&lt;=Assumptions!$D$9,IF(B33&gt;=Assumptions!$D$29,TREND($N$24:$N$25,$M$24:$M$25,B33),0),0)</f>
        <v>48481946.25</v>
      </c>
      <c r="E33" s="210">
        <f t="shared" si="3"/>
        <v>49248273.787499994</v>
      </c>
      <c r="F33" s="210">
        <f t="shared" si="4"/>
        <v>45573029.474999994</v>
      </c>
      <c r="G33" s="211">
        <f t="shared" si="5"/>
        <v>3675244.3125</v>
      </c>
      <c r="H33" s="210">
        <f>G33*(1+0.07)^-(B33-Assumptions!$D$4)</f>
        <v>344234.1837409187</v>
      </c>
      <c r="R33" s="348" t="s">
        <v>234</v>
      </c>
      <c r="X33" s="222"/>
      <c r="Y33" s="222"/>
      <c r="Z33" s="222"/>
      <c r="AA33" s="348" t="s">
        <v>235</v>
      </c>
      <c r="AB33" s="222"/>
      <c r="AC33" s="222"/>
      <c r="AD33" s="222"/>
      <c r="AE33" s="222"/>
    </row>
    <row r="34" spans="1:31" ht="15" customHeight="1" x14ac:dyDescent="0.25">
      <c r="A34" s="222"/>
      <c r="B34" s="2">
        <f t="shared" si="2"/>
        <v>2056</v>
      </c>
      <c r="C34" s="207">
        <f>IF(B34&lt;=Assumptions!$D$9,IF(B34&gt;=Assumptions!$D$29,TREND($L$24:$L$25,$K$24:$K$25,B34),0),0)</f>
        <v>52928262.1875</v>
      </c>
      <c r="D34" s="207">
        <f>IF(B34&lt;=Assumptions!$D$9,IF(B34&gt;=Assumptions!$D$29,TREND($N$24:$N$25,$M$24:$M$25,B34),0),0)</f>
        <v>48978391.875</v>
      </c>
      <c r="E34" s="210">
        <f t="shared" si="3"/>
        <v>49752566.456249997</v>
      </c>
      <c r="F34" s="210">
        <f t="shared" si="4"/>
        <v>46039688.362499997</v>
      </c>
      <c r="G34" s="211">
        <f t="shared" si="5"/>
        <v>3712878.09375</v>
      </c>
      <c r="H34" s="210">
        <f>G34*(1+0.07)^-(B34-Assumptions!$D$4)</f>
        <v>325008.48065172107</v>
      </c>
      <c r="X34" s="222"/>
      <c r="Y34" s="222"/>
      <c r="Z34" s="222"/>
      <c r="AA34" s="222"/>
      <c r="AB34" s="222"/>
      <c r="AC34" s="222"/>
      <c r="AD34" s="222"/>
      <c r="AE34" s="222"/>
    </row>
    <row r="35" spans="1:31" ht="15" customHeight="1" thickBot="1" x14ac:dyDescent="0.3">
      <c r="A35" s="222"/>
      <c r="B35" s="3">
        <f>B34+1</f>
        <v>2057</v>
      </c>
      <c r="C35" s="213">
        <f>IF(B35&lt;=Assumptions!$D$9,IF(B35&gt;=Assumptions!$D$29,TREND($L$24:$L$25,$K$24:$K$25,B35),0),0)</f>
        <v>53464743.75</v>
      </c>
      <c r="D35" s="213">
        <f>IF(B35&lt;=Assumptions!$D$9,IF(B35&gt;=Assumptions!$D$29,TREND($N$24:$N$25,$M$24:$M$25,B35),0),0)</f>
        <v>49474837.5</v>
      </c>
      <c r="E35" s="214">
        <f>C35*$L$6</f>
        <v>50256859.125</v>
      </c>
      <c r="F35" s="214">
        <f>D35*$L$6</f>
        <v>46506347.25</v>
      </c>
      <c r="G35" s="215">
        <f>(E35-F35)</f>
        <v>3750511.875</v>
      </c>
      <c r="H35" s="214">
        <f>G35*(1+0.07)^-(B35-Assumptions!$D$4)</f>
        <v>306825.01952464355</v>
      </c>
      <c r="I35" s="206"/>
      <c r="X35" s="222"/>
      <c r="Y35" s="222"/>
      <c r="Z35" s="222"/>
      <c r="AA35" s="222"/>
      <c r="AB35" s="222"/>
      <c r="AC35" s="222"/>
      <c r="AD35" s="222"/>
      <c r="AE35" s="222"/>
    </row>
    <row r="36" spans="1:31" ht="15" customHeight="1" thickBot="1" x14ac:dyDescent="0.3">
      <c r="A36" s="222"/>
      <c r="B36" s="4"/>
      <c r="C36" s="4"/>
      <c r="D36" s="4"/>
      <c r="E36" s="216"/>
      <c r="F36" s="216"/>
      <c r="G36" s="80" t="s">
        <v>2</v>
      </c>
      <c r="H36" s="190">
        <f>SUM(H6:H35)</f>
        <v>5141793.43210229</v>
      </c>
      <c r="I36" s="218"/>
      <c r="X36" s="222"/>
      <c r="Y36" s="222"/>
      <c r="Z36" s="222"/>
      <c r="AA36" s="222"/>
      <c r="AB36" s="222"/>
      <c r="AC36" s="222"/>
      <c r="AD36" s="222"/>
      <c r="AE36" s="222"/>
    </row>
    <row r="37" spans="1:31" x14ac:dyDescent="0.25">
      <c r="A37" s="222"/>
      <c r="B37" s="222"/>
      <c r="C37" s="222"/>
      <c r="D37" s="222"/>
      <c r="E37" s="222"/>
      <c r="F37" s="222"/>
      <c r="G37" s="222"/>
      <c r="X37" s="222"/>
      <c r="Y37" s="222"/>
      <c r="Z37" s="222"/>
      <c r="AA37" s="222"/>
      <c r="AB37" s="222"/>
      <c r="AC37" s="222"/>
      <c r="AD37" s="222"/>
      <c r="AE37" s="222"/>
    </row>
    <row r="38" spans="1:31" x14ac:dyDescent="0.25">
      <c r="X38" s="222"/>
      <c r="Y38" s="222"/>
      <c r="Z38" s="222"/>
      <c r="AA38" s="222"/>
      <c r="AB38" s="222"/>
      <c r="AC38" s="222"/>
      <c r="AD38" s="222"/>
      <c r="AE38" s="222"/>
    </row>
    <row r="39" spans="1:31" ht="15" customHeight="1" x14ac:dyDescent="0.25">
      <c r="X39" s="222"/>
      <c r="Y39" s="222"/>
      <c r="Z39" s="222"/>
      <c r="AA39" s="222"/>
      <c r="AB39" s="222"/>
      <c r="AC39" s="222"/>
      <c r="AD39" s="222"/>
      <c r="AE39" s="222"/>
    </row>
    <row r="40" spans="1:31" ht="15" customHeight="1" x14ac:dyDescent="0.25">
      <c r="X40" s="222"/>
      <c r="Y40" s="222"/>
      <c r="Z40" s="222"/>
      <c r="AA40" s="222"/>
      <c r="AB40" s="222"/>
      <c r="AC40" s="222"/>
      <c r="AD40" s="222"/>
      <c r="AE40" s="222"/>
    </row>
    <row r="41" spans="1:31" ht="15" customHeight="1" x14ac:dyDescent="0.25">
      <c r="A41" s="10"/>
      <c r="B41" s="9" t="s">
        <v>3</v>
      </c>
      <c r="C41" s="9"/>
      <c r="D41" s="9"/>
      <c r="E41" s="242"/>
      <c r="F41" s="242"/>
      <c r="G41" s="242"/>
      <c r="H41" s="135"/>
      <c r="X41" s="222"/>
      <c r="Y41" s="222"/>
      <c r="Z41" s="222"/>
      <c r="AA41" s="222"/>
      <c r="AB41" s="222"/>
      <c r="AC41" s="222"/>
      <c r="AD41" s="222"/>
      <c r="AE41" s="222"/>
    </row>
    <row r="42" spans="1:31" ht="15" customHeight="1" x14ac:dyDescent="0.25">
      <c r="A42" s="10" t="s">
        <v>21</v>
      </c>
      <c r="B42" s="492" t="s">
        <v>650</v>
      </c>
      <c r="C42" s="492"/>
      <c r="D42" s="492"/>
      <c r="E42" s="492"/>
      <c r="F42" s="492"/>
      <c r="G42" s="492"/>
      <c r="X42" s="222"/>
      <c r="Y42" s="222"/>
      <c r="Z42" s="222"/>
      <c r="AA42" s="222"/>
      <c r="AB42" s="222"/>
      <c r="AC42" s="222"/>
      <c r="AD42" s="222"/>
      <c r="AE42" s="222"/>
    </row>
    <row r="43" spans="1:31" x14ac:dyDescent="0.25">
      <c r="A43" s="10"/>
      <c r="B43" s="492"/>
      <c r="C43" s="492"/>
      <c r="D43" s="492"/>
      <c r="E43" s="492"/>
      <c r="F43" s="492"/>
      <c r="G43" s="492"/>
      <c r="X43" s="222"/>
      <c r="Y43" s="222"/>
      <c r="Z43" s="222"/>
      <c r="AA43" s="222"/>
      <c r="AB43" s="222"/>
      <c r="AC43" s="222"/>
      <c r="AD43" s="222"/>
      <c r="AE43" s="222"/>
    </row>
    <row r="44" spans="1:31" ht="15" customHeight="1" x14ac:dyDescent="0.25">
      <c r="A44" s="10"/>
      <c r="B44" s="492"/>
      <c r="C44" s="492"/>
      <c r="D44" s="492"/>
      <c r="E44" s="492"/>
      <c r="F44" s="492"/>
      <c r="G44" s="492"/>
      <c r="X44" s="222"/>
      <c r="Y44" s="222"/>
      <c r="Z44" s="222"/>
      <c r="AA44" s="222"/>
      <c r="AB44" s="222"/>
      <c r="AC44" s="222"/>
      <c r="AD44" s="222"/>
      <c r="AE44" s="222"/>
    </row>
    <row r="45" spans="1:31" x14ac:dyDescent="0.25">
      <c r="A45" s="10"/>
      <c r="B45" s="492"/>
      <c r="C45" s="492"/>
      <c r="D45" s="492"/>
      <c r="E45" s="492"/>
      <c r="F45" s="492"/>
      <c r="G45" s="492"/>
      <c r="X45" s="222"/>
      <c r="Y45" s="222"/>
      <c r="Z45" s="222"/>
      <c r="AA45" s="222"/>
      <c r="AB45" s="222"/>
      <c r="AC45" s="222"/>
      <c r="AD45" s="222"/>
      <c r="AE45" s="222"/>
    </row>
    <row r="46" spans="1:31" x14ac:dyDescent="0.25">
      <c r="A46" s="222"/>
      <c r="B46" s="222"/>
      <c r="C46" s="222"/>
      <c r="D46" s="222"/>
      <c r="E46" s="222"/>
      <c r="F46" s="222"/>
      <c r="G46" s="222"/>
      <c r="X46" s="222"/>
      <c r="Y46" s="222"/>
      <c r="Z46" s="222"/>
      <c r="AA46" s="222"/>
      <c r="AB46" s="222"/>
      <c r="AC46" s="222"/>
      <c r="AD46" s="222"/>
      <c r="AE46" s="222"/>
    </row>
    <row r="47" spans="1:31" ht="15" customHeight="1" x14ac:dyDescent="0.25">
      <c r="A47" s="10" t="s">
        <v>28</v>
      </c>
      <c r="B47" s="492" t="s">
        <v>644</v>
      </c>
      <c r="C47" s="492"/>
      <c r="D47" s="492"/>
      <c r="E47" s="492"/>
      <c r="F47" s="492"/>
      <c r="G47" s="492"/>
      <c r="X47" s="222"/>
      <c r="Y47" s="222"/>
      <c r="Z47" s="222"/>
      <c r="AA47" s="222"/>
      <c r="AB47" s="222"/>
      <c r="AC47" s="222"/>
      <c r="AD47" s="222"/>
      <c r="AE47" s="222"/>
    </row>
    <row r="48" spans="1:31" ht="15" customHeight="1" x14ac:dyDescent="0.25">
      <c r="A48" s="10"/>
      <c r="B48" s="492"/>
      <c r="C48" s="492"/>
      <c r="D48" s="492"/>
      <c r="E48" s="492"/>
      <c r="F48" s="492"/>
      <c r="G48" s="492"/>
      <c r="X48" s="222"/>
      <c r="Y48" s="222"/>
      <c r="Z48" s="222"/>
      <c r="AA48" s="222"/>
      <c r="AB48" s="222"/>
      <c r="AC48" s="222"/>
      <c r="AD48" s="222"/>
      <c r="AE48" s="222"/>
    </row>
    <row r="49" spans="1:31" x14ac:dyDescent="0.25">
      <c r="A49" s="10"/>
      <c r="B49" s="389"/>
      <c r="C49" s="389"/>
      <c r="D49" s="389"/>
      <c r="E49" s="389"/>
      <c r="F49" s="389"/>
      <c r="G49" s="389"/>
      <c r="X49" s="222"/>
      <c r="Y49" s="222"/>
      <c r="Z49" s="222"/>
      <c r="AA49" s="222"/>
      <c r="AB49" s="222"/>
      <c r="AC49" s="222"/>
      <c r="AD49" s="222"/>
      <c r="AE49" s="222"/>
    </row>
    <row r="50" spans="1:31" ht="15" customHeight="1" x14ac:dyDescent="0.25">
      <c r="A50" s="10" t="s">
        <v>29</v>
      </c>
      <c r="B50" s="492" t="s">
        <v>597</v>
      </c>
      <c r="C50" s="492"/>
      <c r="D50" s="492"/>
      <c r="E50" s="492"/>
      <c r="F50" s="492"/>
      <c r="G50" s="492"/>
      <c r="X50" s="222"/>
      <c r="Y50" s="222"/>
      <c r="Z50" s="222"/>
      <c r="AA50" s="222"/>
      <c r="AB50" s="222"/>
      <c r="AC50" s="222"/>
      <c r="AD50" s="222"/>
      <c r="AE50" s="222"/>
    </row>
    <row r="51" spans="1:31" ht="15" customHeight="1" x14ac:dyDescent="0.25">
      <c r="A51" s="10"/>
      <c r="B51" s="492"/>
      <c r="C51" s="492"/>
      <c r="D51" s="492"/>
      <c r="E51" s="492"/>
      <c r="F51" s="492"/>
      <c r="G51" s="492"/>
      <c r="X51" s="222"/>
      <c r="Y51" s="222"/>
      <c r="Z51" s="222"/>
      <c r="AA51" s="222"/>
      <c r="AB51" s="222"/>
      <c r="AC51" s="222"/>
      <c r="AD51" s="222"/>
      <c r="AE51" s="222"/>
    </row>
    <row r="52" spans="1:31" x14ac:dyDescent="0.25">
      <c r="A52" s="10"/>
      <c r="B52" s="492"/>
      <c r="C52" s="492"/>
      <c r="D52" s="492"/>
      <c r="E52" s="492"/>
      <c r="F52" s="492"/>
      <c r="G52" s="492"/>
      <c r="X52" s="222"/>
      <c r="Y52" s="222"/>
      <c r="Z52" s="222"/>
      <c r="AA52" s="222"/>
      <c r="AB52" s="222"/>
      <c r="AC52" s="222"/>
      <c r="AD52" s="222"/>
      <c r="AE52" s="222"/>
    </row>
    <row r="53" spans="1:31" x14ac:dyDescent="0.25">
      <c r="A53" s="10"/>
      <c r="B53" s="492"/>
      <c r="C53" s="492"/>
      <c r="D53" s="492"/>
      <c r="E53" s="492"/>
      <c r="F53" s="492"/>
      <c r="G53" s="492"/>
      <c r="X53" s="222"/>
      <c r="Y53" s="222"/>
      <c r="Z53" s="222"/>
      <c r="AA53" s="222"/>
      <c r="AB53" s="222"/>
      <c r="AC53" s="222"/>
      <c r="AD53" s="222"/>
      <c r="AE53" s="222"/>
    </row>
    <row r="54" spans="1:31" ht="15" customHeight="1" x14ac:dyDescent="0.25">
      <c r="A54" s="10"/>
      <c r="B54" s="65"/>
      <c r="C54" s="65"/>
      <c r="D54" s="65"/>
      <c r="E54" s="65"/>
      <c r="F54" s="65"/>
      <c r="G54" s="390"/>
      <c r="X54" s="222"/>
      <c r="Y54" s="222"/>
      <c r="Z54" s="222"/>
      <c r="AA54" s="222"/>
      <c r="AB54" s="222"/>
      <c r="AC54" s="222"/>
      <c r="AD54" s="222"/>
      <c r="AE54" s="222"/>
    </row>
    <row r="55" spans="1:31" ht="15" customHeight="1" x14ac:dyDescent="0.25">
      <c r="A55" s="10" t="s">
        <v>30</v>
      </c>
      <c r="B55" s="492" t="s">
        <v>649</v>
      </c>
      <c r="C55" s="492"/>
      <c r="D55" s="492"/>
      <c r="E55" s="492"/>
      <c r="F55" s="492"/>
      <c r="G55" s="492"/>
      <c r="R55" s="9" t="s">
        <v>230</v>
      </c>
      <c r="X55" s="222"/>
      <c r="Y55" s="222"/>
      <c r="Z55" s="222"/>
      <c r="AA55" s="348" t="s">
        <v>231</v>
      </c>
      <c r="AB55" s="222"/>
      <c r="AC55" s="222"/>
      <c r="AD55" s="222"/>
      <c r="AE55" s="222"/>
    </row>
    <row r="56" spans="1:31" x14ac:dyDescent="0.25">
      <c r="A56" s="222"/>
      <c r="B56" s="492"/>
      <c r="C56" s="492"/>
      <c r="D56" s="492"/>
      <c r="E56" s="492"/>
      <c r="F56" s="492"/>
      <c r="G56" s="492"/>
      <c r="X56" s="222"/>
      <c r="Y56" s="222"/>
      <c r="Z56" s="222"/>
      <c r="AA56" s="222"/>
      <c r="AB56" s="222"/>
      <c r="AC56" s="222"/>
      <c r="AD56" s="222"/>
      <c r="AE56" s="222"/>
    </row>
    <row r="57" spans="1:31" x14ac:dyDescent="0.25">
      <c r="A57" s="222"/>
      <c r="B57" s="492"/>
      <c r="C57" s="492"/>
      <c r="D57" s="492"/>
      <c r="E57" s="492"/>
      <c r="F57" s="492"/>
      <c r="G57" s="492"/>
      <c r="X57" s="222"/>
      <c r="Y57" s="222"/>
      <c r="Z57" s="222"/>
      <c r="AA57" s="222"/>
      <c r="AB57" s="222"/>
      <c r="AC57" s="222"/>
      <c r="AD57" s="222"/>
      <c r="AE57" s="222"/>
    </row>
    <row r="58" spans="1:31" x14ac:dyDescent="0.25">
      <c r="A58" s="222"/>
      <c r="B58" s="222"/>
      <c r="C58" s="222"/>
      <c r="D58" s="222"/>
      <c r="E58" s="222"/>
      <c r="F58" s="222"/>
      <c r="G58" s="222"/>
      <c r="X58" s="222"/>
      <c r="Y58" s="222"/>
      <c r="Z58" s="222"/>
      <c r="AA58" s="222"/>
      <c r="AB58" s="222"/>
      <c r="AC58" s="222"/>
      <c r="AD58" s="222"/>
      <c r="AE58" s="222"/>
    </row>
    <row r="59" spans="1:31" ht="15" customHeight="1" x14ac:dyDescent="0.25">
      <c r="A59" s="10" t="s">
        <v>30</v>
      </c>
      <c r="B59" s="492" t="s">
        <v>647</v>
      </c>
      <c r="C59" s="492"/>
      <c r="D59" s="492"/>
      <c r="E59" s="492"/>
      <c r="F59" s="492"/>
      <c r="G59" s="492"/>
      <c r="X59" s="222"/>
      <c r="Y59" s="222"/>
      <c r="Z59" s="222"/>
      <c r="AA59" s="222"/>
      <c r="AB59" s="222"/>
      <c r="AC59" s="222"/>
      <c r="AD59" s="222"/>
      <c r="AE59" s="222"/>
    </row>
    <row r="60" spans="1:31" x14ac:dyDescent="0.25">
      <c r="A60" s="10"/>
      <c r="B60" s="492"/>
      <c r="C60" s="492"/>
      <c r="D60" s="492"/>
      <c r="E60" s="492"/>
      <c r="F60" s="492"/>
      <c r="G60" s="492"/>
      <c r="X60" s="222"/>
      <c r="Y60" s="222"/>
      <c r="Z60" s="222"/>
      <c r="AA60" s="222"/>
      <c r="AB60" s="222"/>
      <c r="AC60" s="222"/>
      <c r="AD60" s="222"/>
      <c r="AE60" s="222"/>
    </row>
    <row r="61" spans="1:31" x14ac:dyDescent="0.25">
      <c r="A61" s="10"/>
      <c r="B61" s="492"/>
      <c r="C61" s="492"/>
      <c r="D61" s="492"/>
      <c r="E61" s="492"/>
      <c r="F61" s="492"/>
      <c r="G61" s="492"/>
      <c r="X61" s="222"/>
      <c r="Y61" s="222"/>
      <c r="Z61" s="222"/>
      <c r="AA61" s="222"/>
      <c r="AB61" s="222"/>
      <c r="AC61" s="222"/>
      <c r="AD61" s="222"/>
      <c r="AE61" s="222"/>
    </row>
    <row r="62" spans="1:31" ht="15" customHeight="1" x14ac:dyDescent="0.25">
      <c r="A62" s="10"/>
      <c r="B62" s="492"/>
      <c r="C62" s="492"/>
      <c r="D62" s="492"/>
      <c r="E62" s="492"/>
      <c r="F62" s="492"/>
      <c r="G62" s="492"/>
      <c r="X62" s="222"/>
      <c r="Y62" s="222"/>
      <c r="Z62" s="222"/>
      <c r="AA62" s="222"/>
      <c r="AB62" s="222"/>
      <c r="AC62" s="222"/>
      <c r="AD62" s="222"/>
      <c r="AE62" s="222"/>
    </row>
    <row r="63" spans="1:31" x14ac:dyDescent="0.25">
      <c r="A63" s="10"/>
      <c r="B63" s="65"/>
      <c r="C63" s="65"/>
      <c r="D63" s="65"/>
      <c r="E63" s="65"/>
      <c r="F63" s="65"/>
      <c r="G63" s="65"/>
      <c r="X63" s="222"/>
      <c r="Y63" s="222"/>
      <c r="Z63" s="222"/>
      <c r="AA63" s="222"/>
      <c r="AB63" s="222"/>
      <c r="AC63" s="222"/>
      <c r="AD63" s="222"/>
      <c r="AE63" s="222"/>
    </row>
    <row r="64" spans="1:31" ht="15" customHeight="1" x14ac:dyDescent="0.25">
      <c r="A64" s="10" t="s">
        <v>31</v>
      </c>
      <c r="B64" s="492" t="s">
        <v>648</v>
      </c>
      <c r="C64" s="492"/>
      <c r="D64" s="492"/>
      <c r="E64" s="492"/>
      <c r="F64" s="492"/>
      <c r="G64" s="492"/>
      <c r="X64" s="222"/>
      <c r="Y64" s="222"/>
      <c r="Z64" s="222"/>
      <c r="AA64" s="222"/>
      <c r="AB64" s="222"/>
      <c r="AC64" s="222"/>
      <c r="AD64" s="222"/>
      <c r="AE64" s="222"/>
    </row>
    <row r="65" spans="1:37" ht="15" customHeight="1" x14ac:dyDescent="0.25">
      <c r="A65" s="10"/>
      <c r="B65" s="492"/>
      <c r="C65" s="492"/>
      <c r="D65" s="492"/>
      <c r="E65" s="492"/>
      <c r="F65" s="492"/>
      <c r="G65" s="492"/>
    </row>
    <row r="66" spans="1:37" x14ac:dyDescent="0.25">
      <c r="A66" s="222"/>
      <c r="B66" s="222"/>
      <c r="C66" s="222"/>
      <c r="D66" s="222"/>
      <c r="E66" s="222"/>
      <c r="F66" s="222"/>
      <c r="G66" s="222"/>
    </row>
    <row r="67" spans="1:37" x14ac:dyDescent="0.25">
      <c r="A67" s="222"/>
      <c r="B67" s="222"/>
      <c r="C67" s="222"/>
      <c r="D67" s="222"/>
      <c r="E67" s="222"/>
      <c r="F67" s="222"/>
      <c r="G67" s="222"/>
    </row>
    <row r="68" spans="1:37" ht="15" customHeight="1" x14ac:dyDescent="0.25">
      <c r="A68" s="222"/>
      <c r="B68" s="222"/>
      <c r="C68" s="222"/>
      <c r="D68" s="222"/>
      <c r="E68" s="222"/>
      <c r="F68" s="222"/>
      <c r="G68" s="222"/>
    </row>
    <row r="69" spans="1:37" x14ac:dyDescent="0.25">
      <c r="A69" s="222"/>
      <c r="B69" s="222"/>
      <c r="C69" s="222"/>
      <c r="D69" s="222"/>
      <c r="E69" s="222"/>
      <c r="F69" s="222"/>
      <c r="G69" s="222"/>
    </row>
    <row r="70" spans="1:37" x14ac:dyDescent="0.25">
      <c r="A70" s="222"/>
      <c r="B70" s="222"/>
      <c r="C70" s="222"/>
      <c r="D70" s="222"/>
      <c r="E70" s="222"/>
      <c r="F70" s="222"/>
      <c r="G70" s="222"/>
    </row>
    <row r="71" spans="1:37" x14ac:dyDescent="0.25">
      <c r="A71" s="222"/>
      <c r="B71" s="222"/>
      <c r="C71" s="222"/>
      <c r="D71" s="222"/>
      <c r="E71" s="222"/>
      <c r="F71" s="222"/>
      <c r="G71" s="222"/>
    </row>
    <row r="72" spans="1:37" x14ac:dyDescent="0.25">
      <c r="A72" s="222"/>
      <c r="B72" s="222"/>
      <c r="C72" s="222"/>
      <c r="D72" s="222"/>
      <c r="E72" s="222"/>
      <c r="F72" s="222"/>
      <c r="G72" s="222"/>
    </row>
    <row r="73" spans="1:37" x14ac:dyDescent="0.25">
      <c r="A73" s="222"/>
      <c r="B73" s="222"/>
      <c r="C73" s="222"/>
      <c r="D73" s="222"/>
      <c r="E73" s="222"/>
      <c r="F73" s="222"/>
      <c r="G73" s="222"/>
    </row>
    <row r="75" spans="1:37" x14ac:dyDescent="0.25">
      <c r="S75" s="222"/>
      <c r="T75" s="222"/>
      <c r="U75" s="222"/>
      <c r="V75" s="222"/>
      <c r="W75" s="222"/>
    </row>
    <row r="76" spans="1:37" x14ac:dyDescent="0.25">
      <c r="R76" s="222"/>
      <c r="S76" s="222"/>
      <c r="T76" s="222"/>
      <c r="U76" s="222"/>
      <c r="V76" s="222"/>
      <c r="W76" s="222"/>
      <c r="AK76" s="219"/>
    </row>
    <row r="77" spans="1:37" x14ac:dyDescent="0.25">
      <c r="R77" s="222"/>
      <c r="S77" s="222"/>
      <c r="T77" s="222"/>
      <c r="U77" s="222"/>
      <c r="V77" s="222"/>
      <c r="W77" s="222"/>
    </row>
    <row r="78" spans="1:37" x14ac:dyDescent="0.25">
      <c r="R78" s="222"/>
      <c r="S78" s="222"/>
      <c r="T78" s="222"/>
      <c r="U78" s="222"/>
      <c r="V78" s="222"/>
      <c r="W78" s="222"/>
    </row>
    <row r="79" spans="1:37" x14ac:dyDescent="0.25">
      <c r="R79" s="222"/>
      <c r="S79" s="222"/>
      <c r="T79" s="222"/>
      <c r="U79" s="222"/>
      <c r="V79" s="222"/>
      <c r="W79" s="222"/>
    </row>
    <row r="80" spans="1:37" x14ac:dyDescent="0.25">
      <c r="R80" s="222"/>
      <c r="S80" s="222"/>
      <c r="T80" s="222"/>
      <c r="U80" s="222"/>
      <c r="V80" s="222"/>
      <c r="W80" s="222"/>
    </row>
    <row r="81" spans="18:23" x14ac:dyDescent="0.25">
      <c r="R81" s="222"/>
      <c r="S81" s="222"/>
      <c r="T81" s="222"/>
      <c r="U81" s="222"/>
      <c r="V81" s="222"/>
      <c r="W81" s="222"/>
    </row>
    <row r="82" spans="18:23" x14ac:dyDescent="0.25">
      <c r="R82" s="222"/>
      <c r="S82" s="222"/>
      <c r="T82" s="222"/>
      <c r="U82" s="222"/>
      <c r="V82" s="222"/>
      <c r="W82" s="222"/>
    </row>
    <row r="83" spans="18:23" x14ac:dyDescent="0.25">
      <c r="R83" s="9"/>
      <c r="S83" s="222"/>
      <c r="T83" s="222"/>
      <c r="U83" s="222"/>
      <c r="V83" s="222"/>
      <c r="W83" s="222"/>
    </row>
    <row r="84" spans="18:23" x14ac:dyDescent="0.25">
      <c r="R84" s="222"/>
      <c r="S84" s="222"/>
      <c r="T84" s="222"/>
      <c r="U84" s="222"/>
      <c r="V84" s="222"/>
      <c r="W84" s="222"/>
    </row>
    <row r="85" spans="18:23" x14ac:dyDescent="0.25">
      <c r="R85" s="222"/>
      <c r="S85" s="222"/>
      <c r="T85" s="222"/>
      <c r="U85" s="222"/>
      <c r="V85" s="222"/>
      <c r="W85" s="222"/>
    </row>
    <row r="86" spans="18:23" x14ac:dyDescent="0.25">
      <c r="R86" s="222"/>
      <c r="S86" s="222"/>
      <c r="T86" s="222"/>
      <c r="U86" s="222"/>
      <c r="V86" s="222"/>
      <c r="W86" s="222"/>
    </row>
    <row r="87" spans="18:23" x14ac:dyDescent="0.25">
      <c r="R87" s="222"/>
      <c r="S87" s="222"/>
      <c r="T87" s="222"/>
      <c r="U87" s="222"/>
      <c r="V87" s="222"/>
      <c r="W87" s="222"/>
    </row>
    <row r="88" spans="18:23" x14ac:dyDescent="0.25">
      <c r="R88" s="222"/>
      <c r="S88" s="222"/>
      <c r="T88" s="222"/>
      <c r="U88" s="222"/>
      <c r="V88" s="222"/>
      <c r="W88" s="222"/>
    </row>
    <row r="89" spans="18:23" x14ac:dyDescent="0.25">
      <c r="R89" s="222"/>
      <c r="S89" s="222"/>
      <c r="T89" s="222"/>
      <c r="U89" s="222"/>
      <c r="V89" s="222"/>
      <c r="W89" s="222"/>
    </row>
    <row r="90" spans="18:23" x14ac:dyDescent="0.25">
      <c r="R90" s="222"/>
      <c r="S90" s="222"/>
      <c r="T90" s="222"/>
      <c r="U90" s="222"/>
      <c r="V90" s="222"/>
      <c r="W90" s="222"/>
    </row>
    <row r="91" spans="18:23" x14ac:dyDescent="0.25">
      <c r="R91" s="222"/>
      <c r="S91" s="222"/>
      <c r="T91" s="222"/>
      <c r="U91" s="222"/>
      <c r="V91" s="222"/>
      <c r="W91" s="222"/>
    </row>
    <row r="92" spans="18:23" x14ac:dyDescent="0.25">
      <c r="R92" s="222"/>
      <c r="S92" s="222"/>
      <c r="T92" s="222"/>
      <c r="U92" s="222"/>
      <c r="V92" s="222"/>
      <c r="W92" s="222"/>
    </row>
    <row r="93" spans="18:23" x14ac:dyDescent="0.25">
      <c r="R93" s="222"/>
      <c r="S93" s="222"/>
      <c r="T93" s="222"/>
      <c r="U93" s="222"/>
      <c r="V93" s="222"/>
      <c r="W93" s="222"/>
    </row>
    <row r="94" spans="18:23" x14ac:dyDescent="0.25">
      <c r="R94" s="222"/>
      <c r="S94" s="222"/>
      <c r="T94" s="222"/>
      <c r="U94" s="222"/>
      <c r="V94" s="222"/>
      <c r="W94" s="222"/>
    </row>
    <row r="95" spans="18:23" x14ac:dyDescent="0.25">
      <c r="R95" s="222"/>
      <c r="S95" s="222"/>
      <c r="T95" s="222"/>
      <c r="U95" s="222"/>
      <c r="V95" s="222"/>
      <c r="W95" s="222"/>
    </row>
    <row r="96" spans="18:23" x14ac:dyDescent="0.25">
      <c r="R96" s="222"/>
      <c r="S96" s="222"/>
      <c r="T96" s="222"/>
      <c r="U96" s="222"/>
      <c r="V96" s="222"/>
      <c r="W96" s="222"/>
    </row>
    <row r="97" spans="18:23" x14ac:dyDescent="0.25">
      <c r="R97" s="222"/>
      <c r="S97" s="222"/>
      <c r="T97" s="222"/>
      <c r="U97" s="222"/>
      <c r="V97" s="222"/>
      <c r="W97" s="222"/>
    </row>
    <row r="98" spans="18:23" x14ac:dyDescent="0.25">
      <c r="R98" s="222"/>
      <c r="S98" s="222"/>
      <c r="T98" s="222"/>
      <c r="U98" s="222"/>
      <c r="V98" s="222"/>
      <c r="W98" s="222"/>
    </row>
    <row r="99" spans="18:23" x14ac:dyDescent="0.25">
      <c r="R99" s="222"/>
      <c r="S99" s="222"/>
      <c r="T99" s="222"/>
      <c r="U99" s="222"/>
      <c r="V99" s="222"/>
      <c r="W99" s="222"/>
    </row>
    <row r="100" spans="18:23" x14ac:dyDescent="0.25">
      <c r="R100" s="222"/>
      <c r="S100" s="222"/>
      <c r="T100" s="222"/>
      <c r="U100" s="222"/>
      <c r="V100" s="222"/>
      <c r="W100" s="222"/>
    </row>
    <row r="101" spans="18:23" x14ac:dyDescent="0.25">
      <c r="S101" s="222"/>
      <c r="T101" s="222"/>
      <c r="U101" s="222"/>
      <c r="V101" s="222"/>
      <c r="W101" s="222"/>
    </row>
    <row r="102" spans="18:23" x14ac:dyDescent="0.25">
      <c r="S102" s="222"/>
      <c r="T102" s="222"/>
      <c r="U102" s="222"/>
      <c r="V102" s="222"/>
      <c r="W102" s="222"/>
    </row>
    <row r="103" spans="18:23" x14ac:dyDescent="0.25">
      <c r="R103" s="222"/>
      <c r="S103" s="222"/>
      <c r="T103" s="222"/>
      <c r="U103" s="222"/>
      <c r="V103" s="222"/>
      <c r="W103" s="222"/>
    </row>
    <row r="104" spans="18:23" x14ac:dyDescent="0.25">
      <c r="R104" s="222"/>
      <c r="S104" s="222"/>
      <c r="T104" s="222"/>
      <c r="U104" s="222"/>
      <c r="V104" s="222"/>
      <c r="W104" s="222"/>
    </row>
    <row r="105" spans="18:23" x14ac:dyDescent="0.25">
      <c r="R105" s="222"/>
      <c r="S105" s="222"/>
      <c r="T105" s="222"/>
      <c r="U105" s="222"/>
      <c r="V105" s="222"/>
      <c r="W105" s="222"/>
    </row>
    <row r="106" spans="18:23" x14ac:dyDescent="0.25">
      <c r="R106" s="222"/>
      <c r="S106" s="222"/>
      <c r="T106" s="222"/>
      <c r="U106" s="222"/>
      <c r="V106" s="222"/>
      <c r="W106" s="222"/>
    </row>
    <row r="107" spans="18:23" x14ac:dyDescent="0.25">
      <c r="R107" s="222"/>
      <c r="S107" s="222"/>
      <c r="T107" s="222"/>
      <c r="U107" s="222"/>
      <c r="V107" s="222"/>
      <c r="W107" s="222"/>
    </row>
    <row r="108" spans="18:23" x14ac:dyDescent="0.25">
      <c r="R108" s="222"/>
      <c r="S108" s="222"/>
      <c r="T108" s="222"/>
      <c r="U108" s="222"/>
      <c r="V108" s="222"/>
      <c r="W108" s="222"/>
    </row>
    <row r="109" spans="18:23" x14ac:dyDescent="0.25">
      <c r="R109" s="222"/>
      <c r="S109" s="222"/>
      <c r="T109" s="222"/>
      <c r="U109" s="222"/>
      <c r="V109" s="222"/>
      <c r="W109" s="222"/>
    </row>
    <row r="110" spans="18:23" x14ac:dyDescent="0.25">
      <c r="R110" s="222"/>
      <c r="S110" s="222"/>
      <c r="T110" s="222"/>
      <c r="U110" s="222"/>
      <c r="V110" s="222"/>
      <c r="W110" s="222"/>
    </row>
    <row r="111" spans="18:23" x14ac:dyDescent="0.25">
      <c r="R111" s="222"/>
      <c r="S111" s="222"/>
      <c r="T111" s="222"/>
      <c r="U111" s="222"/>
      <c r="V111" s="222"/>
      <c r="W111" s="222"/>
    </row>
    <row r="112" spans="18:23" x14ac:dyDescent="0.25">
      <c r="R112" s="222"/>
      <c r="S112" s="222"/>
      <c r="T112" s="222"/>
      <c r="U112" s="222"/>
      <c r="V112" s="222"/>
      <c r="W112" s="222"/>
    </row>
    <row r="113" spans="18:23" x14ac:dyDescent="0.25">
      <c r="R113" s="222"/>
      <c r="S113" s="222"/>
      <c r="T113" s="222"/>
      <c r="U113" s="222"/>
      <c r="V113" s="222"/>
      <c r="W113" s="222"/>
    </row>
    <row r="114" spans="18:23" x14ac:dyDescent="0.25">
      <c r="R114" s="222"/>
      <c r="S114" s="222"/>
      <c r="T114" s="222"/>
      <c r="U114" s="222"/>
      <c r="V114" s="222"/>
      <c r="W114" s="222"/>
    </row>
    <row r="115" spans="18:23" x14ac:dyDescent="0.25">
      <c r="R115" s="222"/>
      <c r="S115" s="222"/>
      <c r="T115" s="222"/>
      <c r="U115" s="222"/>
      <c r="V115" s="222"/>
      <c r="W115" s="222"/>
    </row>
  </sheetData>
  <mergeCells count="22">
    <mergeCell ref="B64:G65"/>
    <mergeCell ref="M28:N28"/>
    <mergeCell ref="B42:G45"/>
    <mergeCell ref="B47:G48"/>
    <mergeCell ref="B50:G53"/>
    <mergeCell ref="B55:G57"/>
    <mergeCell ref="B59:G62"/>
    <mergeCell ref="H4:H5"/>
    <mergeCell ref="K5:L5"/>
    <mergeCell ref="K17:L17"/>
    <mergeCell ref="K28:L28"/>
    <mergeCell ref="G4:G5"/>
    <mergeCell ref="B4:B5"/>
    <mergeCell ref="C4:C5"/>
    <mergeCell ref="D4:D5"/>
    <mergeCell ref="E4:E5"/>
    <mergeCell ref="F4:F5"/>
    <mergeCell ref="T8:U8"/>
    <mergeCell ref="AD8:AE8"/>
    <mergeCell ref="M17:N17"/>
    <mergeCell ref="K22:L22"/>
    <mergeCell ref="M22:N22"/>
  </mergeCells>
  <hyperlinks>
    <hyperlink ref="T12" r:id="rId1" xr:uid="{E2892C0A-082E-4AC8-8B21-89707B40B659}"/>
    <hyperlink ref="U12" r:id="rId2" xr:uid="{4EB24AF5-29A6-4EA1-A652-3BB002227D97}"/>
    <hyperlink ref="AE12" r:id="rId3" xr:uid="{765457C7-B0B1-4763-9722-5006900B8E5E}"/>
    <hyperlink ref="AD12" r:id="rId4" xr:uid="{B3B6058C-A28E-4F54-A9EC-838186B4E42D}"/>
  </hyperlinks>
  <pageMargins left="0.25" right="0.25" top="0.75" bottom="0.75" header="0.3" footer="0.3"/>
  <pageSetup scale="41"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BCBEB-5106-4D0F-B267-C5E5F44BEDF4}">
  <sheetPr>
    <tabColor theme="6" tint="0.79998168889431442"/>
    <pageSetUpPr fitToPage="1"/>
  </sheetPr>
  <dimension ref="A1:AS115"/>
  <sheetViews>
    <sheetView topLeftCell="A3" zoomScale="70" zoomScaleNormal="70" zoomScaleSheetLayoutView="85" zoomScalePageLayoutView="55" workbookViewId="0">
      <selection activeCell="D29" sqref="D29"/>
    </sheetView>
  </sheetViews>
  <sheetFormatPr defaultRowHeight="15" x14ac:dyDescent="0.25"/>
  <cols>
    <col min="1" max="1" width="3.7109375" style="181" customWidth="1"/>
    <col min="2" max="8" width="20.7109375" style="181" customWidth="1"/>
    <col min="9" max="9" width="5.7109375" style="181" customWidth="1"/>
    <col min="10" max="10" width="3" style="181" customWidth="1"/>
    <col min="11" max="11" width="39.140625" style="181" customWidth="1"/>
    <col min="12" max="12" width="29.28515625" style="181" bestFit="1" customWidth="1"/>
    <col min="13" max="13" width="39.140625" style="181" customWidth="1"/>
    <col min="14" max="14" width="29.28515625" style="181" bestFit="1" customWidth="1"/>
    <col min="15" max="17" width="15.7109375" style="346" customWidth="1"/>
    <col min="18" max="35" width="30.7109375" style="346" customWidth="1"/>
    <col min="36" max="39" width="30.7109375" style="222" customWidth="1"/>
    <col min="40" max="40" width="15.7109375" style="242" customWidth="1"/>
    <col min="41" max="45" width="9.140625" style="242"/>
    <col min="46" max="16384" width="9.140625" style="181"/>
  </cols>
  <sheetData>
    <row r="1" spans="2:43" ht="14.25" customHeight="1" x14ac:dyDescent="0.25">
      <c r="B1" s="419">
        <v>1</v>
      </c>
      <c r="C1" s="419">
        <v>2</v>
      </c>
      <c r="D1" s="419">
        <v>3</v>
      </c>
      <c r="E1" s="419">
        <v>4</v>
      </c>
      <c r="F1" s="419">
        <v>5</v>
      </c>
      <c r="G1" s="419">
        <v>6</v>
      </c>
      <c r="H1" s="419">
        <v>7</v>
      </c>
    </row>
    <row r="2" spans="2:43" x14ac:dyDescent="0.25">
      <c r="B2" s="9" t="s">
        <v>107</v>
      </c>
      <c r="C2" s="9"/>
      <c r="D2" s="9"/>
    </row>
    <row r="3" spans="2:43" ht="15.75" thickBot="1" x14ac:dyDescent="0.3">
      <c r="K3" s="66"/>
    </row>
    <row r="4" spans="2:43" ht="35.1" customHeight="1" x14ac:dyDescent="0.25">
      <c r="B4" s="488" t="s">
        <v>0</v>
      </c>
      <c r="C4" s="488" t="s">
        <v>135</v>
      </c>
      <c r="D4" s="488" t="s">
        <v>136</v>
      </c>
      <c r="E4" s="488" t="s">
        <v>108</v>
      </c>
      <c r="F4" s="488" t="s">
        <v>109</v>
      </c>
      <c r="G4" s="488" t="s">
        <v>35</v>
      </c>
      <c r="H4" s="485" t="s">
        <v>1</v>
      </c>
      <c r="K4" s="66"/>
      <c r="R4" s="160"/>
      <c r="AA4" s="160"/>
    </row>
    <row r="5" spans="2:43" ht="43.5" customHeight="1" thickBot="1" x14ac:dyDescent="0.6">
      <c r="B5" s="489"/>
      <c r="C5" s="489"/>
      <c r="D5" s="489"/>
      <c r="E5" s="489"/>
      <c r="F5" s="489"/>
      <c r="G5" s="489"/>
      <c r="H5" s="486"/>
      <c r="K5" s="487" t="s">
        <v>131</v>
      </c>
      <c r="L5" s="487"/>
      <c r="M5" s="206"/>
      <c r="R5" s="222"/>
      <c r="S5" s="222"/>
      <c r="T5" s="222"/>
      <c r="U5" s="222"/>
      <c r="V5" s="222"/>
      <c r="W5" s="222"/>
      <c r="X5" s="222"/>
      <c r="Y5" s="222"/>
      <c r="Z5" s="222"/>
      <c r="AA5" s="222"/>
      <c r="AB5" s="222"/>
      <c r="AC5" s="222"/>
      <c r="AD5" s="222"/>
      <c r="AE5" s="222"/>
      <c r="AF5" s="279"/>
      <c r="AG5" s="279"/>
      <c r="AH5" s="279"/>
      <c r="AI5" s="279"/>
      <c r="AP5" s="279"/>
      <c r="AQ5" s="279"/>
    </row>
    <row r="6" spans="2:43" x14ac:dyDescent="0.25">
      <c r="B6" s="1">
        <f>Assumptions!$D$8</f>
        <v>2028</v>
      </c>
      <c r="C6" s="275">
        <f>IF(B6&lt;=Assumptions!$D$9,IF(B6&gt;=Assumptions!$D$29,TREND($L$27:$L$28,$K$27:$K$28,B6),0),0)</f>
        <v>0</v>
      </c>
      <c r="D6" s="275">
        <f>IF(B6&lt;=Assumptions!$D$9,IF(B6&gt;=Assumptions!$D$29,TREND($N$27:$N$28,$M$27:$M$28,B6),0),0)</f>
        <v>0</v>
      </c>
      <c r="E6" s="208">
        <f>C6*($L$6*$L$12)</f>
        <v>0</v>
      </c>
      <c r="F6" s="208">
        <f>D6*($L$6*$L$12)</f>
        <v>0</v>
      </c>
      <c r="G6" s="209">
        <f t="shared" ref="G6:G35" si="0">(E6-F6)</f>
        <v>0</v>
      </c>
      <c r="H6" s="208">
        <f>G6*(1+0.07)^-(B6-Assumptions!$D$4)</f>
        <v>0</v>
      </c>
      <c r="K6" s="149" t="s">
        <v>127</v>
      </c>
      <c r="L6" s="104">
        <f>Assumptions!D20</f>
        <v>17.8</v>
      </c>
      <c r="M6" s="242" t="s">
        <v>111</v>
      </c>
      <c r="R6" s="9" t="s">
        <v>212</v>
      </c>
      <c r="AA6" s="9" t="s">
        <v>212</v>
      </c>
    </row>
    <row r="7" spans="2:43" x14ac:dyDescent="0.25">
      <c r="B7" s="2">
        <f>B6+1</f>
        <v>2029</v>
      </c>
      <c r="C7" s="207">
        <f>IF(B7&lt;=Assumptions!$D$9,IF(B7&gt;=Assumptions!$D$29,TREND($L$27:$L$28,$K$27:$K$28,B7),0),0)</f>
        <v>0</v>
      </c>
      <c r="D7" s="207">
        <f>IF(B7&lt;=Assumptions!$D$9,IF(B7&gt;=Assumptions!$D$29,TREND($N$27:$N$28,$M$27:$M$28,B7),0),0)</f>
        <v>0</v>
      </c>
      <c r="E7" s="210">
        <f t="shared" ref="E7:E35" si="1">C7*($L$6*$L$12)</f>
        <v>0</v>
      </c>
      <c r="F7" s="210">
        <f t="shared" ref="F7:F35" si="2">D7*($L$6*$L$12)</f>
        <v>0</v>
      </c>
      <c r="G7" s="211">
        <f t="shared" si="0"/>
        <v>0</v>
      </c>
      <c r="H7" s="210">
        <f>G7*(1+0.07)^-(B7-Assumptions!$D$4)</f>
        <v>0</v>
      </c>
      <c r="M7" s="12"/>
    </row>
    <row r="8" spans="2:43" x14ac:dyDescent="0.25">
      <c r="B8" s="2">
        <f t="shared" ref="B8:B35" si="3">B7+1</f>
        <v>2030</v>
      </c>
      <c r="C8" s="207">
        <f>IF(B8&lt;=Assumptions!$D$9,IF(B8&gt;=Assumptions!$D$29,TREND($L$27:$L$28,$K$27:$K$28,B8),0),0)</f>
        <v>0</v>
      </c>
      <c r="D8" s="207">
        <f>IF(B8&lt;=Assumptions!$D$9,IF(B8&gt;=Assumptions!$D$29,TREND($N$27:$N$28,$M$27:$M$28,B8),0),0)</f>
        <v>0</v>
      </c>
      <c r="E8" s="210">
        <f t="shared" si="1"/>
        <v>0</v>
      </c>
      <c r="F8" s="210">
        <f t="shared" si="2"/>
        <v>0</v>
      </c>
      <c r="G8" s="211">
        <f t="shared" si="0"/>
        <v>0</v>
      </c>
      <c r="H8" s="210">
        <f>G8*(1+0.07)^-(B8-Assumptions!$D$4)</f>
        <v>0</v>
      </c>
      <c r="J8" s="67"/>
      <c r="K8" s="77" t="s">
        <v>132</v>
      </c>
      <c r="L8" s="77"/>
      <c r="M8" s="242"/>
      <c r="T8" s="483" t="s">
        <v>210</v>
      </c>
      <c r="U8" s="484"/>
      <c r="AD8" s="483" t="s">
        <v>210</v>
      </c>
      <c r="AE8" s="484"/>
    </row>
    <row r="9" spans="2:43" ht="15" customHeight="1" x14ac:dyDescent="0.25">
      <c r="B9" s="2">
        <f t="shared" si="3"/>
        <v>2031</v>
      </c>
      <c r="C9" s="207">
        <f>IF(B9&lt;=Assumptions!$D$9,IF(B9&gt;=Assumptions!$D$29,TREND($L$27:$L$28,$K$27:$K$28,B9),0),0)</f>
        <v>0</v>
      </c>
      <c r="D9" s="207">
        <f>IF(B9&lt;=Assumptions!$D$9,IF(B9&gt;=Assumptions!$D$29,TREND($N$27:$N$28,$M$27:$M$28,B9),0),0)</f>
        <v>0</v>
      </c>
      <c r="E9" s="210">
        <f t="shared" si="1"/>
        <v>0</v>
      </c>
      <c r="F9" s="210">
        <f t="shared" si="2"/>
        <v>0</v>
      </c>
      <c r="G9" s="211">
        <f t="shared" si="0"/>
        <v>0</v>
      </c>
      <c r="H9" s="210">
        <f>G9*(1+0.07)^-(B9-Assumptions!$D$4)</f>
        <v>0</v>
      </c>
      <c r="K9" s="149" t="s">
        <v>128</v>
      </c>
      <c r="L9" s="212">
        <f>Assumptions!$D$13</f>
        <v>0.75</v>
      </c>
      <c r="M9" s="242"/>
      <c r="T9" s="345" t="s">
        <v>215</v>
      </c>
      <c r="U9" s="345" t="s">
        <v>213</v>
      </c>
      <c r="AD9" s="345" t="s">
        <v>216</v>
      </c>
      <c r="AE9" s="345" t="s">
        <v>214</v>
      </c>
    </row>
    <row r="10" spans="2:43" x14ac:dyDescent="0.25">
      <c r="B10" s="2">
        <f t="shared" si="3"/>
        <v>2032</v>
      </c>
      <c r="C10" s="207">
        <f>IF(B10&lt;=Assumptions!$D$9,IF(B10&gt;=Assumptions!$D$29,TREND($L$27:$L$28,$K$27:$K$28,B10),0),0)</f>
        <v>0</v>
      </c>
      <c r="D10" s="207">
        <f>IF(B10&lt;=Assumptions!$D$9,IF(B10&gt;=Assumptions!$D$29,TREND($N$27:$N$28,$M$27:$M$28,B10),0),0)</f>
        <v>0</v>
      </c>
      <c r="E10" s="210">
        <f t="shared" si="1"/>
        <v>0</v>
      </c>
      <c r="F10" s="210">
        <f t="shared" si="2"/>
        <v>0</v>
      </c>
      <c r="G10" s="211">
        <f t="shared" si="0"/>
        <v>0</v>
      </c>
      <c r="H10" s="210">
        <f>G10*(1+0.07)^-(B10-Assumptions!$D$4)</f>
        <v>0</v>
      </c>
      <c r="M10" s="66"/>
      <c r="S10" s="345" t="s">
        <v>115</v>
      </c>
      <c r="T10" s="345">
        <v>9.9</v>
      </c>
      <c r="U10" s="345">
        <v>9.3000000000000007</v>
      </c>
      <c r="AC10" s="345" t="s">
        <v>115</v>
      </c>
      <c r="AD10" s="345">
        <v>10.199999999999999</v>
      </c>
      <c r="AE10" s="345">
        <v>9.3000000000000007</v>
      </c>
    </row>
    <row r="11" spans="2:43" x14ac:dyDescent="0.25">
      <c r="B11" s="2">
        <f t="shared" si="3"/>
        <v>2033</v>
      </c>
      <c r="C11" s="207">
        <f>IF(B11&lt;=Assumptions!$D$9,IF(B11&gt;=Assumptions!$D$29,TREND($L$27:$L$28,$K$27:$K$28,B11),0),0)</f>
        <v>0</v>
      </c>
      <c r="D11" s="207">
        <f>IF(B11&lt;=Assumptions!$D$9,IF(B11&gt;=Assumptions!$D$29,TREND($N$27:$N$28,$M$27:$M$28,B11),0),0)</f>
        <v>0</v>
      </c>
      <c r="E11" s="210">
        <f t="shared" si="1"/>
        <v>0</v>
      </c>
      <c r="F11" s="210">
        <f t="shared" si="2"/>
        <v>0</v>
      </c>
      <c r="G11" s="211">
        <f t="shared" si="0"/>
        <v>0</v>
      </c>
      <c r="H11" s="210">
        <f>G11*(1+0.07)^-(B11-Assumptions!$D$4)</f>
        <v>0</v>
      </c>
      <c r="K11" s="77" t="s">
        <v>133</v>
      </c>
      <c r="L11" s="77"/>
      <c r="M11" s="242"/>
      <c r="S11" s="345" t="s">
        <v>116</v>
      </c>
      <c r="T11" s="345">
        <v>14</v>
      </c>
      <c r="U11" s="345">
        <v>9</v>
      </c>
      <c r="AC11" s="345" t="s">
        <v>116</v>
      </c>
      <c r="AD11" s="345">
        <v>14</v>
      </c>
      <c r="AE11" s="345">
        <v>9</v>
      </c>
    </row>
    <row r="12" spans="2:43" x14ac:dyDescent="0.25">
      <c r="B12" s="2">
        <f t="shared" si="3"/>
        <v>2034</v>
      </c>
      <c r="C12" s="207">
        <f>IF(B12&lt;=Assumptions!$D$9,IF(B12&gt;=Assumptions!$D$29,TREND($L$27:$L$28,$K$27:$K$28,B12),0),0)</f>
        <v>0</v>
      </c>
      <c r="D12" s="207">
        <f>IF(B12&lt;=Assumptions!$D$9,IF(B12&gt;=Assumptions!$D$29,TREND($N$27:$N$28,$M$27:$M$28,B12),0),0)</f>
        <v>0</v>
      </c>
      <c r="E12" s="210">
        <f t="shared" si="1"/>
        <v>0</v>
      </c>
      <c r="F12" s="210">
        <f t="shared" si="2"/>
        <v>0</v>
      </c>
      <c r="G12" s="211">
        <f t="shared" si="0"/>
        <v>0</v>
      </c>
      <c r="H12" s="210">
        <f>G12*(1+0.07)^-(B12-Assumptions!$D$4)</f>
        <v>0</v>
      </c>
      <c r="K12" s="149" t="s">
        <v>129</v>
      </c>
      <c r="L12" s="103">
        <v>1.67</v>
      </c>
      <c r="M12" s="242" t="s">
        <v>111</v>
      </c>
      <c r="S12" s="345" t="s">
        <v>211</v>
      </c>
      <c r="T12" s="310" t="s">
        <v>226</v>
      </c>
      <c r="U12" s="310" t="s">
        <v>227</v>
      </c>
      <c r="AC12" s="345" t="s">
        <v>211</v>
      </c>
      <c r="AD12" s="310" t="s">
        <v>229</v>
      </c>
      <c r="AE12" s="310" t="s">
        <v>228</v>
      </c>
    </row>
    <row r="13" spans="2:43" ht="15" customHeight="1" x14ac:dyDescent="0.25">
      <c r="B13" s="2">
        <f t="shared" si="3"/>
        <v>2035</v>
      </c>
      <c r="C13" s="207">
        <f>IF(B13&lt;=Assumptions!$D$9,IF(B13&gt;=Assumptions!$D$29,TREND($L$27:$L$28,$K$27:$K$28,B13),0),0)</f>
        <v>0</v>
      </c>
      <c r="D13" s="207">
        <f>IF(B13&lt;=Assumptions!$D$9,IF(B13&gt;=Assumptions!$D$29,TREND($N$27:$N$28,$M$27:$M$28,B13),0),0)</f>
        <v>0</v>
      </c>
      <c r="E13" s="210">
        <f t="shared" si="1"/>
        <v>0</v>
      </c>
      <c r="F13" s="210">
        <f t="shared" si="2"/>
        <v>0</v>
      </c>
      <c r="G13" s="211">
        <f t="shared" si="0"/>
        <v>0</v>
      </c>
      <c r="H13" s="210">
        <f>G13*(1+0.07)^-(B13-Assumptions!$D$4)</f>
        <v>0</v>
      </c>
      <c r="M13" s="242"/>
    </row>
    <row r="14" spans="2:43" x14ac:dyDescent="0.25">
      <c r="B14" s="2">
        <f t="shared" si="3"/>
        <v>2036</v>
      </c>
      <c r="C14" s="207">
        <f>IF(B14&lt;=Assumptions!$D$9,IF(B14&gt;=Assumptions!$D$29,TREND($L$27:$L$28,$K$27:$K$28,B14),0),0)</f>
        <v>0</v>
      </c>
      <c r="D14" s="207">
        <f>IF(B14&lt;=Assumptions!$D$9,IF(B14&gt;=Assumptions!$D$29,TREND($N$27:$N$28,$M$27:$M$28,B14),0),0)</f>
        <v>0</v>
      </c>
      <c r="E14" s="210">
        <f t="shared" si="1"/>
        <v>0</v>
      </c>
      <c r="F14" s="210">
        <f t="shared" si="2"/>
        <v>0</v>
      </c>
      <c r="G14" s="211">
        <f t="shared" si="0"/>
        <v>0</v>
      </c>
      <c r="H14" s="210">
        <f>G14*(1+0.07)^-(B14-Assumptions!$D$4)</f>
        <v>0</v>
      </c>
      <c r="K14" s="77" t="s">
        <v>134</v>
      </c>
      <c r="L14" s="77"/>
      <c r="M14" s="242"/>
      <c r="R14" s="348" t="s">
        <v>220</v>
      </c>
      <c r="S14" s="222"/>
      <c r="T14" s="222"/>
      <c r="U14" s="222"/>
      <c r="V14" s="222"/>
      <c r="W14" s="222"/>
      <c r="X14" s="222"/>
      <c r="Y14" s="222"/>
      <c r="Z14" s="222"/>
      <c r="AA14" s="348" t="s">
        <v>222</v>
      </c>
      <c r="AB14" s="222"/>
      <c r="AC14" s="222"/>
      <c r="AD14" s="222"/>
      <c r="AE14" s="222"/>
    </row>
    <row r="15" spans="2:43" x14ac:dyDescent="0.25">
      <c r="B15" s="2">
        <f t="shared" si="3"/>
        <v>2037</v>
      </c>
      <c r="C15" s="207">
        <f>IF(B15&lt;=Assumptions!$D$9,IF(B15&gt;=Assumptions!$D$29,TREND($L$27:$L$28,$K$27:$K$28,B15),0),0)</f>
        <v>0</v>
      </c>
      <c r="D15" s="207">
        <f>IF(B15&lt;=Assumptions!$D$9,IF(B15&gt;=Assumptions!$D$29,TREND($N$27:$N$28,$M$27:$M$28,B15),0),0)</f>
        <v>0</v>
      </c>
      <c r="E15" s="210">
        <f t="shared" si="1"/>
        <v>0</v>
      </c>
      <c r="F15" s="210">
        <f t="shared" si="2"/>
        <v>0</v>
      </c>
      <c r="G15" s="211">
        <f t="shared" si="0"/>
        <v>0</v>
      </c>
      <c r="H15" s="210">
        <f>G15*(1+0.07)^-(B15-Assumptions!$D$4)</f>
        <v>0</v>
      </c>
      <c r="K15" s="201" t="s">
        <v>43</v>
      </c>
      <c r="L15" s="201" t="s">
        <v>103</v>
      </c>
      <c r="M15" s="12"/>
      <c r="R15" s="222"/>
      <c r="S15" s="222"/>
      <c r="T15" s="222"/>
      <c r="U15" s="222"/>
      <c r="V15" s="222"/>
      <c r="W15" s="222"/>
      <c r="X15" s="222"/>
      <c r="Y15" s="222"/>
      <c r="Z15" s="222"/>
      <c r="AA15" s="222"/>
      <c r="AB15" s="222"/>
      <c r="AC15" s="222"/>
      <c r="AD15" s="222"/>
      <c r="AE15" s="222"/>
    </row>
    <row r="16" spans="2:43" x14ac:dyDescent="0.25">
      <c r="B16" s="2">
        <f t="shared" si="3"/>
        <v>2038</v>
      </c>
      <c r="C16" s="207">
        <f>IF(B16&lt;=Assumptions!$D$9,IF(B16&gt;=Assumptions!$D$29,TREND($L$27:$L$28,$K$27:$K$28,B16),0),0)</f>
        <v>0</v>
      </c>
      <c r="D16" s="207">
        <f>IF(B16&lt;=Assumptions!$D$9,IF(B16&gt;=Assumptions!$D$29,TREND($N$27:$N$28,$M$27:$M$28,B16),0),0)</f>
        <v>0</v>
      </c>
      <c r="E16" s="210">
        <f t="shared" si="1"/>
        <v>0</v>
      </c>
      <c r="F16" s="210">
        <f t="shared" si="2"/>
        <v>0</v>
      </c>
      <c r="G16" s="211">
        <f t="shared" si="0"/>
        <v>0</v>
      </c>
      <c r="H16" s="210">
        <f>G16*(1+0.07)^-(B16-Assumptions!$D$4)</f>
        <v>0</v>
      </c>
      <c r="K16" s="201">
        <v>2022</v>
      </c>
      <c r="L16" s="150">
        <f>Assumptions!$D$30</f>
        <v>37825</v>
      </c>
      <c r="M16" s="242"/>
      <c r="R16" s="222"/>
      <c r="S16" s="222"/>
      <c r="T16" s="222"/>
      <c r="U16" s="222"/>
      <c r="V16" s="222"/>
      <c r="W16" s="222"/>
      <c r="X16" s="222"/>
      <c r="Y16" s="222"/>
      <c r="Z16" s="222"/>
      <c r="AA16" s="222"/>
      <c r="AB16" s="222"/>
      <c r="AC16" s="222"/>
      <c r="AD16" s="222"/>
      <c r="AE16" s="222"/>
    </row>
    <row r="17" spans="1:39" x14ac:dyDescent="0.25">
      <c r="B17" s="2">
        <f t="shared" si="3"/>
        <v>2039</v>
      </c>
      <c r="C17" s="207">
        <f>IF(B17&lt;=Assumptions!$D$9,IF(B17&gt;=Assumptions!$D$29,TREND($L$27:$L$28,$K$27:$K$28,B17),0),0)</f>
        <v>0</v>
      </c>
      <c r="D17" s="207">
        <f>IF(B17&lt;=Assumptions!$D$9,IF(B17&gt;=Assumptions!$D$29,TREND($N$27:$N$28,$M$27:$M$28,B17),0),0)</f>
        <v>0</v>
      </c>
      <c r="E17" s="210">
        <f t="shared" si="1"/>
        <v>0</v>
      </c>
      <c r="F17" s="210">
        <f t="shared" si="2"/>
        <v>0</v>
      </c>
      <c r="G17" s="211">
        <f t="shared" si="0"/>
        <v>0</v>
      </c>
      <c r="H17" s="210">
        <f>G17*(1+0.07)^-(B17-Assumptions!$D$4)</f>
        <v>0</v>
      </c>
      <c r="K17" s="201">
        <v>2042</v>
      </c>
      <c r="L17" s="150">
        <f>Assumptions!$D$31</f>
        <v>49525</v>
      </c>
      <c r="M17" s="242"/>
      <c r="R17" s="222"/>
      <c r="S17" s="222"/>
      <c r="T17" s="222"/>
      <c r="U17" s="222"/>
      <c r="V17" s="222"/>
      <c r="W17" s="222"/>
      <c r="X17" s="222"/>
      <c r="Y17" s="222"/>
      <c r="Z17" s="222"/>
      <c r="AA17" s="222"/>
      <c r="AB17" s="222"/>
      <c r="AC17" s="222"/>
      <c r="AD17" s="222"/>
      <c r="AE17" s="222"/>
    </row>
    <row r="18" spans="1:39" x14ac:dyDescent="0.25">
      <c r="B18" s="2">
        <f t="shared" si="3"/>
        <v>2040</v>
      </c>
      <c r="C18" s="207">
        <f>IF(B18&lt;=Assumptions!$D$9,IF(B18&gt;=Assumptions!$D$29,TREND($L$27:$L$28,$K$27:$K$28,B18),0),0)</f>
        <v>0</v>
      </c>
      <c r="D18" s="207">
        <f>IF(B18&lt;=Assumptions!$D$9,IF(B18&gt;=Assumptions!$D$29,TREND($N$27:$N$28,$M$27:$M$28,B18),0),0)</f>
        <v>0</v>
      </c>
      <c r="E18" s="210">
        <f t="shared" si="1"/>
        <v>0</v>
      </c>
      <c r="F18" s="210">
        <f t="shared" si="2"/>
        <v>0</v>
      </c>
      <c r="G18" s="211">
        <f t="shared" si="0"/>
        <v>0</v>
      </c>
      <c r="H18" s="210">
        <f>G18*(1+0.07)^-(B18-Assumptions!$D$4)</f>
        <v>0</v>
      </c>
      <c r="R18" s="222"/>
      <c r="S18" s="222"/>
      <c r="T18" s="222"/>
      <c r="U18" s="222"/>
      <c r="V18" s="222"/>
      <c r="W18" s="222"/>
      <c r="X18" s="222"/>
      <c r="Y18" s="222"/>
      <c r="Z18" s="222"/>
      <c r="AA18" s="222"/>
      <c r="AB18" s="222"/>
      <c r="AC18" s="222"/>
      <c r="AD18" s="222"/>
      <c r="AE18" s="222"/>
    </row>
    <row r="19" spans="1:39" x14ac:dyDescent="0.25">
      <c r="B19" s="2">
        <f t="shared" si="3"/>
        <v>2041</v>
      </c>
      <c r="C19" s="207">
        <f>IF(B19&lt;=Assumptions!$D$9,IF(B19&gt;=Assumptions!$D$29,TREND($L$27:$L$28,$K$27:$K$28,B19),0),0)</f>
        <v>0</v>
      </c>
      <c r="D19" s="207">
        <f>IF(B19&lt;=Assumptions!$D$9,IF(B19&gt;=Assumptions!$D$29,TREND($N$27:$N$28,$M$27:$M$28,B19),0),0)</f>
        <v>0</v>
      </c>
      <c r="E19" s="210">
        <f t="shared" si="1"/>
        <v>0</v>
      </c>
      <c r="F19" s="210">
        <f t="shared" si="2"/>
        <v>0</v>
      </c>
      <c r="G19" s="211">
        <f t="shared" si="0"/>
        <v>0</v>
      </c>
      <c r="H19" s="210">
        <f>G19*(1+0.07)^-(B19-Assumptions!$D$4)</f>
        <v>0</v>
      </c>
      <c r="K19" s="245" t="s">
        <v>190</v>
      </c>
      <c r="L19" s="242"/>
      <c r="M19" s="242"/>
      <c r="N19" s="242"/>
      <c r="R19" s="222"/>
      <c r="S19" s="222"/>
      <c r="T19" s="222"/>
      <c r="U19" s="222"/>
      <c r="V19" s="222"/>
      <c r="W19" s="222"/>
      <c r="X19" s="222"/>
      <c r="Y19" s="222"/>
      <c r="Z19" s="222"/>
      <c r="AA19" s="222"/>
      <c r="AB19" s="222"/>
      <c r="AC19" s="222"/>
      <c r="AD19" s="222"/>
      <c r="AE19" s="222"/>
    </row>
    <row r="20" spans="1:39" ht="14.25" customHeight="1" x14ac:dyDescent="0.25">
      <c r="B20" s="2">
        <f t="shared" si="3"/>
        <v>2042</v>
      </c>
      <c r="C20" s="207">
        <f>IF(B20&lt;=Assumptions!$D$9,IF(B20&gt;=Assumptions!$D$29,TREND($L$27:$L$28,$K$27:$K$28,B20),0),0)</f>
        <v>0</v>
      </c>
      <c r="D20" s="207">
        <f>IF(B20&lt;=Assumptions!$D$9,IF(B20&gt;=Assumptions!$D$29,TREND($N$27:$N$28,$M$27:$M$28,B20),0),0)</f>
        <v>0</v>
      </c>
      <c r="E20" s="210">
        <f t="shared" si="1"/>
        <v>0</v>
      </c>
      <c r="F20" s="210">
        <f t="shared" si="2"/>
        <v>0</v>
      </c>
      <c r="G20" s="211">
        <f t="shared" si="0"/>
        <v>0</v>
      </c>
      <c r="H20" s="210">
        <f>G20*(1+0.07)^-(B20-Assumptions!$D$4)</f>
        <v>0</v>
      </c>
      <c r="K20" s="483" t="s">
        <v>113</v>
      </c>
      <c r="L20" s="484"/>
      <c r="M20" s="483" t="s">
        <v>114</v>
      </c>
      <c r="N20" s="484"/>
      <c r="R20" s="222"/>
      <c r="S20" s="222"/>
      <c r="T20" s="222"/>
      <c r="U20" s="222"/>
      <c r="V20" s="222"/>
      <c r="W20" s="222"/>
      <c r="X20" s="222"/>
      <c r="Y20" s="222"/>
      <c r="Z20" s="222"/>
      <c r="AA20" s="222"/>
      <c r="AB20" s="222"/>
      <c r="AC20" s="222"/>
      <c r="AD20" s="222"/>
      <c r="AE20" s="222"/>
    </row>
    <row r="21" spans="1:39" s="242" customFormat="1" ht="14.25" customHeight="1" x14ac:dyDescent="0.25">
      <c r="B21" s="2">
        <f t="shared" si="3"/>
        <v>2043</v>
      </c>
      <c r="C21" s="207">
        <f>IF(B21&lt;=Assumptions!$D$9,IF(B21&gt;=Assumptions!$D$29,TREND($L$27:$L$28,$K$27:$K$28,B21),0),0)</f>
        <v>0</v>
      </c>
      <c r="D21" s="207">
        <f>IF(B21&lt;=Assumptions!$D$9,IF(B21&gt;=Assumptions!$D$29,TREND($N$27:$N$28,$M$27:$M$28,B21),0),0)</f>
        <v>0</v>
      </c>
      <c r="E21" s="210">
        <f t="shared" si="1"/>
        <v>0</v>
      </c>
      <c r="F21" s="210">
        <f t="shared" si="2"/>
        <v>0</v>
      </c>
      <c r="G21" s="211">
        <f t="shared" si="0"/>
        <v>0</v>
      </c>
      <c r="H21" s="210">
        <f>G21*(1+0.07)^-(B21-Assumptions!$D$4)</f>
        <v>0</v>
      </c>
      <c r="K21" s="345" t="s">
        <v>115</v>
      </c>
      <c r="L21" s="345">
        <f>AVERAGE($T$10,$AD$10)</f>
        <v>10.050000000000001</v>
      </c>
      <c r="M21" s="345" t="s">
        <v>115</v>
      </c>
      <c r="N21" s="345">
        <f>AVERAGE($U$10,$AE$10)</f>
        <v>9.3000000000000007</v>
      </c>
      <c r="O21" s="346"/>
      <c r="P21" s="75"/>
      <c r="Q21" s="346"/>
      <c r="R21" s="222"/>
      <c r="S21" s="222"/>
      <c r="T21" s="222"/>
      <c r="U21" s="222"/>
      <c r="V21" s="222"/>
      <c r="W21" s="222"/>
      <c r="X21" s="222"/>
      <c r="Y21" s="222"/>
      <c r="Z21" s="222"/>
      <c r="AA21" s="222"/>
      <c r="AB21" s="222"/>
      <c r="AC21" s="222"/>
      <c r="AD21" s="222"/>
      <c r="AE21" s="222"/>
      <c r="AF21" s="346"/>
      <c r="AG21" s="346"/>
      <c r="AH21" s="346"/>
      <c r="AI21" s="346"/>
      <c r="AJ21" s="222"/>
      <c r="AK21" s="222"/>
      <c r="AL21" s="222"/>
      <c r="AM21" s="222"/>
    </row>
    <row r="22" spans="1:39" s="242" customFormat="1" ht="14.25" customHeight="1" x14ac:dyDescent="0.25">
      <c r="B22" s="2">
        <f t="shared" si="3"/>
        <v>2044</v>
      </c>
      <c r="C22" s="207">
        <f>IF(B22&lt;=Assumptions!$D$9,IF(B22&gt;=Assumptions!$D$29,TREND($L$27:$L$28,$K$27:$K$28,B22),0),0)</f>
        <v>0</v>
      </c>
      <c r="D22" s="207">
        <f>IF(B22&lt;=Assumptions!$D$9,IF(B22&gt;=Assumptions!$D$29,TREND($N$27:$N$28,$M$27:$M$28,B22),0),0)</f>
        <v>0</v>
      </c>
      <c r="E22" s="210">
        <f t="shared" si="1"/>
        <v>0</v>
      </c>
      <c r="F22" s="210">
        <f t="shared" si="2"/>
        <v>0</v>
      </c>
      <c r="G22" s="211">
        <f t="shared" si="0"/>
        <v>0</v>
      </c>
      <c r="H22" s="210">
        <f>G22*(1+0.07)^-(B22-Assumptions!$D$4)</f>
        <v>0</v>
      </c>
      <c r="K22" s="345" t="s">
        <v>116</v>
      </c>
      <c r="L22" s="270">
        <f>AVERAGE($T$11,$AD$11)</f>
        <v>14</v>
      </c>
      <c r="M22" s="345" t="s">
        <v>116</v>
      </c>
      <c r="N22" s="270">
        <f>AVERAGE($U$11,$AE$11)</f>
        <v>9</v>
      </c>
      <c r="O22" s="289"/>
      <c r="P22" s="75"/>
      <c r="Q22" s="346"/>
      <c r="R22" s="222"/>
      <c r="S22" s="222"/>
      <c r="T22" s="222"/>
      <c r="U22" s="222"/>
      <c r="V22" s="222"/>
      <c r="W22" s="222"/>
      <c r="X22" s="222"/>
      <c r="Y22" s="222"/>
      <c r="Z22" s="222"/>
      <c r="AA22" s="222"/>
      <c r="AB22" s="222"/>
      <c r="AC22" s="222"/>
      <c r="AD22" s="222"/>
      <c r="AE22" s="222"/>
      <c r="AF22" s="346"/>
      <c r="AG22" s="346"/>
      <c r="AH22" s="346"/>
      <c r="AI22" s="346"/>
      <c r="AJ22" s="222"/>
      <c r="AK22" s="222"/>
      <c r="AL22" s="222"/>
      <c r="AM22" s="222"/>
    </row>
    <row r="23" spans="1:39" x14ac:dyDescent="0.25">
      <c r="B23" s="2">
        <f t="shared" si="3"/>
        <v>2045</v>
      </c>
      <c r="C23" s="207">
        <f>IF(B23&lt;=Assumptions!$D$9,IF(B23&gt;=Assumptions!$D$29,TREND($L$27:$L$28,$K$27:$K$28,B23),0),0)</f>
        <v>0</v>
      </c>
      <c r="D23" s="207">
        <f>IF(B23&lt;=Assumptions!$D$9,IF(B23&gt;=Assumptions!$D$29,TREND($N$27:$N$28,$M$27:$M$28,B23),0),0)</f>
        <v>0</v>
      </c>
      <c r="E23" s="210">
        <f t="shared" si="1"/>
        <v>0</v>
      </c>
      <c r="F23" s="210">
        <f t="shared" si="2"/>
        <v>0</v>
      </c>
      <c r="G23" s="211">
        <f t="shared" si="0"/>
        <v>0</v>
      </c>
      <c r="H23" s="210">
        <f>G23*(1+0.07)^-(B23-Assumptions!$D$4)</f>
        <v>0</v>
      </c>
      <c r="K23" s="242"/>
      <c r="L23" s="242"/>
      <c r="M23" s="242"/>
      <c r="N23" s="242"/>
      <c r="S23" s="222"/>
      <c r="T23" s="222"/>
      <c r="U23" s="222"/>
      <c r="V23" s="222"/>
      <c r="W23" s="222"/>
      <c r="X23" s="222"/>
      <c r="Y23" s="222"/>
      <c r="Z23" s="222"/>
      <c r="AB23" s="222"/>
      <c r="AC23" s="222"/>
      <c r="AD23" s="222"/>
      <c r="AE23" s="222"/>
    </row>
    <row r="24" spans="1:39" x14ac:dyDescent="0.25">
      <c r="B24" s="2">
        <f t="shared" si="3"/>
        <v>2046</v>
      </c>
      <c r="C24" s="207">
        <f>IF(B24&lt;=Assumptions!$D$9,IF(B24&gt;=Assumptions!$D$29,TREND($L$27:$L$28,$K$27:$K$28,B24),0),0)</f>
        <v>3312876.875</v>
      </c>
      <c r="D24" s="207">
        <f>IF(B24&lt;=Assumptions!$D$9,IF(B24&gt;=Assumptions!$D$29,TREND($N$27:$N$28,$M$27:$M$28,B24),0),0)</f>
        <v>2129706.5625</v>
      </c>
      <c r="E24" s="210">
        <f t="shared" si="1"/>
        <v>98478577.986249998</v>
      </c>
      <c r="F24" s="210">
        <f t="shared" si="2"/>
        <v>63307657.276874997</v>
      </c>
      <c r="G24" s="211">
        <f t="shared" si="0"/>
        <v>35170920.709375001</v>
      </c>
      <c r="H24" s="210">
        <f>G24*(1+0.07)^-(B24-Assumptions!$D$4)</f>
        <v>6056274.0312170545</v>
      </c>
      <c r="K24" s="245" t="s">
        <v>125</v>
      </c>
      <c r="L24" s="242"/>
      <c r="M24" s="242"/>
      <c r="N24" s="242"/>
      <c r="X24" s="222"/>
      <c r="Y24" s="222"/>
      <c r="Z24" s="222"/>
      <c r="AB24" s="222"/>
      <c r="AC24" s="222"/>
      <c r="AD24" s="222"/>
      <c r="AE24" s="222"/>
    </row>
    <row r="25" spans="1:39" ht="15" customHeight="1" x14ac:dyDescent="0.25">
      <c r="B25" s="2">
        <f t="shared" si="3"/>
        <v>2047</v>
      </c>
      <c r="C25" s="207">
        <f>IF(B25&lt;=Assumptions!$D$9,IF(B25&gt;=Assumptions!$D$29,TREND($L$27:$L$28,$K$27:$K$28,B25),0),0)</f>
        <v>3350243.75</v>
      </c>
      <c r="D25" s="207">
        <f>IF(B25&lt;=Assumptions!$D$9,IF(B25&gt;=Assumptions!$D$29,TREND($N$27:$N$28,$M$27:$M$28,B25),0),0)</f>
        <v>2153728.125</v>
      </c>
      <c r="E25" s="210">
        <f t="shared" si="1"/>
        <v>99589345.712499991</v>
      </c>
      <c r="F25" s="210">
        <f t="shared" si="2"/>
        <v>64021722.243749999</v>
      </c>
      <c r="G25" s="211">
        <f t="shared" ref="G25" si="4">(E25-F25)</f>
        <v>35567623.468749993</v>
      </c>
      <c r="H25" s="210">
        <f>G25*(1+0.07)^-(B25-Assumptions!$D$4)</f>
        <v>5723910.7088286234</v>
      </c>
      <c r="K25" s="483" t="s">
        <v>113</v>
      </c>
      <c r="L25" s="484"/>
      <c r="M25" s="483" t="s">
        <v>114</v>
      </c>
      <c r="N25" s="484"/>
      <c r="X25" s="222"/>
      <c r="Y25" s="222"/>
      <c r="Z25" s="222"/>
      <c r="AB25" s="222"/>
      <c r="AC25" s="222"/>
      <c r="AD25" s="222"/>
      <c r="AE25" s="222"/>
    </row>
    <row r="26" spans="1:39" ht="15" customHeight="1" x14ac:dyDescent="0.25">
      <c r="B26" s="2">
        <f t="shared" si="3"/>
        <v>2048</v>
      </c>
      <c r="C26" s="207">
        <f>IF(B26&lt;=Assumptions!$D$9,IF(B26&gt;=Assumptions!$D$29,TREND($L$27:$L$28,$K$27:$K$28,B26),0),0)</f>
        <v>3387610.625</v>
      </c>
      <c r="D26" s="207">
        <f>IF(B26&lt;=Assumptions!$D$9,IF(B26&gt;=Assumptions!$D$29,TREND($N$27:$N$28,$M$27:$M$28,B26),0),0)</f>
        <v>2177749.6875</v>
      </c>
      <c r="E26" s="210">
        <f t="shared" si="1"/>
        <v>100700113.43875</v>
      </c>
      <c r="F26" s="210">
        <f t="shared" si="2"/>
        <v>64735787.210625</v>
      </c>
      <c r="G26" s="211">
        <f t="shared" si="0"/>
        <v>35964326.228124999</v>
      </c>
      <c r="H26" s="210">
        <f>G26*(1+0.07)^-(B26-Assumptions!$D$4)</f>
        <v>5409114.233274702</v>
      </c>
      <c r="K26" s="240" t="s">
        <v>43</v>
      </c>
      <c r="L26" s="127" t="s">
        <v>118</v>
      </c>
      <c r="M26" s="240" t="s">
        <v>43</v>
      </c>
      <c r="N26" s="127" t="s">
        <v>118</v>
      </c>
      <c r="X26" s="222"/>
      <c r="Y26" s="222"/>
      <c r="Z26" s="222"/>
      <c r="AB26" s="222"/>
      <c r="AC26" s="222"/>
      <c r="AD26" s="222"/>
      <c r="AE26" s="222"/>
    </row>
    <row r="27" spans="1:39" x14ac:dyDescent="0.25">
      <c r="B27" s="2">
        <f t="shared" si="3"/>
        <v>2049</v>
      </c>
      <c r="C27" s="207">
        <f>IF(B27&lt;=Assumptions!$D$9,IF(B27&gt;=Assumptions!$D$29,TREND($L$27:$L$28,$K$27:$K$28,B27),0),0)</f>
        <v>3424977.5</v>
      </c>
      <c r="D27" s="207">
        <f>IF(B27&lt;=Assumptions!$D$9,IF(B27&gt;=Assumptions!$D$29,TREND($N$27:$N$28,$M$27:$M$28,B27),0),0)</f>
        <v>2201771.25</v>
      </c>
      <c r="E27" s="210">
        <f t="shared" si="1"/>
        <v>101810881.16499999</v>
      </c>
      <c r="F27" s="210">
        <f t="shared" si="2"/>
        <v>65449852.177499995</v>
      </c>
      <c r="G27" s="211">
        <f t="shared" si="0"/>
        <v>36361028.987499997</v>
      </c>
      <c r="H27" s="210">
        <f>G27*(1+0.07)^-(B27-Assumptions!$D$4)</f>
        <v>5111008.6037027128</v>
      </c>
      <c r="I27" s="12"/>
      <c r="K27" s="240">
        <v>2022</v>
      </c>
      <c r="L27" s="150">
        <f>$L$9*L16*($L$22/60)*365</f>
        <v>2416071.875</v>
      </c>
      <c r="M27" s="240">
        <v>2022</v>
      </c>
      <c r="N27" s="150">
        <f>$L$9*L16*($N$22/60)*365</f>
        <v>1553189.0625</v>
      </c>
      <c r="X27" s="222"/>
      <c r="Y27" s="222"/>
      <c r="Z27" s="222"/>
      <c r="AB27" s="222"/>
      <c r="AC27" s="222"/>
      <c r="AD27" s="222"/>
      <c r="AE27" s="222"/>
    </row>
    <row r="28" spans="1:39" x14ac:dyDescent="0.25">
      <c r="A28" s="10"/>
      <c r="B28" s="2">
        <f t="shared" si="3"/>
        <v>2050</v>
      </c>
      <c r="C28" s="207">
        <f>IF(B28&lt;=Assumptions!$D$9,IF(B28&gt;=Assumptions!$D$29,TREND($L$27:$L$28,$K$27:$K$28,B28),0),0)</f>
        <v>3462344.375</v>
      </c>
      <c r="D28" s="207">
        <f>IF(B28&lt;=Assumptions!$D$9,IF(B28&gt;=Assumptions!$D$29,TREND($N$27:$N$28,$M$27:$M$28,B28),0),0)</f>
        <v>2225792.8125</v>
      </c>
      <c r="E28" s="210">
        <f t="shared" si="1"/>
        <v>102921648.89125</v>
      </c>
      <c r="F28" s="210">
        <f t="shared" si="2"/>
        <v>66163917.144374996</v>
      </c>
      <c r="G28" s="211">
        <f t="shared" si="0"/>
        <v>36757731.746875003</v>
      </c>
      <c r="H28" s="210">
        <f>G28*(1+0.07)^-(B28-Assumptions!$D$4)</f>
        <v>4828757.2527287137</v>
      </c>
      <c r="K28" s="240">
        <v>2042</v>
      </c>
      <c r="L28" s="150">
        <f>$L$9*L17*($L$22/60)*365</f>
        <v>3163409.375</v>
      </c>
      <c r="M28" s="240">
        <v>2042</v>
      </c>
      <c r="N28" s="150">
        <f>$L$9*L17*($N$22/60)*365</f>
        <v>2033620.3125</v>
      </c>
      <c r="X28" s="222"/>
      <c r="Y28" s="222"/>
      <c r="Z28" s="222"/>
      <c r="AB28" s="222"/>
      <c r="AC28" s="222"/>
      <c r="AD28" s="222"/>
      <c r="AE28" s="222"/>
    </row>
    <row r="29" spans="1:39" ht="15" customHeight="1" x14ac:dyDescent="0.25">
      <c r="A29" s="10"/>
      <c r="B29" s="2">
        <f t="shared" si="3"/>
        <v>2051</v>
      </c>
      <c r="C29" s="207">
        <f>IF(B29&lt;=Assumptions!$D$9,IF(B29&gt;=Assumptions!$D$29,TREND($L$27:$L$28,$K$27:$K$28,B29),0),0)</f>
        <v>3499711.25</v>
      </c>
      <c r="D29" s="207">
        <f>IF(B29&lt;=Assumptions!$D$9,IF(B29&gt;=Assumptions!$D$29,TREND($N$27:$N$28,$M$27:$M$28,B29),0),0)</f>
        <v>2249814.375</v>
      </c>
      <c r="E29" s="210">
        <f t="shared" si="1"/>
        <v>104032416.61749999</v>
      </c>
      <c r="F29" s="210">
        <f t="shared" si="2"/>
        <v>66877982.111249998</v>
      </c>
      <c r="G29" s="211">
        <f t="shared" si="0"/>
        <v>37154434.506249994</v>
      </c>
      <c r="H29" s="210">
        <f>G29*(1+0.07)^-(B29-Assumptions!$D$4)</f>
        <v>4561561.6360701649</v>
      </c>
      <c r="X29" s="222"/>
      <c r="Y29" s="222"/>
      <c r="Z29" s="222"/>
      <c r="AB29" s="222"/>
      <c r="AC29" s="222"/>
      <c r="AD29" s="222"/>
      <c r="AE29" s="222"/>
    </row>
    <row r="30" spans="1:39" ht="15" customHeight="1" x14ac:dyDescent="0.25">
      <c r="A30" s="222"/>
      <c r="B30" s="2">
        <f t="shared" si="3"/>
        <v>2052</v>
      </c>
      <c r="C30" s="207">
        <f>IF(B30&lt;=Assumptions!$D$9,IF(B30&gt;=Assumptions!$D$29,TREND($L$27:$L$28,$K$27:$K$28,B30),0),0)</f>
        <v>3537078.125</v>
      </c>
      <c r="D30" s="207">
        <f>IF(B30&lt;=Assumptions!$D$9,IF(B30&gt;=Assumptions!$D$29,TREND($N$27:$N$28,$M$27:$M$28,B30),0),0)</f>
        <v>2273835.9375</v>
      </c>
      <c r="E30" s="210">
        <f t="shared" si="1"/>
        <v>105143184.34375</v>
      </c>
      <c r="F30" s="210">
        <f t="shared" si="2"/>
        <v>67592047.078125</v>
      </c>
      <c r="G30" s="211">
        <f t="shared" si="0"/>
        <v>37551137.265625</v>
      </c>
      <c r="H30" s="210">
        <f>G30*(1+0.07)^-(B30-Assumptions!$D$4)</f>
        <v>4308659.8379434375</v>
      </c>
      <c r="K30" s="346"/>
      <c r="L30" s="346"/>
      <c r="M30" s="346"/>
      <c r="N30" s="346"/>
      <c r="X30" s="222"/>
      <c r="Y30" s="222"/>
      <c r="Z30" s="222"/>
      <c r="AB30" s="222"/>
      <c r="AC30" s="222"/>
      <c r="AD30" s="222"/>
      <c r="AE30" s="222"/>
    </row>
    <row r="31" spans="1:39" s="242" customFormat="1" ht="15" customHeight="1" x14ac:dyDescent="0.25">
      <c r="A31" s="222"/>
      <c r="B31" s="2">
        <f t="shared" si="3"/>
        <v>2053</v>
      </c>
      <c r="C31" s="207">
        <f>IF(B31&lt;=Assumptions!$D$9,IF(B31&gt;=Assumptions!$D$29,TREND($L$27:$L$28,$K$27:$K$28,B31),0),0)</f>
        <v>3574445</v>
      </c>
      <c r="D31" s="207">
        <f>IF(B31&lt;=Assumptions!$D$9,IF(B31&gt;=Assumptions!$D$29,TREND($N$27:$N$28,$M$27:$M$28,B31),0),0)</f>
        <v>2297857.5</v>
      </c>
      <c r="E31" s="210">
        <f t="shared" si="1"/>
        <v>106253952.06999999</v>
      </c>
      <c r="F31" s="210">
        <f t="shared" si="2"/>
        <v>68306112.045000002</v>
      </c>
      <c r="G31" s="211">
        <f t="shared" si="0"/>
        <v>37947840.024999991</v>
      </c>
      <c r="H31" s="210">
        <f>G31*(1+0.07)^-(B31-Assumptions!$D$4)</f>
        <v>4069325.1961994851</v>
      </c>
      <c r="K31" s="496"/>
      <c r="L31" s="496"/>
      <c r="M31" s="496"/>
      <c r="N31" s="496"/>
      <c r="O31" s="346"/>
      <c r="P31" s="346"/>
      <c r="Q31" s="346"/>
      <c r="R31" s="346"/>
      <c r="S31" s="346"/>
      <c r="T31" s="346"/>
      <c r="U31" s="346"/>
      <c r="V31" s="346"/>
      <c r="W31" s="346"/>
      <c r="X31" s="222"/>
      <c r="Y31" s="222"/>
      <c r="Z31" s="222"/>
      <c r="AA31" s="346"/>
      <c r="AB31" s="222"/>
      <c r="AC31" s="222"/>
      <c r="AD31" s="222"/>
      <c r="AE31" s="222"/>
      <c r="AF31" s="346"/>
      <c r="AG31" s="346"/>
      <c r="AH31" s="346"/>
      <c r="AI31" s="346"/>
      <c r="AJ31" s="222"/>
      <c r="AK31" s="222"/>
      <c r="AL31" s="222"/>
      <c r="AM31" s="222"/>
    </row>
    <row r="32" spans="1:39" x14ac:dyDescent="0.25">
      <c r="A32" s="222"/>
      <c r="B32" s="2">
        <f t="shared" si="3"/>
        <v>2054</v>
      </c>
      <c r="C32" s="207">
        <f>IF(B32&lt;=Assumptions!$D$9,IF(B32&gt;=Assumptions!$D$29,TREND($L$27:$L$28,$K$27:$K$28,B32),0),0)</f>
        <v>3611811.875</v>
      </c>
      <c r="D32" s="207">
        <f>IF(B32&lt;=Assumptions!$D$9,IF(B32&gt;=Assumptions!$D$29,TREND($N$27:$N$28,$M$27:$M$28,B32),0),0)</f>
        <v>2321879.0625</v>
      </c>
      <c r="E32" s="210">
        <f t="shared" si="1"/>
        <v>107364719.79625</v>
      </c>
      <c r="F32" s="210">
        <f t="shared" si="2"/>
        <v>69020177.011875004</v>
      </c>
      <c r="G32" s="211">
        <f t="shared" si="0"/>
        <v>38344542.784374997</v>
      </c>
      <c r="H32" s="210">
        <f>G32*(1+0.07)^-(B32-Assumptions!$D$4)</f>
        <v>3842864.9505838607</v>
      </c>
      <c r="K32" s="346"/>
      <c r="L32" s="346"/>
      <c r="M32" s="346"/>
      <c r="N32" s="346"/>
      <c r="X32" s="222"/>
      <c r="Y32" s="222"/>
      <c r="Z32" s="222"/>
      <c r="AB32" s="222"/>
      <c r="AC32" s="222"/>
      <c r="AD32" s="222"/>
      <c r="AE32" s="222"/>
    </row>
    <row r="33" spans="1:31" ht="15" customHeight="1" x14ac:dyDescent="0.25">
      <c r="A33" s="222"/>
      <c r="B33" s="2">
        <f t="shared" si="3"/>
        <v>2055</v>
      </c>
      <c r="C33" s="207">
        <f>IF(B33&lt;=Assumptions!$D$9,IF(B33&gt;=Assumptions!$D$29,TREND($L$27:$L$28,$K$27:$K$28,B33),0),0)</f>
        <v>3649178.75</v>
      </c>
      <c r="D33" s="207">
        <f>IF(B33&lt;=Assumptions!$D$9,IF(B33&gt;=Assumptions!$D$29,TREND($N$27:$N$28,$M$27:$M$28,B33),0),0)</f>
        <v>2345900.625</v>
      </c>
      <c r="E33" s="210">
        <f t="shared" si="1"/>
        <v>108475487.52249999</v>
      </c>
      <c r="F33" s="210">
        <f t="shared" si="2"/>
        <v>69734241.97874999</v>
      </c>
      <c r="G33" s="211">
        <f t="shared" si="0"/>
        <v>38741245.543750003</v>
      </c>
      <c r="H33" s="210">
        <f>G33*(1+0.07)^-(B33-Assumptions!$D$4)</f>
        <v>3628618.9169796272</v>
      </c>
      <c r="K33" s="346"/>
      <c r="L33" s="346"/>
      <c r="M33" s="346"/>
      <c r="N33" s="346"/>
      <c r="R33" s="348" t="s">
        <v>221</v>
      </c>
      <c r="X33" s="222"/>
      <c r="Y33" s="222"/>
      <c r="Z33" s="222"/>
      <c r="AA33" s="348" t="s">
        <v>223</v>
      </c>
      <c r="AB33" s="222"/>
      <c r="AC33" s="222"/>
      <c r="AD33" s="222"/>
      <c r="AE33" s="222"/>
    </row>
    <row r="34" spans="1:31" ht="15" customHeight="1" x14ac:dyDescent="0.25">
      <c r="A34" s="222"/>
      <c r="B34" s="2">
        <f t="shared" si="3"/>
        <v>2056</v>
      </c>
      <c r="C34" s="207">
        <f>IF(B34&lt;=Assumptions!$D$9,IF(B34&gt;=Assumptions!$D$29,TREND($L$27:$L$28,$K$27:$K$28,B34),0),0)</f>
        <v>3686545.625</v>
      </c>
      <c r="D34" s="207">
        <f>IF(B34&lt;=Assumptions!$D$9,IF(B34&gt;=Assumptions!$D$29,TREND($N$27:$N$28,$M$27:$M$28,B34),0),0)</f>
        <v>2369922.1875</v>
      </c>
      <c r="E34" s="210">
        <f t="shared" si="1"/>
        <v>109586255.24875</v>
      </c>
      <c r="F34" s="210">
        <f t="shared" si="2"/>
        <v>70448306.945624992</v>
      </c>
      <c r="G34" s="211">
        <f t="shared" si="0"/>
        <v>39137948.303125009</v>
      </c>
      <c r="H34" s="210">
        <f>G34*(1+0.07)^-(B34-Assumptions!$D$4)</f>
        <v>3425958.1900188164</v>
      </c>
      <c r="K34" s="346"/>
      <c r="L34" s="346"/>
      <c r="M34" s="346"/>
      <c r="N34" s="346"/>
      <c r="X34" s="222"/>
      <c r="Y34" s="222"/>
      <c r="Z34" s="222"/>
      <c r="AA34" s="222"/>
      <c r="AB34" s="222"/>
      <c r="AC34" s="222"/>
      <c r="AD34" s="222"/>
      <c r="AE34" s="222"/>
    </row>
    <row r="35" spans="1:31" ht="15" customHeight="1" thickBot="1" x14ac:dyDescent="0.3">
      <c r="A35" s="222"/>
      <c r="B35" s="3">
        <f t="shared" si="3"/>
        <v>2057</v>
      </c>
      <c r="C35" s="213">
        <f>IF(B35&lt;=Assumptions!$D$9,IF(B35&gt;=Assumptions!$D$29,TREND($L$27:$L$28,$K$27:$K$28,B35),0),0)</f>
        <v>3723912.5</v>
      </c>
      <c r="D35" s="213">
        <f>IF(B35&lt;=Assumptions!$D$9,IF(B35&gt;=Assumptions!$D$29,TREND($N$27:$N$28,$M$27:$M$28,B35),0),0)</f>
        <v>2393943.75</v>
      </c>
      <c r="E35" s="214">
        <f t="shared" si="1"/>
        <v>110697022.97499999</v>
      </c>
      <c r="F35" s="214">
        <f t="shared" si="2"/>
        <v>71162371.912499994</v>
      </c>
      <c r="G35" s="215">
        <f t="shared" si="0"/>
        <v>39534651.0625</v>
      </c>
      <c r="H35" s="214">
        <f>G35*(1+0.07)^-(B35-Assumptions!$D$4)</f>
        <v>3234283.8760246644</v>
      </c>
      <c r="I35" s="206"/>
      <c r="K35" s="346"/>
      <c r="L35" s="346"/>
      <c r="M35" s="346"/>
      <c r="N35" s="346"/>
      <c r="X35" s="222"/>
      <c r="Y35" s="222"/>
      <c r="Z35" s="222"/>
      <c r="AA35" s="222"/>
      <c r="AB35" s="222"/>
      <c r="AC35" s="222"/>
      <c r="AD35" s="222"/>
      <c r="AE35" s="222"/>
    </row>
    <row r="36" spans="1:31" ht="15" customHeight="1" thickBot="1" x14ac:dyDescent="0.3">
      <c r="A36" s="222"/>
      <c r="B36" s="4"/>
      <c r="C36" s="4"/>
      <c r="D36" s="4"/>
      <c r="E36" s="216"/>
      <c r="F36" s="216"/>
      <c r="G36" s="80" t="s">
        <v>2</v>
      </c>
      <c r="H36" s="271">
        <f>SUM(H6:H35)</f>
        <v>54200337.43357186</v>
      </c>
      <c r="I36" s="218"/>
      <c r="K36" s="496"/>
      <c r="L36" s="496"/>
      <c r="M36" s="496"/>
      <c r="N36" s="496"/>
      <c r="X36" s="222"/>
      <c r="Y36" s="222"/>
      <c r="Z36" s="222"/>
      <c r="AA36" s="222"/>
      <c r="AB36" s="222"/>
      <c r="AC36" s="222"/>
      <c r="AD36" s="222"/>
      <c r="AE36" s="222"/>
    </row>
    <row r="37" spans="1:31" ht="15" customHeight="1" x14ac:dyDescent="0.25">
      <c r="A37" s="222"/>
      <c r="B37" s="222"/>
      <c r="C37" s="222"/>
      <c r="D37" s="222"/>
      <c r="E37" s="222"/>
      <c r="F37" s="222"/>
      <c r="G37" s="222"/>
      <c r="K37" s="346"/>
      <c r="L37" s="346"/>
      <c r="M37" s="346"/>
      <c r="N37" s="346"/>
      <c r="X37" s="222"/>
      <c r="Y37" s="222"/>
      <c r="Z37" s="222"/>
      <c r="AA37" s="222"/>
      <c r="AB37" s="222"/>
      <c r="AC37" s="222"/>
      <c r="AD37" s="222"/>
      <c r="AE37" s="222"/>
    </row>
    <row r="38" spans="1:31" ht="15" customHeight="1" x14ac:dyDescent="0.25">
      <c r="A38" s="222"/>
      <c r="B38" s="222"/>
      <c r="C38" s="222"/>
      <c r="D38" s="222"/>
      <c r="E38" s="222"/>
      <c r="F38" s="222"/>
      <c r="G38" s="222"/>
      <c r="K38" s="346"/>
      <c r="L38" s="346"/>
      <c r="M38" s="346"/>
      <c r="N38" s="346"/>
      <c r="X38" s="222"/>
      <c r="Y38" s="222"/>
      <c r="Z38" s="222"/>
      <c r="AA38" s="222"/>
      <c r="AB38" s="222"/>
      <c r="AC38" s="222"/>
      <c r="AD38" s="222"/>
      <c r="AE38" s="222"/>
    </row>
    <row r="39" spans="1:31" ht="15" customHeight="1" x14ac:dyDescent="0.25">
      <c r="A39" s="222"/>
      <c r="B39" s="222"/>
      <c r="C39" s="222"/>
      <c r="D39" s="222"/>
      <c r="E39" s="222"/>
      <c r="F39" s="222"/>
      <c r="G39" s="222"/>
      <c r="K39" s="346"/>
      <c r="L39" s="346"/>
      <c r="M39" s="346"/>
      <c r="N39" s="346"/>
      <c r="X39" s="222"/>
      <c r="Y39" s="222"/>
      <c r="Z39" s="222"/>
      <c r="AA39" s="222"/>
      <c r="AB39" s="222"/>
      <c r="AC39" s="222"/>
      <c r="AD39" s="222"/>
      <c r="AE39" s="222"/>
    </row>
    <row r="40" spans="1:31" ht="15" customHeight="1" x14ac:dyDescent="0.25">
      <c r="A40" s="222"/>
      <c r="B40" s="222"/>
      <c r="C40" s="222"/>
      <c r="D40" s="222"/>
      <c r="E40" s="222"/>
      <c r="F40" s="222"/>
      <c r="G40" s="222"/>
      <c r="X40" s="222"/>
      <c r="Y40" s="222"/>
      <c r="Z40" s="222"/>
      <c r="AA40" s="222"/>
      <c r="AB40" s="222"/>
      <c r="AC40" s="222"/>
      <c r="AD40" s="222"/>
      <c r="AE40" s="222"/>
    </row>
    <row r="41" spans="1:31" ht="15" customHeight="1" x14ac:dyDescent="0.25">
      <c r="A41" s="10"/>
      <c r="B41" s="9" t="s">
        <v>3</v>
      </c>
      <c r="C41" s="9"/>
      <c r="D41" s="9"/>
      <c r="E41" s="242"/>
      <c r="F41" s="242"/>
      <c r="G41" s="242"/>
      <c r="X41" s="222"/>
      <c r="Y41" s="222"/>
      <c r="Z41" s="222"/>
      <c r="AA41" s="222"/>
      <c r="AB41" s="222"/>
      <c r="AC41" s="222"/>
      <c r="AD41" s="222"/>
      <c r="AE41" s="222"/>
    </row>
    <row r="42" spans="1:31" ht="15" customHeight="1" x14ac:dyDescent="0.25">
      <c r="A42" s="10" t="s">
        <v>21</v>
      </c>
      <c r="B42" s="492" t="s">
        <v>650</v>
      </c>
      <c r="C42" s="492"/>
      <c r="D42" s="492"/>
      <c r="E42" s="492"/>
      <c r="F42" s="492"/>
      <c r="G42" s="492"/>
      <c r="X42" s="222"/>
      <c r="Y42" s="222"/>
      <c r="Z42" s="222"/>
      <c r="AA42" s="222"/>
      <c r="AB42" s="222"/>
      <c r="AC42" s="222"/>
      <c r="AD42" s="222"/>
      <c r="AE42" s="222"/>
    </row>
    <row r="43" spans="1:31" x14ac:dyDescent="0.25">
      <c r="A43" s="10"/>
      <c r="B43" s="492"/>
      <c r="C43" s="492"/>
      <c r="D43" s="492"/>
      <c r="E43" s="492"/>
      <c r="F43" s="492"/>
      <c r="G43" s="492"/>
      <c r="X43" s="222"/>
      <c r="Y43" s="222"/>
      <c r="Z43" s="222"/>
      <c r="AA43" s="222"/>
      <c r="AB43" s="222"/>
      <c r="AC43" s="222"/>
      <c r="AD43" s="222"/>
      <c r="AE43" s="222"/>
    </row>
    <row r="44" spans="1:31" ht="15" customHeight="1" x14ac:dyDescent="0.25">
      <c r="A44" s="10"/>
      <c r="B44" s="492"/>
      <c r="C44" s="492"/>
      <c r="D44" s="492"/>
      <c r="E44" s="492"/>
      <c r="F44" s="492"/>
      <c r="G44" s="492"/>
      <c r="X44" s="222"/>
      <c r="Y44" s="222"/>
      <c r="Z44" s="222"/>
      <c r="AA44" s="222"/>
      <c r="AB44" s="222"/>
      <c r="AC44" s="222"/>
      <c r="AD44" s="222"/>
      <c r="AE44" s="222"/>
    </row>
    <row r="45" spans="1:31" ht="15" customHeight="1" x14ac:dyDescent="0.25">
      <c r="A45" s="10"/>
      <c r="B45" s="492"/>
      <c r="C45" s="492"/>
      <c r="D45" s="492"/>
      <c r="E45" s="492"/>
      <c r="F45" s="492"/>
      <c r="G45" s="492"/>
      <c r="X45" s="222"/>
      <c r="Y45" s="222"/>
      <c r="Z45" s="222"/>
      <c r="AA45" s="222"/>
      <c r="AB45" s="222"/>
      <c r="AC45" s="222"/>
      <c r="AD45" s="222"/>
      <c r="AE45" s="222"/>
    </row>
    <row r="46" spans="1:31" ht="15" customHeight="1" x14ac:dyDescent="0.25">
      <c r="A46" s="222"/>
      <c r="B46" s="222"/>
      <c r="C46" s="222"/>
      <c r="D46" s="222"/>
      <c r="E46" s="222"/>
      <c r="F46" s="222"/>
      <c r="G46" s="222"/>
      <c r="X46" s="222"/>
      <c r="Y46" s="222"/>
      <c r="Z46" s="222"/>
      <c r="AA46" s="222"/>
      <c r="AB46" s="222"/>
      <c r="AC46" s="222"/>
      <c r="AD46" s="222"/>
      <c r="AE46" s="222"/>
    </row>
    <row r="47" spans="1:31" x14ac:dyDescent="0.25">
      <c r="A47" s="10" t="s">
        <v>28</v>
      </c>
      <c r="B47" s="492" t="s">
        <v>644</v>
      </c>
      <c r="C47" s="492"/>
      <c r="D47" s="492"/>
      <c r="E47" s="492"/>
      <c r="F47" s="492"/>
      <c r="G47" s="492"/>
      <c r="X47" s="222"/>
      <c r="Y47" s="222"/>
      <c r="Z47" s="222"/>
      <c r="AA47" s="222"/>
      <c r="AB47" s="222"/>
      <c r="AC47" s="222"/>
      <c r="AD47" s="222"/>
      <c r="AE47" s="222"/>
    </row>
    <row r="48" spans="1:31" ht="15" customHeight="1" x14ac:dyDescent="0.25">
      <c r="A48" s="10"/>
      <c r="B48" s="492"/>
      <c r="C48" s="492"/>
      <c r="D48" s="492"/>
      <c r="E48" s="492"/>
      <c r="F48" s="492"/>
      <c r="G48" s="492"/>
      <c r="X48" s="222"/>
      <c r="Y48" s="222"/>
      <c r="Z48" s="222"/>
      <c r="AA48" s="222"/>
      <c r="AB48" s="222"/>
      <c r="AC48" s="222"/>
      <c r="AD48" s="222"/>
      <c r="AE48" s="222"/>
    </row>
    <row r="49" spans="1:31" ht="15" customHeight="1" x14ac:dyDescent="0.25">
      <c r="A49" s="10"/>
      <c r="B49" s="389"/>
      <c r="C49" s="389"/>
      <c r="D49" s="389"/>
      <c r="E49" s="389"/>
      <c r="F49" s="389"/>
      <c r="G49" s="389"/>
      <c r="X49" s="222"/>
      <c r="Y49" s="222"/>
      <c r="Z49" s="222"/>
      <c r="AA49" s="222"/>
      <c r="AB49" s="222"/>
      <c r="AC49" s="222"/>
      <c r="AD49" s="222"/>
      <c r="AE49" s="222"/>
    </row>
    <row r="50" spans="1:31" x14ac:dyDescent="0.25">
      <c r="A50" s="10" t="s">
        <v>29</v>
      </c>
      <c r="B50" s="492" t="s">
        <v>597</v>
      </c>
      <c r="C50" s="492"/>
      <c r="D50" s="492"/>
      <c r="E50" s="492"/>
      <c r="F50" s="492"/>
      <c r="G50" s="492"/>
      <c r="X50" s="222"/>
      <c r="Y50" s="222"/>
      <c r="Z50" s="222"/>
      <c r="AA50" s="222"/>
      <c r="AB50" s="222"/>
      <c r="AC50" s="222"/>
      <c r="AD50" s="222"/>
      <c r="AE50" s="222"/>
    </row>
    <row r="51" spans="1:31" ht="15" customHeight="1" x14ac:dyDescent="0.25">
      <c r="A51" s="10"/>
      <c r="B51" s="492"/>
      <c r="C51" s="492"/>
      <c r="D51" s="492"/>
      <c r="E51" s="492"/>
      <c r="F51" s="492"/>
      <c r="G51" s="492"/>
      <c r="X51" s="222"/>
      <c r="Y51" s="222"/>
      <c r="Z51" s="222"/>
      <c r="AA51" s="222"/>
      <c r="AB51" s="222"/>
      <c r="AC51" s="222"/>
      <c r="AD51" s="222"/>
      <c r="AE51" s="222"/>
    </row>
    <row r="52" spans="1:31" ht="15" customHeight="1" x14ac:dyDescent="0.25">
      <c r="A52" s="10"/>
      <c r="B52" s="492"/>
      <c r="C52" s="492"/>
      <c r="D52" s="492"/>
      <c r="E52" s="492"/>
      <c r="F52" s="492"/>
      <c r="G52" s="492"/>
      <c r="X52" s="222"/>
      <c r="Y52" s="222"/>
      <c r="Z52" s="222"/>
      <c r="AA52" s="222"/>
      <c r="AB52" s="222"/>
      <c r="AC52" s="222"/>
      <c r="AD52" s="222"/>
      <c r="AE52" s="222"/>
    </row>
    <row r="53" spans="1:31" ht="15" customHeight="1" x14ac:dyDescent="0.25">
      <c r="A53" s="10"/>
      <c r="B53" s="492"/>
      <c r="C53" s="492"/>
      <c r="D53" s="492"/>
      <c r="E53" s="492"/>
      <c r="F53" s="492"/>
      <c r="G53" s="492"/>
      <c r="X53" s="222"/>
      <c r="Y53" s="222"/>
      <c r="Z53" s="222"/>
      <c r="AA53" s="222"/>
      <c r="AB53" s="222"/>
      <c r="AC53" s="222"/>
      <c r="AD53" s="222"/>
      <c r="AE53" s="222"/>
    </row>
    <row r="54" spans="1:31" ht="15" customHeight="1" x14ac:dyDescent="0.25">
      <c r="A54" s="10"/>
      <c r="B54" s="65"/>
      <c r="C54" s="65"/>
      <c r="D54" s="65"/>
      <c r="E54" s="65"/>
      <c r="F54" s="65"/>
      <c r="G54" s="390"/>
      <c r="X54" s="222"/>
      <c r="Y54" s="222"/>
      <c r="Z54" s="222"/>
      <c r="AA54" s="222"/>
      <c r="AB54" s="222"/>
      <c r="AC54" s="222"/>
      <c r="AD54" s="222"/>
      <c r="AE54" s="222"/>
    </row>
    <row r="55" spans="1:31" x14ac:dyDescent="0.25">
      <c r="A55" s="10" t="s">
        <v>30</v>
      </c>
      <c r="B55" s="492" t="s">
        <v>649</v>
      </c>
      <c r="C55" s="492"/>
      <c r="D55" s="492"/>
      <c r="E55" s="492"/>
      <c r="F55" s="492"/>
      <c r="G55" s="492"/>
      <c r="R55" s="9" t="s">
        <v>225</v>
      </c>
      <c r="X55" s="222"/>
      <c r="Y55" s="222"/>
      <c r="Z55" s="222"/>
      <c r="AA55" s="348" t="s">
        <v>224</v>
      </c>
      <c r="AB55" s="222"/>
      <c r="AC55" s="222"/>
      <c r="AD55" s="222"/>
      <c r="AE55" s="222"/>
    </row>
    <row r="56" spans="1:31" ht="15" customHeight="1" x14ac:dyDescent="0.25">
      <c r="A56" s="222"/>
      <c r="B56" s="492"/>
      <c r="C56" s="492"/>
      <c r="D56" s="492"/>
      <c r="E56" s="492"/>
      <c r="F56" s="492"/>
      <c r="G56" s="492"/>
      <c r="X56" s="222"/>
      <c r="Y56" s="222"/>
      <c r="Z56" s="222"/>
      <c r="AA56" s="222"/>
      <c r="AB56" s="222"/>
      <c r="AC56" s="222"/>
      <c r="AD56" s="222"/>
      <c r="AE56" s="222"/>
    </row>
    <row r="57" spans="1:31" ht="15" customHeight="1" x14ac:dyDescent="0.25">
      <c r="A57" s="222"/>
      <c r="B57" s="492"/>
      <c r="C57" s="492"/>
      <c r="D57" s="492"/>
      <c r="E57" s="492"/>
      <c r="F57" s="492"/>
      <c r="G57" s="492"/>
      <c r="X57" s="222"/>
      <c r="Y57" s="222"/>
      <c r="Z57" s="222"/>
      <c r="AA57" s="222"/>
      <c r="AB57" s="222"/>
      <c r="AC57" s="222"/>
      <c r="AD57" s="222"/>
      <c r="AE57" s="222"/>
    </row>
    <row r="58" spans="1:31" x14ac:dyDescent="0.25">
      <c r="A58" s="222"/>
      <c r="B58" s="222"/>
      <c r="C58" s="222"/>
      <c r="D58" s="222"/>
      <c r="E58" s="222"/>
      <c r="F58" s="222"/>
      <c r="G58" s="222"/>
      <c r="X58" s="222"/>
      <c r="Y58" s="222"/>
      <c r="Z58" s="222"/>
      <c r="AA58" s="222"/>
      <c r="AB58" s="222"/>
      <c r="AC58" s="222"/>
      <c r="AD58" s="222"/>
      <c r="AE58" s="222"/>
    </row>
    <row r="59" spans="1:31" x14ac:dyDescent="0.25">
      <c r="A59" s="10" t="s">
        <v>30</v>
      </c>
      <c r="B59" s="492" t="s">
        <v>647</v>
      </c>
      <c r="C59" s="492"/>
      <c r="D59" s="492"/>
      <c r="E59" s="492"/>
      <c r="F59" s="492"/>
      <c r="G59" s="492"/>
      <c r="X59" s="222"/>
      <c r="Y59" s="222"/>
      <c r="Z59" s="222"/>
      <c r="AA59" s="222"/>
      <c r="AB59" s="222"/>
      <c r="AC59" s="222"/>
      <c r="AD59" s="222"/>
      <c r="AE59" s="222"/>
    </row>
    <row r="60" spans="1:31" ht="15" customHeight="1" x14ac:dyDescent="0.25">
      <c r="A60" s="10"/>
      <c r="B60" s="492"/>
      <c r="C60" s="492"/>
      <c r="D60" s="492"/>
      <c r="E60" s="492"/>
      <c r="F60" s="492"/>
      <c r="G60" s="492"/>
      <c r="X60" s="222"/>
      <c r="Y60" s="222"/>
      <c r="Z60" s="222"/>
      <c r="AA60" s="222"/>
      <c r="AB60" s="222"/>
      <c r="AC60" s="222"/>
      <c r="AD60" s="222"/>
      <c r="AE60" s="222"/>
    </row>
    <row r="61" spans="1:31" ht="15" customHeight="1" x14ac:dyDescent="0.25">
      <c r="A61" s="10"/>
      <c r="B61" s="492"/>
      <c r="C61" s="492"/>
      <c r="D61" s="492"/>
      <c r="E61" s="492"/>
      <c r="F61" s="492"/>
      <c r="G61" s="492"/>
      <c r="X61" s="222"/>
      <c r="Y61" s="222"/>
      <c r="Z61" s="222"/>
      <c r="AA61" s="222"/>
      <c r="AB61" s="222"/>
      <c r="AC61" s="222"/>
      <c r="AD61" s="222"/>
      <c r="AE61" s="222"/>
    </row>
    <row r="62" spans="1:31" x14ac:dyDescent="0.25">
      <c r="A62" s="10"/>
      <c r="B62" s="492"/>
      <c r="C62" s="492"/>
      <c r="D62" s="492"/>
      <c r="E62" s="492"/>
      <c r="F62" s="492"/>
      <c r="G62" s="492"/>
      <c r="X62" s="222"/>
      <c r="Y62" s="222"/>
      <c r="Z62" s="222"/>
      <c r="AA62" s="222"/>
      <c r="AB62" s="222"/>
      <c r="AC62" s="222"/>
      <c r="AD62" s="222"/>
      <c r="AE62" s="222"/>
    </row>
    <row r="63" spans="1:31" ht="15" customHeight="1" x14ac:dyDescent="0.25">
      <c r="A63" s="10"/>
      <c r="B63" s="65"/>
      <c r="C63" s="65"/>
      <c r="D63" s="65"/>
      <c r="E63" s="65"/>
      <c r="F63" s="65"/>
      <c r="G63" s="65"/>
      <c r="X63" s="222"/>
      <c r="Y63" s="222"/>
      <c r="Z63" s="222"/>
      <c r="AA63" s="222"/>
      <c r="AB63" s="222"/>
      <c r="AC63" s="222"/>
      <c r="AD63" s="222"/>
      <c r="AE63" s="222"/>
    </row>
    <row r="64" spans="1:31" ht="15" customHeight="1" x14ac:dyDescent="0.25">
      <c r="A64" s="10" t="s">
        <v>31</v>
      </c>
      <c r="B64" s="492" t="s">
        <v>648</v>
      </c>
      <c r="C64" s="492"/>
      <c r="D64" s="492"/>
      <c r="E64" s="492"/>
      <c r="F64" s="492"/>
      <c r="G64" s="492"/>
      <c r="X64" s="222"/>
      <c r="Y64" s="222"/>
      <c r="Z64" s="222"/>
      <c r="AA64" s="222"/>
      <c r="AB64" s="222"/>
      <c r="AC64" s="222"/>
      <c r="AD64" s="222"/>
      <c r="AE64" s="222"/>
    </row>
    <row r="65" spans="1:23" x14ac:dyDescent="0.25">
      <c r="A65" s="10"/>
      <c r="B65" s="492"/>
      <c r="C65" s="492"/>
      <c r="D65" s="492"/>
      <c r="E65" s="492"/>
      <c r="F65" s="492"/>
      <c r="G65" s="492"/>
    </row>
    <row r="66" spans="1:23" ht="15" customHeight="1" x14ac:dyDescent="0.25">
      <c r="A66" s="10"/>
      <c r="B66" s="65"/>
      <c r="C66" s="65"/>
      <c r="D66" s="65"/>
      <c r="E66" s="65"/>
      <c r="F66" s="65"/>
    </row>
    <row r="67" spans="1:23" ht="15" customHeight="1" x14ac:dyDescent="0.25">
      <c r="A67" s="10"/>
      <c r="B67" s="65"/>
      <c r="C67" s="65"/>
      <c r="D67" s="65"/>
      <c r="E67" s="65"/>
      <c r="F67" s="65"/>
      <c r="G67" s="65"/>
    </row>
    <row r="68" spans="1:23" x14ac:dyDescent="0.25">
      <c r="A68" s="10"/>
      <c r="B68" s="65"/>
      <c r="C68" s="65"/>
      <c r="D68" s="65"/>
      <c r="E68" s="65"/>
      <c r="F68" s="65"/>
      <c r="G68" s="65"/>
    </row>
    <row r="69" spans="1:23" ht="15" customHeight="1" x14ac:dyDescent="0.25">
      <c r="A69" s="10"/>
      <c r="B69" s="65"/>
      <c r="C69" s="65"/>
      <c r="D69" s="65"/>
      <c r="E69" s="65"/>
      <c r="F69" s="65"/>
      <c r="G69" s="65"/>
    </row>
    <row r="70" spans="1:23" ht="15" customHeight="1" x14ac:dyDescent="0.25">
      <c r="B70" s="65"/>
      <c r="C70" s="65"/>
      <c r="D70" s="65"/>
      <c r="E70" s="65"/>
      <c r="F70" s="65"/>
      <c r="G70" s="65"/>
    </row>
    <row r="75" spans="1:23" x14ac:dyDescent="0.25">
      <c r="S75" s="222"/>
      <c r="T75" s="222"/>
      <c r="U75" s="222"/>
      <c r="V75" s="222"/>
      <c r="W75" s="222"/>
    </row>
    <row r="76" spans="1:23" x14ac:dyDescent="0.25">
      <c r="R76" s="222"/>
      <c r="S76" s="222"/>
      <c r="T76" s="222"/>
      <c r="U76" s="222"/>
      <c r="V76" s="222"/>
      <c r="W76" s="222"/>
    </row>
    <row r="77" spans="1:23" x14ac:dyDescent="0.25">
      <c r="R77" s="222"/>
      <c r="S77" s="222"/>
      <c r="T77" s="222"/>
      <c r="U77" s="222"/>
      <c r="V77" s="222"/>
      <c r="W77" s="222"/>
    </row>
    <row r="78" spans="1:23" x14ac:dyDescent="0.25">
      <c r="R78" s="222"/>
      <c r="S78" s="222"/>
      <c r="T78" s="222"/>
      <c r="U78" s="222"/>
      <c r="V78" s="222"/>
      <c r="W78" s="222"/>
    </row>
    <row r="79" spans="1:23" x14ac:dyDescent="0.25">
      <c r="R79" s="222"/>
      <c r="S79" s="222"/>
      <c r="T79" s="222"/>
      <c r="U79" s="222"/>
      <c r="V79" s="222"/>
      <c r="W79" s="222"/>
    </row>
    <row r="80" spans="1:23" x14ac:dyDescent="0.25">
      <c r="R80" s="222"/>
      <c r="S80" s="222"/>
      <c r="T80" s="222"/>
      <c r="U80" s="222"/>
      <c r="V80" s="222"/>
      <c r="W80" s="222"/>
    </row>
    <row r="81" spans="18:23" x14ac:dyDescent="0.25">
      <c r="R81" s="222"/>
      <c r="S81" s="222"/>
      <c r="T81" s="222"/>
      <c r="U81" s="222"/>
      <c r="V81" s="222"/>
      <c r="W81" s="222"/>
    </row>
    <row r="82" spans="18:23" x14ac:dyDescent="0.25">
      <c r="R82" s="222"/>
      <c r="S82" s="222"/>
      <c r="T82" s="222"/>
      <c r="U82" s="222"/>
      <c r="V82" s="222"/>
      <c r="W82" s="222"/>
    </row>
    <row r="83" spans="18:23" x14ac:dyDescent="0.25">
      <c r="R83" s="9"/>
      <c r="S83" s="222"/>
      <c r="T83" s="222"/>
      <c r="U83" s="222"/>
      <c r="V83" s="222"/>
      <c r="W83" s="222"/>
    </row>
    <row r="84" spans="18:23" x14ac:dyDescent="0.25">
      <c r="R84" s="222"/>
      <c r="S84" s="222"/>
      <c r="T84" s="222"/>
      <c r="U84" s="222"/>
      <c r="V84" s="222"/>
      <c r="W84" s="222"/>
    </row>
    <row r="85" spans="18:23" x14ac:dyDescent="0.25">
      <c r="R85" s="222"/>
      <c r="S85" s="222"/>
      <c r="T85" s="222"/>
      <c r="U85" s="222"/>
      <c r="V85" s="222"/>
      <c r="W85" s="222"/>
    </row>
    <row r="86" spans="18:23" x14ac:dyDescent="0.25">
      <c r="R86" s="222"/>
      <c r="S86" s="222"/>
      <c r="T86" s="222"/>
      <c r="U86" s="222"/>
      <c r="V86" s="222"/>
      <c r="W86" s="222"/>
    </row>
    <row r="87" spans="18:23" x14ac:dyDescent="0.25">
      <c r="R87" s="222"/>
      <c r="S87" s="222"/>
      <c r="T87" s="222"/>
      <c r="U87" s="222"/>
      <c r="V87" s="222"/>
      <c r="W87" s="222"/>
    </row>
    <row r="88" spans="18:23" x14ac:dyDescent="0.25">
      <c r="R88" s="222"/>
      <c r="S88" s="222"/>
      <c r="T88" s="222"/>
      <c r="U88" s="222"/>
      <c r="V88" s="222"/>
      <c r="W88" s="222"/>
    </row>
    <row r="89" spans="18:23" x14ac:dyDescent="0.25">
      <c r="R89" s="222"/>
      <c r="S89" s="222"/>
      <c r="T89" s="222"/>
      <c r="U89" s="222"/>
      <c r="V89" s="222"/>
      <c r="W89" s="222"/>
    </row>
    <row r="90" spans="18:23" x14ac:dyDescent="0.25">
      <c r="R90" s="222"/>
      <c r="S90" s="222"/>
      <c r="T90" s="222"/>
      <c r="U90" s="222"/>
      <c r="V90" s="222"/>
      <c r="W90" s="222"/>
    </row>
    <row r="91" spans="18:23" x14ac:dyDescent="0.25">
      <c r="R91" s="222"/>
      <c r="S91" s="222"/>
      <c r="T91" s="222"/>
      <c r="U91" s="222"/>
      <c r="V91" s="222"/>
      <c r="W91" s="222"/>
    </row>
    <row r="92" spans="18:23" x14ac:dyDescent="0.25">
      <c r="R92" s="222"/>
      <c r="S92" s="222"/>
      <c r="T92" s="222"/>
      <c r="U92" s="222"/>
      <c r="V92" s="222"/>
      <c r="W92" s="222"/>
    </row>
    <row r="93" spans="18:23" x14ac:dyDescent="0.25">
      <c r="R93" s="222"/>
      <c r="S93" s="222"/>
      <c r="T93" s="222"/>
      <c r="U93" s="222"/>
      <c r="V93" s="222"/>
      <c r="W93" s="222"/>
    </row>
    <row r="94" spans="18:23" x14ac:dyDescent="0.25">
      <c r="R94" s="222"/>
      <c r="S94" s="222"/>
      <c r="T94" s="222"/>
      <c r="U94" s="222"/>
      <c r="V94" s="222"/>
      <c r="W94" s="222"/>
    </row>
    <row r="95" spans="18:23" x14ac:dyDescent="0.25">
      <c r="R95" s="222"/>
      <c r="S95" s="222"/>
      <c r="T95" s="222"/>
      <c r="U95" s="222"/>
      <c r="V95" s="222"/>
      <c r="W95" s="222"/>
    </row>
    <row r="96" spans="18:23" x14ac:dyDescent="0.25">
      <c r="R96" s="222"/>
      <c r="S96" s="222"/>
      <c r="T96" s="222"/>
      <c r="U96" s="222"/>
      <c r="V96" s="222"/>
      <c r="W96" s="222"/>
    </row>
    <row r="97" spans="18:23" x14ac:dyDescent="0.25">
      <c r="R97" s="222"/>
      <c r="S97" s="222"/>
      <c r="T97" s="222"/>
      <c r="U97" s="222"/>
      <c r="V97" s="222"/>
      <c r="W97" s="222"/>
    </row>
    <row r="98" spans="18:23" x14ac:dyDescent="0.25">
      <c r="R98" s="222"/>
      <c r="S98" s="222"/>
      <c r="T98" s="222"/>
      <c r="U98" s="222"/>
      <c r="V98" s="222"/>
      <c r="W98" s="222"/>
    </row>
    <row r="99" spans="18:23" x14ac:dyDescent="0.25">
      <c r="R99" s="222"/>
      <c r="S99" s="222"/>
      <c r="T99" s="222"/>
      <c r="U99" s="222"/>
      <c r="V99" s="222"/>
      <c r="W99" s="222"/>
    </row>
    <row r="100" spans="18:23" x14ac:dyDescent="0.25">
      <c r="R100" s="222"/>
      <c r="S100" s="222"/>
      <c r="T100" s="222"/>
      <c r="U100" s="222"/>
      <c r="V100" s="222"/>
      <c r="W100" s="222"/>
    </row>
    <row r="101" spans="18:23" x14ac:dyDescent="0.25">
      <c r="S101" s="222"/>
      <c r="T101" s="222"/>
      <c r="U101" s="222"/>
      <c r="V101" s="222"/>
      <c r="W101" s="222"/>
    </row>
    <row r="102" spans="18:23" x14ac:dyDescent="0.25">
      <c r="S102" s="222"/>
      <c r="T102" s="222"/>
      <c r="U102" s="222"/>
      <c r="V102" s="222"/>
      <c r="W102" s="222"/>
    </row>
    <row r="103" spans="18:23" x14ac:dyDescent="0.25">
      <c r="R103" s="222"/>
      <c r="S103" s="222"/>
      <c r="T103" s="222"/>
      <c r="U103" s="222"/>
      <c r="V103" s="222"/>
      <c r="W103" s="222"/>
    </row>
    <row r="104" spans="18:23" x14ac:dyDescent="0.25">
      <c r="R104" s="222"/>
      <c r="S104" s="222"/>
      <c r="T104" s="222"/>
      <c r="U104" s="222"/>
      <c r="V104" s="222"/>
      <c r="W104" s="222"/>
    </row>
    <row r="105" spans="18:23" x14ac:dyDescent="0.25">
      <c r="R105" s="222"/>
      <c r="S105" s="222"/>
      <c r="T105" s="222"/>
      <c r="U105" s="222"/>
      <c r="V105" s="222"/>
      <c r="W105" s="222"/>
    </row>
    <row r="106" spans="18:23" x14ac:dyDescent="0.25">
      <c r="R106" s="222"/>
      <c r="S106" s="222"/>
      <c r="T106" s="222"/>
      <c r="U106" s="222"/>
      <c r="V106" s="222"/>
      <c r="W106" s="222"/>
    </row>
    <row r="107" spans="18:23" x14ac:dyDescent="0.25">
      <c r="R107" s="222"/>
      <c r="S107" s="222"/>
      <c r="T107" s="222"/>
      <c r="U107" s="222"/>
      <c r="V107" s="222"/>
      <c r="W107" s="222"/>
    </row>
    <row r="108" spans="18:23" x14ac:dyDescent="0.25">
      <c r="R108" s="222"/>
      <c r="S108" s="222"/>
      <c r="T108" s="222"/>
      <c r="U108" s="222"/>
      <c r="V108" s="222"/>
      <c r="W108" s="222"/>
    </row>
    <row r="109" spans="18:23" x14ac:dyDescent="0.25">
      <c r="R109" s="222"/>
      <c r="S109" s="222"/>
      <c r="T109" s="222"/>
      <c r="U109" s="222"/>
      <c r="V109" s="222"/>
      <c r="W109" s="222"/>
    </row>
    <row r="110" spans="18:23" x14ac:dyDescent="0.25">
      <c r="R110" s="222"/>
      <c r="S110" s="222"/>
      <c r="T110" s="222"/>
      <c r="U110" s="222"/>
      <c r="V110" s="222"/>
      <c r="W110" s="222"/>
    </row>
    <row r="111" spans="18:23" x14ac:dyDescent="0.25">
      <c r="R111" s="222"/>
      <c r="S111" s="222"/>
      <c r="T111" s="222"/>
      <c r="U111" s="222"/>
      <c r="V111" s="222"/>
      <c r="W111" s="222"/>
    </row>
    <row r="112" spans="18:23" x14ac:dyDescent="0.25">
      <c r="R112" s="222"/>
      <c r="S112" s="222"/>
      <c r="T112" s="222"/>
      <c r="U112" s="222"/>
      <c r="V112" s="222"/>
      <c r="W112" s="222"/>
    </row>
    <row r="113" spans="18:23" x14ac:dyDescent="0.25">
      <c r="R113" s="222"/>
      <c r="S113" s="222"/>
      <c r="T113" s="222"/>
      <c r="U113" s="222"/>
      <c r="V113" s="222"/>
      <c r="W113" s="222"/>
    </row>
    <row r="114" spans="18:23" x14ac:dyDescent="0.25">
      <c r="R114" s="222"/>
      <c r="S114" s="222"/>
      <c r="T114" s="222"/>
      <c r="U114" s="222"/>
      <c r="V114" s="222"/>
      <c r="W114" s="222"/>
    </row>
    <row r="115" spans="18:23" x14ac:dyDescent="0.25">
      <c r="R115" s="222"/>
      <c r="S115" s="222"/>
      <c r="T115" s="222"/>
      <c r="U115" s="222"/>
      <c r="V115" s="222"/>
      <c r="W115" s="222"/>
    </row>
  </sheetData>
  <mergeCells count="24">
    <mergeCell ref="B64:G65"/>
    <mergeCell ref="H4:H5"/>
    <mergeCell ref="G4:G5"/>
    <mergeCell ref="B4:B5"/>
    <mergeCell ref="C4:C5"/>
    <mergeCell ref="D4:D5"/>
    <mergeCell ref="E4:E5"/>
    <mergeCell ref="F4:F5"/>
    <mergeCell ref="B42:G45"/>
    <mergeCell ref="B47:G48"/>
    <mergeCell ref="B50:G53"/>
    <mergeCell ref="B55:G57"/>
    <mergeCell ref="B59:G62"/>
    <mergeCell ref="K25:L25"/>
    <mergeCell ref="M25:N25"/>
    <mergeCell ref="K31:L31"/>
    <mergeCell ref="M31:N31"/>
    <mergeCell ref="K36:L36"/>
    <mergeCell ref="M36:N36"/>
    <mergeCell ref="T8:U8"/>
    <mergeCell ref="AD8:AE8"/>
    <mergeCell ref="K5:L5"/>
    <mergeCell ref="K20:L20"/>
    <mergeCell ref="M20:N20"/>
  </mergeCells>
  <hyperlinks>
    <hyperlink ref="T12" r:id="rId1" xr:uid="{7936A33A-0DE3-4312-9A12-8AEB52290302}"/>
    <hyperlink ref="U12" r:id="rId2" xr:uid="{DAB29EB1-3760-4C13-8A9B-ACF238D92B56}"/>
    <hyperlink ref="AE12" r:id="rId3" xr:uid="{09AE38C8-B87F-42DF-B5C1-F5D19F51CB64}"/>
    <hyperlink ref="AD12" r:id="rId4" xr:uid="{88BEE1FE-5EB1-4351-B5B4-73A3F6A290F2}"/>
  </hyperlinks>
  <pageMargins left="0.25" right="0.25" top="0.75" bottom="0.75" header="0.3" footer="0.3"/>
  <pageSetup scale="39"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CC716-B29C-43CD-9DDC-DB14412F6738}">
  <sheetPr>
    <tabColor theme="6" tint="0.79998168889431442"/>
    <pageSetUpPr fitToPage="1"/>
  </sheetPr>
  <dimension ref="A1:AW115"/>
  <sheetViews>
    <sheetView zoomScale="70" zoomScaleNormal="70" zoomScaleSheetLayoutView="70" zoomScalePageLayoutView="55" workbookViewId="0">
      <selection activeCell="E33" sqref="E33"/>
    </sheetView>
  </sheetViews>
  <sheetFormatPr defaultRowHeight="15" x14ac:dyDescent="0.25"/>
  <cols>
    <col min="1" max="1" width="3.7109375" style="181" customWidth="1"/>
    <col min="2" max="8" width="20.7109375" style="181" customWidth="1"/>
    <col min="9" max="9" width="5.7109375" style="181" customWidth="1"/>
    <col min="10" max="10" width="3" style="181" customWidth="1"/>
    <col min="11" max="11" width="39.140625" style="181" customWidth="1"/>
    <col min="12" max="12" width="29.28515625" style="181" bestFit="1" customWidth="1"/>
    <col min="13" max="13" width="39.140625" style="181" customWidth="1"/>
    <col min="14" max="14" width="29.28515625" style="181" bestFit="1" customWidth="1"/>
    <col min="15" max="17" width="15.7109375" style="346" customWidth="1"/>
    <col min="18" max="35" width="30.7109375" style="346" customWidth="1"/>
    <col min="36" max="36" width="30.7109375" style="222" customWidth="1"/>
    <col min="37" max="39" width="30.7109375" style="242" customWidth="1"/>
    <col min="40" max="43" width="15.7109375" style="242" customWidth="1"/>
    <col min="44" max="49" width="30.7109375" style="242" customWidth="1"/>
    <col min="50" max="16384" width="9.140625" style="181"/>
  </cols>
  <sheetData>
    <row r="1" spans="2:49" ht="14.25" customHeight="1" x14ac:dyDescent="0.25">
      <c r="B1" s="419">
        <v>1</v>
      </c>
      <c r="C1" s="419">
        <v>2</v>
      </c>
      <c r="D1" s="419">
        <v>3</v>
      </c>
      <c r="E1" s="419">
        <v>4</v>
      </c>
      <c r="F1" s="419">
        <v>5</v>
      </c>
      <c r="G1" s="419">
        <v>6</v>
      </c>
      <c r="H1" s="419">
        <v>7</v>
      </c>
    </row>
    <row r="2" spans="2:49" x14ac:dyDescent="0.25">
      <c r="B2" s="9" t="s">
        <v>119</v>
      </c>
      <c r="C2" s="9"/>
      <c r="D2" s="9"/>
    </row>
    <row r="3" spans="2:49" ht="15.75" thickBot="1" x14ac:dyDescent="0.3">
      <c r="K3" s="66"/>
    </row>
    <row r="4" spans="2:49" ht="35.1" customHeight="1" x14ac:dyDescent="0.25">
      <c r="B4" s="488" t="s">
        <v>0</v>
      </c>
      <c r="C4" s="488" t="s">
        <v>137</v>
      </c>
      <c r="D4" s="490" t="s">
        <v>120</v>
      </c>
      <c r="E4" s="488" t="s">
        <v>121</v>
      </c>
      <c r="F4" s="488" t="s">
        <v>122</v>
      </c>
      <c r="G4" s="493" t="s">
        <v>123</v>
      </c>
      <c r="H4" s="485" t="s">
        <v>1</v>
      </c>
      <c r="K4" s="66"/>
      <c r="R4" s="160"/>
      <c r="AA4" s="160"/>
      <c r="AR4" s="160"/>
    </row>
    <row r="5" spans="2:49" ht="43.5" customHeight="1" thickBot="1" x14ac:dyDescent="0.6">
      <c r="B5" s="489"/>
      <c r="C5" s="489"/>
      <c r="D5" s="491"/>
      <c r="E5" s="489"/>
      <c r="F5" s="489"/>
      <c r="G5" s="494"/>
      <c r="H5" s="486"/>
      <c r="K5" s="487" t="s">
        <v>138</v>
      </c>
      <c r="L5" s="487"/>
      <c r="M5" s="206"/>
      <c r="R5" s="222"/>
      <c r="S5" s="222"/>
      <c r="T5" s="222"/>
      <c r="U5" s="222"/>
      <c r="V5" s="222"/>
      <c r="W5" s="222"/>
      <c r="X5" s="222"/>
      <c r="Y5" s="222"/>
      <c r="Z5" s="222"/>
      <c r="AA5" s="222"/>
      <c r="AB5" s="222"/>
      <c r="AC5" s="222"/>
      <c r="AD5" s="222"/>
      <c r="AE5" s="222"/>
      <c r="AF5" s="279"/>
      <c r="AG5" s="279"/>
      <c r="AH5" s="279"/>
      <c r="AI5" s="279"/>
      <c r="AK5" s="279"/>
      <c r="AL5" s="279"/>
      <c r="AW5" s="279"/>
    </row>
    <row r="6" spans="2:49" x14ac:dyDescent="0.25">
      <c r="B6" s="1">
        <f>Assumptions!$D$8</f>
        <v>2028</v>
      </c>
      <c r="C6" s="207">
        <f>IF(B6&lt;=Assumptions!$D$9,IF(B6&gt;=Assumptions!$D$29,TREND($L$24:$L$25,$K$24:$K$25,B6),0),0)</f>
        <v>0</v>
      </c>
      <c r="D6" s="207">
        <f>IF(B6&lt;=Assumptions!$D$9,IF(B6&gt;=Assumptions!$D$29,TREND($N$24:$N$25,$M$24:$M$25,B6),0),0)</f>
        <v>0</v>
      </c>
      <c r="E6" s="208">
        <f>C6*$L$6</f>
        <v>0</v>
      </c>
      <c r="F6" s="208">
        <f>D6*$L$6</f>
        <v>0</v>
      </c>
      <c r="G6" s="209">
        <f>(E6-F6)</f>
        <v>0</v>
      </c>
      <c r="H6" s="208">
        <f>G6*(1+0.07)^-(B6-Assumptions!$D$4)</f>
        <v>0</v>
      </c>
      <c r="K6" s="149" t="s">
        <v>130</v>
      </c>
      <c r="L6" s="104">
        <f>Assumptions!$D$23</f>
        <v>0.45</v>
      </c>
      <c r="M6" s="242" t="s">
        <v>111</v>
      </c>
      <c r="R6" s="9" t="s">
        <v>212</v>
      </c>
      <c r="AA6" s="9" t="s">
        <v>212</v>
      </c>
      <c r="AS6" s="497"/>
      <c r="AT6" s="497"/>
      <c r="AU6" s="497"/>
      <c r="AV6" s="497"/>
      <c r="AW6" s="497"/>
    </row>
    <row r="7" spans="2:49" x14ac:dyDescent="0.25">
      <c r="B7" s="2">
        <f>B6+1</f>
        <v>2029</v>
      </c>
      <c r="C7" s="207">
        <f>IF(B7&lt;=Assumptions!$D$9,IF(B7&gt;=Assumptions!$D$29,TREND($L$24:$L$25,$K$24:$K$25,B7),0),0)</f>
        <v>0</v>
      </c>
      <c r="D7" s="207">
        <f>IF(B7&lt;=Assumptions!$D$9,IF(B7&gt;=Assumptions!$D$29,TREND($N$24:$N$25,$M$24:$M$25,B7),0),0)</f>
        <v>0</v>
      </c>
      <c r="E7" s="210">
        <f t="shared" ref="E7:F24" si="0">C7*$L$6</f>
        <v>0</v>
      </c>
      <c r="F7" s="210">
        <f t="shared" si="0"/>
        <v>0</v>
      </c>
      <c r="G7" s="211">
        <f t="shared" ref="G7:G24" si="1">(E7-F7)</f>
        <v>0</v>
      </c>
      <c r="H7" s="210">
        <f>G7*(1+0.07)^-(B7-Assumptions!$D$4)</f>
        <v>0</v>
      </c>
      <c r="M7" s="12"/>
      <c r="AS7" s="327"/>
      <c r="AT7" s="327"/>
      <c r="AU7" s="327"/>
      <c r="AV7" s="327"/>
      <c r="AW7" s="327"/>
    </row>
    <row r="8" spans="2:49" x14ac:dyDescent="0.25">
      <c r="B8" s="2">
        <f t="shared" ref="B8:B35" si="2">B7+1</f>
        <v>2030</v>
      </c>
      <c r="C8" s="207">
        <f>IF(B8&lt;=Assumptions!$D$9,IF(B8&gt;=Assumptions!$D$29,TREND($L$24:$L$25,$K$24:$K$25,B8),0),0)</f>
        <v>0</v>
      </c>
      <c r="D8" s="207">
        <f>IF(B8&lt;=Assumptions!$D$9,IF(B8&gt;=Assumptions!$D$29,TREND($N$24:$N$25,$M$24:$M$25,B8),0),0)</f>
        <v>0</v>
      </c>
      <c r="E8" s="210">
        <f t="shared" si="0"/>
        <v>0</v>
      </c>
      <c r="F8" s="210">
        <f t="shared" si="0"/>
        <v>0</v>
      </c>
      <c r="G8" s="211">
        <f t="shared" si="1"/>
        <v>0</v>
      </c>
      <c r="H8" s="210">
        <f>G8*(1+0.07)^-(B8-Assumptions!$D$4)</f>
        <v>0</v>
      </c>
      <c r="J8" s="67"/>
      <c r="K8" s="77" t="s">
        <v>132</v>
      </c>
      <c r="L8" s="77"/>
      <c r="M8" s="242"/>
      <c r="T8" s="483" t="s">
        <v>210</v>
      </c>
      <c r="U8" s="484"/>
      <c r="AD8" s="483" t="s">
        <v>210</v>
      </c>
      <c r="AE8" s="484"/>
      <c r="AS8" s="327"/>
      <c r="AT8" s="327"/>
      <c r="AU8" s="184"/>
      <c r="AV8" s="184"/>
      <c r="AW8" s="270"/>
    </row>
    <row r="9" spans="2:49" ht="15" customHeight="1" x14ac:dyDescent="0.25">
      <c r="B9" s="2">
        <f t="shared" si="2"/>
        <v>2031</v>
      </c>
      <c r="C9" s="207">
        <f>IF(B9&lt;=Assumptions!$D$9,IF(B9&gt;=Assumptions!$D$29,TREND($L$24:$L$25,$K$24:$K$25,B9),0),0)</f>
        <v>0</v>
      </c>
      <c r="D9" s="207">
        <f>IF(B9&lt;=Assumptions!$D$9,IF(B9&gt;=Assumptions!$D$29,TREND($N$24:$N$25,$M$24:$M$25,B9),0),0)</f>
        <v>0</v>
      </c>
      <c r="E9" s="210">
        <f t="shared" si="0"/>
        <v>0</v>
      </c>
      <c r="F9" s="210">
        <f t="shared" si="0"/>
        <v>0</v>
      </c>
      <c r="G9" s="211">
        <f t="shared" si="1"/>
        <v>0</v>
      </c>
      <c r="H9" s="210">
        <f>G9*(1+0.07)^-(B9-Assumptions!$D$4)</f>
        <v>0</v>
      </c>
      <c r="K9" s="149" t="s">
        <v>128</v>
      </c>
      <c r="L9" s="212">
        <f>Assumptions!$D$13</f>
        <v>0.75</v>
      </c>
      <c r="M9" s="242"/>
      <c r="T9" s="345" t="s">
        <v>215</v>
      </c>
      <c r="U9" s="345" t="s">
        <v>213</v>
      </c>
      <c r="AD9" s="345" t="s">
        <v>216</v>
      </c>
      <c r="AE9" s="345" t="s">
        <v>214</v>
      </c>
      <c r="AS9" s="219"/>
    </row>
    <row r="10" spans="2:49" x14ac:dyDescent="0.25">
      <c r="B10" s="2">
        <f t="shared" si="2"/>
        <v>2032</v>
      </c>
      <c r="C10" s="207">
        <f>IF(B10&lt;=Assumptions!$D$9,IF(B10&gt;=Assumptions!$D$29,TREND($L$24:$L$25,$K$24:$K$25,B10),0),0)</f>
        <v>0</v>
      </c>
      <c r="D10" s="207">
        <f>IF(B10&lt;=Assumptions!$D$9,IF(B10&gt;=Assumptions!$D$29,TREND($N$24:$N$25,$M$24:$M$25,B10),0),0)</f>
        <v>0</v>
      </c>
      <c r="E10" s="210">
        <f t="shared" si="0"/>
        <v>0</v>
      </c>
      <c r="F10" s="210">
        <f t="shared" si="0"/>
        <v>0</v>
      </c>
      <c r="G10" s="211">
        <f t="shared" si="1"/>
        <v>0</v>
      </c>
      <c r="H10" s="210">
        <f>G10*(1+0.07)^-(B10-Assumptions!$D$4)</f>
        <v>0</v>
      </c>
      <c r="M10" s="66"/>
      <c r="S10" s="345" t="s">
        <v>115</v>
      </c>
      <c r="T10" s="345">
        <v>9.9</v>
      </c>
      <c r="U10" s="345">
        <v>9.3000000000000007</v>
      </c>
      <c r="AC10" s="345" t="s">
        <v>115</v>
      </c>
      <c r="AD10" s="345">
        <v>10.199999999999999</v>
      </c>
      <c r="AE10" s="345">
        <v>9.3000000000000007</v>
      </c>
    </row>
    <row r="11" spans="2:49" x14ac:dyDescent="0.25">
      <c r="B11" s="2">
        <f t="shared" si="2"/>
        <v>2033</v>
      </c>
      <c r="C11" s="207">
        <f>IF(B11&lt;=Assumptions!$D$9,IF(B11&gt;=Assumptions!$D$29,TREND($L$24:$L$25,$K$24:$K$25,B11),0),0)</f>
        <v>0</v>
      </c>
      <c r="D11" s="207">
        <f>IF(B11&lt;=Assumptions!$D$9,IF(B11&gt;=Assumptions!$D$29,TREND($N$24:$N$25,$M$24:$M$25,B11),0),0)</f>
        <v>0</v>
      </c>
      <c r="E11" s="210">
        <f t="shared" si="0"/>
        <v>0</v>
      </c>
      <c r="F11" s="210">
        <f t="shared" si="0"/>
        <v>0</v>
      </c>
      <c r="G11" s="211">
        <f t="shared" si="1"/>
        <v>0</v>
      </c>
      <c r="H11" s="210">
        <f>G11*(1+0.07)^-(B11-Assumptions!$D$4)</f>
        <v>0</v>
      </c>
      <c r="K11" s="77" t="s">
        <v>207</v>
      </c>
      <c r="L11" s="77"/>
      <c r="M11" s="242"/>
      <c r="S11" s="345" t="s">
        <v>116</v>
      </c>
      <c r="T11" s="345">
        <v>14</v>
      </c>
      <c r="U11" s="345">
        <v>9</v>
      </c>
      <c r="AC11" s="345" t="s">
        <v>116</v>
      </c>
      <c r="AD11" s="345">
        <v>14</v>
      </c>
      <c r="AE11" s="345">
        <v>9</v>
      </c>
    </row>
    <row r="12" spans="2:49" x14ac:dyDescent="0.25">
      <c r="B12" s="2">
        <f t="shared" si="2"/>
        <v>2034</v>
      </c>
      <c r="C12" s="207">
        <f>IF(B12&lt;=Assumptions!$D$9,IF(B12&gt;=Assumptions!$D$29,TREND($L$24:$L$25,$K$24:$K$25,B12),0),0)</f>
        <v>0</v>
      </c>
      <c r="D12" s="207">
        <f>IF(B12&lt;=Assumptions!$D$9,IF(B12&gt;=Assumptions!$D$29,TREND($N$24:$N$25,$M$24:$M$25,B12),0),0)</f>
        <v>0</v>
      </c>
      <c r="E12" s="210">
        <f t="shared" si="0"/>
        <v>0</v>
      </c>
      <c r="F12" s="210">
        <f t="shared" si="0"/>
        <v>0</v>
      </c>
      <c r="G12" s="211">
        <f t="shared" si="1"/>
        <v>0</v>
      </c>
      <c r="H12" s="210">
        <f>G12*(1+0.07)^-(B12-Assumptions!$D$4)</f>
        <v>0</v>
      </c>
      <c r="K12" s="201" t="s">
        <v>43</v>
      </c>
      <c r="L12" s="201" t="s">
        <v>103</v>
      </c>
      <c r="M12" s="12"/>
      <c r="S12" s="345" t="s">
        <v>211</v>
      </c>
      <c r="T12" s="310" t="s">
        <v>226</v>
      </c>
      <c r="U12" s="310" t="s">
        <v>227</v>
      </c>
      <c r="AC12" s="345" t="s">
        <v>211</v>
      </c>
      <c r="AD12" s="310" t="s">
        <v>229</v>
      </c>
      <c r="AE12" s="310" t="s">
        <v>228</v>
      </c>
    </row>
    <row r="13" spans="2:49" ht="15" customHeight="1" x14ac:dyDescent="0.25">
      <c r="B13" s="2">
        <f t="shared" si="2"/>
        <v>2035</v>
      </c>
      <c r="C13" s="207">
        <f>IF(B13&lt;=Assumptions!$D$9,IF(B13&gt;=Assumptions!$D$29,TREND($L$24:$L$25,$K$24:$K$25,B13),0),0)</f>
        <v>0</v>
      </c>
      <c r="D13" s="207">
        <f>IF(B13&lt;=Assumptions!$D$9,IF(B13&gt;=Assumptions!$D$29,TREND($N$24:$N$25,$M$24:$M$25,B13),0),0)</f>
        <v>0</v>
      </c>
      <c r="E13" s="210">
        <f t="shared" si="0"/>
        <v>0</v>
      </c>
      <c r="F13" s="210">
        <f t="shared" si="0"/>
        <v>0</v>
      </c>
      <c r="G13" s="211">
        <f t="shared" si="1"/>
        <v>0</v>
      </c>
      <c r="H13" s="210">
        <f>G13*(1+0.07)^-(B13-Assumptions!$D$4)</f>
        <v>0</v>
      </c>
      <c r="K13" s="201">
        <v>2022</v>
      </c>
      <c r="L13" s="150">
        <f>Assumptions!$D$30</f>
        <v>37825</v>
      </c>
      <c r="M13" s="242"/>
    </row>
    <row r="14" spans="2:49" x14ac:dyDescent="0.25">
      <c r="B14" s="2">
        <f t="shared" si="2"/>
        <v>2036</v>
      </c>
      <c r="C14" s="207">
        <f>IF(B14&lt;=Assumptions!$D$9,IF(B14&gt;=Assumptions!$D$29,TREND($L$24:$L$25,$K$24:$K$25,B14),0),0)</f>
        <v>0</v>
      </c>
      <c r="D14" s="207">
        <f>IF(B14&lt;=Assumptions!$D$9,IF(B14&gt;=Assumptions!$D$29,TREND($N$24:$N$25,$M$24:$M$25,B14),0),0)</f>
        <v>0</v>
      </c>
      <c r="E14" s="210">
        <f t="shared" si="0"/>
        <v>0</v>
      </c>
      <c r="F14" s="210">
        <f t="shared" si="0"/>
        <v>0</v>
      </c>
      <c r="G14" s="211">
        <f t="shared" si="1"/>
        <v>0</v>
      </c>
      <c r="H14" s="210">
        <f>G14*(1+0.07)^-(B14-Assumptions!$D$4)</f>
        <v>0</v>
      </c>
      <c r="K14" s="201">
        <v>2042</v>
      </c>
      <c r="L14" s="150">
        <f>Assumptions!$D$31</f>
        <v>49525</v>
      </c>
      <c r="M14" s="242"/>
      <c r="R14" s="348" t="s">
        <v>232</v>
      </c>
      <c r="S14" s="222"/>
      <c r="T14" s="222"/>
      <c r="U14" s="222"/>
      <c r="V14" s="222"/>
      <c r="W14" s="222"/>
      <c r="X14" s="222"/>
      <c r="Y14" s="222"/>
      <c r="Z14" s="222"/>
      <c r="AA14" s="348" t="s">
        <v>233</v>
      </c>
      <c r="AB14" s="222"/>
      <c r="AC14" s="222"/>
      <c r="AD14" s="222"/>
      <c r="AE14" s="222"/>
    </row>
    <row r="15" spans="2:49" x14ac:dyDescent="0.25">
      <c r="B15" s="2">
        <f t="shared" si="2"/>
        <v>2037</v>
      </c>
      <c r="C15" s="207">
        <f>IF(B15&lt;=Assumptions!$D$9,IF(B15&gt;=Assumptions!$D$29,TREND($L$24:$L$25,$K$24:$K$25,B15),0),0)</f>
        <v>0</v>
      </c>
      <c r="D15" s="207">
        <f>IF(B15&lt;=Assumptions!$D$9,IF(B15&gt;=Assumptions!$D$29,TREND($N$24:$N$25,$M$24:$M$25,B15),0),0)</f>
        <v>0</v>
      </c>
      <c r="E15" s="210">
        <f t="shared" si="0"/>
        <v>0</v>
      </c>
      <c r="F15" s="210">
        <f t="shared" si="0"/>
        <v>0</v>
      </c>
      <c r="G15" s="211">
        <f t="shared" si="1"/>
        <v>0</v>
      </c>
      <c r="H15" s="210">
        <f>G15*(1+0.07)^-(B15-Assumptions!$D$4)</f>
        <v>0</v>
      </c>
      <c r="R15" s="222"/>
      <c r="S15" s="222"/>
      <c r="T15" s="222"/>
      <c r="U15" s="222"/>
      <c r="V15" s="222"/>
      <c r="W15" s="222"/>
      <c r="X15" s="222"/>
      <c r="Y15" s="222"/>
      <c r="Z15" s="222"/>
      <c r="AA15" s="222"/>
      <c r="AB15" s="222"/>
      <c r="AC15" s="222"/>
      <c r="AD15" s="222"/>
      <c r="AE15" s="222"/>
    </row>
    <row r="16" spans="2:49" x14ac:dyDescent="0.25">
      <c r="B16" s="2">
        <f t="shared" si="2"/>
        <v>2038</v>
      </c>
      <c r="C16" s="207">
        <f>IF(B16&lt;=Assumptions!$D$9,IF(B16&gt;=Assumptions!$D$29,TREND($L$24:$L$25,$K$24:$K$25,B16),0),0)</f>
        <v>0</v>
      </c>
      <c r="D16" s="207">
        <f>IF(B16&lt;=Assumptions!$D$9,IF(B16&gt;=Assumptions!$D$29,TREND($N$24:$N$25,$M$24:$M$25,B16),0),0)</f>
        <v>0</v>
      </c>
      <c r="E16" s="210">
        <f t="shared" si="0"/>
        <v>0</v>
      </c>
      <c r="F16" s="210">
        <f t="shared" si="0"/>
        <v>0</v>
      </c>
      <c r="G16" s="211">
        <f t="shared" si="1"/>
        <v>0</v>
      </c>
      <c r="H16" s="210">
        <f>G16*(1+0.07)^-(B16-Assumptions!$D$4)</f>
        <v>0</v>
      </c>
      <c r="K16" s="179" t="s">
        <v>208</v>
      </c>
      <c r="R16" s="222"/>
      <c r="S16" s="222"/>
      <c r="T16" s="222"/>
      <c r="U16" s="222"/>
      <c r="V16" s="222"/>
      <c r="W16" s="222"/>
      <c r="X16" s="222"/>
      <c r="Y16" s="222"/>
      <c r="Z16" s="222"/>
      <c r="AA16" s="222"/>
      <c r="AB16" s="222"/>
      <c r="AC16" s="222"/>
      <c r="AD16" s="222"/>
      <c r="AE16" s="222"/>
    </row>
    <row r="17" spans="1:49" x14ac:dyDescent="0.25">
      <c r="B17" s="2">
        <f t="shared" si="2"/>
        <v>2039</v>
      </c>
      <c r="C17" s="207">
        <f>IF(B17&lt;=Assumptions!$D$9,IF(B17&gt;=Assumptions!$D$29,TREND($L$24:$L$25,$K$24:$K$25,B17),0),0)</f>
        <v>0</v>
      </c>
      <c r="D17" s="207">
        <f>IF(B17&lt;=Assumptions!$D$9,IF(B17&gt;=Assumptions!$D$29,TREND($N$24:$N$25,$M$24:$M$25,B17),0),0)</f>
        <v>0</v>
      </c>
      <c r="E17" s="210">
        <f t="shared" si="0"/>
        <v>0</v>
      </c>
      <c r="F17" s="210">
        <f t="shared" si="0"/>
        <v>0</v>
      </c>
      <c r="G17" s="211">
        <f t="shared" si="1"/>
        <v>0</v>
      </c>
      <c r="H17" s="210">
        <f>G17*(1+0.07)^-(B17-Assumptions!$D$4)</f>
        <v>0</v>
      </c>
      <c r="K17" s="483" t="s">
        <v>113</v>
      </c>
      <c r="L17" s="484"/>
      <c r="M17" s="495" t="s">
        <v>114</v>
      </c>
      <c r="N17" s="495"/>
      <c r="R17" s="222"/>
      <c r="S17" s="222"/>
      <c r="T17" s="222"/>
      <c r="U17" s="222"/>
      <c r="V17" s="222"/>
      <c r="W17" s="222"/>
      <c r="X17" s="222"/>
      <c r="Y17" s="222"/>
      <c r="Z17" s="222"/>
      <c r="AA17" s="222"/>
      <c r="AB17" s="222"/>
      <c r="AC17" s="222"/>
      <c r="AD17" s="222"/>
      <c r="AE17" s="222"/>
    </row>
    <row r="18" spans="1:49" x14ac:dyDescent="0.25">
      <c r="B18" s="2">
        <f t="shared" si="2"/>
        <v>2040</v>
      </c>
      <c r="C18" s="207">
        <f>IF(B18&lt;=Assumptions!$D$9,IF(B18&gt;=Assumptions!$D$29,TREND($L$24:$L$25,$K$24:$K$25,B18),0),0)</f>
        <v>0</v>
      </c>
      <c r="D18" s="207">
        <f>IF(B18&lt;=Assumptions!$D$9,IF(B18&gt;=Assumptions!$D$29,TREND($N$24:$N$25,$M$24:$M$25,B18),0),0)</f>
        <v>0</v>
      </c>
      <c r="E18" s="210">
        <f t="shared" si="0"/>
        <v>0</v>
      </c>
      <c r="F18" s="210">
        <f t="shared" si="0"/>
        <v>0</v>
      </c>
      <c r="G18" s="211">
        <f t="shared" si="1"/>
        <v>0</v>
      </c>
      <c r="H18" s="210">
        <f>G18*(1+0.07)^-(B18-Assumptions!$D$4)</f>
        <v>0</v>
      </c>
      <c r="K18" s="345" t="s">
        <v>115</v>
      </c>
      <c r="L18" s="345">
        <f>AVERAGE($T$10,$AD$10)</f>
        <v>10.050000000000001</v>
      </c>
      <c r="M18" s="345" t="s">
        <v>115</v>
      </c>
      <c r="N18" s="345">
        <f>AVERAGE($U$10,$AE$10)</f>
        <v>9.3000000000000007</v>
      </c>
      <c r="R18" s="222"/>
      <c r="S18" s="222"/>
      <c r="T18" s="222"/>
      <c r="U18" s="222"/>
      <c r="V18" s="222"/>
      <c r="W18" s="222"/>
      <c r="X18" s="222"/>
      <c r="Y18" s="222"/>
      <c r="Z18" s="222"/>
      <c r="AA18" s="222"/>
      <c r="AB18" s="222"/>
      <c r="AC18" s="222"/>
      <c r="AD18" s="222"/>
      <c r="AE18" s="222"/>
    </row>
    <row r="19" spans="1:49" x14ac:dyDescent="0.25">
      <c r="B19" s="2">
        <f t="shared" si="2"/>
        <v>2041</v>
      </c>
      <c r="C19" s="207">
        <f>IF(B19&lt;=Assumptions!$D$9,IF(B19&gt;=Assumptions!$D$29,TREND($L$24:$L$25,$K$24:$K$25,B19),0),0)</f>
        <v>0</v>
      </c>
      <c r="D19" s="207">
        <f>IF(B19&lt;=Assumptions!$D$9,IF(B19&gt;=Assumptions!$D$29,TREND($N$24:$N$25,$M$24:$M$25,B19),0),0)</f>
        <v>0</v>
      </c>
      <c r="E19" s="210">
        <f t="shared" si="0"/>
        <v>0</v>
      </c>
      <c r="F19" s="210">
        <f t="shared" si="0"/>
        <v>0</v>
      </c>
      <c r="G19" s="211">
        <f t="shared" si="1"/>
        <v>0</v>
      </c>
      <c r="H19" s="210">
        <f>G19*(1+0.07)^-(B19-Assumptions!$D$4)</f>
        <v>0</v>
      </c>
      <c r="K19" s="345" t="s">
        <v>116</v>
      </c>
      <c r="L19" s="270">
        <f>AVERAGE($T$11,$AD$11)</f>
        <v>14</v>
      </c>
      <c r="M19" s="345" t="s">
        <v>116</v>
      </c>
      <c r="N19" s="270">
        <f>AVERAGE($U$11,$AE$11)</f>
        <v>9</v>
      </c>
      <c r="R19" s="222"/>
      <c r="S19" s="222"/>
      <c r="T19" s="222"/>
      <c r="U19" s="222"/>
      <c r="V19" s="222"/>
      <c r="W19" s="222"/>
      <c r="X19" s="222"/>
      <c r="Y19" s="222"/>
      <c r="Z19" s="222"/>
      <c r="AA19" s="222"/>
      <c r="AB19" s="222"/>
      <c r="AC19" s="222"/>
      <c r="AD19" s="222"/>
      <c r="AE19" s="222"/>
    </row>
    <row r="20" spans="1:49" ht="14.25" customHeight="1" x14ac:dyDescent="0.25">
      <c r="B20" s="2">
        <f t="shared" si="2"/>
        <v>2042</v>
      </c>
      <c r="C20" s="207">
        <f>IF(B20&lt;=Assumptions!$D$9,IF(B20&gt;=Assumptions!$D$29,TREND($L$24:$L$25,$K$24:$K$25,B20),0),0)</f>
        <v>0</v>
      </c>
      <c r="D20" s="207">
        <f>IF(B20&lt;=Assumptions!$D$9,IF(B20&gt;=Assumptions!$D$29,TREND($N$24:$N$25,$M$24:$M$25,B20),0),0)</f>
        <v>0</v>
      </c>
      <c r="E20" s="210">
        <f t="shared" si="0"/>
        <v>0</v>
      </c>
      <c r="F20" s="210">
        <f t="shared" si="0"/>
        <v>0</v>
      </c>
      <c r="G20" s="211">
        <f t="shared" si="1"/>
        <v>0</v>
      </c>
      <c r="H20" s="210">
        <f>G20*(1+0.07)^-(B20-Assumptions!$D$4)</f>
        <v>0</v>
      </c>
      <c r="R20" s="222"/>
      <c r="S20" s="222"/>
      <c r="T20" s="222"/>
      <c r="U20" s="222"/>
      <c r="V20" s="222"/>
      <c r="W20" s="222"/>
      <c r="X20" s="222"/>
      <c r="Y20" s="222"/>
      <c r="Z20" s="222"/>
      <c r="AA20" s="222"/>
      <c r="AB20" s="222"/>
      <c r="AC20" s="222"/>
      <c r="AD20" s="222"/>
      <c r="AE20" s="222"/>
    </row>
    <row r="21" spans="1:49" x14ac:dyDescent="0.25">
      <c r="B21" s="2">
        <f t="shared" si="2"/>
        <v>2043</v>
      </c>
      <c r="C21" s="207">
        <f>IF(B21&lt;=Assumptions!$D$9,IF(B21&gt;=Assumptions!$D$29,TREND($L$24:$L$25,$K$24:$K$25,B21),0),0)</f>
        <v>0</v>
      </c>
      <c r="D21" s="207">
        <f>IF(B21&lt;=Assumptions!$D$9,IF(B21&gt;=Assumptions!$D$29,TREND($N$24:$N$25,$M$24:$M$25,B21),0),0)</f>
        <v>0</v>
      </c>
      <c r="E21" s="210">
        <f t="shared" si="0"/>
        <v>0</v>
      </c>
      <c r="F21" s="210">
        <f t="shared" si="0"/>
        <v>0</v>
      </c>
      <c r="G21" s="211">
        <f t="shared" si="1"/>
        <v>0</v>
      </c>
      <c r="H21" s="210">
        <f>G21*(1+0.07)^-(B21-Assumptions!$D$4)</f>
        <v>0</v>
      </c>
      <c r="K21" s="179" t="s">
        <v>209</v>
      </c>
      <c r="N21" s="242"/>
      <c r="P21" s="75"/>
      <c r="R21" s="222"/>
      <c r="S21" s="222"/>
      <c r="T21" s="222"/>
      <c r="U21" s="222"/>
      <c r="V21" s="222"/>
      <c r="W21" s="222"/>
      <c r="X21" s="222"/>
      <c r="Y21" s="222"/>
      <c r="Z21" s="222"/>
      <c r="AA21" s="222"/>
      <c r="AB21" s="222"/>
      <c r="AC21" s="222"/>
      <c r="AD21" s="222"/>
      <c r="AE21" s="222"/>
      <c r="AP21" s="75"/>
      <c r="AW21" s="12"/>
    </row>
    <row r="22" spans="1:49" x14ac:dyDescent="0.25">
      <c r="B22" s="2">
        <f t="shared" si="2"/>
        <v>2044</v>
      </c>
      <c r="C22" s="207">
        <f>IF(B22&lt;=Assumptions!$D$9,IF(B22&gt;=Assumptions!$D$29,TREND($L$24:$L$25,$K$24:$K$25,B22),0),0)</f>
        <v>0</v>
      </c>
      <c r="D22" s="207">
        <f>IF(B22&lt;=Assumptions!$D$9,IF(B22&gt;=Assumptions!$D$29,TREND($N$24:$N$25,$M$24:$M$25,B22),0),0)</f>
        <v>0</v>
      </c>
      <c r="E22" s="210">
        <f t="shared" si="0"/>
        <v>0</v>
      </c>
      <c r="F22" s="210">
        <f t="shared" si="0"/>
        <v>0</v>
      </c>
      <c r="G22" s="211">
        <f t="shared" si="1"/>
        <v>0</v>
      </c>
      <c r="H22" s="210">
        <f>G22*(1+0.07)^-(B22-Assumptions!$D$4)</f>
        <v>0</v>
      </c>
      <c r="K22" s="495" t="s">
        <v>113</v>
      </c>
      <c r="L22" s="495"/>
      <c r="M22" s="495" t="s">
        <v>114</v>
      </c>
      <c r="N22" s="495"/>
      <c r="O22" s="289"/>
      <c r="P22" s="75"/>
      <c r="R22" s="222"/>
      <c r="S22" s="222"/>
      <c r="T22" s="222"/>
      <c r="U22" s="222"/>
      <c r="V22" s="222"/>
      <c r="W22" s="222"/>
      <c r="X22" s="222"/>
      <c r="Y22" s="222"/>
      <c r="Z22" s="222"/>
      <c r="AA22" s="222"/>
      <c r="AB22" s="222"/>
      <c r="AC22" s="222"/>
      <c r="AD22" s="222"/>
      <c r="AE22" s="222"/>
      <c r="AP22" s="75"/>
      <c r="AT22" s="12"/>
      <c r="AU22" s="12"/>
    </row>
    <row r="23" spans="1:49" x14ac:dyDescent="0.25">
      <c r="B23" s="2">
        <f t="shared" si="2"/>
        <v>2045</v>
      </c>
      <c r="C23" s="207">
        <f>IF(B23&lt;=Assumptions!$D$9,IF(B23&gt;=Assumptions!$D$29,TREND($L$24:$L$25,$K$24:$K$25,B23),0),0)</f>
        <v>0</v>
      </c>
      <c r="D23" s="207">
        <f>IF(B23&lt;=Assumptions!$D$9,IF(B23&gt;=Assumptions!$D$29,TREND($N$24:$N$25,$M$24:$M$25,B23),0),0)</f>
        <v>0</v>
      </c>
      <c r="E23" s="210">
        <f t="shared" si="0"/>
        <v>0</v>
      </c>
      <c r="F23" s="210">
        <f t="shared" si="0"/>
        <v>0</v>
      </c>
      <c r="G23" s="211">
        <f t="shared" si="1"/>
        <v>0</v>
      </c>
      <c r="H23" s="210">
        <f>G23*(1+0.07)^-(B23-Assumptions!$D$4)</f>
        <v>0</v>
      </c>
      <c r="K23" s="240" t="s">
        <v>43</v>
      </c>
      <c r="L23" s="240" t="s">
        <v>126</v>
      </c>
      <c r="M23" s="240" t="s">
        <v>43</v>
      </c>
      <c r="N23" s="240" t="s">
        <v>126</v>
      </c>
      <c r="S23" s="222"/>
      <c r="T23" s="222"/>
      <c r="U23" s="222"/>
      <c r="V23" s="222"/>
      <c r="W23" s="222"/>
      <c r="X23" s="222"/>
      <c r="Y23" s="222"/>
      <c r="Z23" s="222"/>
      <c r="AB23" s="222"/>
      <c r="AC23" s="222"/>
      <c r="AD23" s="222"/>
      <c r="AE23" s="222"/>
      <c r="AR23" s="9"/>
    </row>
    <row r="24" spans="1:49" x14ac:dyDescent="0.25">
      <c r="B24" s="2">
        <f t="shared" si="2"/>
        <v>2046</v>
      </c>
      <c r="C24" s="207">
        <f>IF(B24&lt;=Assumptions!$D$9,IF(B24&gt;=Assumptions!$D$29,TREND($L$24:$L$25,$K$24:$K$25,B24),0),0)</f>
        <v>142690339.6875</v>
      </c>
      <c r="D24" s="207">
        <f>IF(B24&lt;=Assumptions!$D$9,IF(B24&gt;=Assumptions!$D$29,TREND($N$24:$N$25,$M$24:$M$25,B24),0),0)</f>
        <v>132041806.875</v>
      </c>
      <c r="E24" s="210">
        <f t="shared" si="0"/>
        <v>64210652.859375</v>
      </c>
      <c r="F24" s="210">
        <f t="shared" si="0"/>
        <v>59418813.09375</v>
      </c>
      <c r="G24" s="211">
        <f t="shared" si="1"/>
        <v>4791839.765625</v>
      </c>
      <c r="H24" s="210">
        <f>G24*(1+0.07)^-(B24-Assumptions!$D$4)</f>
        <v>825133.21087361465</v>
      </c>
      <c r="K24" s="240">
        <v>2022</v>
      </c>
      <c r="L24" s="150">
        <f>$L$9*L13*$L$18*365</f>
        <v>104063667.1875</v>
      </c>
      <c r="M24" s="240">
        <v>2022</v>
      </c>
      <c r="N24" s="150">
        <f>$L$9*L13*$N$18*365</f>
        <v>96297721.875</v>
      </c>
      <c r="X24" s="222"/>
      <c r="Y24" s="222"/>
      <c r="Z24" s="222"/>
      <c r="AB24" s="222"/>
      <c r="AC24" s="222"/>
      <c r="AD24" s="222"/>
      <c r="AE24" s="222"/>
    </row>
    <row r="25" spans="1:49" ht="15" customHeight="1" x14ac:dyDescent="0.25">
      <c r="B25" s="2">
        <f t="shared" si="2"/>
        <v>2047</v>
      </c>
      <c r="C25" s="207">
        <f>IF(B25&lt;=Assumptions!$D$9,IF(B25&gt;=Assumptions!$D$29,TREND($L$24:$L$25,$K$24:$K$25,B25),0),0)</f>
        <v>144299784.375</v>
      </c>
      <c r="D25" s="207">
        <f>IF(B25&lt;=Assumptions!$D$9,IF(B25&gt;=Assumptions!$D$29,TREND($N$24:$N$25,$M$24:$M$25,B25),0),0)</f>
        <v>133531143.75</v>
      </c>
      <c r="E25" s="210">
        <f t="shared" ref="E25:E35" si="3">C25*$L$6</f>
        <v>64934902.96875</v>
      </c>
      <c r="F25" s="210">
        <f t="shared" ref="F25:F35" si="4">D25*$L$6</f>
        <v>60089014.6875</v>
      </c>
      <c r="G25" s="211">
        <f t="shared" ref="G25:G35" si="5">(E25-F25)</f>
        <v>4845888.28125</v>
      </c>
      <c r="H25" s="210">
        <f>G25*(1+0.07)^-(B25-Assumptions!$D$4)</f>
        <v>779850.58099831571</v>
      </c>
      <c r="K25" s="240">
        <v>2042</v>
      </c>
      <c r="L25" s="150">
        <f>$L$9*L14*$L$18*365</f>
        <v>136252560.9375</v>
      </c>
      <c r="M25" s="240">
        <v>2042</v>
      </c>
      <c r="N25" s="150">
        <f>$L$9*L14*$N$18*365</f>
        <v>126084459.375</v>
      </c>
      <c r="X25" s="222"/>
      <c r="Y25" s="222"/>
      <c r="Z25" s="222"/>
      <c r="AB25" s="222"/>
      <c r="AC25" s="222"/>
      <c r="AD25" s="222"/>
      <c r="AE25" s="222"/>
    </row>
    <row r="26" spans="1:49" ht="15" customHeight="1" x14ac:dyDescent="0.25">
      <c r="B26" s="2">
        <f t="shared" si="2"/>
        <v>2048</v>
      </c>
      <c r="C26" s="207">
        <f>IF(B26&lt;=Assumptions!$D$9,IF(B26&gt;=Assumptions!$D$29,TREND($L$24:$L$25,$K$24:$K$25,B26),0),0)</f>
        <v>145909229.0625</v>
      </c>
      <c r="D26" s="207">
        <f>IF(B26&lt;=Assumptions!$D$9,IF(B26&gt;=Assumptions!$D$29,TREND($N$24:$N$25,$M$24:$M$25,B26),0),0)</f>
        <v>135020480.625</v>
      </c>
      <c r="E26" s="210">
        <f t="shared" si="3"/>
        <v>65659153.078125</v>
      </c>
      <c r="F26" s="210">
        <f t="shared" si="4"/>
        <v>60759216.28125</v>
      </c>
      <c r="G26" s="211">
        <f t="shared" si="5"/>
        <v>4899936.796875</v>
      </c>
      <c r="H26" s="210">
        <f>G26*(1+0.07)^-(B26-Assumptions!$D$4)</f>
        <v>736961.33501858788</v>
      </c>
      <c r="K26" s="319"/>
      <c r="L26" s="319"/>
      <c r="M26" s="320"/>
      <c r="X26" s="222"/>
      <c r="Y26" s="222"/>
      <c r="Z26" s="222"/>
      <c r="AB26" s="222"/>
      <c r="AC26" s="222"/>
      <c r="AD26" s="222"/>
      <c r="AE26" s="222"/>
    </row>
    <row r="27" spans="1:49" x14ac:dyDescent="0.25">
      <c r="B27" s="2">
        <f t="shared" si="2"/>
        <v>2049</v>
      </c>
      <c r="C27" s="207">
        <f>IF(B27&lt;=Assumptions!$D$9,IF(B27&gt;=Assumptions!$D$29,TREND($L$24:$L$25,$K$24:$K$25,B27),0),0)</f>
        <v>147518673.75</v>
      </c>
      <c r="D27" s="207">
        <f>IF(B27&lt;=Assumptions!$D$9,IF(B27&gt;=Assumptions!$D$29,TREND($N$24:$N$25,$M$24:$M$25,B27),0),0)</f>
        <v>136509817.5</v>
      </c>
      <c r="E27" s="210">
        <f t="shared" si="3"/>
        <v>66383403.1875</v>
      </c>
      <c r="F27" s="210">
        <f t="shared" si="4"/>
        <v>61429417.875</v>
      </c>
      <c r="G27" s="211">
        <f t="shared" si="5"/>
        <v>4953985.3125</v>
      </c>
      <c r="H27" s="210">
        <f>G27*(1+0.07)^-(B27-Assumptions!$D$4)</f>
        <v>696346.12275435601</v>
      </c>
      <c r="I27" s="12"/>
      <c r="K27" s="321"/>
      <c r="L27" s="322"/>
      <c r="M27" s="320"/>
      <c r="N27" s="320"/>
      <c r="X27" s="222"/>
      <c r="Y27" s="222"/>
      <c r="Z27" s="222"/>
      <c r="AB27" s="222"/>
      <c r="AC27" s="222"/>
      <c r="AD27" s="222"/>
      <c r="AE27" s="222"/>
    </row>
    <row r="28" spans="1:49" x14ac:dyDescent="0.25">
      <c r="B28" s="2">
        <f t="shared" si="2"/>
        <v>2050</v>
      </c>
      <c r="C28" s="207">
        <f>IF(B28&lt;=Assumptions!$D$9,IF(B28&gt;=Assumptions!$D$29,TREND($L$24:$L$25,$K$24:$K$25,B28),0),0)</f>
        <v>149128118.4375</v>
      </c>
      <c r="D28" s="207">
        <f>IF(B28&lt;=Assumptions!$D$9,IF(B28&gt;=Assumptions!$D$29,TREND($N$24:$N$25,$M$24:$M$25,B28),0),0)</f>
        <v>137999154.375</v>
      </c>
      <c r="E28" s="210">
        <f t="shared" si="3"/>
        <v>67107653.296875</v>
      </c>
      <c r="F28" s="210">
        <f t="shared" si="4"/>
        <v>62099619.46875</v>
      </c>
      <c r="G28" s="211">
        <f t="shared" si="5"/>
        <v>5008033.828125</v>
      </c>
      <c r="H28" s="210">
        <f>G28*(1+0.07)^-(B28-Assumptions!$D$4)</f>
        <v>657890.96661344578</v>
      </c>
      <c r="M28" s="242"/>
      <c r="N28" s="242"/>
      <c r="X28" s="222"/>
      <c r="Y28" s="222"/>
      <c r="Z28" s="222"/>
      <c r="AB28" s="222"/>
      <c r="AC28" s="222"/>
      <c r="AD28" s="222"/>
      <c r="AE28" s="222"/>
    </row>
    <row r="29" spans="1:49" ht="15" customHeight="1" x14ac:dyDescent="0.25">
      <c r="A29" s="10"/>
      <c r="B29" s="2">
        <f t="shared" si="2"/>
        <v>2051</v>
      </c>
      <c r="C29" s="207">
        <f>IF(B29&lt;=Assumptions!$D$9,IF(B29&gt;=Assumptions!$D$29,TREND($L$24:$L$25,$K$24:$K$25,B29),0),0)</f>
        <v>150737563.125</v>
      </c>
      <c r="D29" s="207">
        <f>IF(B29&lt;=Assumptions!$D$9,IF(B29&gt;=Assumptions!$D$29,TREND($N$24:$N$25,$M$24:$M$25,B29),0),0)</f>
        <v>139488491.25</v>
      </c>
      <c r="E29" s="210">
        <f t="shared" si="3"/>
        <v>67831903.40625</v>
      </c>
      <c r="F29" s="210">
        <f t="shared" si="4"/>
        <v>62769821.0625</v>
      </c>
      <c r="G29" s="211">
        <f t="shared" si="5"/>
        <v>5062082.34375</v>
      </c>
      <c r="H29" s="210">
        <f>G29*(1+0.07)^-(B29-Assumptions!$D$4)</f>
        <v>621487.06943699683</v>
      </c>
      <c r="X29" s="222"/>
      <c r="Y29" s="222"/>
      <c r="Z29" s="222"/>
      <c r="AB29" s="222"/>
      <c r="AC29" s="222"/>
      <c r="AD29" s="222"/>
      <c r="AE29" s="222"/>
    </row>
    <row r="30" spans="1:49" x14ac:dyDescent="0.25">
      <c r="A30" s="10"/>
      <c r="B30" s="2">
        <f t="shared" si="2"/>
        <v>2052</v>
      </c>
      <c r="C30" s="207">
        <f>IF(B30&lt;=Assumptions!$D$9,IF(B30&gt;=Assumptions!$D$29,TREND($L$24:$L$25,$K$24:$K$25,B30),0),0)</f>
        <v>152347007.8125</v>
      </c>
      <c r="D30" s="207">
        <f>IF(B30&lt;=Assumptions!$D$9,IF(B30&gt;=Assumptions!$D$29,TREND($N$24:$N$25,$M$24:$M$25,B30),0),0)</f>
        <v>140977828.125</v>
      </c>
      <c r="E30" s="210">
        <f t="shared" si="3"/>
        <v>68556153.515625</v>
      </c>
      <c r="F30" s="210">
        <f t="shared" si="4"/>
        <v>63440022.65625</v>
      </c>
      <c r="G30" s="211">
        <f t="shared" si="5"/>
        <v>5116130.859375</v>
      </c>
      <c r="H30" s="210">
        <f>G30*(1+0.07)^-(B30-Assumptions!$D$4)</f>
        <v>587030.62449273106</v>
      </c>
      <c r="X30" s="222"/>
      <c r="Y30" s="222"/>
      <c r="Z30" s="222"/>
      <c r="AB30" s="222"/>
      <c r="AC30" s="222"/>
      <c r="AD30" s="222"/>
      <c r="AE30" s="222"/>
    </row>
    <row r="31" spans="1:49" x14ac:dyDescent="0.25">
      <c r="A31" s="10"/>
      <c r="B31" s="2">
        <f t="shared" si="2"/>
        <v>2053</v>
      </c>
      <c r="C31" s="207">
        <f>IF(B31&lt;=Assumptions!$D$9,IF(B31&gt;=Assumptions!$D$29,TREND($L$24:$L$25,$K$24:$K$25,B31),0),0)</f>
        <v>153956452.5</v>
      </c>
      <c r="D31" s="207">
        <f>IF(B31&lt;=Assumptions!$D$9,IF(B31&gt;=Assumptions!$D$29,TREND($N$24:$N$25,$M$24:$M$25,B31),0),0)</f>
        <v>142467165</v>
      </c>
      <c r="E31" s="210">
        <f t="shared" si="3"/>
        <v>69280403.625</v>
      </c>
      <c r="F31" s="210">
        <f t="shared" si="4"/>
        <v>64110224.25</v>
      </c>
      <c r="G31" s="211">
        <f t="shared" si="5"/>
        <v>5170179.375</v>
      </c>
      <c r="H31" s="210">
        <f>G31*(1+0.07)^-(B31-Assumptions!$D$4)</f>
        <v>554422.62815743522</v>
      </c>
      <c r="X31" s="222"/>
      <c r="Y31" s="222"/>
      <c r="Z31" s="222"/>
      <c r="AB31" s="222"/>
      <c r="AC31" s="222"/>
      <c r="AD31" s="222"/>
      <c r="AE31" s="222"/>
    </row>
    <row r="32" spans="1:49" x14ac:dyDescent="0.25">
      <c r="A32" s="10"/>
      <c r="B32" s="2">
        <f t="shared" si="2"/>
        <v>2054</v>
      </c>
      <c r="C32" s="207">
        <f>IF(B32&lt;=Assumptions!$D$9,IF(B32&gt;=Assumptions!$D$29,TREND($L$24:$L$25,$K$24:$K$25,B32),0),0)</f>
        <v>155565897.1875</v>
      </c>
      <c r="D32" s="207">
        <f>IF(B32&lt;=Assumptions!$D$9,IF(B32&gt;=Assumptions!$D$29,TREND($N$24:$N$25,$M$24:$M$25,B32),0),0)</f>
        <v>143956501.875</v>
      </c>
      <c r="E32" s="210">
        <f t="shared" si="3"/>
        <v>70004653.734375</v>
      </c>
      <c r="F32" s="210">
        <f t="shared" si="4"/>
        <v>64780425.84375</v>
      </c>
      <c r="G32" s="211">
        <f t="shared" si="5"/>
        <v>5224227.890625</v>
      </c>
      <c r="H32" s="210">
        <f>G32*(1+0.07)^-(B32-Assumptions!$D$4)</f>
        <v>523568.69575000461</v>
      </c>
      <c r="X32" s="222"/>
      <c r="Y32" s="222"/>
      <c r="Z32" s="222"/>
      <c r="AB32" s="222"/>
      <c r="AC32" s="222"/>
      <c r="AD32" s="222"/>
      <c r="AE32" s="222"/>
      <c r="AR32" s="288"/>
    </row>
    <row r="33" spans="1:49" ht="15" customHeight="1" x14ac:dyDescent="0.25">
      <c r="A33" s="10"/>
      <c r="B33" s="2">
        <f t="shared" si="2"/>
        <v>2055</v>
      </c>
      <c r="C33" s="207">
        <f>IF(B33&lt;=Assumptions!$D$9,IF(B33&gt;=Assumptions!$D$29,TREND($L$24:$L$25,$K$24:$K$25,B33),0),0)</f>
        <v>157175341.875</v>
      </c>
      <c r="D33" s="207">
        <f>IF(B33&lt;=Assumptions!$D$9,IF(B33&gt;=Assumptions!$D$29,TREND($N$24:$N$25,$M$24:$M$25,B33),0),0)</f>
        <v>145445838.75</v>
      </c>
      <c r="E33" s="210">
        <f t="shared" si="3"/>
        <v>70728903.84375</v>
      </c>
      <c r="F33" s="210">
        <f t="shared" si="4"/>
        <v>65450627.4375</v>
      </c>
      <c r="G33" s="211">
        <f t="shared" si="5"/>
        <v>5278276.40625</v>
      </c>
      <c r="H33" s="210">
        <f>G33*(1+0.07)^-(B33-Assumptions!$D$4)</f>
        <v>494378.88090451085</v>
      </c>
      <c r="R33" s="348" t="s">
        <v>234</v>
      </c>
      <c r="X33" s="222"/>
      <c r="Y33" s="222"/>
      <c r="Z33" s="222"/>
      <c r="AA33" s="348" t="s">
        <v>235</v>
      </c>
      <c r="AB33" s="222"/>
      <c r="AC33" s="222"/>
      <c r="AD33" s="222"/>
      <c r="AE33" s="222"/>
      <c r="AS33" s="497"/>
      <c r="AT33" s="497"/>
      <c r="AU33" s="497"/>
      <c r="AV33" s="497"/>
      <c r="AW33" s="497"/>
    </row>
    <row r="34" spans="1:49" ht="15" customHeight="1" x14ac:dyDescent="0.25">
      <c r="A34" s="10"/>
      <c r="B34" s="2">
        <f t="shared" si="2"/>
        <v>2056</v>
      </c>
      <c r="C34" s="207">
        <f>IF(B34&lt;=Assumptions!$D$9,IF(B34&gt;=Assumptions!$D$29,TREND($L$24:$L$25,$K$24:$K$25,B34),0),0)</f>
        <v>158784786.5625</v>
      </c>
      <c r="D34" s="207">
        <f>IF(B34&lt;=Assumptions!$D$9,IF(B34&gt;=Assumptions!$D$29,TREND($N$24:$N$25,$M$24:$M$25,B34),0),0)</f>
        <v>146935175.625</v>
      </c>
      <c r="E34" s="210">
        <f t="shared" si="3"/>
        <v>71453153.953125</v>
      </c>
      <c r="F34" s="210">
        <f t="shared" si="4"/>
        <v>66120829.03125</v>
      </c>
      <c r="G34" s="211">
        <f t="shared" si="5"/>
        <v>5332324.921875</v>
      </c>
      <c r="H34" s="210">
        <f>G34*(1+0.07)^-(B34-Assumptions!$D$4)</f>
        <v>466767.49880832282</v>
      </c>
      <c r="X34" s="222"/>
      <c r="Y34" s="222"/>
      <c r="Z34" s="222"/>
      <c r="AA34" s="222"/>
      <c r="AB34" s="222"/>
      <c r="AC34" s="222"/>
      <c r="AD34" s="222"/>
      <c r="AE34" s="222"/>
      <c r="AS34" s="280"/>
      <c r="AT34" s="281"/>
      <c r="AU34" s="327"/>
      <c r="AV34" s="327"/>
      <c r="AW34" s="327"/>
    </row>
    <row r="35" spans="1:49" ht="15" customHeight="1" thickBot="1" x14ac:dyDescent="0.3">
      <c r="A35" s="10"/>
      <c r="B35" s="3">
        <f t="shared" si="2"/>
        <v>2057</v>
      </c>
      <c r="C35" s="213">
        <f>IF(B35&lt;=Assumptions!$D$9,IF(B35&gt;=Assumptions!$D$29,TREND($L$24:$L$25,$K$24:$K$25,B35),0),0)</f>
        <v>160394231.25</v>
      </c>
      <c r="D35" s="213">
        <f>IF(B35&lt;=Assumptions!$D$9,IF(B35&gt;=Assumptions!$D$29,TREND($N$24:$N$25,$M$24:$M$25,B35),0),0)</f>
        <v>148424512.5</v>
      </c>
      <c r="E35" s="214">
        <f t="shared" si="3"/>
        <v>72177404.0625</v>
      </c>
      <c r="F35" s="214">
        <f t="shared" si="4"/>
        <v>66791030.625</v>
      </c>
      <c r="G35" s="215">
        <f t="shared" si="5"/>
        <v>5386373.4375</v>
      </c>
      <c r="H35" s="214">
        <f>G35*(1+0.07)^-(B35-Assumptions!$D$4)</f>
        <v>440652.95357262634</v>
      </c>
      <c r="I35" s="206"/>
      <c r="X35" s="222"/>
      <c r="Y35" s="222"/>
      <c r="Z35" s="222"/>
      <c r="AA35" s="222"/>
      <c r="AB35" s="222"/>
      <c r="AC35" s="222"/>
      <c r="AD35" s="222"/>
      <c r="AE35" s="222"/>
      <c r="AS35" s="280"/>
      <c r="AT35" s="281"/>
      <c r="AU35" s="184"/>
      <c r="AV35" s="184"/>
      <c r="AW35" s="270"/>
    </row>
    <row r="36" spans="1:49" ht="15" customHeight="1" thickBot="1" x14ac:dyDescent="0.3">
      <c r="A36" s="10"/>
      <c r="B36" s="242"/>
      <c r="C36" s="242"/>
      <c r="D36" s="242"/>
      <c r="E36" s="242"/>
      <c r="F36" s="242"/>
      <c r="G36" s="80" t="s">
        <v>2</v>
      </c>
      <c r="H36" s="271">
        <f>SUM(H6:H35)</f>
        <v>7384490.5673809471</v>
      </c>
      <c r="I36" s="218"/>
      <c r="X36" s="222"/>
      <c r="Y36" s="222"/>
      <c r="Z36" s="222"/>
      <c r="AA36" s="222"/>
      <c r="AB36" s="222"/>
      <c r="AC36" s="222"/>
      <c r="AD36" s="222"/>
      <c r="AE36" s="222"/>
      <c r="AS36" s="280"/>
      <c r="AT36" s="281"/>
      <c r="AU36" s="184"/>
      <c r="AV36" s="184"/>
      <c r="AW36" s="270"/>
    </row>
    <row r="37" spans="1:49" x14ac:dyDescent="0.25">
      <c r="A37" s="10"/>
      <c r="B37" s="242"/>
      <c r="C37" s="242"/>
      <c r="D37" s="242"/>
      <c r="E37" s="242"/>
      <c r="F37" s="242"/>
      <c r="G37" s="242"/>
      <c r="H37" s="242"/>
      <c r="X37" s="222"/>
      <c r="Y37" s="222"/>
      <c r="Z37" s="222"/>
      <c r="AA37" s="222"/>
      <c r="AB37" s="222"/>
      <c r="AC37" s="222"/>
      <c r="AD37" s="222"/>
      <c r="AE37" s="222"/>
      <c r="AS37" s="280"/>
      <c r="AT37" s="281"/>
      <c r="AU37" s="184"/>
      <c r="AV37" s="184"/>
      <c r="AW37" s="270"/>
    </row>
    <row r="38" spans="1:49" x14ac:dyDescent="0.25">
      <c r="A38" s="10"/>
      <c r="B38" s="242"/>
      <c r="C38" s="242"/>
      <c r="D38" s="242"/>
      <c r="E38" s="242"/>
      <c r="F38" s="242"/>
      <c r="G38" s="242"/>
      <c r="H38" s="242"/>
      <c r="X38" s="222"/>
      <c r="Y38" s="222"/>
      <c r="Z38" s="222"/>
      <c r="AA38" s="222"/>
      <c r="AB38" s="222"/>
      <c r="AC38" s="222"/>
      <c r="AD38" s="222"/>
      <c r="AE38" s="222"/>
      <c r="AS38" s="280"/>
      <c r="AT38" s="281"/>
      <c r="AU38" s="184"/>
      <c r="AV38" s="184"/>
      <c r="AW38" s="270"/>
    </row>
    <row r="39" spans="1:49" ht="15" customHeight="1" x14ac:dyDescent="0.25">
      <c r="A39" s="10"/>
      <c r="B39" s="4"/>
      <c r="C39" s="4"/>
      <c r="D39" s="4"/>
      <c r="E39" s="216"/>
      <c r="F39" s="216"/>
      <c r="X39" s="222"/>
      <c r="Y39" s="222"/>
      <c r="Z39" s="222"/>
      <c r="AA39" s="222"/>
      <c r="AB39" s="222"/>
      <c r="AC39" s="222"/>
      <c r="AD39" s="222"/>
      <c r="AE39" s="222"/>
      <c r="AS39" s="280"/>
      <c r="AT39" s="281"/>
      <c r="AU39" s="184"/>
      <c r="AV39" s="184"/>
      <c r="AW39" s="270"/>
    </row>
    <row r="40" spans="1:49" ht="15" customHeight="1" x14ac:dyDescent="0.25">
      <c r="A40" s="10"/>
      <c r="B40" s="65"/>
      <c r="C40" s="65"/>
      <c r="D40" s="65"/>
      <c r="E40" s="65"/>
      <c r="F40" s="65"/>
      <c r="X40" s="222"/>
      <c r="Y40" s="222"/>
      <c r="Z40" s="222"/>
      <c r="AA40" s="222"/>
      <c r="AB40" s="222"/>
      <c r="AC40" s="222"/>
      <c r="AD40" s="222"/>
      <c r="AE40" s="222"/>
      <c r="AS40" s="280"/>
      <c r="AT40" s="281"/>
      <c r="AU40" s="184"/>
      <c r="AV40" s="184"/>
      <c r="AW40" s="270"/>
    </row>
    <row r="41" spans="1:49" ht="15" customHeight="1" thickBot="1" x14ac:dyDescent="0.3">
      <c r="A41" s="10"/>
      <c r="B41" s="9" t="s">
        <v>3</v>
      </c>
      <c r="C41" s="9"/>
      <c r="D41" s="9"/>
      <c r="E41" s="242"/>
      <c r="F41" s="242"/>
      <c r="G41" s="242"/>
      <c r="X41" s="222"/>
      <c r="Y41" s="222"/>
      <c r="Z41" s="222"/>
      <c r="AA41" s="222"/>
      <c r="AB41" s="222"/>
      <c r="AC41" s="222"/>
      <c r="AD41" s="222"/>
      <c r="AE41" s="222"/>
      <c r="AS41" s="280"/>
      <c r="AT41" s="282"/>
      <c r="AU41" s="283"/>
      <c r="AV41" s="283"/>
      <c r="AW41" s="284"/>
    </row>
    <row r="42" spans="1:49" ht="15" customHeight="1" thickTop="1" x14ac:dyDescent="0.25">
      <c r="A42" s="10" t="s">
        <v>21</v>
      </c>
      <c r="B42" s="492" t="s">
        <v>650</v>
      </c>
      <c r="C42" s="492"/>
      <c r="D42" s="492"/>
      <c r="E42" s="492"/>
      <c r="F42" s="492"/>
      <c r="G42" s="492"/>
      <c r="H42" s="222"/>
      <c r="X42" s="222"/>
      <c r="Y42" s="222"/>
      <c r="Z42" s="222"/>
      <c r="AA42" s="222"/>
      <c r="AB42" s="222"/>
      <c r="AC42" s="222"/>
      <c r="AD42" s="222"/>
      <c r="AE42" s="222"/>
      <c r="AT42" s="285"/>
      <c r="AU42" s="286"/>
      <c r="AV42" s="286"/>
      <c r="AW42" s="287"/>
    </row>
    <row r="43" spans="1:49" x14ac:dyDescent="0.25">
      <c r="A43" s="10"/>
      <c r="B43" s="492"/>
      <c r="C43" s="492"/>
      <c r="D43" s="492"/>
      <c r="E43" s="492"/>
      <c r="F43" s="492"/>
      <c r="G43" s="492"/>
      <c r="H43" s="222"/>
      <c r="X43" s="222"/>
      <c r="Y43" s="222"/>
      <c r="Z43" s="222"/>
      <c r="AA43" s="222"/>
      <c r="AB43" s="222"/>
      <c r="AC43" s="222"/>
      <c r="AD43" s="222"/>
      <c r="AE43" s="222"/>
      <c r="AT43" s="219"/>
    </row>
    <row r="44" spans="1:49" ht="15" customHeight="1" x14ac:dyDescent="0.25">
      <c r="A44" s="10"/>
      <c r="B44" s="492"/>
      <c r="C44" s="492"/>
      <c r="D44" s="492"/>
      <c r="E44" s="492"/>
      <c r="F44" s="492"/>
      <c r="G44" s="492"/>
      <c r="H44" s="222"/>
      <c r="X44" s="222"/>
      <c r="Y44" s="222"/>
      <c r="Z44" s="222"/>
      <c r="AA44" s="222"/>
      <c r="AB44" s="222"/>
      <c r="AC44" s="222"/>
      <c r="AD44" s="222"/>
      <c r="AE44" s="222"/>
    </row>
    <row r="45" spans="1:49" x14ac:dyDescent="0.25">
      <c r="A45" s="10"/>
      <c r="B45" s="492"/>
      <c r="C45" s="492"/>
      <c r="D45" s="492"/>
      <c r="E45" s="492"/>
      <c r="F45" s="492"/>
      <c r="G45" s="492"/>
      <c r="H45" s="222"/>
      <c r="X45" s="222"/>
      <c r="Y45" s="222"/>
      <c r="Z45" s="222"/>
      <c r="AA45" s="222"/>
      <c r="AB45" s="222"/>
      <c r="AC45" s="222"/>
      <c r="AD45" s="222"/>
      <c r="AE45" s="222"/>
    </row>
    <row r="46" spans="1:49" x14ac:dyDescent="0.25">
      <c r="A46" s="222"/>
      <c r="B46" s="222"/>
      <c r="C46" s="222"/>
      <c r="D46" s="222"/>
      <c r="E46" s="222"/>
      <c r="F46" s="222"/>
      <c r="G46" s="222"/>
      <c r="H46" s="222"/>
      <c r="X46" s="222"/>
      <c r="Y46" s="222"/>
      <c r="Z46" s="222"/>
      <c r="AA46" s="222"/>
      <c r="AB46" s="222"/>
      <c r="AC46" s="222"/>
      <c r="AD46" s="222"/>
      <c r="AE46" s="222"/>
      <c r="AU46" s="219"/>
    </row>
    <row r="47" spans="1:49" ht="15" customHeight="1" x14ac:dyDescent="0.25">
      <c r="A47" s="10" t="s">
        <v>28</v>
      </c>
      <c r="B47" s="492" t="s">
        <v>644</v>
      </c>
      <c r="C47" s="492"/>
      <c r="D47" s="492"/>
      <c r="E47" s="492"/>
      <c r="F47" s="492"/>
      <c r="G47" s="492"/>
      <c r="H47" s="222"/>
      <c r="X47" s="222"/>
      <c r="Y47" s="222"/>
      <c r="Z47" s="222"/>
      <c r="AA47" s="222"/>
      <c r="AB47" s="222"/>
      <c r="AC47" s="222"/>
      <c r="AD47" s="222"/>
      <c r="AE47" s="222"/>
    </row>
    <row r="48" spans="1:49" ht="15" customHeight="1" x14ac:dyDescent="0.25">
      <c r="A48" s="10"/>
      <c r="B48" s="492"/>
      <c r="C48" s="492"/>
      <c r="D48" s="492"/>
      <c r="E48" s="492"/>
      <c r="F48" s="492"/>
      <c r="G48" s="492"/>
      <c r="H48" s="222"/>
      <c r="X48" s="222"/>
      <c r="Y48" s="222"/>
      <c r="Z48" s="222"/>
      <c r="AA48" s="222"/>
      <c r="AB48" s="222"/>
      <c r="AC48" s="222"/>
      <c r="AD48" s="222"/>
      <c r="AE48" s="222"/>
    </row>
    <row r="49" spans="1:44" ht="15" customHeight="1" x14ac:dyDescent="0.25">
      <c r="A49" s="10"/>
      <c r="B49" s="389"/>
      <c r="C49" s="389"/>
      <c r="D49" s="389"/>
      <c r="E49" s="389"/>
      <c r="F49" s="389"/>
      <c r="G49" s="389"/>
      <c r="H49" s="222"/>
      <c r="X49" s="222"/>
      <c r="Y49" s="222"/>
      <c r="Z49" s="222"/>
      <c r="AA49" s="222"/>
      <c r="AB49" s="222"/>
      <c r="AC49" s="222"/>
      <c r="AD49" s="222"/>
      <c r="AE49" s="222"/>
    </row>
    <row r="50" spans="1:44" ht="15" customHeight="1" x14ac:dyDescent="0.25">
      <c r="A50" s="10" t="s">
        <v>29</v>
      </c>
      <c r="B50" s="492" t="s">
        <v>597</v>
      </c>
      <c r="C50" s="492"/>
      <c r="D50" s="492"/>
      <c r="E50" s="492"/>
      <c r="F50" s="492"/>
      <c r="G50" s="492"/>
      <c r="H50" s="222"/>
      <c r="X50" s="222"/>
      <c r="Y50" s="222"/>
      <c r="Z50" s="222"/>
      <c r="AA50" s="222"/>
      <c r="AB50" s="222"/>
      <c r="AC50" s="222"/>
      <c r="AD50" s="222"/>
      <c r="AE50" s="222"/>
    </row>
    <row r="51" spans="1:44" ht="15" customHeight="1" x14ac:dyDescent="0.25">
      <c r="A51" s="10"/>
      <c r="B51" s="492"/>
      <c r="C51" s="492"/>
      <c r="D51" s="492"/>
      <c r="E51" s="492"/>
      <c r="F51" s="492"/>
      <c r="G51" s="492"/>
      <c r="H51" s="222"/>
      <c r="X51" s="222"/>
      <c r="Y51" s="222"/>
      <c r="Z51" s="222"/>
      <c r="AA51" s="222"/>
      <c r="AB51" s="222"/>
      <c r="AC51" s="222"/>
      <c r="AD51" s="222"/>
      <c r="AE51" s="222"/>
    </row>
    <row r="52" spans="1:44" x14ac:dyDescent="0.25">
      <c r="A52" s="10"/>
      <c r="B52" s="492"/>
      <c r="C52" s="492"/>
      <c r="D52" s="492"/>
      <c r="E52" s="492"/>
      <c r="F52" s="492"/>
      <c r="G52" s="492"/>
      <c r="H52" s="222"/>
      <c r="X52" s="222"/>
      <c r="Y52" s="222"/>
      <c r="Z52" s="222"/>
      <c r="AA52" s="222"/>
      <c r="AB52" s="222"/>
      <c r="AC52" s="222"/>
      <c r="AD52" s="222"/>
      <c r="AE52" s="222"/>
    </row>
    <row r="53" spans="1:44" x14ac:dyDescent="0.25">
      <c r="A53" s="10"/>
      <c r="B53" s="492"/>
      <c r="C53" s="492"/>
      <c r="D53" s="492"/>
      <c r="E53" s="492"/>
      <c r="F53" s="492"/>
      <c r="G53" s="492"/>
      <c r="H53" s="222"/>
      <c r="X53" s="222"/>
      <c r="Y53" s="222"/>
      <c r="Z53" s="222"/>
      <c r="AA53" s="222"/>
      <c r="AB53" s="222"/>
      <c r="AC53" s="222"/>
      <c r="AD53" s="222"/>
      <c r="AE53" s="222"/>
    </row>
    <row r="54" spans="1:44" ht="15" customHeight="1" x14ac:dyDescent="0.25">
      <c r="A54" s="10"/>
      <c r="B54" s="65"/>
      <c r="C54" s="65"/>
      <c r="D54" s="65"/>
      <c r="E54" s="65"/>
      <c r="F54" s="65"/>
      <c r="G54" s="390"/>
      <c r="H54" s="222"/>
      <c r="X54" s="222"/>
      <c r="Y54" s="222"/>
      <c r="Z54" s="222"/>
      <c r="AA54" s="222"/>
      <c r="AB54" s="222"/>
      <c r="AC54" s="222"/>
      <c r="AD54" s="222"/>
      <c r="AE54" s="222"/>
    </row>
    <row r="55" spans="1:44" ht="15" customHeight="1" x14ac:dyDescent="0.25">
      <c r="A55" s="10" t="s">
        <v>30</v>
      </c>
      <c r="B55" s="492" t="s">
        <v>649</v>
      </c>
      <c r="C55" s="492"/>
      <c r="D55" s="492"/>
      <c r="E55" s="492"/>
      <c r="F55" s="492"/>
      <c r="G55" s="492"/>
      <c r="H55" s="222"/>
      <c r="R55" s="9" t="s">
        <v>230</v>
      </c>
      <c r="X55" s="222"/>
      <c r="Y55" s="222"/>
      <c r="Z55" s="222"/>
      <c r="AA55" s="348" t="s">
        <v>231</v>
      </c>
      <c r="AB55" s="222"/>
      <c r="AC55" s="222"/>
      <c r="AD55" s="222"/>
      <c r="AE55" s="222"/>
    </row>
    <row r="56" spans="1:44" x14ac:dyDescent="0.25">
      <c r="A56" s="222"/>
      <c r="B56" s="492"/>
      <c r="C56" s="492"/>
      <c r="D56" s="492"/>
      <c r="E56" s="492"/>
      <c r="F56" s="492"/>
      <c r="G56" s="492"/>
      <c r="H56" s="222"/>
      <c r="X56" s="222"/>
      <c r="Y56" s="222"/>
      <c r="Z56" s="222"/>
      <c r="AA56" s="222"/>
      <c r="AB56" s="222"/>
      <c r="AC56" s="222"/>
      <c r="AD56" s="222"/>
      <c r="AE56" s="222"/>
    </row>
    <row r="57" spans="1:44" ht="15.75" customHeight="1" x14ac:dyDescent="0.25">
      <c r="A57" s="222"/>
      <c r="B57" s="492"/>
      <c r="C57" s="492"/>
      <c r="D57" s="492"/>
      <c r="E57" s="492"/>
      <c r="F57" s="492"/>
      <c r="G57" s="492"/>
      <c r="H57" s="222"/>
      <c r="X57" s="222"/>
      <c r="Y57" s="222"/>
      <c r="Z57" s="222"/>
      <c r="AA57" s="222"/>
      <c r="AB57" s="222"/>
      <c r="AC57" s="222"/>
      <c r="AD57" s="222"/>
      <c r="AE57" s="222"/>
    </row>
    <row r="58" spans="1:44" x14ac:dyDescent="0.25">
      <c r="A58" s="222"/>
      <c r="B58" s="222"/>
      <c r="C58" s="222"/>
      <c r="D58" s="222"/>
      <c r="E58" s="222"/>
      <c r="F58" s="222"/>
      <c r="G58" s="222"/>
      <c r="H58" s="222"/>
      <c r="X58" s="222"/>
      <c r="Y58" s="222"/>
      <c r="Z58" s="222"/>
      <c r="AA58" s="222"/>
      <c r="AB58" s="222"/>
      <c r="AC58" s="222"/>
      <c r="AD58" s="222"/>
      <c r="AE58" s="222"/>
    </row>
    <row r="59" spans="1:44" ht="15" customHeight="1" x14ac:dyDescent="0.25">
      <c r="A59" s="10" t="s">
        <v>30</v>
      </c>
      <c r="B59" s="492" t="s">
        <v>647</v>
      </c>
      <c r="C59" s="492"/>
      <c r="D59" s="492"/>
      <c r="E59" s="492"/>
      <c r="F59" s="492"/>
      <c r="G59" s="492"/>
      <c r="H59" s="222"/>
      <c r="X59" s="222"/>
      <c r="Y59" s="222"/>
      <c r="Z59" s="222"/>
      <c r="AA59" s="222"/>
      <c r="AB59" s="222"/>
      <c r="AC59" s="222"/>
      <c r="AD59" s="222"/>
      <c r="AE59" s="222"/>
    </row>
    <row r="60" spans="1:44" x14ac:dyDescent="0.25">
      <c r="A60" s="10"/>
      <c r="B60" s="492"/>
      <c r="C60" s="492"/>
      <c r="D60" s="492"/>
      <c r="E60" s="492"/>
      <c r="F60" s="492"/>
      <c r="G60" s="492"/>
      <c r="H60" s="222"/>
      <c r="X60" s="222"/>
      <c r="Y60" s="222"/>
      <c r="Z60" s="222"/>
      <c r="AA60" s="222"/>
      <c r="AB60" s="222"/>
      <c r="AC60" s="222"/>
      <c r="AD60" s="222"/>
      <c r="AE60" s="222"/>
    </row>
    <row r="61" spans="1:44" x14ac:dyDescent="0.25">
      <c r="A61" s="10"/>
      <c r="B61" s="492"/>
      <c r="C61" s="492"/>
      <c r="D61" s="492"/>
      <c r="E61" s="492"/>
      <c r="F61" s="492"/>
      <c r="G61" s="492"/>
      <c r="H61" s="222"/>
      <c r="X61" s="222"/>
      <c r="Y61" s="222"/>
      <c r="Z61" s="222"/>
      <c r="AA61" s="222"/>
      <c r="AB61" s="222"/>
      <c r="AC61" s="222"/>
      <c r="AD61" s="222"/>
      <c r="AE61" s="222"/>
    </row>
    <row r="62" spans="1:44" x14ac:dyDescent="0.25">
      <c r="A62" s="10"/>
      <c r="B62" s="492"/>
      <c r="C62" s="492"/>
      <c r="D62" s="492"/>
      <c r="E62" s="492"/>
      <c r="F62" s="492"/>
      <c r="G62" s="492"/>
      <c r="X62" s="222"/>
      <c r="Y62" s="222"/>
      <c r="Z62" s="222"/>
      <c r="AA62" s="222"/>
      <c r="AB62" s="222"/>
      <c r="AC62" s="222"/>
      <c r="AD62" s="222"/>
      <c r="AE62" s="222"/>
    </row>
    <row r="63" spans="1:44" x14ac:dyDescent="0.25">
      <c r="A63" s="10"/>
      <c r="B63" s="65"/>
      <c r="C63" s="65"/>
      <c r="D63" s="65"/>
      <c r="E63" s="65"/>
      <c r="F63" s="65"/>
      <c r="G63" s="65"/>
      <c r="X63" s="222"/>
      <c r="Y63" s="222"/>
      <c r="Z63" s="222"/>
      <c r="AA63" s="222"/>
      <c r="AB63" s="222"/>
      <c r="AC63" s="222"/>
      <c r="AD63" s="222"/>
      <c r="AE63" s="222"/>
      <c r="AR63" s="9"/>
    </row>
    <row r="64" spans="1:44" ht="15" customHeight="1" x14ac:dyDescent="0.25">
      <c r="A64" s="10" t="s">
        <v>31</v>
      </c>
      <c r="B64" s="492" t="s">
        <v>648</v>
      </c>
      <c r="C64" s="492"/>
      <c r="D64" s="492"/>
      <c r="E64" s="492"/>
      <c r="F64" s="492"/>
      <c r="G64" s="492"/>
      <c r="X64" s="222"/>
      <c r="Y64" s="222"/>
      <c r="Z64" s="222"/>
      <c r="AA64" s="222"/>
      <c r="AB64" s="222"/>
      <c r="AC64" s="222"/>
      <c r="AD64" s="222"/>
      <c r="AE64" s="222"/>
    </row>
    <row r="65" spans="1:48" x14ac:dyDescent="0.25">
      <c r="A65" s="10"/>
      <c r="B65" s="492"/>
      <c r="C65" s="492"/>
      <c r="D65" s="492"/>
      <c r="E65" s="492"/>
      <c r="F65" s="492"/>
      <c r="G65" s="492"/>
      <c r="AU65" s="483"/>
      <c r="AV65" s="484"/>
    </row>
    <row r="66" spans="1:48" x14ac:dyDescent="0.25">
      <c r="A66" s="10"/>
      <c r="B66" s="65"/>
      <c r="C66" s="65"/>
      <c r="D66" s="65"/>
      <c r="E66" s="65"/>
      <c r="F66" s="65"/>
      <c r="AU66" s="327"/>
      <c r="AV66" s="327"/>
    </row>
    <row r="67" spans="1:48" x14ac:dyDescent="0.25">
      <c r="A67" s="10"/>
      <c r="AT67" s="327"/>
      <c r="AU67" s="327"/>
      <c r="AV67" s="327"/>
    </row>
    <row r="68" spans="1:48" x14ac:dyDescent="0.25">
      <c r="A68" s="10"/>
      <c r="AT68" s="327"/>
      <c r="AU68" s="327"/>
      <c r="AV68" s="327"/>
    </row>
    <row r="69" spans="1:48" x14ac:dyDescent="0.25">
      <c r="A69" s="10"/>
      <c r="AT69" s="327"/>
      <c r="AU69" s="310"/>
      <c r="AV69" s="310"/>
    </row>
    <row r="72" spans="1:48" x14ac:dyDescent="0.25">
      <c r="AR72" s="9"/>
    </row>
    <row r="75" spans="1:48" x14ac:dyDescent="0.25">
      <c r="S75" s="222"/>
      <c r="T75" s="222"/>
      <c r="U75" s="222"/>
      <c r="V75" s="222"/>
      <c r="W75" s="222"/>
    </row>
    <row r="76" spans="1:48" x14ac:dyDescent="0.25">
      <c r="R76" s="222"/>
      <c r="S76" s="222"/>
      <c r="T76" s="222"/>
      <c r="U76" s="222"/>
      <c r="V76" s="222"/>
      <c r="W76" s="222"/>
      <c r="AK76" s="219"/>
      <c r="AV76" s="219"/>
    </row>
    <row r="77" spans="1:48" x14ac:dyDescent="0.25">
      <c r="R77" s="222"/>
      <c r="S77" s="222"/>
      <c r="T77" s="222"/>
      <c r="U77" s="222"/>
      <c r="V77" s="222"/>
      <c r="W77" s="222"/>
    </row>
    <row r="78" spans="1:48" x14ac:dyDescent="0.25">
      <c r="R78" s="222"/>
      <c r="S78" s="222"/>
      <c r="T78" s="222"/>
      <c r="U78" s="222"/>
      <c r="V78" s="222"/>
      <c r="W78" s="222"/>
    </row>
    <row r="79" spans="1:48" x14ac:dyDescent="0.25">
      <c r="R79" s="222"/>
      <c r="S79" s="222"/>
      <c r="T79" s="222"/>
      <c r="U79" s="222"/>
      <c r="V79" s="222"/>
      <c r="W79" s="222"/>
    </row>
    <row r="80" spans="1:48" x14ac:dyDescent="0.25">
      <c r="R80" s="222"/>
      <c r="S80" s="222"/>
      <c r="T80" s="222"/>
      <c r="U80" s="222"/>
      <c r="V80" s="222"/>
      <c r="W80" s="222"/>
    </row>
    <row r="81" spans="18:23" x14ac:dyDescent="0.25">
      <c r="R81" s="222"/>
      <c r="S81" s="222"/>
      <c r="T81" s="222"/>
      <c r="U81" s="222"/>
      <c r="V81" s="222"/>
      <c r="W81" s="222"/>
    </row>
    <row r="82" spans="18:23" x14ac:dyDescent="0.25">
      <c r="R82" s="222"/>
      <c r="S82" s="222"/>
      <c r="T82" s="222"/>
      <c r="U82" s="222"/>
      <c r="V82" s="222"/>
      <c r="W82" s="222"/>
    </row>
    <row r="83" spans="18:23" x14ac:dyDescent="0.25">
      <c r="R83" s="9"/>
      <c r="S83" s="222"/>
      <c r="T83" s="222"/>
      <c r="U83" s="222"/>
      <c r="V83" s="222"/>
      <c r="W83" s="222"/>
    </row>
    <row r="84" spans="18:23" x14ac:dyDescent="0.25">
      <c r="R84" s="222"/>
      <c r="S84" s="222"/>
      <c r="T84" s="222"/>
      <c r="U84" s="222"/>
      <c r="V84" s="222"/>
      <c r="W84" s="222"/>
    </row>
    <row r="85" spans="18:23" x14ac:dyDescent="0.25">
      <c r="R85" s="222"/>
      <c r="S85" s="222"/>
      <c r="T85" s="222"/>
      <c r="U85" s="222"/>
      <c r="V85" s="222"/>
      <c r="W85" s="222"/>
    </row>
    <row r="86" spans="18:23" x14ac:dyDescent="0.25">
      <c r="R86" s="222"/>
      <c r="S86" s="222"/>
      <c r="T86" s="222"/>
      <c r="U86" s="222"/>
      <c r="V86" s="222"/>
      <c r="W86" s="222"/>
    </row>
    <row r="87" spans="18:23" x14ac:dyDescent="0.25">
      <c r="R87" s="222"/>
      <c r="S87" s="222"/>
      <c r="T87" s="222"/>
      <c r="U87" s="222"/>
      <c r="V87" s="222"/>
      <c r="W87" s="222"/>
    </row>
    <row r="88" spans="18:23" x14ac:dyDescent="0.25">
      <c r="R88" s="222"/>
      <c r="S88" s="222"/>
      <c r="T88" s="222"/>
      <c r="U88" s="222"/>
      <c r="V88" s="222"/>
      <c r="W88" s="222"/>
    </row>
    <row r="89" spans="18:23" x14ac:dyDescent="0.25">
      <c r="R89" s="222"/>
      <c r="S89" s="222"/>
      <c r="T89" s="222"/>
      <c r="U89" s="222"/>
      <c r="V89" s="222"/>
      <c r="W89" s="222"/>
    </row>
    <row r="90" spans="18:23" x14ac:dyDescent="0.25">
      <c r="R90" s="222"/>
      <c r="S90" s="222"/>
      <c r="T90" s="222"/>
      <c r="U90" s="222"/>
      <c r="V90" s="222"/>
      <c r="W90" s="222"/>
    </row>
    <row r="91" spans="18:23" x14ac:dyDescent="0.25">
      <c r="R91" s="222"/>
      <c r="S91" s="222"/>
      <c r="T91" s="222"/>
      <c r="U91" s="222"/>
      <c r="V91" s="222"/>
      <c r="W91" s="222"/>
    </row>
    <row r="92" spans="18:23" x14ac:dyDescent="0.25">
      <c r="R92" s="222"/>
      <c r="S92" s="222"/>
      <c r="T92" s="222"/>
      <c r="U92" s="222"/>
      <c r="V92" s="222"/>
      <c r="W92" s="222"/>
    </row>
    <row r="93" spans="18:23" x14ac:dyDescent="0.25">
      <c r="R93" s="222"/>
      <c r="S93" s="222"/>
      <c r="T93" s="222"/>
      <c r="U93" s="222"/>
      <c r="V93" s="222"/>
      <c r="W93" s="222"/>
    </row>
    <row r="94" spans="18:23" x14ac:dyDescent="0.25">
      <c r="R94" s="222"/>
      <c r="S94" s="222"/>
      <c r="T94" s="222"/>
      <c r="U94" s="222"/>
      <c r="V94" s="222"/>
      <c r="W94" s="222"/>
    </row>
    <row r="95" spans="18:23" x14ac:dyDescent="0.25">
      <c r="R95" s="222"/>
      <c r="S95" s="222"/>
      <c r="T95" s="222"/>
      <c r="U95" s="222"/>
      <c r="V95" s="222"/>
      <c r="W95" s="222"/>
    </row>
    <row r="96" spans="18:23" x14ac:dyDescent="0.25">
      <c r="R96" s="222"/>
      <c r="S96" s="222"/>
      <c r="T96" s="222"/>
      <c r="U96" s="222"/>
      <c r="V96" s="222"/>
      <c r="W96" s="222"/>
    </row>
    <row r="97" spans="18:45" x14ac:dyDescent="0.25">
      <c r="R97" s="222"/>
      <c r="S97" s="222"/>
      <c r="T97" s="222"/>
      <c r="U97" s="222"/>
      <c r="V97" s="222"/>
      <c r="W97" s="222"/>
    </row>
    <row r="98" spans="18:45" x14ac:dyDescent="0.25">
      <c r="R98" s="222"/>
      <c r="S98" s="222"/>
      <c r="T98" s="222"/>
      <c r="U98" s="222"/>
      <c r="V98" s="222"/>
      <c r="W98" s="222"/>
    </row>
    <row r="99" spans="18:45" x14ac:dyDescent="0.25">
      <c r="R99" s="222"/>
      <c r="S99" s="222"/>
      <c r="T99" s="222"/>
      <c r="U99" s="222"/>
      <c r="V99" s="222"/>
      <c r="W99" s="222"/>
    </row>
    <row r="100" spans="18:45" x14ac:dyDescent="0.25">
      <c r="R100" s="222"/>
      <c r="S100" s="222"/>
      <c r="T100" s="222"/>
      <c r="U100" s="222"/>
      <c r="V100" s="222"/>
      <c r="W100" s="222"/>
    </row>
    <row r="101" spans="18:45" x14ac:dyDescent="0.25">
      <c r="S101" s="222"/>
      <c r="T101" s="222"/>
      <c r="U101" s="222"/>
      <c r="V101" s="222"/>
      <c r="W101" s="222"/>
    </row>
    <row r="102" spans="18:45" x14ac:dyDescent="0.25">
      <c r="S102" s="222"/>
      <c r="T102" s="222"/>
      <c r="U102" s="222"/>
      <c r="V102" s="222"/>
      <c r="W102" s="222"/>
      <c r="AS102" s="9"/>
    </row>
    <row r="103" spans="18:45" x14ac:dyDescent="0.25">
      <c r="R103" s="222"/>
      <c r="S103" s="222"/>
      <c r="T103" s="222"/>
      <c r="U103" s="222"/>
      <c r="V103" s="222"/>
      <c r="W103" s="222"/>
    </row>
    <row r="104" spans="18:45" x14ac:dyDescent="0.25">
      <c r="R104" s="222"/>
      <c r="S104" s="222"/>
      <c r="T104" s="222"/>
      <c r="U104" s="222"/>
      <c r="V104" s="222"/>
      <c r="W104" s="222"/>
    </row>
    <row r="105" spans="18:45" x14ac:dyDescent="0.25">
      <c r="R105" s="222"/>
      <c r="S105" s="222"/>
      <c r="T105" s="222"/>
      <c r="U105" s="222"/>
      <c r="V105" s="222"/>
      <c r="W105" s="222"/>
    </row>
    <row r="106" spans="18:45" x14ac:dyDescent="0.25">
      <c r="R106" s="222"/>
      <c r="S106" s="222"/>
      <c r="T106" s="222"/>
      <c r="U106" s="222"/>
      <c r="V106" s="222"/>
      <c r="W106" s="222"/>
    </row>
    <row r="107" spans="18:45" x14ac:dyDescent="0.25">
      <c r="R107" s="222"/>
      <c r="S107" s="222"/>
      <c r="T107" s="222"/>
      <c r="U107" s="222"/>
      <c r="V107" s="222"/>
      <c r="W107" s="222"/>
    </row>
    <row r="108" spans="18:45" x14ac:dyDescent="0.25">
      <c r="R108" s="222"/>
      <c r="S108" s="222"/>
      <c r="T108" s="222"/>
      <c r="U108" s="222"/>
      <c r="V108" s="222"/>
      <c r="W108" s="222"/>
    </row>
    <row r="109" spans="18:45" x14ac:dyDescent="0.25">
      <c r="R109" s="222"/>
      <c r="S109" s="222"/>
      <c r="T109" s="222"/>
      <c r="U109" s="222"/>
      <c r="V109" s="222"/>
      <c r="W109" s="222"/>
    </row>
    <row r="110" spans="18:45" x14ac:dyDescent="0.25">
      <c r="R110" s="222"/>
      <c r="S110" s="222"/>
      <c r="T110" s="222"/>
      <c r="U110" s="222"/>
      <c r="V110" s="222"/>
      <c r="W110" s="222"/>
    </row>
    <row r="111" spans="18:45" x14ac:dyDescent="0.25">
      <c r="R111" s="222"/>
      <c r="S111" s="222"/>
      <c r="T111" s="222"/>
      <c r="U111" s="222"/>
      <c r="V111" s="222"/>
      <c r="W111" s="222"/>
    </row>
    <row r="112" spans="18:45" x14ac:dyDescent="0.25">
      <c r="R112" s="222"/>
      <c r="S112" s="222"/>
      <c r="T112" s="222"/>
      <c r="U112" s="222"/>
      <c r="V112" s="222"/>
      <c r="W112" s="222"/>
    </row>
    <row r="113" spans="18:23" x14ac:dyDescent="0.25">
      <c r="R113" s="222"/>
      <c r="S113" s="222"/>
      <c r="T113" s="222"/>
      <c r="U113" s="222"/>
      <c r="V113" s="222"/>
      <c r="W113" s="222"/>
    </row>
    <row r="114" spans="18:23" x14ac:dyDescent="0.25">
      <c r="R114" s="222"/>
      <c r="S114" s="222"/>
      <c r="T114" s="222"/>
      <c r="U114" s="222"/>
      <c r="V114" s="222"/>
      <c r="W114" s="222"/>
    </row>
    <row r="115" spans="18:23" x14ac:dyDescent="0.25">
      <c r="R115" s="222"/>
      <c r="S115" s="222"/>
      <c r="T115" s="222"/>
      <c r="U115" s="222"/>
      <c r="V115" s="222"/>
      <c r="W115" s="222"/>
    </row>
  </sheetData>
  <mergeCells count="23">
    <mergeCell ref="B64:G65"/>
    <mergeCell ref="B42:G45"/>
    <mergeCell ref="B47:G48"/>
    <mergeCell ref="B50:G53"/>
    <mergeCell ref="B55:G57"/>
    <mergeCell ref="B59:G62"/>
    <mergeCell ref="H4:H5"/>
    <mergeCell ref="K5:L5"/>
    <mergeCell ref="K17:L17"/>
    <mergeCell ref="M17:N17"/>
    <mergeCell ref="K22:L22"/>
    <mergeCell ref="M22:N22"/>
    <mergeCell ref="G4:G5"/>
    <mergeCell ref="B4:B5"/>
    <mergeCell ref="C4:C5"/>
    <mergeCell ref="D4:D5"/>
    <mergeCell ref="E4:E5"/>
    <mergeCell ref="F4:F5"/>
    <mergeCell ref="AS6:AW6"/>
    <mergeCell ref="AS33:AW33"/>
    <mergeCell ref="T8:U8"/>
    <mergeCell ref="AD8:AE8"/>
    <mergeCell ref="AU65:AV65"/>
  </mergeCells>
  <hyperlinks>
    <hyperlink ref="T12" r:id="rId1" xr:uid="{D1DEE156-F62E-42F7-8633-9A47763F7A3B}"/>
    <hyperlink ref="U12" r:id="rId2" xr:uid="{784BFE2C-2A8E-40FE-9F9F-83AB5102E09A}"/>
    <hyperlink ref="AE12" r:id="rId3" xr:uid="{C7BCDEFC-3740-4C72-A652-53530F530C08}"/>
    <hyperlink ref="AD12" r:id="rId4" xr:uid="{9A55B65B-4FA0-4C92-BDD5-77E6421ACC67}"/>
  </hyperlinks>
  <pageMargins left="0.25" right="0.25" top="0.75" bottom="0.75" header="0.3" footer="0.3"/>
  <pageSetup scale="41"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012C-970E-4ADE-831E-0D98F7C42565}">
  <sheetPr>
    <tabColor theme="9" tint="0.79998168889431442"/>
    <pageSetUpPr fitToPage="1"/>
  </sheetPr>
  <dimension ref="A1:AP73"/>
  <sheetViews>
    <sheetView zoomScale="70" zoomScaleNormal="70" zoomScaleSheetLayoutView="100" zoomScalePageLayoutView="55" workbookViewId="0">
      <selection activeCell="H42" sqref="H42"/>
    </sheetView>
  </sheetViews>
  <sheetFormatPr defaultRowHeight="15" x14ac:dyDescent="0.25"/>
  <cols>
    <col min="1" max="1" width="3.7109375" style="242" customWidth="1"/>
    <col min="2" max="8" width="20.7109375" style="242" customWidth="1"/>
    <col min="9" max="9" width="5.7109375" style="242" customWidth="1"/>
    <col min="10" max="10" width="3" style="242" customWidth="1"/>
    <col min="11" max="11" width="39.140625" style="242" customWidth="1"/>
    <col min="12" max="12" width="29.28515625" style="242" bestFit="1" customWidth="1"/>
    <col min="13" max="13" width="39.140625" style="242" customWidth="1"/>
    <col min="14" max="14" width="29.28515625" style="242" bestFit="1" customWidth="1"/>
    <col min="15" max="15" width="23" style="242" bestFit="1" customWidth="1"/>
    <col min="16" max="16" width="23" style="222" bestFit="1" customWidth="1"/>
    <col min="17" max="17" width="10.7109375" style="222" customWidth="1"/>
    <col min="18" max="18" width="26.85546875" style="222" bestFit="1" customWidth="1"/>
    <col min="19" max="22" width="23.28515625" style="222" customWidth="1"/>
    <col min="23" max="24" width="50.85546875" style="222" customWidth="1"/>
    <col min="25" max="25" width="16.28515625" style="222" bestFit="1" customWidth="1"/>
    <col min="26" max="26" width="9.140625" style="222"/>
    <col min="27" max="27" width="29.42578125" style="222" bestFit="1" customWidth="1"/>
    <col min="28" max="31" width="23.28515625" style="222" customWidth="1"/>
    <col min="32" max="42" width="9.140625" style="222"/>
    <col min="43" max="16384" width="9.140625" style="242"/>
  </cols>
  <sheetData>
    <row r="1" spans="2:14" ht="14.25" customHeight="1" x14ac:dyDescent="0.25">
      <c r="B1" s="419">
        <v>1</v>
      </c>
      <c r="C1" s="419">
        <v>2</v>
      </c>
      <c r="D1" s="419">
        <v>3</v>
      </c>
      <c r="E1" s="419">
        <v>4</v>
      </c>
      <c r="F1" s="419">
        <v>5</v>
      </c>
      <c r="G1" s="419">
        <v>6</v>
      </c>
      <c r="H1" s="419">
        <v>7</v>
      </c>
    </row>
    <row r="2" spans="2:14" x14ac:dyDescent="0.25">
      <c r="B2" s="9" t="s">
        <v>107</v>
      </c>
      <c r="C2" s="9"/>
      <c r="D2" s="9"/>
    </row>
    <row r="3" spans="2:14" ht="15.75" thickBot="1" x14ac:dyDescent="0.3">
      <c r="K3" s="66"/>
    </row>
    <row r="4" spans="2:14" ht="35.1" customHeight="1" x14ac:dyDescent="0.25">
      <c r="B4" s="488" t="s">
        <v>0</v>
      </c>
      <c r="C4" s="488" t="s">
        <v>607</v>
      </c>
      <c r="D4" s="490" t="s">
        <v>608</v>
      </c>
      <c r="E4" s="488" t="s">
        <v>108</v>
      </c>
      <c r="F4" s="488" t="s">
        <v>109</v>
      </c>
      <c r="G4" s="493" t="s">
        <v>35</v>
      </c>
      <c r="H4" s="485" t="s">
        <v>1</v>
      </c>
      <c r="K4" s="66"/>
    </row>
    <row r="5" spans="2:14" ht="43.5" customHeight="1" thickBot="1" x14ac:dyDescent="0.3">
      <c r="B5" s="489"/>
      <c r="C5" s="489"/>
      <c r="D5" s="491"/>
      <c r="E5" s="489"/>
      <c r="F5" s="489"/>
      <c r="G5" s="494"/>
      <c r="H5" s="486"/>
      <c r="K5" s="487" t="s">
        <v>131</v>
      </c>
      <c r="L5" s="487"/>
      <c r="M5" s="206"/>
    </row>
    <row r="6" spans="2:14" ht="15" customHeight="1" x14ac:dyDescent="0.25">
      <c r="B6" s="1">
        <f>Assumptions!$D$3</f>
        <v>2022</v>
      </c>
      <c r="C6" s="207" cm="1">
        <f t="array" ref="C6">IFERROR(_xlfn.IFS(B6=Assumptions!$D$5,TREND($L$34:$L$35,$K$34:$K$35,B6),B6=Assumptions!$D$5+1,TREND($L$34:$L$35,$K$34:$K$35,B6)),0)</f>
        <v>0</v>
      </c>
      <c r="D6" s="207" cm="1">
        <f t="array" ref="D6">IFERROR(_xlfn.IFS(B6=Assumptions!$D$5,TREND($N$34:$N$35,$M$34:$M$35,B6),B6=Assumptions!$D$5+1,TREND($N$34:$N$35,$M$34:$M$35,B6)),0)</f>
        <v>0</v>
      </c>
      <c r="E6" s="208">
        <f>C6*$L$18</f>
        <v>0</v>
      </c>
      <c r="F6" s="208">
        <f>D6*$L$18</f>
        <v>0</v>
      </c>
      <c r="G6" s="209">
        <f>(E6-F6)</f>
        <v>0</v>
      </c>
      <c r="H6" s="208">
        <f>G6*(1+0.07)^-(B6-Assumptions!$D$4)</f>
        <v>0</v>
      </c>
      <c r="K6" s="149" t="s">
        <v>110</v>
      </c>
      <c r="L6" s="104">
        <f>Assumptions!$D$20</f>
        <v>17.8</v>
      </c>
      <c r="M6" s="242" t="s">
        <v>111</v>
      </c>
    </row>
    <row r="7" spans="2:14" x14ac:dyDescent="0.25">
      <c r="B7" s="2">
        <f>B6+1</f>
        <v>2023</v>
      </c>
      <c r="C7" s="207" cm="1">
        <f t="array" ref="C7">IFERROR(_xlfn.IFS(B7=Assumptions!$D$5,TREND($L$34:$L$35,$K$34:$K$35,B7),B7=Assumptions!$D$5+1,TREND($L$34:$L$35,$K$34:$K$35,B7)),0)</f>
        <v>0</v>
      </c>
      <c r="D7" s="207" cm="1">
        <f t="array" ref="D7">IFERROR(_xlfn.IFS(B7=Assumptions!$D$5,TREND($N$34:$N$35,$M$34:$M$35,B7),B7=Assumptions!$D$5+1,TREND($N$34:$N$35,$M$34:$M$35,B7)),0)</f>
        <v>0</v>
      </c>
      <c r="E7" s="210">
        <f t="shared" ref="E7:E34" si="0">C7*$L$18</f>
        <v>0</v>
      </c>
      <c r="F7" s="210">
        <f t="shared" ref="F7:F34" si="1">D7*$L$18</f>
        <v>0</v>
      </c>
      <c r="G7" s="211">
        <f t="shared" ref="G7:G34" si="2">(E7-F7)</f>
        <v>0</v>
      </c>
      <c r="H7" s="210">
        <f>G7*(1+0.07)^-(B7-Assumptions!$D$4)</f>
        <v>0</v>
      </c>
      <c r="K7" s="149" t="s">
        <v>127</v>
      </c>
      <c r="L7" s="104">
        <f>Assumptions!$D$21</f>
        <v>32</v>
      </c>
      <c r="M7" s="242" t="s">
        <v>111</v>
      </c>
    </row>
    <row r="8" spans="2:14" x14ac:dyDescent="0.25">
      <c r="B8" s="2">
        <f t="shared" ref="B8:B41" si="3">B7+1</f>
        <v>2024</v>
      </c>
      <c r="C8" s="207" cm="1">
        <f t="array" ref="C8">IFERROR(_xlfn.IFS(B8=Assumptions!$D$5,TREND($L$34:$L$35,$K$34:$K$35,B8),B8=Assumptions!$D$5+1,TREND($L$34:$L$35,$K$34:$K$35,B8)),0)</f>
        <v>0</v>
      </c>
      <c r="D8" s="207" cm="1">
        <f t="array" ref="D8">IFERROR(_xlfn.IFS(B8=Assumptions!$D$5,TREND($N$34:$N$35,$M$34:$M$35,B8),B8=Assumptions!$D$5+1,TREND($N$34:$N$35,$M$34:$M$35,B8)),0)</f>
        <v>0</v>
      </c>
      <c r="E8" s="210">
        <f t="shared" si="0"/>
        <v>0</v>
      </c>
      <c r="F8" s="210">
        <f t="shared" si="1"/>
        <v>0</v>
      </c>
      <c r="G8" s="211">
        <f t="shared" si="2"/>
        <v>0</v>
      </c>
      <c r="H8" s="210">
        <f>G8*(1+0.07)^-(B8-Assumptions!$D$4)</f>
        <v>0</v>
      </c>
      <c r="J8" s="67"/>
    </row>
    <row r="9" spans="2:14" ht="15" customHeight="1" x14ac:dyDescent="0.25">
      <c r="B9" s="2">
        <f t="shared" si="3"/>
        <v>2025</v>
      </c>
      <c r="C9" s="207" cm="1">
        <f t="array" ref="C9">IFERROR(_xlfn.IFS(B9=Assumptions!$D$5,TREND($L$34:$L$35,$K$34:$K$35,B9),B9=Assumptions!$D$5+1,TREND($L$34:$L$35,$K$34:$K$35,B9)),0)</f>
        <v>0</v>
      </c>
      <c r="D9" s="207" cm="1">
        <f t="array" ref="D9">IFERROR(_xlfn.IFS(B9=Assumptions!$D$5,TREND($N$34:$N$35,$M$34:$M$35,B9),B9=Assumptions!$D$5+1,TREND($N$34:$N$35,$M$34:$M$35,B9)),0)</f>
        <v>0</v>
      </c>
      <c r="E9" s="210">
        <f t="shared" si="0"/>
        <v>0</v>
      </c>
      <c r="F9" s="210">
        <f t="shared" si="1"/>
        <v>0</v>
      </c>
      <c r="G9" s="211">
        <f t="shared" si="2"/>
        <v>0</v>
      </c>
      <c r="H9" s="210">
        <f>G9*(1+0.07)^-(B9-Assumptions!$D$4)</f>
        <v>0</v>
      </c>
      <c r="K9" s="292" t="s">
        <v>132</v>
      </c>
      <c r="L9" s="292"/>
    </row>
    <row r="10" spans="2:14" x14ac:dyDescent="0.25">
      <c r="B10" s="2">
        <f t="shared" si="3"/>
        <v>2026</v>
      </c>
      <c r="C10" s="207" cm="1">
        <f t="array" ref="C10">IFERROR(_xlfn.IFS(B10=Assumptions!$D$5,TREND($L$34:$L$35,$K$34:$K$35,B10),B10=Assumptions!$D$5+1,TREND($L$34:$L$35,$K$34:$K$35,B10)),0)</f>
        <v>1014813.3527777791</v>
      </c>
      <c r="D10" s="207" cm="1">
        <f t="array" ref="D10">IFERROR(_xlfn.IFS(B10=Assumptions!$D$5,TREND($N$34:$N$35,$M$34:$M$35,B10),B10=Assumptions!$D$5+1,TREND($N$34:$N$35,$M$34:$M$35,B10)),0)</f>
        <v>1170938.4839743599</v>
      </c>
      <c r="E10" s="210">
        <f t="shared" si="0"/>
        <v>30743263.115726434</v>
      </c>
      <c r="F10" s="210">
        <f t="shared" si="1"/>
        <v>35472995.902761251</v>
      </c>
      <c r="G10" s="211">
        <f t="shared" si="2"/>
        <v>-4729732.787034817</v>
      </c>
      <c r="H10" s="210">
        <f>G10*(1+0.07)^-(B10-Assumptions!$D$4)</f>
        <v>-3151620.6633706517</v>
      </c>
      <c r="K10" s="149" t="s">
        <v>128</v>
      </c>
      <c r="L10" s="212">
        <f>Assumptions!$D$13</f>
        <v>0.75</v>
      </c>
    </row>
    <row r="11" spans="2:14" x14ac:dyDescent="0.25">
      <c r="B11" s="2">
        <f t="shared" si="3"/>
        <v>2027</v>
      </c>
      <c r="C11" s="207" cm="1">
        <f t="array" ref="C11">IFERROR(_xlfn.IFS(B11=Assumptions!$D$5,TREND($L$34:$L$35,$K$34:$K$35,B11),B11=Assumptions!$D$5+1,TREND($L$34:$L$35,$K$34:$K$35,B11)),0)</f>
        <v>1029594.0277777798</v>
      </c>
      <c r="D11" s="207" cm="1">
        <f t="array" ref="D11">IFERROR(_xlfn.IFS(B11=Assumptions!$D$5,TREND($N$34:$N$35,$M$34:$M$35,B11),B11=Assumptions!$D$5+1,TREND($N$34:$N$35,$M$34:$M$35,B11)),0)</f>
        <v>1187993.1089743599</v>
      </c>
      <c r="E11" s="210">
        <f t="shared" si="0"/>
        <v>31191036.274513956</v>
      </c>
      <c r="F11" s="210">
        <f t="shared" si="1"/>
        <v>35989657.239823751</v>
      </c>
      <c r="G11" s="211">
        <f t="shared" si="2"/>
        <v>-4798620.965309795</v>
      </c>
      <c r="H11" s="210">
        <f>G11*(1+0.07)^-(B11-Assumptions!$D$4)</f>
        <v>-2988339.9675486623</v>
      </c>
      <c r="K11" s="149" t="s">
        <v>112</v>
      </c>
      <c r="L11" s="212">
        <f>Assumptions!$D$14</f>
        <v>0.25</v>
      </c>
    </row>
    <row r="12" spans="2:14" x14ac:dyDescent="0.25">
      <c r="B12" s="2">
        <f t="shared" si="3"/>
        <v>2028</v>
      </c>
      <c r="C12" s="207">
        <v>0</v>
      </c>
      <c r="D12" s="207">
        <v>0</v>
      </c>
      <c r="E12" s="210">
        <f t="shared" si="0"/>
        <v>0</v>
      </c>
      <c r="F12" s="210">
        <f t="shared" si="1"/>
        <v>0</v>
      </c>
      <c r="G12" s="211">
        <f t="shared" si="2"/>
        <v>0</v>
      </c>
      <c r="H12" s="210">
        <f>G12*(1+0.07)^-(B12-Assumptions!$D$4)</f>
        <v>0</v>
      </c>
    </row>
    <row r="13" spans="2:14" ht="15" customHeight="1" x14ac:dyDescent="0.25">
      <c r="B13" s="2">
        <f t="shared" si="3"/>
        <v>2029</v>
      </c>
      <c r="C13" s="207">
        <v>0</v>
      </c>
      <c r="D13" s="207">
        <v>0</v>
      </c>
      <c r="E13" s="210">
        <f t="shared" si="0"/>
        <v>0</v>
      </c>
      <c r="F13" s="210">
        <f t="shared" si="1"/>
        <v>0</v>
      </c>
      <c r="G13" s="211">
        <f t="shared" si="2"/>
        <v>0</v>
      </c>
      <c r="H13" s="210">
        <f>G13*(1+0.07)^-(B13-Assumptions!$D$4)</f>
        <v>0</v>
      </c>
      <c r="K13" s="292" t="s">
        <v>133</v>
      </c>
      <c r="L13" s="292"/>
    </row>
    <row r="14" spans="2:14" x14ac:dyDescent="0.25">
      <c r="B14" s="2">
        <f t="shared" si="3"/>
        <v>2030</v>
      </c>
      <c r="C14" s="207">
        <v>0</v>
      </c>
      <c r="D14" s="207">
        <v>0</v>
      </c>
      <c r="E14" s="210">
        <f t="shared" si="0"/>
        <v>0</v>
      </c>
      <c r="F14" s="210">
        <f t="shared" si="1"/>
        <v>0</v>
      </c>
      <c r="G14" s="211">
        <f t="shared" si="2"/>
        <v>0</v>
      </c>
      <c r="H14" s="210">
        <f>G14*(1+0.07)^-(B14-Assumptions!$D$4)</f>
        <v>0</v>
      </c>
      <c r="K14" s="149" t="s">
        <v>129</v>
      </c>
      <c r="L14" s="103">
        <f>Assumptions!$D$15</f>
        <v>1.67</v>
      </c>
      <c r="M14" s="242" t="s">
        <v>111</v>
      </c>
    </row>
    <row r="15" spans="2:14" x14ac:dyDescent="0.25">
      <c r="B15" s="2">
        <f t="shared" si="3"/>
        <v>2031</v>
      </c>
      <c r="C15" s="207">
        <v>0</v>
      </c>
      <c r="D15" s="207">
        <v>0</v>
      </c>
      <c r="E15" s="210">
        <f t="shared" si="0"/>
        <v>0</v>
      </c>
      <c r="F15" s="210">
        <f t="shared" si="1"/>
        <v>0</v>
      </c>
      <c r="G15" s="211">
        <f t="shared" si="2"/>
        <v>0</v>
      </c>
      <c r="H15" s="210">
        <f>G15*(1+0.07)^-(B15-Assumptions!$D$4)</f>
        <v>0</v>
      </c>
      <c r="K15" s="149" t="s">
        <v>34</v>
      </c>
      <c r="L15" s="103">
        <f>Assumptions!$D$16</f>
        <v>1</v>
      </c>
      <c r="M15" s="242" t="s">
        <v>111</v>
      </c>
      <c r="N15" s="217"/>
    </row>
    <row r="16" spans="2:14" x14ac:dyDescent="0.25">
      <c r="B16" s="2">
        <f t="shared" si="3"/>
        <v>2032</v>
      </c>
      <c r="C16" s="207">
        <v>0</v>
      </c>
      <c r="D16" s="207">
        <v>0</v>
      </c>
      <c r="E16" s="210">
        <f t="shared" si="0"/>
        <v>0</v>
      </c>
      <c r="F16" s="210">
        <f t="shared" si="1"/>
        <v>0</v>
      </c>
      <c r="G16" s="211">
        <f t="shared" si="2"/>
        <v>0</v>
      </c>
      <c r="H16" s="210">
        <f>G16*(1+0.07)^-(B16-Assumptions!$D$4)</f>
        <v>0</v>
      </c>
    </row>
    <row r="17" spans="1:15" x14ac:dyDescent="0.25">
      <c r="B17" s="2">
        <f t="shared" si="3"/>
        <v>2033</v>
      </c>
      <c r="C17" s="207">
        <v>0</v>
      </c>
      <c r="D17" s="207">
        <v>0</v>
      </c>
      <c r="E17" s="210">
        <f t="shared" si="0"/>
        <v>0</v>
      </c>
      <c r="F17" s="210">
        <f t="shared" si="1"/>
        <v>0</v>
      </c>
      <c r="G17" s="211">
        <f t="shared" si="2"/>
        <v>0</v>
      </c>
      <c r="H17" s="210">
        <f>G17*(1+0.07)^-(B17-Assumptions!$D$4)</f>
        <v>0</v>
      </c>
      <c r="K17" s="292" t="s">
        <v>199</v>
      </c>
      <c r="L17" s="292"/>
    </row>
    <row r="18" spans="1:15" x14ac:dyDescent="0.25">
      <c r="B18" s="2">
        <f t="shared" si="3"/>
        <v>2034</v>
      </c>
      <c r="C18" s="207">
        <v>0</v>
      </c>
      <c r="D18" s="207">
        <v>0</v>
      </c>
      <c r="E18" s="210">
        <f t="shared" si="0"/>
        <v>0</v>
      </c>
      <c r="F18" s="210">
        <f t="shared" si="1"/>
        <v>0</v>
      </c>
      <c r="G18" s="211">
        <f t="shared" si="2"/>
        <v>0</v>
      </c>
      <c r="H18" s="210">
        <f>G18*(1+0.07)^-(B18-Assumptions!$D$4)</f>
        <v>0</v>
      </c>
      <c r="K18" s="149" t="s">
        <v>200</v>
      </c>
      <c r="L18" s="104">
        <f>(L6*L10*L14)+(L7*L11*L15)</f>
        <v>30.294500000000003</v>
      </c>
    </row>
    <row r="19" spans="1:15" x14ac:dyDescent="0.25">
      <c r="B19" s="2">
        <f t="shared" si="3"/>
        <v>2035</v>
      </c>
      <c r="C19" s="207">
        <v>0</v>
      </c>
      <c r="D19" s="207">
        <v>0</v>
      </c>
      <c r="E19" s="210">
        <f t="shared" si="0"/>
        <v>0</v>
      </c>
      <c r="F19" s="210">
        <f t="shared" si="1"/>
        <v>0</v>
      </c>
      <c r="G19" s="211">
        <f t="shared" si="2"/>
        <v>0</v>
      </c>
      <c r="H19" s="210">
        <f>G19*(1+0.07)^-(B19-Assumptions!$D$4)</f>
        <v>0</v>
      </c>
    </row>
    <row r="20" spans="1:15" ht="14.25" customHeight="1" x14ac:dyDescent="0.25">
      <c r="B20" s="2">
        <f t="shared" si="3"/>
        <v>2036</v>
      </c>
      <c r="C20" s="207">
        <v>0</v>
      </c>
      <c r="D20" s="207">
        <v>0</v>
      </c>
      <c r="E20" s="210">
        <f t="shared" si="0"/>
        <v>0</v>
      </c>
      <c r="F20" s="210">
        <f t="shared" si="1"/>
        <v>0</v>
      </c>
      <c r="G20" s="211">
        <f t="shared" si="2"/>
        <v>0</v>
      </c>
      <c r="H20" s="210">
        <f>G20*(1+0.07)^-(B20-Assumptions!$D$4)</f>
        <v>0</v>
      </c>
    </row>
    <row r="21" spans="1:15" ht="15" customHeight="1" x14ac:dyDescent="0.25">
      <c r="B21" s="2">
        <f t="shared" si="3"/>
        <v>2037</v>
      </c>
      <c r="C21" s="207">
        <v>0</v>
      </c>
      <c r="D21" s="207">
        <v>0</v>
      </c>
      <c r="E21" s="210">
        <f t="shared" si="0"/>
        <v>0</v>
      </c>
      <c r="F21" s="210">
        <f t="shared" si="1"/>
        <v>0</v>
      </c>
      <c r="G21" s="211">
        <f t="shared" si="2"/>
        <v>0</v>
      </c>
      <c r="H21" s="210">
        <f>G21*(1+0.07)^-(B21-Assumptions!$D$4)</f>
        <v>0</v>
      </c>
      <c r="K21" s="292" t="s">
        <v>201</v>
      </c>
      <c r="L21" s="292"/>
    </row>
    <row r="22" spans="1:15" x14ac:dyDescent="0.25">
      <c r="B22" s="2">
        <f t="shared" si="3"/>
        <v>2038</v>
      </c>
      <c r="C22" s="207">
        <f>TREND($L$41:$L$42,$K$41:$K$42,B22)</f>
        <v>510934.90833333321</v>
      </c>
      <c r="D22" s="207">
        <f>TREND($N$41:$N$42,$M$41:$M$42,B22)</f>
        <v>589540.27884615399</v>
      </c>
      <c r="E22" s="210">
        <f t="shared" si="0"/>
        <v>15478517.580504164</v>
      </c>
      <c r="F22" s="210">
        <f t="shared" si="1"/>
        <v>17859827.977504812</v>
      </c>
      <c r="G22" s="211">
        <f t="shared" si="2"/>
        <v>-2381310.3970006481</v>
      </c>
      <c r="H22" s="210">
        <f>G22*(1+0.07)^-(B22-Assumptions!$D$4)</f>
        <v>-704543.82003395166</v>
      </c>
      <c r="K22" s="293" t="s">
        <v>43</v>
      </c>
      <c r="L22" s="293" t="s">
        <v>103</v>
      </c>
      <c r="M22" s="12"/>
    </row>
    <row r="23" spans="1:15" x14ac:dyDescent="0.25">
      <c r="B23" s="2">
        <f t="shared" si="3"/>
        <v>2039</v>
      </c>
      <c r="C23" s="207">
        <v>0</v>
      </c>
      <c r="D23" s="207">
        <v>0</v>
      </c>
      <c r="E23" s="210">
        <f t="shared" si="0"/>
        <v>0</v>
      </c>
      <c r="F23" s="210">
        <f t="shared" si="1"/>
        <v>0</v>
      </c>
      <c r="G23" s="211">
        <f t="shared" si="2"/>
        <v>0</v>
      </c>
      <c r="H23" s="210">
        <f>G23*(1+0.07)^-(B23-Assumptions!$D$4)</f>
        <v>0</v>
      </c>
      <c r="K23" s="293">
        <v>2022</v>
      </c>
      <c r="L23" s="150">
        <v>37825</v>
      </c>
    </row>
    <row r="24" spans="1:15" x14ac:dyDescent="0.25">
      <c r="B24" s="2">
        <f t="shared" si="3"/>
        <v>2040</v>
      </c>
      <c r="C24" s="207">
        <v>0</v>
      </c>
      <c r="D24" s="207">
        <v>0</v>
      </c>
      <c r="E24" s="210">
        <f t="shared" si="0"/>
        <v>0</v>
      </c>
      <c r="F24" s="210">
        <f t="shared" si="1"/>
        <v>0</v>
      </c>
      <c r="G24" s="211">
        <f t="shared" si="2"/>
        <v>0</v>
      </c>
      <c r="H24" s="210">
        <f>G24*(1+0.07)^-(B24-Assumptions!$D$4)</f>
        <v>0</v>
      </c>
      <c r="K24" s="293">
        <v>2042</v>
      </c>
      <c r="L24" s="150">
        <v>49525</v>
      </c>
    </row>
    <row r="25" spans="1:15" ht="15" customHeight="1" x14ac:dyDescent="0.25">
      <c r="B25" s="2">
        <f t="shared" si="3"/>
        <v>2041</v>
      </c>
      <c r="C25" s="207">
        <v>0</v>
      </c>
      <c r="D25" s="207">
        <v>0</v>
      </c>
      <c r="E25" s="210">
        <f t="shared" si="0"/>
        <v>0</v>
      </c>
      <c r="F25" s="210">
        <f t="shared" si="1"/>
        <v>0</v>
      </c>
      <c r="G25" s="211">
        <f t="shared" si="2"/>
        <v>0</v>
      </c>
      <c r="H25" s="210">
        <f>G25*(1+0.07)^-(B25-Assumptions!$D$4)</f>
        <v>0</v>
      </c>
    </row>
    <row r="26" spans="1:15" ht="15" customHeight="1" x14ac:dyDescent="0.25">
      <c r="B26" s="2">
        <f t="shared" si="3"/>
        <v>2042</v>
      </c>
      <c r="C26" s="207">
        <v>0</v>
      </c>
      <c r="D26" s="207">
        <v>0</v>
      </c>
      <c r="E26" s="210">
        <f t="shared" si="0"/>
        <v>0</v>
      </c>
      <c r="F26" s="210">
        <f t="shared" si="1"/>
        <v>0</v>
      </c>
      <c r="G26" s="211">
        <f t="shared" si="2"/>
        <v>0</v>
      </c>
      <c r="H26" s="210">
        <f>G26*(1+0.07)^-(B26-Assumptions!$D$4)</f>
        <v>0</v>
      </c>
      <c r="K26" s="292" t="s">
        <v>236</v>
      </c>
    </row>
    <row r="27" spans="1:15" ht="15" customHeight="1" x14ac:dyDescent="0.25">
      <c r="B27" s="2">
        <f t="shared" si="3"/>
        <v>2043</v>
      </c>
      <c r="C27" s="207">
        <f>TREND($L$41:$L$42,$K$41:$K$42,B27)</f>
        <v>542607.78333333321</v>
      </c>
      <c r="D27" s="207">
        <f>TREND($N$41:$N$42,$M$41:$M$42,B27)</f>
        <v>626085.90384615399</v>
      </c>
      <c r="E27" s="210">
        <f t="shared" ref="E27" si="4">C27*$L$18</f>
        <v>16438031.492191665</v>
      </c>
      <c r="F27" s="210">
        <f t="shared" ref="F27" si="5">D27*$L$18</f>
        <v>18966959.414067313</v>
      </c>
      <c r="G27" s="211">
        <f t="shared" ref="G27" si="6">(E27-F27)</f>
        <v>-2528927.9218756482</v>
      </c>
      <c r="H27" s="210">
        <f>G27*(1+0.07)^-(B27-Assumptions!$D$4)</f>
        <v>-533469.46332435205</v>
      </c>
      <c r="I27" s="12"/>
      <c r="K27" s="293" t="s">
        <v>77</v>
      </c>
      <c r="L27" s="293" t="s">
        <v>160</v>
      </c>
      <c r="M27" s="293" t="s">
        <v>184</v>
      </c>
      <c r="N27" s="293" t="s">
        <v>185</v>
      </c>
      <c r="O27" s="293" t="s">
        <v>186</v>
      </c>
    </row>
    <row r="28" spans="1:15" x14ac:dyDescent="0.25">
      <c r="A28" s="10"/>
      <c r="B28" s="2">
        <f t="shared" si="3"/>
        <v>2044</v>
      </c>
      <c r="C28" s="207">
        <v>0</v>
      </c>
      <c r="D28" s="207">
        <v>0</v>
      </c>
      <c r="E28" s="210">
        <f t="shared" si="0"/>
        <v>0</v>
      </c>
      <c r="F28" s="210">
        <f t="shared" si="1"/>
        <v>0</v>
      </c>
      <c r="G28" s="211">
        <f t="shared" si="2"/>
        <v>0</v>
      </c>
      <c r="H28" s="210">
        <f>G28*(1+0.07)^-(B28-Assumptions!$D$4)</f>
        <v>0</v>
      </c>
      <c r="K28" s="293" t="s">
        <v>46</v>
      </c>
      <c r="L28" s="293" t="s">
        <v>202</v>
      </c>
      <c r="M28" s="184">
        <v>8.9</v>
      </c>
      <c r="N28" s="184">
        <v>75</v>
      </c>
      <c r="O28" s="270">
        <f>M28*60/N28</f>
        <v>7.12</v>
      </c>
    </row>
    <row r="29" spans="1:15" ht="15" customHeight="1" x14ac:dyDescent="0.25">
      <c r="B29" s="2">
        <f t="shared" si="3"/>
        <v>2045</v>
      </c>
      <c r="C29" s="207">
        <v>0</v>
      </c>
      <c r="D29" s="207">
        <v>0</v>
      </c>
      <c r="E29" s="210">
        <f t="shared" si="0"/>
        <v>0</v>
      </c>
      <c r="F29" s="210">
        <f t="shared" si="1"/>
        <v>0</v>
      </c>
      <c r="G29" s="211">
        <f t="shared" si="2"/>
        <v>0</v>
      </c>
      <c r="H29" s="210">
        <f>G29*(1+0.07)^-(B29-Assumptions!$D$4)</f>
        <v>0</v>
      </c>
      <c r="K29" s="293" t="s">
        <v>15</v>
      </c>
      <c r="L29" s="293" t="s">
        <v>202</v>
      </c>
      <c r="M29" s="184">
        <v>8.9</v>
      </c>
      <c r="N29" s="184">
        <v>65</v>
      </c>
      <c r="O29" s="270">
        <f>M29*60/N29</f>
        <v>8.2153846153846146</v>
      </c>
    </row>
    <row r="30" spans="1:15" x14ac:dyDescent="0.25">
      <c r="B30" s="2">
        <f t="shared" si="3"/>
        <v>2046</v>
      </c>
      <c r="C30" s="207">
        <v>0</v>
      </c>
      <c r="D30" s="207">
        <v>0</v>
      </c>
      <c r="E30" s="210">
        <f t="shared" si="0"/>
        <v>0</v>
      </c>
      <c r="F30" s="210">
        <f t="shared" si="1"/>
        <v>0</v>
      </c>
      <c r="G30" s="211">
        <f t="shared" si="2"/>
        <v>0</v>
      </c>
      <c r="H30" s="210">
        <f>G30*(1+0.07)^-(B30-Assumptions!$D$4)</f>
        <v>0</v>
      </c>
    </row>
    <row r="31" spans="1:15" x14ac:dyDescent="0.25">
      <c r="B31" s="2">
        <f t="shared" si="3"/>
        <v>2047</v>
      </c>
      <c r="C31" s="207">
        <v>0</v>
      </c>
      <c r="D31" s="207">
        <v>0</v>
      </c>
      <c r="E31" s="210">
        <f t="shared" si="0"/>
        <v>0</v>
      </c>
      <c r="F31" s="210">
        <f t="shared" si="1"/>
        <v>0</v>
      </c>
      <c r="G31" s="211">
        <f t="shared" si="2"/>
        <v>0</v>
      </c>
      <c r="H31" s="210">
        <f>G31*(1+0.07)^-(B31-Assumptions!$D$4)</f>
        <v>0</v>
      </c>
      <c r="K31" s="245" t="s">
        <v>718</v>
      </c>
      <c r="O31" s="414"/>
    </row>
    <row r="32" spans="1:15" x14ac:dyDescent="0.25">
      <c r="B32" s="2">
        <f t="shared" si="3"/>
        <v>2048</v>
      </c>
      <c r="C32" s="207">
        <f>TREND($L$41:$L$42,$K$41:$K$42,B32)</f>
        <v>574280.65833333321</v>
      </c>
      <c r="D32" s="207">
        <f>TREND($N$41:$N$42,$M$41:$M$42,B32)</f>
        <v>662631.52884615399</v>
      </c>
      <c r="E32" s="210">
        <f t="shared" si="0"/>
        <v>17397545.403879166</v>
      </c>
      <c r="F32" s="210">
        <f t="shared" si="1"/>
        <v>20074090.850629814</v>
      </c>
      <c r="G32" s="211">
        <f t="shared" si="2"/>
        <v>-2676545.4467506483</v>
      </c>
      <c r="H32" s="210">
        <f>G32*(1+0.07)^-(B32-Assumptions!$D$4)</f>
        <v>-402558.35686151608</v>
      </c>
      <c r="K32" s="483" t="s">
        <v>46</v>
      </c>
      <c r="L32" s="484"/>
      <c r="M32" s="483" t="s">
        <v>114</v>
      </c>
      <c r="N32" s="484"/>
      <c r="O32" s="414"/>
    </row>
    <row r="33" spans="1:15" ht="15" customHeight="1" x14ac:dyDescent="0.25">
      <c r="B33" s="2">
        <f t="shared" si="3"/>
        <v>2049</v>
      </c>
      <c r="C33" s="207">
        <v>0</v>
      </c>
      <c r="D33" s="207">
        <v>0</v>
      </c>
      <c r="E33" s="210">
        <f t="shared" si="0"/>
        <v>0</v>
      </c>
      <c r="F33" s="210">
        <f t="shared" si="1"/>
        <v>0</v>
      </c>
      <c r="G33" s="211">
        <f t="shared" si="2"/>
        <v>0</v>
      </c>
      <c r="H33" s="210">
        <f>G33*(1+0.07)^-(B33-Assumptions!$D$4)</f>
        <v>0</v>
      </c>
      <c r="K33" s="293" t="s">
        <v>43</v>
      </c>
      <c r="L33" s="127" t="s">
        <v>118</v>
      </c>
      <c r="M33" s="293" t="s">
        <v>43</v>
      </c>
      <c r="N33" s="127" t="s">
        <v>118</v>
      </c>
      <c r="O33" s="414"/>
    </row>
    <row r="34" spans="1:15" ht="15" customHeight="1" x14ac:dyDescent="0.25">
      <c r="B34" s="2">
        <f t="shared" si="3"/>
        <v>2050</v>
      </c>
      <c r="C34" s="207">
        <v>0</v>
      </c>
      <c r="D34" s="207">
        <v>0</v>
      </c>
      <c r="E34" s="210">
        <f t="shared" si="0"/>
        <v>0</v>
      </c>
      <c r="F34" s="210">
        <f t="shared" si="1"/>
        <v>0</v>
      </c>
      <c r="G34" s="211">
        <f t="shared" si="2"/>
        <v>0</v>
      </c>
      <c r="H34" s="210">
        <f>G34*(1+0.07)^-(B34-Assumptions!$D$4)</f>
        <v>0</v>
      </c>
      <c r="K34" s="293">
        <v>2022</v>
      </c>
      <c r="L34" s="305">
        <f>L23*365*(O28/60) *(7/12)</f>
        <v>955690.65277777798</v>
      </c>
      <c r="M34" s="293">
        <v>2022</v>
      </c>
      <c r="N34" s="150">
        <f>L23*365*(O29/60)*(7/12)</f>
        <v>1102719.9839743588</v>
      </c>
      <c r="O34" s="414"/>
    </row>
    <row r="35" spans="1:15" ht="15" customHeight="1" x14ac:dyDescent="0.25">
      <c r="B35" s="2">
        <f t="shared" si="3"/>
        <v>2051</v>
      </c>
      <c r="C35" s="207">
        <v>0</v>
      </c>
      <c r="D35" s="207">
        <v>0</v>
      </c>
      <c r="E35" s="210">
        <f t="shared" ref="E35:E41" si="7">C35*$L$18</f>
        <v>0</v>
      </c>
      <c r="F35" s="210">
        <f t="shared" ref="F35:F41" si="8">D35*$L$18</f>
        <v>0</v>
      </c>
      <c r="G35" s="211">
        <f t="shared" ref="G35:G41" si="9">(E35-F35)</f>
        <v>0</v>
      </c>
      <c r="H35" s="210">
        <f>G35*(1+0.07)^-(B35-Assumptions!$D$4)</f>
        <v>0</v>
      </c>
      <c r="I35" s="206"/>
      <c r="K35" s="293">
        <v>2042</v>
      </c>
      <c r="L35" s="150">
        <f>L24*365*(O28/60) *(7/12)</f>
        <v>1251304.152777778</v>
      </c>
      <c r="M35" s="293">
        <v>2042</v>
      </c>
      <c r="N35" s="150">
        <f>L24*365*(O29/60)*(7/12)</f>
        <v>1443812.4839743588</v>
      </c>
    </row>
    <row r="36" spans="1:15" ht="15" customHeight="1" x14ac:dyDescent="0.25">
      <c r="A36" s="414"/>
      <c r="B36" s="2">
        <f t="shared" si="3"/>
        <v>2052</v>
      </c>
      <c r="C36" s="207">
        <v>0</v>
      </c>
      <c r="D36" s="207">
        <v>0</v>
      </c>
      <c r="E36" s="210">
        <f t="shared" si="7"/>
        <v>0</v>
      </c>
      <c r="F36" s="210">
        <f t="shared" si="8"/>
        <v>0</v>
      </c>
      <c r="G36" s="211">
        <f t="shared" si="9"/>
        <v>0</v>
      </c>
      <c r="H36" s="210">
        <f>G36*(1+0.07)^-(B36-Assumptions!$D$4)</f>
        <v>0</v>
      </c>
      <c r="I36" s="218"/>
      <c r="K36" s="304" t="s">
        <v>203</v>
      </c>
    </row>
    <row r="37" spans="1:15" x14ac:dyDescent="0.25">
      <c r="A37" s="414"/>
      <c r="B37" s="2">
        <f t="shared" si="3"/>
        <v>2053</v>
      </c>
      <c r="C37" s="207">
        <v>0</v>
      </c>
      <c r="D37" s="207">
        <v>0</v>
      </c>
      <c r="E37" s="210">
        <f t="shared" si="7"/>
        <v>0</v>
      </c>
      <c r="F37" s="210">
        <f t="shared" si="8"/>
        <v>0</v>
      </c>
      <c r="G37" s="211">
        <f t="shared" si="9"/>
        <v>0</v>
      </c>
      <c r="H37" s="210">
        <f>G37*(1+0.07)^-(B37-Assumptions!$D$4)</f>
        <v>0</v>
      </c>
    </row>
    <row r="38" spans="1:15" x14ac:dyDescent="0.25">
      <c r="A38" s="414"/>
      <c r="B38" s="2">
        <f t="shared" si="3"/>
        <v>2054</v>
      </c>
      <c r="C38" s="207">
        <v>0</v>
      </c>
      <c r="D38" s="207">
        <v>0</v>
      </c>
      <c r="E38" s="210">
        <f t="shared" si="7"/>
        <v>0</v>
      </c>
      <c r="F38" s="210">
        <f t="shared" si="8"/>
        <v>0</v>
      </c>
      <c r="G38" s="211">
        <f t="shared" si="9"/>
        <v>0</v>
      </c>
      <c r="H38" s="210">
        <f>G38*(1+0.07)^-(B38-Assumptions!$D$4)</f>
        <v>0</v>
      </c>
      <c r="K38" s="245" t="s">
        <v>719</v>
      </c>
      <c r="L38" s="427"/>
      <c r="M38" s="427"/>
      <c r="N38" s="427"/>
    </row>
    <row r="39" spans="1:15" ht="15" customHeight="1" x14ac:dyDescent="0.25">
      <c r="A39" s="414"/>
      <c r="B39" s="2">
        <f t="shared" si="3"/>
        <v>2055</v>
      </c>
      <c r="C39" s="207">
        <v>0</v>
      </c>
      <c r="D39" s="207">
        <v>0</v>
      </c>
      <c r="E39" s="210">
        <f t="shared" si="7"/>
        <v>0</v>
      </c>
      <c r="F39" s="210">
        <f t="shared" si="8"/>
        <v>0</v>
      </c>
      <c r="G39" s="211">
        <f t="shared" si="9"/>
        <v>0</v>
      </c>
      <c r="H39" s="210">
        <f>G39*(1+0.07)^-(B39-Assumptions!$D$4)</f>
        <v>0</v>
      </c>
      <c r="K39" s="483" t="s">
        <v>46</v>
      </c>
      <c r="L39" s="484"/>
      <c r="M39" s="483" t="s">
        <v>114</v>
      </c>
      <c r="N39" s="484"/>
    </row>
    <row r="40" spans="1:15" ht="15" customHeight="1" x14ac:dyDescent="0.25">
      <c r="A40" s="414"/>
      <c r="B40" s="2">
        <f t="shared" si="3"/>
        <v>2056</v>
      </c>
      <c r="C40" s="207">
        <v>0</v>
      </c>
      <c r="D40" s="207">
        <v>0</v>
      </c>
      <c r="E40" s="210">
        <f t="shared" si="7"/>
        <v>0</v>
      </c>
      <c r="F40" s="210">
        <f t="shared" si="8"/>
        <v>0</v>
      </c>
      <c r="G40" s="211">
        <f t="shared" si="9"/>
        <v>0</v>
      </c>
      <c r="H40" s="210">
        <f>G40*(1+0.07)^-(B40-Assumptions!$D$4)</f>
        <v>0</v>
      </c>
      <c r="K40" s="426" t="s">
        <v>43</v>
      </c>
      <c r="L40" s="127" t="s">
        <v>118</v>
      </c>
      <c r="M40" s="426" t="s">
        <v>43</v>
      </c>
      <c r="N40" s="127" t="s">
        <v>118</v>
      </c>
    </row>
    <row r="41" spans="1:15" ht="15" customHeight="1" thickBot="1" x14ac:dyDescent="0.3">
      <c r="A41" s="414"/>
      <c r="B41" s="3">
        <f t="shared" si="3"/>
        <v>2057</v>
      </c>
      <c r="C41" s="213">
        <v>0</v>
      </c>
      <c r="D41" s="213">
        <v>0</v>
      </c>
      <c r="E41" s="214">
        <f t="shared" si="7"/>
        <v>0</v>
      </c>
      <c r="F41" s="214">
        <f t="shared" si="8"/>
        <v>0</v>
      </c>
      <c r="G41" s="215">
        <f t="shared" si="9"/>
        <v>0</v>
      </c>
      <c r="H41" s="214">
        <f>G41*(1+0.07)^-(B41-Assumptions!$D$4)</f>
        <v>0</v>
      </c>
      <c r="K41" s="426">
        <v>2022</v>
      </c>
      <c r="L41" s="305">
        <f>L23*365*(O28/60) *(3/12)</f>
        <v>409581.70833333337</v>
      </c>
      <c r="M41" s="426">
        <v>2022</v>
      </c>
      <c r="N41" s="150">
        <f>L23*365*(O29/60)*(3/12)</f>
        <v>472594.27884615376</v>
      </c>
    </row>
    <row r="42" spans="1:15" ht="15" customHeight="1" thickBot="1" x14ac:dyDescent="0.3">
      <c r="B42" s="4"/>
      <c r="C42" s="4"/>
      <c r="D42" s="4"/>
      <c r="E42" s="216"/>
      <c r="F42" s="216"/>
      <c r="G42" s="80" t="s">
        <v>2</v>
      </c>
      <c r="H42" s="271">
        <f>SUM(H6:H35)</f>
        <v>-7780532.2711391337</v>
      </c>
      <c r="K42" s="426">
        <v>2042</v>
      </c>
      <c r="L42" s="150">
        <f>L24*365*(O28/60) *(3/12)</f>
        <v>536273.20833333337</v>
      </c>
      <c r="M42" s="426">
        <v>2042</v>
      </c>
      <c r="N42" s="150">
        <f>L24*365*(O29/60)*(3/12)</f>
        <v>618776.77884615376</v>
      </c>
    </row>
    <row r="43" spans="1:15" ht="15" customHeight="1" x14ac:dyDescent="0.25">
      <c r="G43" s="135"/>
      <c r="K43" s="304" t="s">
        <v>203</v>
      </c>
      <c r="L43" s="427"/>
      <c r="M43" s="427"/>
      <c r="N43" s="427"/>
    </row>
    <row r="44" spans="1:15" ht="15" customHeight="1" x14ac:dyDescent="0.25">
      <c r="N44" s="414"/>
    </row>
    <row r="45" spans="1:15" x14ac:dyDescent="0.25">
      <c r="K45" s="319" t="s">
        <v>717</v>
      </c>
      <c r="L45" s="427"/>
      <c r="M45" s="427"/>
      <c r="N45" s="414"/>
    </row>
    <row r="46" spans="1:15" ht="15" customHeight="1" x14ac:dyDescent="0.25">
      <c r="A46" s="10"/>
      <c r="B46" s="9" t="s">
        <v>3</v>
      </c>
      <c r="C46" s="9"/>
      <c r="D46" s="9"/>
      <c r="K46" s="426" t="s">
        <v>43</v>
      </c>
      <c r="L46" s="426" t="s">
        <v>716</v>
      </c>
      <c r="N46" s="414"/>
    </row>
    <row r="47" spans="1:15" x14ac:dyDescent="0.25">
      <c r="A47" s="411" t="s">
        <v>21</v>
      </c>
      <c r="B47" s="492" t="s">
        <v>650</v>
      </c>
      <c r="C47" s="492"/>
      <c r="D47" s="492"/>
      <c r="E47" s="492"/>
      <c r="F47" s="492"/>
      <c r="G47" s="492"/>
      <c r="K47" s="426">
        <v>2038</v>
      </c>
      <c r="L47" s="426">
        <v>3</v>
      </c>
      <c r="N47" s="414"/>
    </row>
    <row r="48" spans="1:15" ht="15" customHeight="1" x14ac:dyDescent="0.25">
      <c r="A48" s="411"/>
      <c r="B48" s="492"/>
      <c r="C48" s="492"/>
      <c r="D48" s="492"/>
      <c r="E48" s="492"/>
      <c r="F48" s="492"/>
      <c r="G48" s="492"/>
      <c r="H48" s="135"/>
      <c r="K48" s="426">
        <v>2043</v>
      </c>
      <c r="L48" s="426">
        <v>3</v>
      </c>
    </row>
    <row r="49" spans="1:13" ht="15" customHeight="1" x14ac:dyDescent="0.25">
      <c r="A49" s="411"/>
      <c r="B49" s="492"/>
      <c r="C49" s="492"/>
      <c r="D49" s="492"/>
      <c r="E49" s="492"/>
      <c r="F49" s="492"/>
      <c r="G49" s="492"/>
      <c r="K49" s="426">
        <v>2047</v>
      </c>
      <c r="L49" s="426">
        <v>3</v>
      </c>
    </row>
    <row r="50" spans="1:13" ht="15" customHeight="1" x14ac:dyDescent="0.25">
      <c r="A50" s="411"/>
      <c r="B50" s="492"/>
      <c r="C50" s="492"/>
      <c r="D50" s="492"/>
      <c r="E50" s="492"/>
      <c r="F50" s="492"/>
      <c r="G50" s="492"/>
      <c r="K50" s="426">
        <v>2055</v>
      </c>
      <c r="L50" s="426">
        <v>3</v>
      </c>
    </row>
    <row r="51" spans="1:13" ht="15" customHeight="1" x14ac:dyDescent="0.25">
      <c r="A51" s="414"/>
      <c r="B51" s="414"/>
      <c r="C51" s="414"/>
      <c r="D51" s="414"/>
      <c r="E51" s="414"/>
      <c r="F51" s="414"/>
      <c r="G51" s="414"/>
      <c r="K51" s="304" t="s">
        <v>731</v>
      </c>
      <c r="L51" s="427"/>
      <c r="M51" s="427"/>
    </row>
    <row r="52" spans="1:13" x14ac:dyDescent="0.25">
      <c r="A52" s="411" t="s">
        <v>28</v>
      </c>
      <c r="B52" s="492" t="s">
        <v>644</v>
      </c>
      <c r="C52" s="492"/>
      <c r="D52" s="492"/>
      <c r="E52" s="492"/>
      <c r="F52" s="492"/>
      <c r="G52" s="492"/>
      <c r="K52" s="427"/>
      <c r="L52" s="427"/>
      <c r="M52" s="427"/>
    </row>
    <row r="53" spans="1:13" ht="15" customHeight="1" x14ac:dyDescent="0.25">
      <c r="A53" s="411"/>
      <c r="B53" s="492"/>
      <c r="C53" s="492"/>
      <c r="D53" s="492"/>
      <c r="E53" s="492"/>
      <c r="F53" s="492"/>
      <c r="G53" s="492"/>
      <c r="K53" s="427"/>
      <c r="L53" s="427"/>
      <c r="M53" s="427"/>
    </row>
    <row r="54" spans="1:13" ht="15" customHeight="1" x14ac:dyDescent="0.25">
      <c r="A54" s="411"/>
      <c r="B54" s="413"/>
      <c r="C54" s="413"/>
      <c r="D54" s="413"/>
      <c r="E54" s="413"/>
      <c r="F54" s="413"/>
      <c r="G54" s="413"/>
      <c r="M54" s="427"/>
    </row>
    <row r="55" spans="1:13" x14ac:dyDescent="0.25">
      <c r="A55" s="411" t="s">
        <v>29</v>
      </c>
      <c r="B55" s="492" t="s">
        <v>597</v>
      </c>
      <c r="C55" s="492"/>
      <c r="D55" s="492"/>
      <c r="E55" s="492"/>
      <c r="F55" s="492"/>
      <c r="G55" s="492"/>
      <c r="M55" s="427"/>
    </row>
    <row r="56" spans="1:13" x14ac:dyDescent="0.25">
      <c r="A56" s="411"/>
      <c r="B56" s="492"/>
      <c r="C56" s="492"/>
      <c r="D56" s="492"/>
      <c r="E56" s="492"/>
      <c r="F56" s="492"/>
      <c r="G56" s="492"/>
    </row>
    <row r="57" spans="1:13" ht="15" customHeight="1" x14ac:dyDescent="0.25">
      <c r="A57" s="411"/>
      <c r="B57" s="492"/>
      <c r="C57" s="492"/>
      <c r="D57" s="492"/>
      <c r="E57" s="492"/>
      <c r="F57" s="492"/>
      <c r="G57" s="492"/>
    </row>
    <row r="58" spans="1:13" ht="15" customHeight="1" x14ac:dyDescent="0.25">
      <c r="A58" s="411"/>
      <c r="B58" s="492"/>
      <c r="C58" s="492"/>
      <c r="D58" s="492"/>
      <c r="E58" s="492"/>
      <c r="F58" s="492"/>
      <c r="G58" s="492"/>
    </row>
    <row r="59" spans="1:13" x14ac:dyDescent="0.25">
      <c r="A59" s="411"/>
      <c r="B59" s="412"/>
      <c r="C59" s="412"/>
      <c r="D59" s="412"/>
      <c r="E59" s="412"/>
      <c r="F59" s="412"/>
      <c r="G59" s="409"/>
    </row>
    <row r="60" spans="1:13" ht="15" customHeight="1" x14ac:dyDescent="0.25">
      <c r="A60" s="411" t="s">
        <v>30</v>
      </c>
      <c r="B60" s="492" t="s">
        <v>649</v>
      </c>
      <c r="C60" s="492"/>
      <c r="D60" s="492"/>
      <c r="E60" s="492"/>
      <c r="F60" s="492"/>
      <c r="G60" s="492"/>
    </row>
    <row r="61" spans="1:13" x14ac:dyDescent="0.25">
      <c r="A61" s="414"/>
      <c r="B61" s="492"/>
      <c r="C61" s="492"/>
      <c r="D61" s="492"/>
      <c r="E61" s="492"/>
      <c r="F61" s="492"/>
      <c r="G61" s="492"/>
    </row>
    <row r="62" spans="1:13" x14ac:dyDescent="0.25">
      <c r="A62" s="414"/>
      <c r="B62" s="492"/>
      <c r="C62" s="492"/>
      <c r="D62" s="492"/>
      <c r="E62" s="492"/>
      <c r="F62" s="492"/>
      <c r="G62" s="492"/>
    </row>
    <row r="63" spans="1:13" ht="15" customHeight="1" x14ac:dyDescent="0.25">
      <c r="A63" s="414"/>
      <c r="B63" s="414"/>
      <c r="C63" s="414"/>
      <c r="D63" s="414"/>
      <c r="E63" s="414"/>
      <c r="F63" s="414"/>
      <c r="G63" s="414"/>
    </row>
    <row r="64" spans="1:13" x14ac:dyDescent="0.25">
      <c r="A64" s="411" t="s">
        <v>31</v>
      </c>
      <c r="B64" s="492" t="s">
        <v>691</v>
      </c>
      <c r="C64" s="492"/>
      <c r="D64" s="492"/>
      <c r="E64" s="492"/>
      <c r="F64" s="492"/>
      <c r="G64" s="492"/>
    </row>
    <row r="65" spans="1:8" ht="15" customHeight="1" x14ac:dyDescent="0.25">
      <c r="A65" s="411"/>
      <c r="B65" s="492"/>
      <c r="C65" s="492"/>
      <c r="D65" s="492"/>
      <c r="E65" s="492"/>
      <c r="F65" s="492"/>
      <c r="G65" s="492"/>
    </row>
    <row r="66" spans="1:8" x14ac:dyDescent="0.25">
      <c r="A66" s="411"/>
      <c r="B66" s="492"/>
      <c r="C66" s="492"/>
      <c r="D66" s="492"/>
      <c r="E66" s="492"/>
      <c r="F66" s="492"/>
      <c r="G66" s="492"/>
    </row>
    <row r="67" spans="1:8" x14ac:dyDescent="0.25">
      <c r="A67" s="411"/>
      <c r="B67" s="492"/>
      <c r="C67" s="492"/>
      <c r="D67" s="492"/>
      <c r="E67" s="492"/>
      <c r="F67" s="492"/>
      <c r="G67" s="492"/>
    </row>
    <row r="68" spans="1:8" x14ac:dyDescent="0.25">
      <c r="A68" s="414"/>
      <c r="B68" s="414"/>
      <c r="C68" s="414"/>
      <c r="D68" s="414"/>
      <c r="E68" s="414"/>
      <c r="F68" s="414"/>
      <c r="G68" s="414"/>
    </row>
    <row r="69" spans="1:8" x14ac:dyDescent="0.25">
      <c r="A69" s="414"/>
      <c r="B69" s="414"/>
      <c r="C69" s="414"/>
      <c r="D69" s="414"/>
      <c r="E69" s="414"/>
      <c r="F69" s="414"/>
      <c r="G69" s="414"/>
      <c r="H69" s="414"/>
    </row>
    <row r="70" spans="1:8" x14ac:dyDescent="0.25">
      <c r="A70" s="414"/>
      <c r="B70" s="414"/>
      <c r="C70" s="414"/>
      <c r="D70" s="414"/>
      <c r="E70" s="414"/>
      <c r="F70" s="414"/>
      <c r="G70" s="414"/>
      <c r="H70" s="414"/>
    </row>
    <row r="71" spans="1:8" x14ac:dyDescent="0.25">
      <c r="A71" s="414"/>
      <c r="B71" s="414"/>
      <c r="C71" s="414"/>
      <c r="D71" s="414"/>
      <c r="E71" s="414"/>
      <c r="F71" s="414"/>
      <c r="G71" s="414"/>
      <c r="H71" s="414"/>
    </row>
    <row r="72" spans="1:8" x14ac:dyDescent="0.25">
      <c r="A72" s="414"/>
      <c r="B72" s="414"/>
      <c r="C72" s="414"/>
      <c r="D72" s="414"/>
      <c r="E72" s="414"/>
      <c r="F72" s="414"/>
      <c r="G72" s="414"/>
      <c r="H72" s="414"/>
    </row>
    <row r="73" spans="1:8" x14ac:dyDescent="0.25">
      <c r="A73" s="414"/>
      <c r="B73" s="414"/>
      <c r="C73" s="414"/>
      <c r="D73" s="414"/>
      <c r="E73" s="414"/>
      <c r="F73" s="414"/>
      <c r="G73" s="414"/>
      <c r="H73" s="414"/>
    </row>
  </sheetData>
  <mergeCells count="17">
    <mergeCell ref="H4:H5"/>
    <mergeCell ref="B60:G62"/>
    <mergeCell ref="K5:L5"/>
    <mergeCell ref="B4:B5"/>
    <mergeCell ref="C4:C5"/>
    <mergeCell ref="D4:D5"/>
    <mergeCell ref="E4:E5"/>
    <mergeCell ref="F4:F5"/>
    <mergeCell ref="G4:G5"/>
    <mergeCell ref="M32:N32"/>
    <mergeCell ref="K32:L32"/>
    <mergeCell ref="K39:L39"/>
    <mergeCell ref="M39:N39"/>
    <mergeCell ref="B64:G67"/>
    <mergeCell ref="B47:G50"/>
    <mergeCell ref="B52:G53"/>
    <mergeCell ref="B55:G58"/>
  </mergeCells>
  <pageMargins left="0.25" right="0.25" top="0.75" bottom="0.75" header="0.3" footer="0.3"/>
  <pageSetup scale="3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pageSetUpPr fitToPage="1"/>
  </sheetPr>
  <dimension ref="A1:AJ121"/>
  <sheetViews>
    <sheetView zoomScale="70" zoomScaleNormal="70" zoomScaleSheetLayoutView="85" zoomScalePageLayoutView="70" workbookViewId="0">
      <selection activeCell="F34" sqref="F34"/>
    </sheetView>
  </sheetViews>
  <sheetFormatPr defaultRowHeight="15" x14ac:dyDescent="0.25"/>
  <cols>
    <col min="1" max="1" width="7.7109375" style="24" customWidth="1"/>
    <col min="2" max="2" width="25.28515625" style="24" customWidth="1"/>
    <col min="3" max="4" width="12.85546875" style="24" customWidth="1"/>
    <col min="5" max="5" width="15.7109375" style="24" customWidth="1"/>
    <col min="6" max="6" width="20.140625" style="24" customWidth="1"/>
    <col min="7" max="7" width="15.85546875" style="24" customWidth="1"/>
    <col min="8" max="8" width="56.7109375" style="24" customWidth="1"/>
    <col min="9" max="13" width="30.7109375" style="24" customWidth="1"/>
    <col min="14" max="14" width="26.7109375" style="24" customWidth="1"/>
    <col min="15" max="20" width="15.7109375" style="24" customWidth="1"/>
    <col min="21" max="21" width="9" style="24" customWidth="1"/>
    <col min="22" max="22" width="9.140625" style="24"/>
    <col min="27" max="37" width="9.140625" style="24"/>
    <col min="38" max="38" width="46.28515625" style="24" bestFit="1" customWidth="1"/>
    <col min="39" max="39" width="9.140625" style="24"/>
    <col min="40" max="40" width="24.140625" style="24" bestFit="1" customWidth="1"/>
    <col min="41" max="41" width="13.42578125" style="24" bestFit="1" customWidth="1"/>
    <col min="42" max="16384" width="9.140625" style="24"/>
  </cols>
  <sheetData>
    <row r="1" spans="1:28" ht="15" customHeight="1" x14ac:dyDescent="0.25">
      <c r="A1" s="42"/>
      <c r="B1" s="419">
        <v>1</v>
      </c>
      <c r="C1" s="419">
        <v>2</v>
      </c>
      <c r="D1" s="419">
        <v>3</v>
      </c>
      <c r="E1" s="419">
        <v>4</v>
      </c>
      <c r="F1" s="419">
        <v>5</v>
      </c>
    </row>
    <row r="2" spans="1:28" ht="15.75" thickBot="1" x14ac:dyDescent="0.3">
      <c r="B2" s="9" t="s">
        <v>636</v>
      </c>
      <c r="C2" s="9"/>
      <c r="D2" s="9"/>
    </row>
    <row r="3" spans="1:28" ht="15.75" thickBot="1" x14ac:dyDescent="0.3">
      <c r="B3" s="9"/>
      <c r="C3" s="498" t="s">
        <v>218</v>
      </c>
      <c r="D3" s="499"/>
      <c r="E3" s="499"/>
      <c r="F3" s="500"/>
      <c r="H3" s="242"/>
      <c r="I3" s="242"/>
      <c r="J3" s="242"/>
      <c r="K3" s="242"/>
      <c r="L3" s="242"/>
      <c r="M3" s="242"/>
      <c r="N3" s="242"/>
      <c r="O3" s="242"/>
    </row>
    <row r="4" spans="1:28" ht="30" customHeight="1" x14ac:dyDescent="0.25">
      <c r="B4" s="506" t="s">
        <v>0</v>
      </c>
      <c r="C4" s="506" t="s">
        <v>70</v>
      </c>
      <c r="D4" s="506" t="s">
        <v>71</v>
      </c>
      <c r="E4" s="502" t="s">
        <v>51</v>
      </c>
      <c r="F4" s="504" t="s">
        <v>1</v>
      </c>
      <c r="G4" s="145"/>
      <c r="H4" s="242"/>
      <c r="I4" s="242"/>
      <c r="J4" s="242"/>
      <c r="K4" s="242"/>
      <c r="L4" s="242"/>
      <c r="M4" s="242"/>
      <c r="N4" s="242"/>
      <c r="O4" s="242"/>
    </row>
    <row r="5" spans="1:28" ht="30" customHeight="1" thickBot="1" x14ac:dyDescent="0.3">
      <c r="B5" s="507"/>
      <c r="C5" s="507"/>
      <c r="D5" s="507"/>
      <c r="E5" s="503"/>
      <c r="F5" s="505"/>
      <c r="G5" s="145"/>
      <c r="H5" s="262" t="s">
        <v>106</v>
      </c>
      <c r="I5" s="242"/>
      <c r="J5" s="242"/>
      <c r="K5" s="242"/>
      <c r="L5" s="242"/>
      <c r="M5" s="242"/>
      <c r="N5" s="242"/>
      <c r="O5" s="242"/>
    </row>
    <row r="6" spans="1:28" x14ac:dyDescent="0.25">
      <c r="B6" s="340">
        <f>Assumptions!$D$8</f>
        <v>2028</v>
      </c>
      <c r="C6" s="137">
        <f>IF(B6&lt;=Assumptions!$D$9,IF(B6+1&lt;=Assumptions!$D$29,TREND($I$55:$J$55,$I$54:$J$54,B6),0),0)+IF(B6&gt;Assumptions!$D$28,TREND('Safety -  I-80 Mainline'!$I$60:$J$60,'Safety -  I-80 Mainline'!$I$59:$J$59,'Safety -  I-80 Mainline'!B6))</f>
        <v>6787320.1222484708</v>
      </c>
      <c r="D6" s="137">
        <f>TREND($I$56:$J$56,$I$54:$J$54,B6)+IF(B6&gt;Assumptions!$D$28,TREND('Safety -  I-80 Mainline'!$I$61:$J$61,'Safety -  I-80 Mainline'!$I$59:$J$59,'Safety -  I-80 Mainline'!B6))</f>
        <v>2180673.5562684238</v>
      </c>
      <c r="E6" s="341">
        <f>C6-D6</f>
        <v>4606646.565980047</v>
      </c>
      <c r="F6" s="342">
        <f>E6*(1+0.07)^-(B6-Assumptions!$D$4)</f>
        <v>2681110.2429136564</v>
      </c>
      <c r="G6" s="41"/>
      <c r="H6" s="373" t="s">
        <v>168</v>
      </c>
      <c r="I6" s="373" t="s">
        <v>23</v>
      </c>
      <c r="J6" s="373" t="s">
        <v>24</v>
      </c>
      <c r="K6" s="373" t="s">
        <v>25</v>
      </c>
      <c r="L6" s="373" t="s">
        <v>26</v>
      </c>
      <c r="M6" s="373" t="s">
        <v>27</v>
      </c>
      <c r="N6" s="242"/>
      <c r="O6" s="242"/>
    </row>
    <row r="7" spans="1:28" x14ac:dyDescent="0.25">
      <c r="B7" s="27">
        <f>+B6+1</f>
        <v>2029</v>
      </c>
      <c r="C7" s="138">
        <f>IF(B7&lt;=Assumptions!$D$9,IF(B7+1&lt;=Assumptions!$D$29,TREND($I$55:$J$55,$I$54:$J$54,B7),0),0)+IF(B7&gt;Assumptions!$D$28,TREND('Safety -  I-80 Mainline'!$I$60:$J$60,'Safety -  I-80 Mainline'!$I$59:$J$59,'Safety -  I-80 Mainline'!B7))</f>
        <v>6883376.908527106</v>
      </c>
      <c r="D7" s="138">
        <f>TREND($I$56:$J$56,$I$54:$J$54,B7)+IF(B7&gt;Assumptions!$D$28,TREND('Safety -  I-80 Mainline'!$I$61:$J$61,'Safety -  I-80 Mainline'!$I$59:$J$59,'Safety -  I-80 Mainline'!B7))</f>
        <v>2211534.0623705164</v>
      </c>
      <c r="E7" s="95">
        <f t="shared" ref="E7:E35" si="0">C7-D7</f>
        <v>4671842.8461565897</v>
      </c>
      <c r="F7" s="87">
        <f>E7*(1+0.07)^-(B7-Assumptions!$D$4)</f>
        <v>2541172.964074932</v>
      </c>
      <c r="G7" s="41"/>
      <c r="H7" s="373" t="s">
        <v>74</v>
      </c>
      <c r="I7" s="187">
        <v>12837400</v>
      </c>
      <c r="J7" s="187">
        <v>554800</v>
      </c>
      <c r="K7" s="187">
        <v>151100</v>
      </c>
      <c r="L7" s="187">
        <v>77200</v>
      </c>
      <c r="M7" s="187">
        <v>4600</v>
      </c>
      <c r="N7" s="263"/>
      <c r="O7" s="242"/>
    </row>
    <row r="8" spans="1:28" ht="15" customHeight="1" x14ac:dyDescent="0.25">
      <c r="B8" s="27">
        <f t="shared" ref="B8:B35" si="1">+B7+1</f>
        <v>2030</v>
      </c>
      <c r="C8" s="138">
        <f>IF(B8&lt;=Assumptions!$D$9,IF(B8+1&lt;=Assumptions!$D$29,TREND($I$55:$J$55,$I$54:$J$54,B8),0),0)+IF(B8&gt;Assumptions!$D$28,TREND('Safety -  I-80 Mainline'!$I$60:$J$60,'Safety -  I-80 Mainline'!$I$59:$J$59,'Safety -  I-80 Mainline'!B8))</f>
        <v>6979433.6948057711</v>
      </c>
      <c r="D8" s="138">
        <f>TREND($I$56:$J$56,$I$54:$J$54,B8)+IF(B8&gt;Assumptions!$D$28,TREND('Safety -  I-80 Mainline'!$I$61:$J$61,'Safety -  I-80 Mainline'!$I$59:$J$59,'Safety -  I-80 Mainline'!B8))</f>
        <v>2242394.5684726089</v>
      </c>
      <c r="E8" s="95">
        <f t="shared" si="0"/>
        <v>4737039.1263331622</v>
      </c>
      <c r="F8" s="87">
        <f>E8*(1+0.07)^-(B8-Assumptions!$D$4)</f>
        <v>2408070.4866859252</v>
      </c>
      <c r="G8" s="41"/>
      <c r="H8" s="263"/>
      <c r="I8" s="264"/>
      <c r="J8" s="265"/>
      <c r="K8" s="148"/>
      <c r="L8" s="242"/>
      <c r="M8" s="242"/>
      <c r="N8" s="238"/>
      <c r="O8" s="242"/>
    </row>
    <row r="9" spans="1:28" x14ac:dyDescent="0.25">
      <c r="B9" s="27">
        <f t="shared" si="1"/>
        <v>2031</v>
      </c>
      <c r="C9" s="138">
        <f>IF(B9&lt;=Assumptions!$D$9,IF(B9+1&lt;=Assumptions!$D$29,TREND($I$55:$J$55,$I$54:$J$54,B9),0),0)+IF(B9&gt;Assumptions!$D$28,TREND('Safety -  I-80 Mainline'!$I$60:$J$60,'Safety -  I-80 Mainline'!$I$59:$J$59,'Safety -  I-80 Mainline'!B9))</f>
        <v>7075490.4810844362</v>
      </c>
      <c r="D9" s="138">
        <f>TREND($I$56:$J$56,$I$54:$J$54,B9)+IF(B9&gt;Assumptions!$D$28,TREND('Safety -  I-80 Mainline'!$I$61:$J$61,'Safety -  I-80 Mainline'!$I$59:$J$59,'Safety -  I-80 Mainline'!B9))</f>
        <v>2273255.0745747015</v>
      </c>
      <c r="E9" s="95">
        <f t="shared" si="0"/>
        <v>4802235.4065097347</v>
      </c>
      <c r="F9" s="87">
        <f>E9*(1+0.07)^-(B9-Assumptions!$D$4)</f>
        <v>2281507.448190189</v>
      </c>
      <c r="G9" s="41"/>
      <c r="H9" s="243" t="s">
        <v>598</v>
      </c>
      <c r="I9" s="242"/>
      <c r="J9" s="242"/>
      <c r="K9" s="242"/>
      <c r="L9" s="242"/>
      <c r="M9" s="242"/>
      <c r="N9" s="238"/>
      <c r="O9" s="242"/>
    </row>
    <row r="10" spans="1:28" x14ac:dyDescent="0.25">
      <c r="B10" s="27">
        <f t="shared" si="1"/>
        <v>2032</v>
      </c>
      <c r="C10" s="138">
        <f>IF(B10&lt;=Assumptions!$D$9,IF(B10+1&lt;=Assumptions!$D$29,TREND($I$55:$J$55,$I$54:$J$54,B10),0),0)+IF(B10&gt;Assumptions!$D$28,TREND('Safety -  I-80 Mainline'!$I$60:$J$60,'Safety -  I-80 Mainline'!$I$59:$J$59,'Safety -  I-80 Mainline'!B10))</f>
        <v>7171547.2673630714</v>
      </c>
      <c r="D10" s="138">
        <f>TREND($I$56:$J$56,$I$54:$J$54,B10)+IF(B10&gt;Assumptions!$D$28,TREND('Safety -  I-80 Mainline'!$I$61:$J$61,'Safety -  I-80 Mainline'!$I$59:$J$59,'Safety -  I-80 Mainline'!B10))</f>
        <v>2304115.5806767941</v>
      </c>
      <c r="E10" s="95">
        <f t="shared" si="0"/>
        <v>4867431.6866862774</v>
      </c>
      <c r="F10" s="87">
        <f>E10*(1+0.07)^-(B10-Assumptions!$D$4)</f>
        <v>2161197.8796760109</v>
      </c>
      <c r="G10" s="41"/>
      <c r="H10" s="239" t="s">
        <v>72</v>
      </c>
      <c r="I10" s="240" t="s">
        <v>23</v>
      </c>
      <c r="J10" s="241" t="s">
        <v>24</v>
      </c>
      <c r="K10" s="241" t="s">
        <v>25</v>
      </c>
      <c r="L10" s="241" t="s">
        <v>26</v>
      </c>
      <c r="M10" s="241" t="s">
        <v>27</v>
      </c>
      <c r="N10" s="238"/>
      <c r="O10" s="242"/>
    </row>
    <row r="11" spans="1:28" x14ac:dyDescent="0.25">
      <c r="B11" s="27">
        <f t="shared" si="1"/>
        <v>2033</v>
      </c>
      <c r="C11" s="138">
        <f>IF(B11&lt;=Assumptions!$D$9,IF(B11+1&lt;=Assumptions!$D$29,TREND($I$55:$J$55,$I$54:$J$54,B11),0),0)+IF(B11&gt;Assumptions!$D$28,TREND('Safety -  I-80 Mainline'!$I$60:$J$60,'Safety -  I-80 Mainline'!$I$59:$J$59,'Safety -  I-80 Mainline'!B11))</f>
        <v>7267604.0536417365</v>
      </c>
      <c r="D11" s="138">
        <f>TREND($I$56:$J$56,$I$54:$J$54,B11)+IF(B11&gt;Assumptions!$D$28,TREND('Safety -  I-80 Mainline'!$I$61:$J$61,'Safety -  I-80 Mainline'!$I$59:$J$59,'Safety -  I-80 Mainline'!B11))</f>
        <v>2334976.0867788866</v>
      </c>
      <c r="E11" s="95">
        <f t="shared" si="0"/>
        <v>4932627.9668628499</v>
      </c>
      <c r="F11" s="87">
        <f>E11*(1+0.07)^-(B11-Assumptions!$D$4)</f>
        <v>2046865.2409088023</v>
      </c>
      <c r="G11" s="41"/>
      <c r="H11" s="239" t="s">
        <v>169</v>
      </c>
      <c r="I11" s="184">
        <v>0</v>
      </c>
      <c r="J11" s="184">
        <v>0</v>
      </c>
      <c r="K11" s="184">
        <v>0</v>
      </c>
      <c r="L11" s="184">
        <v>0</v>
      </c>
      <c r="M11" s="184">
        <v>5</v>
      </c>
      <c r="N11" s="238"/>
      <c r="O11" s="242"/>
    </row>
    <row r="12" spans="1:28" x14ac:dyDescent="0.25">
      <c r="B12" s="27">
        <f t="shared" si="1"/>
        <v>2034</v>
      </c>
      <c r="C12" s="138">
        <f>IF(B12&lt;=Assumptions!$D$9,IF(B12+1&lt;=Assumptions!$D$29,TREND($I$55:$J$55,$I$54:$J$54,B12),0),0)+IF(B12&gt;Assumptions!$D$28,TREND('Safety -  I-80 Mainline'!$I$60:$J$60,'Safety -  I-80 Mainline'!$I$59:$J$59,'Safety -  I-80 Mainline'!B12))</f>
        <v>7363660.8399204016</v>
      </c>
      <c r="D12" s="138">
        <f>TREND($I$56:$J$56,$I$54:$J$54,B12)+IF(B12&gt;Assumptions!$D$28,TREND('Safety -  I-80 Mainline'!$I$61:$J$61,'Safety -  I-80 Mainline'!$I$59:$J$59,'Safety -  I-80 Mainline'!B12))</f>
        <v>2365836.5928809717</v>
      </c>
      <c r="E12" s="95">
        <f t="shared" si="0"/>
        <v>4997824.2470394298</v>
      </c>
      <c r="F12" s="87">
        <f>E12*(1+0.07)^-(B12-Assumptions!$D$4)</f>
        <v>1938242.410576321</v>
      </c>
      <c r="G12" s="41"/>
      <c r="H12" s="239" t="s">
        <v>603</v>
      </c>
      <c r="I12" s="184">
        <v>1</v>
      </c>
      <c r="J12" s="184">
        <v>4</v>
      </c>
      <c r="K12" s="184">
        <v>11</v>
      </c>
      <c r="L12" s="184">
        <v>18</v>
      </c>
      <c r="M12" s="184">
        <v>61</v>
      </c>
      <c r="N12" s="242"/>
      <c r="O12" s="242"/>
    </row>
    <row r="13" spans="1:28" x14ac:dyDescent="0.25">
      <c r="B13" s="27">
        <f t="shared" si="1"/>
        <v>2035</v>
      </c>
      <c r="C13" s="138">
        <f>IF(B13&lt;=Assumptions!$D$9,IF(B13+1&lt;=Assumptions!$D$29,TREND($I$55:$J$55,$I$54:$J$54,B13),0),0)+IF(B13&gt;Assumptions!$D$28,TREND('Safety -  I-80 Mainline'!$I$60:$J$60,'Safety -  I-80 Mainline'!$I$59:$J$59,'Safety -  I-80 Mainline'!B13))</f>
        <v>7459717.6261990666</v>
      </c>
      <c r="D13" s="138">
        <f>TREND($I$56:$J$56,$I$54:$J$54,B13)+IF(B13&gt;Assumptions!$D$28,TREND('Safety -  I-80 Mainline'!$I$61:$J$61,'Safety -  I-80 Mainline'!$I$59:$J$59,'Safety -  I-80 Mainline'!B13))</f>
        <v>2396697.0989830643</v>
      </c>
      <c r="E13" s="95">
        <f t="shared" si="0"/>
        <v>5063020.5272160023</v>
      </c>
      <c r="F13" s="87">
        <f>E13*(1+0.07)^-(B13-Assumptions!$D$4)</f>
        <v>1835071.6374570015</v>
      </c>
      <c r="G13" s="41"/>
      <c r="H13" s="344" t="s">
        <v>606</v>
      </c>
      <c r="I13" s="184">
        <v>0</v>
      </c>
      <c r="J13" s="184">
        <v>0</v>
      </c>
      <c r="K13" s="184">
        <v>0</v>
      </c>
      <c r="L13" s="184">
        <v>0</v>
      </c>
      <c r="M13" s="184">
        <v>10</v>
      </c>
      <c r="N13" s="337"/>
      <c r="O13" s="242"/>
      <c r="P13" s="31"/>
    </row>
    <row r="14" spans="1:28" x14ac:dyDescent="0.25">
      <c r="B14" s="27">
        <f t="shared" si="1"/>
        <v>2036</v>
      </c>
      <c r="C14" s="138">
        <f>IF(B14&lt;=Assumptions!$D$9,IF(B14+1&lt;=Assumptions!$D$29,TREND($I$55:$J$55,$I$54:$J$54,B14),0),0)+IF(B14&gt;Assumptions!$D$28,TREND('Safety -  I-80 Mainline'!$I$60:$J$60,'Safety -  I-80 Mainline'!$I$59:$J$59,'Safety -  I-80 Mainline'!B14))</f>
        <v>7555774.4124777019</v>
      </c>
      <c r="D14" s="138">
        <f>TREND($I$56:$J$56,$I$54:$J$54,B14)+IF(B14&gt;Assumptions!$D$28,TREND('Safety -  I-80 Mainline'!$I$61:$J$61,'Safety -  I-80 Mainline'!$I$59:$J$59,'Safety -  I-80 Mainline'!B14))</f>
        <v>2427557.6050851569</v>
      </c>
      <c r="E14" s="95">
        <f t="shared" si="0"/>
        <v>5128216.807392545</v>
      </c>
      <c r="F14" s="87">
        <f>E14*(1+0.07)^-(B14-Assumptions!$D$4)</f>
        <v>1737104.4576658669</v>
      </c>
      <c r="G14" s="41"/>
      <c r="H14" s="346" t="s">
        <v>611</v>
      </c>
      <c r="I14" s="242"/>
      <c r="J14" s="242"/>
      <c r="K14" s="242"/>
      <c r="L14" s="242"/>
      <c r="M14" s="242"/>
      <c r="N14" s="242"/>
      <c r="O14" s="147"/>
      <c r="P14" s="146"/>
    </row>
    <row r="15" spans="1:28" x14ac:dyDescent="0.25">
      <c r="B15" s="27">
        <f t="shared" si="1"/>
        <v>2037</v>
      </c>
      <c r="C15" s="138">
        <f>IF(B15&lt;=Assumptions!$D$9,IF(B15+1&lt;=Assumptions!$D$29,TREND($I$55:$J$55,$I$54:$J$54,B15),0),0)+IF(B15&gt;Assumptions!$D$28,TREND('Safety -  I-80 Mainline'!$I$60:$J$60,'Safety -  I-80 Mainline'!$I$59:$J$59,'Safety -  I-80 Mainline'!B15))</f>
        <v>7651831.198756367</v>
      </c>
      <c r="D15" s="138">
        <f>TREND($I$56:$J$56,$I$54:$J$54,B15)+IF(B15&gt;Assumptions!$D$28,TREND('Safety -  I-80 Mainline'!$I$61:$J$61,'Safety -  I-80 Mainline'!$I$59:$J$59,'Safety -  I-80 Mainline'!B15))</f>
        <v>2458418.1111872494</v>
      </c>
      <c r="E15" s="95">
        <f t="shared" si="0"/>
        <v>5193413.0875691175</v>
      </c>
      <c r="F15" s="87">
        <f>E15*(1+0.07)^-(B15-Assumptions!$D$4)</f>
        <v>1644101.5826255258</v>
      </c>
      <c r="G15" s="41"/>
      <c r="N15" s="242"/>
      <c r="O15" s="242"/>
      <c r="P15" s="146"/>
    </row>
    <row r="16" spans="1:28" x14ac:dyDescent="0.25">
      <c r="B16" s="27">
        <f t="shared" si="1"/>
        <v>2038</v>
      </c>
      <c r="C16" s="138">
        <f>IF(B16&lt;=Assumptions!$D$9,IF(B16+1&lt;=Assumptions!$D$29,TREND($I$55:$J$55,$I$54:$J$54,B16),0),0)+IF(B16&gt;Assumptions!$D$28,TREND('Safety -  I-80 Mainline'!$I$60:$J$60,'Safety -  I-80 Mainline'!$I$59:$J$59,'Safety -  I-80 Mainline'!B16))</f>
        <v>7747887.985035032</v>
      </c>
      <c r="D16" s="138">
        <f>TREND($I$56:$J$56,$I$54:$J$54,B16)+IF(B16&gt;Assumptions!$D$28,TREND('Safety -  I-80 Mainline'!$I$61:$J$61,'Safety -  I-80 Mainline'!$I$59:$J$59,'Safety -  I-80 Mainline'!B16))</f>
        <v>2489278.617289342</v>
      </c>
      <c r="E16" s="95">
        <f t="shared" si="0"/>
        <v>5258609.36774569</v>
      </c>
      <c r="F16" s="87">
        <f>E16*(1+0.07)^-(B16-Assumptions!$D$4)</f>
        <v>1555832.7619466835</v>
      </c>
      <c r="G16" s="41"/>
      <c r="H16" s="243" t="s">
        <v>638</v>
      </c>
      <c r="I16" s="242"/>
      <c r="J16" s="242"/>
      <c r="K16" s="242"/>
      <c r="L16" s="242"/>
      <c r="M16" s="242"/>
      <c r="N16" s="242"/>
      <c r="O16" s="242"/>
      <c r="P16" s="146"/>
      <c r="AB16" s="26"/>
    </row>
    <row r="17" spans="1:36" x14ac:dyDescent="0.25">
      <c r="B17" s="27">
        <f t="shared" si="1"/>
        <v>2039</v>
      </c>
      <c r="C17" s="138">
        <f>IF(B17&lt;=Assumptions!$D$9,IF(B17+1&lt;=Assumptions!$D$29,TREND($I$55:$J$55,$I$54:$J$54,B17),0),0)+IF(B17&gt;Assumptions!$D$28,TREND('Safety -  I-80 Mainline'!$I$60:$J$60,'Safety -  I-80 Mainline'!$I$59:$J$59,'Safety -  I-80 Mainline'!B17))</f>
        <v>7843944.7713136673</v>
      </c>
      <c r="D17" s="138">
        <f>TREND($I$56:$J$56,$I$54:$J$54,B17)+IF(B17&gt;Assumptions!$D$28,TREND('Safety -  I-80 Mainline'!$I$61:$J$61,'Safety -  I-80 Mainline'!$I$59:$J$59,'Safety -  I-80 Mainline'!B17))</f>
        <v>2520139.1233914346</v>
      </c>
      <c r="E17" s="95">
        <f t="shared" si="0"/>
        <v>5323805.6479222327</v>
      </c>
      <c r="F17" s="87">
        <f>E17*(1+0.07)^-(B17-Assumptions!$D$4)</f>
        <v>1472076.6249806688</v>
      </c>
      <c r="G17" s="41"/>
      <c r="H17" s="244" t="s">
        <v>72</v>
      </c>
      <c r="I17" s="240" t="s">
        <v>78</v>
      </c>
      <c r="J17" s="162" t="s">
        <v>241</v>
      </c>
      <c r="K17" s="240" t="s">
        <v>242</v>
      </c>
      <c r="L17" s="162" t="s">
        <v>177</v>
      </c>
      <c r="M17" s="240" t="s">
        <v>178</v>
      </c>
      <c r="N17" s="242"/>
      <c r="O17" s="242"/>
      <c r="P17" s="146"/>
      <c r="AB17" s="30"/>
    </row>
    <row r="18" spans="1:36" x14ac:dyDescent="0.25">
      <c r="B18" s="27">
        <f t="shared" si="1"/>
        <v>2040</v>
      </c>
      <c r="C18" s="138">
        <f>IF(B18&lt;=Assumptions!$D$9,IF(B18+1&lt;=Assumptions!$D$29,TREND($I$55:$J$55,$I$54:$J$54,B18),0),0)+IF(B18&gt;Assumptions!$D$28,TREND('Safety -  I-80 Mainline'!$I$60:$J$60,'Safety -  I-80 Mainline'!$I$59:$J$59,'Safety -  I-80 Mainline'!B18))</f>
        <v>7940001.5575923324</v>
      </c>
      <c r="D18" s="138">
        <f>TREND($I$56:$J$56,$I$54:$J$54,B18)+IF(B18&gt;Assumptions!$D$28,TREND('Safety -  I-80 Mainline'!$I$61:$J$61,'Safety -  I-80 Mainline'!$I$59:$J$59,'Safety -  I-80 Mainline'!B18))</f>
        <v>2550999.6294935271</v>
      </c>
      <c r="E18" s="95">
        <f t="shared" si="0"/>
        <v>5389001.9280988052</v>
      </c>
      <c r="F18" s="87">
        <f>E18*(1+0.07)^-(B18-Assumptions!$D$4)</f>
        <v>1392620.5044213091</v>
      </c>
      <c r="G18" s="41"/>
      <c r="H18" s="344" t="s">
        <v>169</v>
      </c>
      <c r="I18" s="313">
        <v>0.6</v>
      </c>
      <c r="J18" s="162">
        <f>I49</f>
        <v>32321</v>
      </c>
      <c r="K18" s="162">
        <f>365*3*I18*J18</f>
        <v>21234897</v>
      </c>
      <c r="L18" s="162">
        <f>K49*I18*365</f>
        <v>7731575.9999999991</v>
      </c>
      <c r="M18" s="162">
        <f>L49*I18*365</f>
        <v>10086483</v>
      </c>
      <c r="N18" s="242"/>
      <c r="O18" s="242"/>
      <c r="P18" s="147"/>
    </row>
    <row r="19" spans="1:36" x14ac:dyDescent="0.25">
      <c r="B19" s="27">
        <f t="shared" si="1"/>
        <v>2041</v>
      </c>
      <c r="C19" s="138">
        <f>IF(B19&lt;=Assumptions!$D$9,IF(B19+1&lt;=Assumptions!$D$29,TREND($I$55:$J$55,$I$54:$J$54,B19),0),0)+IF(B19&gt;Assumptions!$D$28,TREND('Safety -  I-80 Mainline'!$I$60:$J$60,'Safety -  I-80 Mainline'!$I$59:$J$59,'Safety -  I-80 Mainline'!B19))</f>
        <v>8036058.3438709974</v>
      </c>
      <c r="D19" s="138">
        <f>TREND($I$56:$J$56,$I$54:$J$54,B19)+IF(B19&gt;Assumptions!$D$28,TREND('Safety -  I-80 Mainline'!$I$61:$J$61,'Safety -  I-80 Mainline'!$I$59:$J$59,'Safety -  I-80 Mainline'!B19))</f>
        <v>2581860.1355956197</v>
      </c>
      <c r="E19" s="95">
        <f t="shared" si="0"/>
        <v>5454198.2082753778</v>
      </c>
      <c r="F19" s="87">
        <f>E19*(1+0.07)^-(B19-Assumptions!$D$4)</f>
        <v>1317260.2449829089</v>
      </c>
      <c r="G19" s="41"/>
      <c r="H19" s="344" t="s">
        <v>603</v>
      </c>
      <c r="I19" s="313">
        <v>7.01</v>
      </c>
      <c r="J19" s="162">
        <f>I50</f>
        <v>37380</v>
      </c>
      <c r="K19" s="162">
        <f>365*3*I19*J19</f>
        <v>286927011</v>
      </c>
      <c r="L19" s="162">
        <f>K50*I19*365</f>
        <v>96780936.25</v>
      </c>
      <c r="M19" s="162">
        <f>L50*I19*365</f>
        <v>126717141.25</v>
      </c>
      <c r="N19" s="242"/>
      <c r="O19" s="242"/>
      <c r="P19" s="33"/>
    </row>
    <row r="20" spans="1:36" x14ac:dyDescent="0.25">
      <c r="B20" s="27">
        <f t="shared" si="1"/>
        <v>2042</v>
      </c>
      <c r="C20" s="138">
        <f>IF(B20&lt;=Assumptions!$D$9,IF(B20+1&lt;=Assumptions!$D$29,TREND($I$55:$J$55,$I$54:$J$54,B20),0),0)+IF(B20&gt;Assumptions!$D$28,TREND('Safety -  I-80 Mainline'!$I$60:$J$60,'Safety -  I-80 Mainline'!$I$59:$J$59,'Safety -  I-80 Mainline'!B20))</f>
        <v>8132115.1301496625</v>
      </c>
      <c r="D20" s="138">
        <f>TREND($I$56:$J$56,$I$54:$J$54,B20)+IF(B20&gt;Assumptions!$D$28,TREND('Safety -  I-80 Mainline'!$I$61:$J$61,'Safety -  I-80 Mainline'!$I$59:$J$59,'Safety -  I-80 Mainline'!B20))</f>
        <v>2612720.6416977122</v>
      </c>
      <c r="E20" s="95">
        <f t="shared" si="0"/>
        <v>5519394.4884519503</v>
      </c>
      <c r="F20" s="87">
        <f>E20*(1+0.07)^-(B20-Assumptions!$D$4)</f>
        <v>1245799.9998620979</v>
      </c>
      <c r="G20" s="41"/>
      <c r="H20" s="356" t="s">
        <v>606</v>
      </c>
      <c r="I20" s="355">
        <v>0.85</v>
      </c>
      <c r="J20" s="354">
        <f>I50</f>
        <v>37380</v>
      </c>
      <c r="K20" s="354">
        <f>365*3*I20*J20</f>
        <v>34791435</v>
      </c>
      <c r="L20" s="354">
        <f>K51*I20*365</f>
        <v>11735206.25</v>
      </c>
      <c r="M20" s="354">
        <f>L51*I20*365</f>
        <v>15365131.25</v>
      </c>
      <c r="N20" s="346"/>
      <c r="O20" s="242"/>
    </row>
    <row r="21" spans="1:36" x14ac:dyDescent="0.25">
      <c r="B21" s="27">
        <f t="shared" si="1"/>
        <v>2043</v>
      </c>
      <c r="C21" s="138">
        <f>IF(B21&lt;=Assumptions!$D$9,IF(B21+1&lt;=Assumptions!$D$29,TREND($I$55:$J$55,$I$54:$J$54,B21),0),0)+IF(B21&gt;Assumptions!$D$28,TREND('Safety -  I-80 Mainline'!$I$60:$J$60,'Safety -  I-80 Mainline'!$I$59:$J$59,'Safety -  I-80 Mainline'!B21))</f>
        <v>8228171.9164282978</v>
      </c>
      <c r="D21" s="138">
        <f>TREND($I$56:$J$56,$I$54:$J$54,B21)+IF(B21&gt;Assumptions!$D$28,TREND('Safety -  I-80 Mainline'!$I$61:$J$61,'Safety -  I-80 Mainline'!$I$59:$J$59,'Safety -  I-80 Mainline'!B21))</f>
        <v>2643581.1477998048</v>
      </c>
      <c r="E21" s="95">
        <f t="shared" si="0"/>
        <v>5584590.768628493</v>
      </c>
      <c r="F21" s="87">
        <f>E21*(1+0.07)^-(B21-Assumptions!$D$4)</f>
        <v>1178052.0174006231</v>
      </c>
      <c r="G21" s="41"/>
      <c r="J21" s="346"/>
      <c r="N21" s="346"/>
      <c r="O21" s="242"/>
    </row>
    <row r="22" spans="1:36" x14ac:dyDescent="0.25">
      <c r="B22" s="27">
        <f t="shared" si="1"/>
        <v>2044</v>
      </c>
      <c r="C22" s="138">
        <f>IF(B22&lt;=Assumptions!$D$9,IF(B22+1&lt;=Assumptions!$D$29,TREND($I$55:$J$55,$I$54:$J$54,B22),0),0)+IF(B22&gt;Assumptions!$D$28,TREND('Safety -  I-80 Mainline'!$I$60:$J$60,'Safety -  I-80 Mainline'!$I$59:$J$59,'Safety -  I-80 Mainline'!B22))</f>
        <v>8324228.7027069628</v>
      </c>
      <c r="D22" s="138">
        <f>TREND($I$56:$J$56,$I$54:$J$54,B22)+IF(B22&gt;Assumptions!$D$28,TREND('Safety -  I-80 Mainline'!$I$61:$J$61,'Safety -  I-80 Mainline'!$I$59:$J$59,'Safety -  I-80 Mainline'!B22))</f>
        <v>2674441.6539018899</v>
      </c>
      <c r="E22" s="95">
        <f t="shared" si="0"/>
        <v>5649787.0488050729</v>
      </c>
      <c r="F22" s="87">
        <f>E22*(1+0.07)^-(B22-Assumptions!$D$4)</f>
        <v>1113836.4201024056</v>
      </c>
      <c r="G22" s="41"/>
      <c r="H22" s="245" t="s">
        <v>599</v>
      </c>
      <c r="I22" s="346"/>
      <c r="J22" s="346"/>
      <c r="K22" s="346"/>
      <c r="L22" s="346"/>
      <c r="M22" s="346"/>
      <c r="N22" s="346"/>
      <c r="O22" s="242"/>
      <c r="P22" s="31"/>
    </row>
    <row r="23" spans="1:36" x14ac:dyDescent="0.25">
      <c r="B23" s="27">
        <f t="shared" si="1"/>
        <v>2045</v>
      </c>
      <c r="C23" s="138">
        <f>IF(B23&lt;=Assumptions!$D$9,IF(B23+1&lt;=Assumptions!$D$29,TREND($I$55:$J$55,$I$54:$J$54,B23),0),0)+IF(B23&gt;Assumptions!$D$28,TREND('Safety -  I-80 Mainline'!$I$60:$J$60,'Safety -  I-80 Mainline'!$I$59:$J$59,'Safety -  I-80 Mainline'!B23))</f>
        <v>8420285.4889856279</v>
      </c>
      <c r="D23" s="138">
        <f>TREND($I$56:$J$56,$I$54:$J$54,B23)+IF(B23&gt;Assumptions!$D$28,TREND('Safety -  I-80 Mainline'!$I$61:$J$61,'Safety -  I-80 Mainline'!$I$59:$J$59,'Safety -  I-80 Mainline'!B23))</f>
        <v>2705302.1600039825</v>
      </c>
      <c r="E23" s="95">
        <f t="shared" si="0"/>
        <v>5714983.3289816454</v>
      </c>
      <c r="F23" s="87">
        <f>E23*(1+0.07)^-(B23-Assumptions!$D$4)</f>
        <v>1052980.9779181788</v>
      </c>
      <c r="G23" s="41"/>
      <c r="H23" s="344" t="s">
        <v>72</v>
      </c>
      <c r="I23" s="345" t="s">
        <v>23</v>
      </c>
      <c r="J23" s="241" t="s">
        <v>24</v>
      </c>
      <c r="K23" s="241" t="s">
        <v>25</v>
      </c>
      <c r="L23" s="354" t="s">
        <v>26</v>
      </c>
      <c r="M23" s="241" t="s">
        <v>27</v>
      </c>
      <c r="N23" s="268" t="s">
        <v>4</v>
      </c>
      <c r="O23" s="242"/>
      <c r="P23" s="31"/>
    </row>
    <row r="24" spans="1:36" x14ac:dyDescent="0.25">
      <c r="B24" s="27">
        <f t="shared" si="1"/>
        <v>2046</v>
      </c>
      <c r="C24" s="138">
        <f>IF(B24&lt;=Assumptions!$D$9,IF(B24+1&lt;=Assumptions!$D$29,TREND($I$55:$J$55,$I$54:$J$54,B24),0),0)+IF(B24&gt;Assumptions!$D$28,TREND('Safety -  I-80 Mainline'!$I$60:$J$60,'Safety -  I-80 Mainline'!$I$59:$J$59,'Safety -  I-80 Mainline'!B24))</f>
        <v>19058.383094582474</v>
      </c>
      <c r="D24" s="138">
        <f>TREND($I$56:$J$56,$I$54:$J$54,B24)+IF(B24&gt;Assumptions!$D$28,TREND('Safety -  I-80 Mainline'!$I$61:$J$61,'Safety -  I-80 Mainline'!$I$59:$J$59,'Safety -  I-80 Mainline'!B24))</f>
        <v>2757437.7686564587</v>
      </c>
      <c r="E24" s="95">
        <f t="shared" si="0"/>
        <v>-2738379.385561876</v>
      </c>
      <c r="F24" s="87">
        <f>E24*(1+0.07)^-(B24-Assumptions!$D$4)</f>
        <v>-471536.58834918833</v>
      </c>
      <c r="G24" s="41"/>
      <c r="H24" s="344" t="s">
        <v>169</v>
      </c>
      <c r="I24" s="345">
        <f t="shared" ref="I24:M26" si="2">I11/$K18</f>
        <v>0</v>
      </c>
      <c r="J24" s="345">
        <f t="shared" si="2"/>
        <v>0</v>
      </c>
      <c r="K24" s="345">
        <f t="shared" si="2"/>
        <v>0</v>
      </c>
      <c r="L24" s="345">
        <f t="shared" si="2"/>
        <v>0</v>
      </c>
      <c r="M24" s="345">
        <f t="shared" si="2"/>
        <v>2.354614670370193E-7</v>
      </c>
      <c r="N24" s="267">
        <f>SUMPRODUCT($I$7:$M$7,I24:M24)</f>
        <v>1.0831227483702889E-3</v>
      </c>
      <c r="O24" s="263"/>
    </row>
    <row r="25" spans="1:36" x14ac:dyDescent="0.25">
      <c r="B25" s="27">
        <f t="shared" si="1"/>
        <v>2047</v>
      </c>
      <c r="C25" s="138">
        <f>IF(B25&lt;=Assumptions!$D$9,IF(B25+1&lt;=Assumptions!$D$29,TREND($I$55:$J$55,$I$54:$J$54,B25),0),0)+IF(B25&gt;Assumptions!$D$28,TREND('Safety -  I-80 Mainline'!$I$60:$J$60,'Safety -  I-80 Mainline'!$I$59:$J$59,'Safety -  I-80 Mainline'!B25))</f>
        <v>19270.937539748847</v>
      </c>
      <c r="D25" s="138">
        <f>TREND($I$56:$J$56,$I$54:$J$54,B25)+IF(B25&gt;Assumptions!$D$28,TREND('Safety -  I-80 Mainline'!$I$61:$J$61,'Safety -  I-80 Mainline'!$I$59:$J$59,'Safety -  I-80 Mainline'!B25))</f>
        <v>2788538.2426558221</v>
      </c>
      <c r="E25" s="95">
        <f t="shared" si="0"/>
        <v>-2769267.3051160732</v>
      </c>
      <c r="F25" s="87">
        <f>E25*(1+0.07)^-(B25-Assumptions!$D$4)</f>
        <v>-445659.20456534659</v>
      </c>
      <c r="G25" s="41"/>
      <c r="H25" s="344" t="s">
        <v>603</v>
      </c>
      <c r="I25" s="345">
        <f t="shared" si="2"/>
        <v>3.4852069051107913E-9</v>
      </c>
      <c r="J25" s="345">
        <f t="shared" si="2"/>
        <v>1.3940827620443165E-8</v>
      </c>
      <c r="K25" s="345">
        <f t="shared" si="2"/>
        <v>3.8337275956218703E-8</v>
      </c>
      <c r="L25" s="345">
        <f t="shared" si="2"/>
        <v>6.2733724291994243E-8</v>
      </c>
      <c r="M25" s="345">
        <f t="shared" si="2"/>
        <v>2.1259762121175827E-7</v>
      </c>
      <c r="N25" s="267">
        <f>SUMPRODUCT($I$7:$M$7,I25:M25)</f>
        <v>6.4089121257391843E-2</v>
      </c>
      <c r="O25" s="202"/>
    </row>
    <row r="26" spans="1:36" x14ac:dyDescent="0.25">
      <c r="A26" s="242"/>
      <c r="B26" s="27">
        <f t="shared" si="1"/>
        <v>2048</v>
      </c>
      <c r="C26" s="138">
        <f>IF(B26&lt;=Assumptions!$D$9,IF(B26+1&lt;=Assumptions!$D$29,TREND($I$55:$J$55,$I$54:$J$54,B26),0),0)+IF(B26&gt;Assumptions!$D$28,TREND('Safety -  I-80 Mainline'!$I$60:$J$60,'Safety -  I-80 Mainline'!$I$59:$J$59,'Safety -  I-80 Mainline'!B26))</f>
        <v>19483.491984915221</v>
      </c>
      <c r="D26" s="138">
        <f>TREND($I$56:$J$56,$I$54:$J$54,B26)+IF(B26&gt;Assumptions!$D$28,TREND('Safety -  I-80 Mainline'!$I$61:$J$61,'Safety -  I-80 Mainline'!$I$59:$J$59,'Safety -  I-80 Mainline'!B26))</f>
        <v>2819638.7166551864</v>
      </c>
      <c r="E26" s="95">
        <f t="shared" si="0"/>
        <v>-2800155.2246702714</v>
      </c>
      <c r="F26" s="87">
        <f>E26*(1+0.07)^-(B26-Assumptions!$D$4)</f>
        <v>-421149.5409386442</v>
      </c>
      <c r="G26" s="41"/>
      <c r="H26" s="356" t="s">
        <v>606</v>
      </c>
      <c r="I26" s="353">
        <f t="shared" si="2"/>
        <v>0</v>
      </c>
      <c r="J26" s="353">
        <f t="shared" si="2"/>
        <v>0</v>
      </c>
      <c r="K26" s="353">
        <f t="shared" si="2"/>
        <v>0</v>
      </c>
      <c r="L26" s="353">
        <f t="shared" si="2"/>
        <v>0</v>
      </c>
      <c r="M26" s="353">
        <f t="shared" si="2"/>
        <v>2.8742706358619584E-7</v>
      </c>
      <c r="N26" s="358">
        <f>SUMPRODUCT($I$7:$M$7,I26:M26)</f>
        <v>1.3221644924965009E-3</v>
      </c>
      <c r="O26" s="202"/>
    </row>
    <row r="27" spans="1:36" x14ac:dyDescent="0.25">
      <c r="A27" s="242"/>
      <c r="B27" s="27">
        <f t="shared" si="1"/>
        <v>2049</v>
      </c>
      <c r="C27" s="138">
        <f>IF(B27&lt;=Assumptions!$D$9,IF(B27+1&lt;=Assumptions!$D$29,TREND($I$55:$J$55,$I$54:$J$54,B27),0),0)+IF(B27&gt;Assumptions!$D$28,TREND('Safety -  I-80 Mainline'!$I$60:$J$60,'Safety -  I-80 Mainline'!$I$59:$J$59,'Safety -  I-80 Mainline'!B27))</f>
        <v>19696.046430081595</v>
      </c>
      <c r="D27" s="138">
        <f>TREND($I$56:$J$56,$I$54:$J$54,B27)+IF(B27&gt;Assumptions!$D$28,TREND('Safety -  I-80 Mainline'!$I$61:$J$61,'Safety -  I-80 Mainline'!$I$59:$J$59,'Safety -  I-80 Mainline'!B27))</f>
        <v>2850739.1906545497</v>
      </c>
      <c r="E27" s="95">
        <f t="shared" si="0"/>
        <v>-2831043.1442244682</v>
      </c>
      <c r="F27" s="87">
        <f>E27*(1+0.07)^-(B27-Assumptions!$D$4)</f>
        <v>-397939.39474482636</v>
      </c>
      <c r="G27" s="41"/>
      <c r="O27" s="202"/>
      <c r="P27" s="61"/>
    </row>
    <row r="28" spans="1:36" x14ac:dyDescent="0.25">
      <c r="A28" s="10"/>
      <c r="B28" s="27">
        <f t="shared" si="1"/>
        <v>2050</v>
      </c>
      <c r="C28" s="138">
        <f>IF(B28&lt;=Assumptions!$D$9,IF(B28+1&lt;=Assumptions!$D$29,TREND($I$55:$J$55,$I$54:$J$54,B28),0),0)+IF(B28&gt;Assumptions!$D$28,TREND('Safety -  I-80 Mainline'!$I$60:$J$60,'Safety -  I-80 Mainline'!$I$59:$J$59,'Safety -  I-80 Mainline'!B28))</f>
        <v>19908.600875247968</v>
      </c>
      <c r="D28" s="138">
        <f>TREND($I$56:$J$56,$I$54:$J$54,B28)+IF(B28&gt;Assumptions!$D$28,TREND('Safety -  I-80 Mainline'!$I$61:$J$61,'Safety -  I-80 Mainline'!$I$59:$J$59,'Safety -  I-80 Mainline'!B28))</f>
        <v>2881839.664653914</v>
      </c>
      <c r="E28" s="95">
        <f t="shared" si="0"/>
        <v>-2861931.0637786658</v>
      </c>
      <c r="F28" s="87">
        <f>E28*(1+0.07)^-(B28-Assumptions!$D$4)</f>
        <v>-375963.63334377186</v>
      </c>
      <c r="G28" s="41"/>
      <c r="H28" s="9" t="s">
        <v>79</v>
      </c>
      <c r="I28" s="346"/>
      <c r="J28" s="346"/>
      <c r="K28" s="346"/>
      <c r="L28" s="346"/>
      <c r="M28" s="346"/>
      <c r="N28" s="346"/>
      <c r="O28" s="202"/>
      <c r="P28" s="50"/>
    </row>
    <row r="29" spans="1:36" ht="15" customHeight="1" x14ac:dyDescent="0.25">
      <c r="A29" s="242"/>
      <c r="B29" s="27">
        <f t="shared" si="1"/>
        <v>2051</v>
      </c>
      <c r="C29" s="138">
        <f>IF(B29&lt;=Assumptions!$D$9,IF(B29+1&lt;=Assumptions!$D$29,TREND($I$55:$J$55,$I$54:$J$54,B29),0),0)+IF(B29&gt;Assumptions!$D$28,TREND('Safety -  I-80 Mainline'!$I$60:$J$60,'Safety -  I-80 Mainline'!$I$59:$J$59,'Safety -  I-80 Mainline'!B29))</f>
        <v>20121.155320414342</v>
      </c>
      <c r="D29" s="138">
        <f>TREND($I$56:$J$56,$I$54:$J$54,B29)+IF(B29&gt;Assumptions!$D$28,TREND('Safety -  I-80 Mainline'!$I$61:$J$61,'Safety -  I-80 Mainline'!$I$59:$J$59,'Safety -  I-80 Mainline'!B29))</f>
        <v>2912940.1386532774</v>
      </c>
      <c r="E29" s="95">
        <f t="shared" si="0"/>
        <v>-2892818.9833328631</v>
      </c>
      <c r="F29" s="87">
        <f>E29*(1+0.07)^-(B29-Assumptions!$D$4)</f>
        <v>-355160.08438365377</v>
      </c>
      <c r="G29" s="41"/>
      <c r="H29" s="347" t="s">
        <v>170</v>
      </c>
      <c r="I29" s="345" t="s">
        <v>23</v>
      </c>
      <c r="J29" s="241" t="s">
        <v>24</v>
      </c>
      <c r="K29" s="241" t="s">
        <v>25</v>
      </c>
      <c r="L29" s="241" t="s">
        <v>26</v>
      </c>
      <c r="M29" s="241" t="s">
        <v>27</v>
      </c>
      <c r="N29" s="268" t="s">
        <v>205</v>
      </c>
      <c r="O29" s="242"/>
      <c r="P29" s="63"/>
    </row>
    <row r="30" spans="1:36" ht="15.75" customHeight="1" x14ac:dyDescent="0.25">
      <c r="A30" s="25"/>
      <c r="B30" s="27">
        <f t="shared" si="1"/>
        <v>2052</v>
      </c>
      <c r="C30" s="138">
        <f>IF(B30&lt;=Assumptions!$D$9,IF(B30+1&lt;=Assumptions!$D$29,TREND($I$55:$J$55,$I$54:$J$54,B30),0),0)+IF(B30&gt;Assumptions!$D$28,TREND('Safety -  I-80 Mainline'!$I$60:$J$60,'Safety -  I-80 Mainline'!$I$59:$J$59,'Safety -  I-80 Mainline'!B30))</f>
        <v>20333.709765580716</v>
      </c>
      <c r="D30" s="138">
        <f>TREND($I$56:$J$56,$I$54:$J$54,B30)+IF(B30&gt;Assumptions!$D$28,TREND('Safety -  I-80 Mainline'!$I$61:$J$61,'Safety -  I-80 Mainline'!$I$59:$J$59,'Safety -  I-80 Mainline'!B30))</f>
        <v>2944040.6126526417</v>
      </c>
      <c r="E30" s="95">
        <f t="shared" si="0"/>
        <v>-2923706.9028870612</v>
      </c>
      <c r="F30" s="87">
        <f>E30*(1+0.07)^-(B30-Assumptions!$D$4)</f>
        <v>-335469.42723141535</v>
      </c>
      <c r="G30" s="41"/>
      <c r="H30" s="344" t="s">
        <v>171</v>
      </c>
      <c r="I30" s="345">
        <v>0.56999999999999995</v>
      </c>
      <c r="J30" s="345">
        <v>1</v>
      </c>
      <c r="K30" s="345">
        <v>1</v>
      </c>
      <c r="L30" s="345">
        <v>1</v>
      </c>
      <c r="M30" s="345">
        <v>1</v>
      </c>
      <c r="N30" s="309" t="s">
        <v>172</v>
      </c>
      <c r="O30" s="242"/>
      <c r="P30" s="63"/>
      <c r="AG30" s="64"/>
      <c r="AH30" s="64"/>
      <c r="AI30" s="64"/>
      <c r="AJ30" s="64"/>
    </row>
    <row r="31" spans="1:36" ht="15" customHeight="1" x14ac:dyDescent="0.25">
      <c r="A31" s="25"/>
      <c r="B31" s="27">
        <f t="shared" si="1"/>
        <v>2053</v>
      </c>
      <c r="C31" s="138">
        <f>IF(B31&lt;=Assumptions!$D$9,IF(B31+1&lt;=Assumptions!$D$29,TREND($I$55:$J$55,$I$54:$J$54,B31),0),0)+IF(B31&gt;Assumptions!$D$28,TREND('Safety -  I-80 Mainline'!$I$60:$J$60,'Safety -  I-80 Mainline'!$I$59:$J$59,'Safety -  I-80 Mainline'!B31))</f>
        <v>20546.264210747089</v>
      </c>
      <c r="D31" s="138">
        <f>TREND($I$56:$J$56,$I$54:$J$54,B31)+IF(B31&gt;Assumptions!$D$28,TREND('Safety -  I-80 Mainline'!$I$61:$J$61,'Safety -  I-80 Mainline'!$I$59:$J$59,'Safety -  I-80 Mainline'!B31))</f>
        <v>2975141.0866519976</v>
      </c>
      <c r="E31" s="95">
        <f t="shared" si="0"/>
        <v>-2954594.8224412506</v>
      </c>
      <c r="F31" s="87">
        <f>E31*(1+0.07)^-(B31-Assumptions!$D$4)</f>
        <v>-316835.0859390113</v>
      </c>
      <c r="G31" s="41"/>
      <c r="H31" s="344" t="s">
        <v>173</v>
      </c>
      <c r="I31" s="345">
        <v>1</v>
      </c>
      <c r="J31" s="345">
        <v>0.7</v>
      </c>
      <c r="K31" s="345">
        <v>0.7</v>
      </c>
      <c r="L31" s="345">
        <v>0.7</v>
      </c>
      <c r="M31" s="345">
        <v>1</v>
      </c>
      <c r="N31" s="309" t="s">
        <v>174</v>
      </c>
      <c r="O31" s="242"/>
      <c r="P31" s="63"/>
    </row>
    <row r="32" spans="1:36" ht="15" customHeight="1" x14ac:dyDescent="0.25">
      <c r="A32" s="25"/>
      <c r="B32" s="27">
        <f t="shared" si="1"/>
        <v>2054</v>
      </c>
      <c r="C32" s="138">
        <f>IF(B32&lt;=Assumptions!$D$9,IF(B32+1&lt;=Assumptions!$D$29,TREND($I$55:$J$55,$I$54:$J$54,B32),0),0)+IF(B32&gt;Assumptions!$D$28,TREND('Safety -  I-80 Mainline'!$I$60:$J$60,'Safety -  I-80 Mainline'!$I$59:$J$59,'Safety -  I-80 Mainline'!B32))</f>
        <v>20758.818655913463</v>
      </c>
      <c r="D32" s="138">
        <f>TREND($I$56:$J$56,$I$54:$J$54,B32)+IF(B32&gt;Assumptions!$D$28,TREND('Safety -  I-80 Mainline'!$I$61:$J$61,'Safety -  I-80 Mainline'!$I$59:$J$59,'Safety -  I-80 Mainline'!B32))</f>
        <v>3006241.5606513619</v>
      </c>
      <c r="E32" s="95">
        <f t="shared" si="0"/>
        <v>-2985482.7419954482</v>
      </c>
      <c r="F32" s="87">
        <f>E32*(1+0.07)^-(B32-Assumptions!$D$4)</f>
        <v>-299203.12400914467</v>
      </c>
      <c r="G32" s="41"/>
      <c r="H32" s="344" t="s">
        <v>613</v>
      </c>
      <c r="I32" s="345">
        <v>0.70199999999999996</v>
      </c>
      <c r="J32" s="345">
        <v>0.70199999999999996</v>
      </c>
      <c r="K32" s="345">
        <v>0.70199999999999996</v>
      </c>
      <c r="L32" s="345">
        <v>0.70199999999999996</v>
      </c>
      <c r="M32" s="345">
        <v>1</v>
      </c>
      <c r="N32" s="309" t="s">
        <v>612</v>
      </c>
      <c r="O32" s="242"/>
      <c r="P32" s="63"/>
      <c r="AB32" s="26"/>
    </row>
    <row r="33" spans="1:31" ht="15" customHeight="1" x14ac:dyDescent="0.25">
      <c r="A33" s="25"/>
      <c r="B33" s="27">
        <f t="shared" si="1"/>
        <v>2055</v>
      </c>
      <c r="C33" s="138">
        <f>IF(B33&lt;=Assumptions!$D$9,IF(B33+1&lt;=Assumptions!$D$29,TREND($I$55:$J$55,$I$54:$J$54,B33),0),0)+IF(B33&gt;Assumptions!$D$28,TREND('Safety -  I-80 Mainline'!$I$60:$J$60,'Safety -  I-80 Mainline'!$I$59:$J$59,'Safety -  I-80 Mainline'!B33))</f>
        <v>20971.373101079778</v>
      </c>
      <c r="D33" s="138">
        <f>TREND($I$56:$J$56,$I$54:$J$54,B33)+IF(B33&gt;Assumptions!$D$28,TREND('Safety -  I-80 Mainline'!$I$61:$J$61,'Safety -  I-80 Mainline'!$I$59:$J$59,'Safety -  I-80 Mainline'!B33))</f>
        <v>3037342.0346507253</v>
      </c>
      <c r="E33" s="95">
        <f t="shared" si="0"/>
        <v>-3016370.6615496455</v>
      </c>
      <c r="F33" s="87">
        <f>E33*(1+0.07)^-(B33-Assumptions!$D$4)</f>
        <v>-282522.14118312363</v>
      </c>
      <c r="G33" s="41"/>
      <c r="H33" s="366"/>
      <c r="I33" s="346"/>
      <c r="J33" s="346"/>
      <c r="K33" s="346"/>
      <c r="L33" s="346"/>
      <c r="M33" s="346"/>
      <c r="N33" s="346"/>
      <c r="O33" s="242"/>
      <c r="AB33" s="30"/>
      <c r="AC33" s="76"/>
    </row>
    <row r="34" spans="1:31" ht="15" customHeight="1" x14ac:dyDescent="0.25">
      <c r="A34" s="25"/>
      <c r="B34" s="27">
        <f t="shared" si="1"/>
        <v>2056</v>
      </c>
      <c r="C34" s="138">
        <f>IF(B34&lt;=Assumptions!$D$9,IF(B34+1&lt;=Assumptions!$D$29,TREND($I$55:$J$55,$I$54:$J$54,B34),0),0)+IF(B34&gt;Assumptions!$D$28,TREND('Safety -  I-80 Mainline'!$I$60:$J$60,'Safety -  I-80 Mainline'!$I$59:$J$59,'Safety -  I-80 Mainline'!B34))</f>
        <v>21183.927546246152</v>
      </c>
      <c r="D34" s="138">
        <f>TREND($I$56:$J$56,$I$54:$J$54,B34)+IF(B34&gt;Assumptions!$D$28,TREND('Safety -  I-80 Mainline'!$I$61:$J$61,'Safety -  I-80 Mainline'!$I$59:$J$59,'Safety -  I-80 Mainline'!B34))</f>
        <v>3068442.5086500891</v>
      </c>
      <c r="E34" s="95">
        <f t="shared" si="0"/>
        <v>-3047258.5811038432</v>
      </c>
      <c r="F34" s="87">
        <f>E34*(1+0.07)^-(B34-Assumptions!$D$4)</f>
        <v>-266743.17243666691</v>
      </c>
      <c r="G34" s="41"/>
      <c r="H34" s="242"/>
      <c r="I34" s="242"/>
      <c r="J34" s="242"/>
      <c r="K34" s="242"/>
      <c r="L34" s="242"/>
      <c r="M34" s="242"/>
      <c r="N34" s="242"/>
      <c r="O34" s="242"/>
      <c r="AB34" s="30"/>
      <c r="AC34" s="76"/>
    </row>
    <row r="35" spans="1:31" ht="15" customHeight="1" thickBot="1" x14ac:dyDescent="0.3">
      <c r="A35" s="25"/>
      <c r="B35" s="28">
        <f t="shared" si="1"/>
        <v>2057</v>
      </c>
      <c r="C35" s="139">
        <f>IF(B35&lt;=Assumptions!$D$9,IF(B35+1&lt;=Assumptions!$D$29,TREND($I$55:$J$55,$I$54:$J$54,B35),0),0)+IF(B35&gt;Assumptions!$D$28,TREND('Safety -  I-80 Mainline'!$I$60:$J$60,'Safety -  I-80 Mainline'!$I$59:$J$59,'Safety -  I-80 Mainline'!B35))</f>
        <v>21396.481991412526</v>
      </c>
      <c r="D35" s="139">
        <f>TREND($I$56:$J$56,$I$54:$J$54,B35)+IF(B35&gt;Assumptions!$D$28,TREND('Safety -  I-80 Mainline'!$I$61:$J$61,'Safety -  I-80 Mainline'!$I$59:$J$59,'Safety -  I-80 Mainline'!B35))</f>
        <v>3099542.982649453</v>
      </c>
      <c r="E35" s="96">
        <f t="shared" si="0"/>
        <v>-3078146.5006580404</v>
      </c>
      <c r="F35" s="88">
        <f>E35*(1+0.07)^-(B35-Assumptions!$D$4)</f>
        <v>-251819.58933648662</v>
      </c>
      <c r="G35" s="41"/>
      <c r="H35" s="9" t="s">
        <v>175</v>
      </c>
      <c r="I35" s="346"/>
      <c r="J35" s="346"/>
      <c r="K35" s="346"/>
      <c r="L35" s="346"/>
      <c r="M35" s="346"/>
      <c r="N35" s="346"/>
      <c r="O35" s="242"/>
    </row>
    <row r="36" spans="1:31" ht="15" customHeight="1" thickBot="1" x14ac:dyDescent="0.3">
      <c r="A36" s="25"/>
      <c r="B36" s="29"/>
      <c r="C36" s="29"/>
      <c r="D36" s="29"/>
      <c r="E36" s="71" t="s">
        <v>2</v>
      </c>
      <c r="F36" s="339">
        <f>SUM(F6:F35)</f>
        <v>27382902.915927824</v>
      </c>
      <c r="G36" s="41"/>
      <c r="H36" s="244" t="s">
        <v>72</v>
      </c>
      <c r="I36" s="347" t="s">
        <v>23</v>
      </c>
      <c r="J36" s="163" t="s">
        <v>24</v>
      </c>
      <c r="K36" s="163" t="s">
        <v>25</v>
      </c>
      <c r="L36" s="163" t="s">
        <v>26</v>
      </c>
      <c r="M36" s="163" t="s">
        <v>27</v>
      </c>
      <c r="N36" s="346"/>
      <c r="AE36" s="140"/>
    </row>
    <row r="37" spans="1:31" ht="15" customHeight="1" x14ac:dyDescent="0.25">
      <c r="A37" s="25"/>
      <c r="H37" s="344" t="s">
        <v>169</v>
      </c>
      <c r="I37" s="345">
        <f>1-((1-$I$30)+(1-$I$31)+(1-$I$32))</f>
        <v>0.27199999999999991</v>
      </c>
      <c r="J37" s="367">
        <f>1-((1-$J$30)+(1-$J$31)+(1-$J$32))</f>
        <v>0.40199999999999991</v>
      </c>
      <c r="K37" s="367">
        <f>1-((1-$K$30)+(1-$K$31)+(1-$K$32))</f>
        <v>0.40199999999999991</v>
      </c>
      <c r="L37" s="367">
        <f>1-((1-$L$30)+(1-$L$31)+(1-$L$32))</f>
        <v>0.40199999999999991</v>
      </c>
      <c r="M37" s="367">
        <f>1-((1-$M$30)+(1-$M$31)+(1-$M$32))</f>
        <v>1</v>
      </c>
      <c r="N37" s="346"/>
      <c r="AE37" s="141"/>
    </row>
    <row r="38" spans="1:31" x14ac:dyDescent="0.25">
      <c r="H38" s="344" t="s">
        <v>603</v>
      </c>
      <c r="I38" s="367">
        <f>1-((1-$I$30)+(1-$I$31)+(1-$I$32))</f>
        <v>0.27199999999999991</v>
      </c>
      <c r="J38" s="367">
        <f>1-((1-$J$30)+(1-$J$31)+(1-$J$32))</f>
        <v>0.40199999999999991</v>
      </c>
      <c r="K38" s="367">
        <f>1-((1-$K$30)+(1-$K$31)+(1-$K$32))</f>
        <v>0.40199999999999991</v>
      </c>
      <c r="L38" s="367">
        <f>1-((1-$L$30)+(1-$L$31)+(1-$L$32))</f>
        <v>0.40199999999999991</v>
      </c>
      <c r="M38" s="367">
        <f>1-((1-$M$30)+(1-$M$31)+(1-$M$32))</f>
        <v>1</v>
      </c>
      <c r="N38" s="346"/>
      <c r="AE38" s="141"/>
    </row>
    <row r="39" spans="1:31" ht="15" customHeight="1" x14ac:dyDescent="0.25">
      <c r="H39" s="356" t="s">
        <v>606</v>
      </c>
      <c r="I39" s="353" t="s">
        <v>206</v>
      </c>
      <c r="J39" s="353" t="s">
        <v>206</v>
      </c>
      <c r="K39" s="353" t="s">
        <v>206</v>
      </c>
      <c r="L39" s="353" t="s">
        <v>206</v>
      </c>
      <c r="M39" s="353" t="s">
        <v>206</v>
      </c>
      <c r="N39" s="351"/>
      <c r="AE39" s="141"/>
    </row>
    <row r="40" spans="1:31" ht="15" customHeight="1" x14ac:dyDescent="0.25">
      <c r="B40" s="26" t="s">
        <v>3</v>
      </c>
      <c r="C40" s="26"/>
      <c r="D40" s="26"/>
      <c r="O40" s="242"/>
      <c r="AB40" s="31"/>
      <c r="AC40" s="31"/>
      <c r="AD40" s="31"/>
      <c r="AE40" s="141"/>
    </row>
    <row r="41" spans="1:31" ht="15" customHeight="1" x14ac:dyDescent="0.25">
      <c r="A41" s="30" t="s">
        <v>21</v>
      </c>
      <c r="B41" s="501" t="s">
        <v>654</v>
      </c>
      <c r="C41" s="501"/>
      <c r="D41" s="501"/>
      <c r="E41" s="501"/>
      <c r="F41" s="501"/>
      <c r="G41" s="143"/>
      <c r="H41" s="245" t="s">
        <v>179</v>
      </c>
      <c r="I41" s="346"/>
      <c r="J41" s="346"/>
      <c r="K41" s="346"/>
      <c r="L41" s="346"/>
      <c r="M41" s="346"/>
      <c r="N41" s="346"/>
      <c r="O41" s="242"/>
      <c r="AB41" s="146"/>
      <c r="AC41" s="146"/>
      <c r="AD41" s="146"/>
      <c r="AE41" s="101"/>
    </row>
    <row r="42" spans="1:31" ht="15" customHeight="1" x14ac:dyDescent="0.25">
      <c r="B42" s="501"/>
      <c r="C42" s="501"/>
      <c r="D42" s="501"/>
      <c r="E42" s="501"/>
      <c r="F42" s="501"/>
      <c r="G42" s="143"/>
      <c r="H42" s="344" t="s">
        <v>72</v>
      </c>
      <c r="I42" s="345" t="s">
        <v>23</v>
      </c>
      <c r="J42" s="241" t="s">
        <v>24</v>
      </c>
      <c r="K42" s="241" t="s">
        <v>25</v>
      </c>
      <c r="L42" s="241" t="s">
        <v>26</v>
      </c>
      <c r="M42" s="241" t="s">
        <v>27</v>
      </c>
      <c r="N42" s="268" t="s">
        <v>180</v>
      </c>
      <c r="AB42" s="146"/>
      <c r="AC42" s="146"/>
      <c r="AD42" s="146"/>
      <c r="AE42" s="101"/>
    </row>
    <row r="43" spans="1:31" x14ac:dyDescent="0.25">
      <c r="A43" s="30"/>
      <c r="B43" s="501"/>
      <c r="C43" s="501"/>
      <c r="D43" s="501"/>
      <c r="E43" s="501"/>
      <c r="F43" s="501"/>
      <c r="G43" s="143"/>
      <c r="H43" s="344" t="s">
        <v>169</v>
      </c>
      <c r="I43" s="345">
        <f>$I$24*$I$37</f>
        <v>0</v>
      </c>
      <c r="J43" s="345">
        <f>$J$24*$J$37</f>
        <v>0</v>
      </c>
      <c r="K43" s="345">
        <f>$K$24*$K$37</f>
        <v>0</v>
      </c>
      <c r="L43" s="345">
        <f>$L$24*$L$37</f>
        <v>0</v>
      </c>
      <c r="M43" s="345">
        <f>$M$24*$M$37</f>
        <v>2.354614670370193E-7</v>
      </c>
      <c r="N43" s="267">
        <f>SUMPRODUCT($I$7:$M$7,I43:M43)</f>
        <v>1.0831227483702889E-3</v>
      </c>
      <c r="AB43" s="146"/>
      <c r="AC43" s="146"/>
      <c r="AD43" s="146"/>
      <c r="AE43" s="31"/>
    </row>
    <row r="44" spans="1:31" ht="15" customHeight="1" x14ac:dyDescent="0.25">
      <c r="B44" s="501"/>
      <c r="C44" s="501"/>
      <c r="D44" s="501"/>
      <c r="E44" s="501"/>
      <c r="F44" s="501"/>
      <c r="G44" s="143"/>
      <c r="H44" s="344" t="s">
        <v>603</v>
      </c>
      <c r="I44" s="345">
        <f>$I$25*$I$38</f>
        <v>9.4797627819013486E-10</v>
      </c>
      <c r="J44" s="345">
        <f>$J$25*$J$38</f>
        <v>5.6042127034181511E-9</v>
      </c>
      <c r="K44" s="345">
        <f>$K$25*$K$38</f>
        <v>1.5411584934399915E-8</v>
      </c>
      <c r="L44" s="345">
        <f>$L$25*$L$38</f>
        <v>2.5218957165381679E-8</v>
      </c>
      <c r="M44" s="345">
        <f>$M$25*$M$38</f>
        <v>2.1259762121175827E-7</v>
      </c>
      <c r="N44" s="267">
        <f>SUMPRODUCT($I$7:$M$7,I44:M44)</f>
        <v>2.0532310915823807E-2</v>
      </c>
      <c r="AA44" s="31"/>
      <c r="AB44" s="146"/>
      <c r="AC44" s="146"/>
      <c r="AD44" s="146"/>
      <c r="AE44" s="159"/>
    </row>
    <row r="45" spans="1:31" ht="15" customHeight="1" x14ac:dyDescent="0.25">
      <c r="B45" s="501"/>
      <c r="C45" s="501"/>
      <c r="D45" s="501"/>
      <c r="E45" s="501"/>
      <c r="F45" s="501"/>
      <c r="G45" s="143"/>
      <c r="H45" s="356" t="s">
        <v>606</v>
      </c>
      <c r="I45" s="353" t="s">
        <v>206</v>
      </c>
      <c r="J45" s="353" t="s">
        <v>206</v>
      </c>
      <c r="K45" s="353" t="s">
        <v>206</v>
      </c>
      <c r="L45" s="353" t="s">
        <v>206</v>
      </c>
      <c r="M45" s="353" t="s">
        <v>206</v>
      </c>
      <c r="N45" s="353" t="s">
        <v>206</v>
      </c>
      <c r="O45" s="242"/>
      <c r="AA45" s="146"/>
      <c r="AB45" s="147"/>
      <c r="AC45" s="147"/>
      <c r="AD45" s="147"/>
      <c r="AE45" s="32"/>
    </row>
    <row r="46" spans="1:31" x14ac:dyDescent="0.25">
      <c r="B46" s="48"/>
      <c r="C46" s="48"/>
      <c r="D46" s="48"/>
      <c r="E46" s="25"/>
      <c r="F46" s="25"/>
      <c r="G46" s="25"/>
      <c r="M46" s="346"/>
      <c r="N46" s="346"/>
      <c r="O46" s="242"/>
      <c r="AA46" s="146"/>
      <c r="AB46" s="33"/>
      <c r="AC46" s="33"/>
      <c r="AD46" s="33"/>
      <c r="AE46" s="32"/>
    </row>
    <row r="47" spans="1:31" x14ac:dyDescent="0.25">
      <c r="A47" s="30" t="s">
        <v>28</v>
      </c>
      <c r="B47" s="501" t="s">
        <v>655</v>
      </c>
      <c r="C47" s="501"/>
      <c r="D47" s="501"/>
      <c r="E47" s="501"/>
      <c r="F47" s="501"/>
      <c r="G47" s="142"/>
      <c r="H47" s="9" t="s">
        <v>193</v>
      </c>
      <c r="I47" s="346"/>
      <c r="J47" s="346"/>
      <c r="K47" s="346"/>
      <c r="L47" s="346"/>
      <c r="M47" s="346"/>
      <c r="N47" s="346"/>
      <c r="O47" s="242"/>
      <c r="AA47" s="146"/>
      <c r="AE47" s="31"/>
    </row>
    <row r="48" spans="1:31" x14ac:dyDescent="0.25">
      <c r="B48" s="501"/>
      <c r="C48" s="501"/>
      <c r="D48" s="501"/>
      <c r="E48" s="501"/>
      <c r="F48" s="501"/>
      <c r="G48" s="142"/>
      <c r="H48" s="244" t="s">
        <v>72</v>
      </c>
      <c r="I48" s="347">
        <v>2019</v>
      </c>
      <c r="J48" s="347">
        <v>2021</v>
      </c>
      <c r="K48" s="347">
        <v>2022</v>
      </c>
      <c r="L48" s="347">
        <v>2042</v>
      </c>
      <c r="M48" s="346"/>
      <c r="N48" s="346"/>
      <c r="O48" s="242"/>
      <c r="AA48" s="146"/>
      <c r="AE48" s="31"/>
    </row>
    <row r="49" spans="1:31" x14ac:dyDescent="0.25">
      <c r="A49" s="30"/>
      <c r="B49" s="501"/>
      <c r="C49" s="501"/>
      <c r="D49" s="501"/>
      <c r="E49" s="501"/>
      <c r="F49" s="501"/>
      <c r="G49" s="142"/>
      <c r="H49" s="344" t="s">
        <v>169</v>
      </c>
      <c r="I49" s="184">
        <v>32321</v>
      </c>
      <c r="J49" s="184">
        <v>34766</v>
      </c>
      <c r="K49" s="311">
        <f>ROUND(J49+J49*((K48-J48)*Assumptions!$D$27),0)</f>
        <v>35304</v>
      </c>
      <c r="L49" s="312">
        <f>ROUND(J49+J49*((L48-J48)*Assumptions!$D$27),0)</f>
        <v>46057</v>
      </c>
      <c r="M49" s="346"/>
      <c r="N49" s="346"/>
      <c r="O49" s="242"/>
      <c r="AA49" s="147"/>
      <c r="AB49" s="31"/>
      <c r="AC49" s="31"/>
      <c r="AD49" s="31"/>
      <c r="AE49" s="68"/>
    </row>
    <row r="50" spans="1:31" ht="15" customHeight="1" x14ac:dyDescent="0.25">
      <c r="B50" s="501"/>
      <c r="C50" s="501"/>
      <c r="D50" s="501"/>
      <c r="E50" s="501"/>
      <c r="F50" s="501"/>
      <c r="G50" s="144"/>
      <c r="H50" s="344" t="s">
        <v>603</v>
      </c>
      <c r="I50" s="184">
        <v>37380</v>
      </c>
      <c r="J50" s="311" t="s">
        <v>605</v>
      </c>
      <c r="K50" s="395">
        <f>Assumptions!$D$30</f>
        <v>37825</v>
      </c>
      <c r="L50" s="395">
        <f>Assumptions!$D$31</f>
        <v>49525</v>
      </c>
      <c r="M50" s="346"/>
      <c r="N50" s="346"/>
      <c r="O50" s="242"/>
      <c r="AA50" s="33"/>
      <c r="AB50" s="31"/>
      <c r="AC50" s="31"/>
      <c r="AD50" s="31"/>
      <c r="AE50" s="68"/>
    </row>
    <row r="51" spans="1:31" ht="15" customHeight="1" x14ac:dyDescent="0.25">
      <c r="B51" s="501"/>
      <c r="C51" s="501"/>
      <c r="D51" s="501"/>
      <c r="E51" s="501"/>
      <c r="F51" s="501"/>
      <c r="G51" s="51"/>
      <c r="H51" s="356" t="s">
        <v>603</v>
      </c>
      <c r="I51" s="355">
        <v>37380</v>
      </c>
      <c r="J51" s="359" t="s">
        <v>605</v>
      </c>
      <c r="K51" s="395">
        <f>Assumptions!$D$30</f>
        <v>37825</v>
      </c>
      <c r="L51" s="395">
        <f>Assumptions!$D$31</f>
        <v>49525</v>
      </c>
      <c r="M51" s="346"/>
      <c r="N51" s="346"/>
      <c r="O51" s="242"/>
      <c r="AE51" s="31"/>
    </row>
    <row r="52" spans="1:31" ht="15" customHeight="1" x14ac:dyDescent="0.25">
      <c r="A52" s="30" t="s">
        <v>29</v>
      </c>
      <c r="B52" s="501" t="s">
        <v>656</v>
      </c>
      <c r="C52" s="501"/>
      <c r="D52" s="501"/>
      <c r="E52" s="501"/>
      <c r="F52" s="501"/>
      <c r="G52" s="176"/>
      <c r="K52" s="346"/>
      <c r="L52" s="346"/>
      <c r="M52" s="346"/>
      <c r="N52" s="346"/>
      <c r="O52" s="242"/>
      <c r="AE52" s="31"/>
    </row>
    <row r="53" spans="1:31" ht="15" customHeight="1" x14ac:dyDescent="0.25">
      <c r="B53" s="501"/>
      <c r="C53" s="501"/>
      <c r="D53" s="501"/>
      <c r="E53" s="501"/>
      <c r="F53" s="501"/>
      <c r="G53" s="51"/>
      <c r="H53" s="245" t="s">
        <v>609</v>
      </c>
      <c r="I53" s="346"/>
      <c r="J53" s="346"/>
      <c r="K53" s="346"/>
      <c r="L53" s="346"/>
      <c r="M53" s="242"/>
      <c r="N53" s="242"/>
      <c r="O53" s="242"/>
      <c r="AA53" s="31"/>
      <c r="AE53" s="31"/>
    </row>
    <row r="54" spans="1:31" x14ac:dyDescent="0.25">
      <c r="B54" s="501"/>
      <c r="C54" s="501"/>
      <c r="D54" s="501"/>
      <c r="E54" s="501"/>
      <c r="F54" s="501"/>
      <c r="G54" s="51"/>
      <c r="H54" s="244" t="s">
        <v>77</v>
      </c>
      <c r="I54" s="347">
        <v>2022</v>
      </c>
      <c r="J54" s="347">
        <v>2042</v>
      </c>
      <c r="K54" s="242"/>
      <c r="L54" s="242"/>
      <c r="M54" s="242"/>
      <c r="N54" s="242"/>
      <c r="O54" s="242"/>
      <c r="AA54" s="31"/>
      <c r="AB54" s="61"/>
      <c r="AC54" s="61"/>
      <c r="AD54" s="61"/>
      <c r="AE54" s="31"/>
    </row>
    <row r="55" spans="1:31" x14ac:dyDescent="0.25">
      <c r="B55" s="501"/>
      <c r="C55" s="501"/>
      <c r="D55" s="501"/>
      <c r="E55" s="501"/>
      <c r="F55" s="501"/>
      <c r="G55" s="51"/>
      <c r="H55" s="239" t="s">
        <v>46</v>
      </c>
      <c r="I55" s="338">
        <f>SUMPRODUCT($L$18:$L$19,$N$24:$N$25)</f>
        <v>6210979.404576513</v>
      </c>
      <c r="J55" s="338">
        <f>SUMPRODUCT($M$18:$M$19,$N$24:$N$25)</f>
        <v>8132115.1301496495</v>
      </c>
      <c r="K55" s="242"/>
      <c r="L55" s="242"/>
      <c r="M55" s="242"/>
      <c r="N55" s="242"/>
      <c r="O55" s="242"/>
      <c r="AB55" s="50"/>
      <c r="AC55" s="50"/>
      <c r="AD55" s="50"/>
      <c r="AE55" s="31"/>
    </row>
    <row r="56" spans="1:31" ht="15" customHeight="1" x14ac:dyDescent="0.25">
      <c r="B56" s="501"/>
      <c r="C56" s="501"/>
      <c r="D56" s="501"/>
      <c r="E56" s="501"/>
      <c r="F56" s="501"/>
      <c r="G56" s="51"/>
      <c r="H56" s="239" t="s">
        <v>15</v>
      </c>
      <c r="I56" s="338">
        <f>SUMPRODUCT($L$18:$L$19,$N$43:$N$44)</f>
        <v>1995510.5196558768</v>
      </c>
      <c r="J56" s="338">
        <f>SUMPRODUCT($M$18:$M$19,$N$43:$N$44)</f>
        <v>2612720.6416977127</v>
      </c>
      <c r="K56" s="242"/>
      <c r="L56" s="242"/>
      <c r="M56" s="242"/>
      <c r="N56" s="242"/>
      <c r="O56" s="242"/>
      <c r="AB56" s="63"/>
      <c r="AC56" s="63"/>
      <c r="AD56" s="63"/>
      <c r="AE56" s="31"/>
    </row>
    <row r="57" spans="1:31" x14ac:dyDescent="0.25">
      <c r="H57" s="242"/>
      <c r="I57" s="242"/>
      <c r="J57" s="242"/>
      <c r="K57" s="242"/>
      <c r="L57" s="242"/>
      <c r="M57" s="242"/>
      <c r="N57" s="242"/>
      <c r="O57" s="242"/>
      <c r="AB57" s="63"/>
      <c r="AC57" s="63"/>
      <c r="AD57" s="63"/>
    </row>
    <row r="58" spans="1:31" x14ac:dyDescent="0.25">
      <c r="A58" s="30" t="s">
        <v>29</v>
      </c>
      <c r="B58" s="501" t="s">
        <v>657</v>
      </c>
      <c r="C58" s="501"/>
      <c r="D58" s="501"/>
      <c r="E58" s="501"/>
      <c r="F58" s="501"/>
      <c r="H58" s="245" t="s">
        <v>618</v>
      </c>
      <c r="I58" s="366"/>
      <c r="J58" s="366"/>
      <c r="K58" s="242"/>
      <c r="L58" s="242"/>
      <c r="M58" s="242"/>
      <c r="N58" s="242"/>
      <c r="O58" s="242"/>
      <c r="AA58" s="61"/>
      <c r="AB58" s="63"/>
      <c r="AC58" s="63"/>
      <c r="AD58" s="63"/>
      <c r="AE58" s="62"/>
    </row>
    <row r="59" spans="1:31" x14ac:dyDescent="0.25">
      <c r="B59" s="501"/>
      <c r="C59" s="501"/>
      <c r="D59" s="501"/>
      <c r="E59" s="501"/>
      <c r="F59" s="501"/>
      <c r="H59" s="357" t="s">
        <v>77</v>
      </c>
      <c r="I59" s="352">
        <v>2022</v>
      </c>
      <c r="J59" s="352">
        <v>2042</v>
      </c>
      <c r="K59" s="242"/>
      <c r="L59" s="242"/>
      <c r="M59" s="242"/>
      <c r="N59" s="242"/>
      <c r="O59" s="242"/>
      <c r="AA59" s="50"/>
      <c r="AB59" s="63"/>
      <c r="AC59" s="63"/>
      <c r="AD59" s="63"/>
      <c r="AE59" s="62"/>
    </row>
    <row r="60" spans="1:31" ht="15" customHeight="1" x14ac:dyDescent="0.25">
      <c r="B60" s="501"/>
      <c r="C60" s="501"/>
      <c r="D60" s="501"/>
      <c r="E60" s="501"/>
      <c r="F60" s="501"/>
      <c r="H60" s="356" t="s">
        <v>46</v>
      </c>
      <c r="I60" s="338">
        <f>K49*N24*365</f>
        <v>13957.076410589609</v>
      </c>
      <c r="J60" s="338">
        <f>L49*N24*365</f>
        <v>18208.165313916994</v>
      </c>
      <c r="K60" s="242"/>
      <c r="L60" s="242"/>
      <c r="M60" s="242"/>
      <c r="N60" s="242"/>
      <c r="O60" s="242"/>
      <c r="AA60" s="63"/>
    </row>
    <row r="61" spans="1:31" ht="15" customHeight="1" x14ac:dyDescent="0.25">
      <c r="B61" s="501"/>
      <c r="C61" s="501"/>
      <c r="D61" s="501"/>
      <c r="E61" s="501"/>
      <c r="F61" s="501"/>
      <c r="H61" s="356" t="s">
        <v>15</v>
      </c>
      <c r="I61" s="338">
        <f>$L$20*$N$26</f>
        <v>15515.873015873014</v>
      </c>
      <c r="J61" s="338">
        <f>M20*N26</f>
        <v>20315.230961298377</v>
      </c>
      <c r="K61" s="242"/>
      <c r="L61" s="242"/>
      <c r="M61" s="242"/>
      <c r="N61" s="242"/>
      <c r="O61" s="242"/>
      <c r="AA61" s="63"/>
    </row>
    <row r="62" spans="1:31" x14ac:dyDescent="0.25">
      <c r="B62" s="501"/>
      <c r="C62" s="501"/>
      <c r="D62" s="501"/>
      <c r="E62" s="501"/>
      <c r="F62" s="501"/>
      <c r="H62" s="242" t="s">
        <v>637</v>
      </c>
      <c r="I62" s="242"/>
      <c r="J62" s="242"/>
      <c r="K62" s="242"/>
      <c r="L62" s="242"/>
      <c r="M62" s="242"/>
      <c r="N62" s="242"/>
      <c r="O62" s="242"/>
      <c r="AA62" s="63"/>
    </row>
    <row r="63" spans="1:31" x14ac:dyDescent="0.25">
      <c r="B63" s="25"/>
      <c r="C63" s="25"/>
      <c r="D63" s="25"/>
      <c r="E63" s="25"/>
      <c r="F63" s="25"/>
      <c r="H63" s="242"/>
      <c r="I63" s="242"/>
      <c r="J63" s="242"/>
      <c r="K63" s="242"/>
      <c r="L63" s="242"/>
      <c r="M63" s="242"/>
      <c r="N63" s="242"/>
      <c r="O63" s="242"/>
      <c r="R63" s="26"/>
      <c r="AA63" s="63"/>
    </row>
    <row r="64" spans="1:31" ht="15" customHeight="1" x14ac:dyDescent="0.25">
      <c r="A64" s="30" t="s">
        <v>30</v>
      </c>
      <c r="B64" s="509" t="s">
        <v>658</v>
      </c>
      <c r="C64" s="509"/>
      <c r="D64" s="509"/>
      <c r="E64" s="509"/>
      <c r="F64" s="509"/>
      <c r="H64" s="9" t="s">
        <v>641</v>
      </c>
      <c r="I64" s="242"/>
      <c r="J64" s="242"/>
      <c r="K64" s="242"/>
      <c r="L64" s="242"/>
      <c r="M64" s="242"/>
      <c r="N64" s="242"/>
      <c r="O64" s="242"/>
    </row>
    <row r="65" spans="1:15" ht="15" customHeight="1" x14ac:dyDescent="0.25">
      <c r="B65" s="509"/>
      <c r="C65" s="509"/>
      <c r="D65" s="509"/>
      <c r="E65" s="509"/>
      <c r="F65" s="509"/>
      <c r="H65" s="242"/>
      <c r="I65" s="242"/>
      <c r="J65" s="242"/>
      <c r="K65" s="242"/>
      <c r="L65" s="242"/>
      <c r="M65" s="242"/>
      <c r="N65" s="242"/>
      <c r="O65" s="242"/>
    </row>
    <row r="66" spans="1:15" x14ac:dyDescent="0.25">
      <c r="B66" s="509"/>
      <c r="C66" s="509"/>
      <c r="D66" s="509"/>
      <c r="E66" s="509"/>
      <c r="F66" s="509"/>
      <c r="H66" s="242"/>
      <c r="I66" s="242"/>
      <c r="J66" s="242"/>
      <c r="K66" s="242"/>
      <c r="L66" s="242"/>
      <c r="M66" s="242"/>
      <c r="N66" s="242"/>
      <c r="O66" s="242"/>
    </row>
    <row r="67" spans="1:15" ht="15" customHeight="1" x14ac:dyDescent="0.25">
      <c r="B67" s="509"/>
      <c r="C67" s="509"/>
      <c r="D67" s="509"/>
      <c r="E67" s="509"/>
      <c r="F67" s="509"/>
      <c r="H67" s="242"/>
      <c r="I67" s="242"/>
      <c r="J67" s="242"/>
      <c r="K67" s="242"/>
      <c r="L67" s="242"/>
      <c r="M67" s="242"/>
      <c r="N67" s="242"/>
      <c r="O67" s="242"/>
    </row>
    <row r="68" spans="1:15" ht="15" customHeight="1" x14ac:dyDescent="0.25">
      <c r="B68" s="509"/>
      <c r="C68" s="509"/>
      <c r="D68" s="509"/>
      <c r="E68" s="509"/>
      <c r="F68" s="509"/>
      <c r="H68" s="242"/>
      <c r="I68" s="242"/>
      <c r="J68" s="242"/>
      <c r="K68" s="242"/>
      <c r="L68" s="242"/>
      <c r="M68" s="242"/>
      <c r="N68" s="242"/>
      <c r="O68" s="242"/>
    </row>
    <row r="69" spans="1:15" x14ac:dyDescent="0.25">
      <c r="B69" s="509"/>
      <c r="C69" s="509"/>
      <c r="D69" s="509"/>
      <c r="E69" s="509"/>
      <c r="F69" s="509"/>
      <c r="H69" s="242"/>
      <c r="I69" s="242"/>
      <c r="J69" s="242"/>
      <c r="K69" s="242"/>
      <c r="L69" s="242"/>
      <c r="M69" s="242"/>
      <c r="N69" s="242"/>
      <c r="O69" s="242"/>
    </row>
    <row r="70" spans="1:15" x14ac:dyDescent="0.25">
      <c r="H70" s="242"/>
      <c r="I70" s="242"/>
      <c r="J70" s="242"/>
      <c r="K70" s="242"/>
      <c r="L70" s="242"/>
      <c r="M70" s="242"/>
      <c r="N70" s="242"/>
      <c r="O70" s="242"/>
    </row>
    <row r="71" spans="1:15" x14ac:dyDescent="0.25">
      <c r="A71" s="30" t="s">
        <v>31</v>
      </c>
      <c r="B71" s="509" t="s">
        <v>93</v>
      </c>
      <c r="C71" s="509"/>
      <c r="D71" s="509"/>
      <c r="E71" s="509"/>
      <c r="F71" s="509"/>
      <c r="H71" s="242"/>
      <c r="I71" s="242"/>
      <c r="J71" s="242"/>
      <c r="K71" s="242"/>
      <c r="L71" s="242"/>
      <c r="M71" s="242"/>
      <c r="N71" s="242"/>
      <c r="O71" s="242"/>
    </row>
    <row r="72" spans="1:15" x14ac:dyDescent="0.25">
      <c r="B72" s="509"/>
      <c r="C72" s="509"/>
      <c r="D72" s="509"/>
      <c r="E72" s="509"/>
      <c r="F72" s="509"/>
      <c r="H72" s="242"/>
      <c r="I72" s="242"/>
      <c r="J72" s="242"/>
      <c r="K72" s="242"/>
      <c r="L72" s="242"/>
      <c r="M72" s="242"/>
      <c r="N72" s="242"/>
      <c r="O72" s="242"/>
    </row>
    <row r="73" spans="1:15" x14ac:dyDescent="0.25">
      <c r="B73" s="509"/>
      <c r="C73" s="509"/>
      <c r="D73" s="509"/>
      <c r="E73" s="509"/>
      <c r="F73" s="509"/>
      <c r="H73" s="242"/>
      <c r="I73" s="242"/>
      <c r="J73" s="242"/>
      <c r="K73" s="242"/>
      <c r="L73" s="242"/>
      <c r="M73" s="242"/>
      <c r="N73" s="242"/>
      <c r="O73" s="242"/>
    </row>
    <row r="74" spans="1:15" x14ac:dyDescent="0.25">
      <c r="B74" s="509"/>
      <c r="C74" s="509"/>
      <c r="D74" s="509"/>
      <c r="E74" s="509"/>
      <c r="F74" s="509"/>
      <c r="H74" s="242"/>
      <c r="I74" s="242"/>
      <c r="J74" s="242"/>
      <c r="K74" s="242"/>
      <c r="L74" s="242"/>
      <c r="M74" s="242"/>
      <c r="N74" s="242"/>
      <c r="O74" s="242"/>
    </row>
    <row r="75" spans="1:15" x14ac:dyDescent="0.25">
      <c r="B75" s="48"/>
      <c r="C75" s="48"/>
      <c r="D75" s="48"/>
      <c r="H75" s="242"/>
      <c r="I75" s="242"/>
      <c r="J75" s="242"/>
      <c r="K75" s="242"/>
      <c r="L75" s="242"/>
      <c r="M75" s="242"/>
      <c r="N75" s="242"/>
      <c r="O75" s="242"/>
    </row>
    <row r="76" spans="1:15" x14ac:dyDescent="0.25">
      <c r="A76" s="10" t="s">
        <v>92</v>
      </c>
      <c r="B76" s="508" t="s">
        <v>659</v>
      </c>
      <c r="C76" s="508"/>
      <c r="D76" s="508"/>
      <c r="E76" s="508"/>
      <c r="F76" s="508"/>
      <c r="H76" s="242"/>
      <c r="I76" s="242"/>
      <c r="J76" s="242"/>
      <c r="K76" s="242"/>
      <c r="L76" s="242"/>
      <c r="M76" s="242"/>
      <c r="N76" s="242"/>
      <c r="O76" s="242"/>
    </row>
    <row r="77" spans="1:15" x14ac:dyDescent="0.25">
      <c r="B77" s="508"/>
      <c r="C77" s="508"/>
      <c r="D77" s="508"/>
      <c r="E77" s="508"/>
      <c r="F77" s="508"/>
      <c r="H77" s="242"/>
      <c r="I77" s="242"/>
      <c r="J77" s="242"/>
      <c r="K77" s="242"/>
      <c r="L77" s="242"/>
      <c r="M77" s="242"/>
      <c r="N77" s="242"/>
      <c r="O77" s="242"/>
    </row>
    <row r="78" spans="1:15" x14ac:dyDescent="0.25">
      <c r="B78" s="508"/>
      <c r="C78" s="508"/>
      <c r="D78" s="508"/>
      <c r="E78" s="508"/>
      <c r="F78" s="508"/>
      <c r="H78" s="242"/>
      <c r="I78" s="242"/>
      <c r="J78" s="242"/>
      <c r="K78" s="242"/>
      <c r="L78" s="242"/>
      <c r="M78" s="242"/>
      <c r="N78" s="242"/>
      <c r="O78" s="242"/>
    </row>
    <row r="79" spans="1:15" x14ac:dyDescent="0.25">
      <c r="B79" s="508"/>
      <c r="C79" s="508"/>
      <c r="D79" s="508"/>
      <c r="E79" s="508"/>
      <c r="F79" s="508"/>
      <c r="H79" s="242"/>
      <c r="I79" s="242"/>
      <c r="J79" s="242"/>
      <c r="K79" s="242"/>
      <c r="L79" s="242"/>
      <c r="M79" s="242"/>
      <c r="N79" s="242"/>
      <c r="O79" s="242"/>
    </row>
    <row r="80" spans="1:15" x14ac:dyDescent="0.25">
      <c r="B80" s="508"/>
      <c r="C80" s="508"/>
      <c r="D80" s="508"/>
      <c r="E80" s="508"/>
      <c r="F80" s="508"/>
      <c r="H80" s="242"/>
      <c r="I80" s="242"/>
      <c r="J80" s="242"/>
      <c r="K80" s="242"/>
      <c r="L80" s="242"/>
      <c r="M80" s="242"/>
      <c r="N80" s="242"/>
      <c r="O80" s="242"/>
    </row>
    <row r="81" spans="1:14" x14ac:dyDescent="0.25">
      <c r="H81" s="70"/>
      <c r="I81" s="70"/>
      <c r="J81" s="70"/>
      <c r="K81" s="70"/>
      <c r="L81" s="70"/>
      <c r="M81" s="70"/>
      <c r="N81" s="70"/>
    </row>
    <row r="82" spans="1:14" x14ac:dyDescent="0.25">
      <c r="A82" s="10" t="s">
        <v>662</v>
      </c>
      <c r="B82" s="508" t="s">
        <v>661</v>
      </c>
      <c r="C82" s="508"/>
      <c r="D82" s="508"/>
      <c r="E82" s="508"/>
      <c r="F82" s="508"/>
      <c r="H82" s="70"/>
      <c r="I82" s="70"/>
      <c r="J82" s="70"/>
      <c r="K82" s="70"/>
      <c r="L82" s="70"/>
      <c r="M82" s="70"/>
      <c r="N82" s="70"/>
    </row>
    <row r="83" spans="1:14" x14ac:dyDescent="0.25">
      <c r="A83" s="10"/>
      <c r="B83" s="508"/>
      <c r="C83" s="508"/>
      <c r="D83" s="508"/>
      <c r="E83" s="508"/>
      <c r="F83" s="508"/>
      <c r="H83" s="70"/>
      <c r="I83" s="70"/>
      <c r="J83" s="70"/>
      <c r="K83" s="70"/>
      <c r="L83" s="70"/>
      <c r="M83" s="70"/>
      <c r="N83" s="70"/>
    </row>
    <row r="84" spans="1:14" x14ac:dyDescent="0.25">
      <c r="B84" s="508"/>
      <c r="C84" s="508"/>
      <c r="D84" s="508"/>
      <c r="E84" s="508"/>
      <c r="F84" s="508"/>
      <c r="H84" s="70"/>
      <c r="I84" s="70"/>
      <c r="J84" s="70"/>
      <c r="K84" s="70"/>
      <c r="L84" s="70"/>
      <c r="M84" s="70"/>
      <c r="N84" s="70"/>
    </row>
    <row r="85" spans="1:14" x14ac:dyDescent="0.25">
      <c r="B85" s="508"/>
      <c r="C85" s="508"/>
      <c r="D85" s="508"/>
      <c r="E85" s="508"/>
      <c r="F85" s="508"/>
      <c r="H85" s="70"/>
      <c r="I85" s="70"/>
      <c r="J85" s="70"/>
      <c r="K85" s="70"/>
      <c r="L85" s="70"/>
      <c r="M85" s="70"/>
      <c r="N85" s="70"/>
    </row>
    <row r="86" spans="1:14" x14ac:dyDescent="0.25">
      <c r="B86" s="508"/>
      <c r="C86" s="508"/>
      <c r="D86" s="508"/>
      <c r="E86" s="508"/>
      <c r="F86" s="508"/>
      <c r="H86" s="70"/>
      <c r="I86" s="70"/>
      <c r="J86" s="70"/>
      <c r="K86" s="70"/>
      <c r="L86" s="70"/>
      <c r="M86" s="70"/>
      <c r="N86" s="70"/>
    </row>
    <row r="87" spans="1:14" x14ac:dyDescent="0.25">
      <c r="H87" s="70"/>
      <c r="I87" s="70"/>
      <c r="J87" s="70"/>
      <c r="K87" s="70"/>
      <c r="L87" s="70"/>
      <c r="M87" s="70"/>
      <c r="N87" s="70"/>
    </row>
    <row r="88" spans="1:14" x14ac:dyDescent="0.25">
      <c r="H88" s="70"/>
      <c r="I88" s="70"/>
      <c r="J88" s="70"/>
      <c r="K88" s="70"/>
      <c r="L88" s="70"/>
      <c r="M88" s="70"/>
      <c r="N88" s="70"/>
    </row>
    <row r="89" spans="1:14" x14ac:dyDescent="0.25">
      <c r="H89" s="70"/>
      <c r="I89" s="70"/>
      <c r="J89" s="70"/>
      <c r="K89" s="70"/>
      <c r="L89" s="70"/>
      <c r="M89" s="70"/>
      <c r="N89" s="70"/>
    </row>
    <row r="90" spans="1:14" x14ac:dyDescent="0.25">
      <c r="H90" s="70"/>
      <c r="I90" s="70"/>
      <c r="J90" s="70"/>
      <c r="K90" s="70"/>
      <c r="L90" s="70"/>
      <c r="M90" s="70"/>
      <c r="N90" s="70"/>
    </row>
    <row r="91" spans="1:14" x14ac:dyDescent="0.25">
      <c r="H91" s="70"/>
      <c r="I91" s="70"/>
      <c r="J91" s="70"/>
      <c r="K91" s="70"/>
      <c r="L91" s="70"/>
      <c r="M91" s="70"/>
      <c r="N91" s="70"/>
    </row>
    <row r="92" spans="1:14" x14ac:dyDescent="0.25">
      <c r="H92" s="70"/>
      <c r="I92" s="70"/>
      <c r="J92" s="70"/>
      <c r="K92" s="70"/>
      <c r="L92" s="70"/>
      <c r="M92" s="70"/>
      <c r="N92" s="70"/>
    </row>
    <row r="93" spans="1:14" x14ac:dyDescent="0.25">
      <c r="H93" s="70"/>
      <c r="I93" s="70"/>
      <c r="J93" s="70"/>
      <c r="K93" s="70"/>
      <c r="L93" s="70"/>
      <c r="M93" s="70"/>
      <c r="N93" s="70"/>
    </row>
    <row r="94" spans="1:14" x14ac:dyDescent="0.25">
      <c r="H94" s="70"/>
      <c r="I94" s="70"/>
      <c r="J94" s="70"/>
      <c r="K94" s="70"/>
      <c r="L94" s="70"/>
      <c r="M94" s="70"/>
      <c r="N94" s="70"/>
    </row>
    <row r="95" spans="1:14" x14ac:dyDescent="0.25">
      <c r="H95" s="70"/>
      <c r="I95" s="70"/>
      <c r="J95" s="70"/>
      <c r="K95" s="70"/>
      <c r="L95" s="70"/>
      <c r="M95" s="70"/>
      <c r="N95" s="70"/>
    </row>
    <row r="96" spans="1:14" x14ac:dyDescent="0.25">
      <c r="H96" s="70"/>
      <c r="I96" s="70"/>
      <c r="J96" s="70"/>
      <c r="K96" s="70"/>
      <c r="L96" s="70"/>
      <c r="M96" s="70"/>
      <c r="N96" s="70"/>
    </row>
    <row r="97" spans="8:14" x14ac:dyDescent="0.25">
      <c r="H97" s="70"/>
      <c r="I97" s="70"/>
      <c r="J97" s="70"/>
      <c r="K97" s="70"/>
      <c r="L97" s="70"/>
      <c r="M97" s="70"/>
      <c r="N97" s="70"/>
    </row>
    <row r="98" spans="8:14" x14ac:dyDescent="0.25">
      <c r="H98" s="70"/>
      <c r="I98" s="70"/>
      <c r="J98" s="70"/>
      <c r="K98" s="70"/>
      <c r="L98" s="70"/>
      <c r="M98" s="70"/>
      <c r="N98" s="70"/>
    </row>
    <row r="99" spans="8:14" x14ac:dyDescent="0.25">
      <c r="H99" s="70"/>
      <c r="I99" s="70"/>
      <c r="J99" s="70"/>
      <c r="K99" s="70"/>
      <c r="L99" s="70"/>
      <c r="M99" s="70"/>
      <c r="N99" s="70"/>
    </row>
    <row r="100" spans="8:14" x14ac:dyDescent="0.25">
      <c r="H100" s="70"/>
      <c r="I100" s="70"/>
      <c r="J100" s="70"/>
      <c r="K100" s="70"/>
      <c r="L100" s="70"/>
      <c r="M100" s="70"/>
      <c r="N100" s="70"/>
    </row>
    <row r="101" spans="8:14" x14ac:dyDescent="0.25">
      <c r="H101" s="70"/>
      <c r="I101" s="70"/>
      <c r="J101" s="70"/>
      <c r="K101" s="70"/>
      <c r="L101" s="70"/>
      <c r="M101" s="70"/>
      <c r="N101" s="70"/>
    </row>
    <row r="102" spans="8:14" x14ac:dyDescent="0.25">
      <c r="H102" s="70"/>
      <c r="I102" s="70"/>
      <c r="J102" s="70"/>
      <c r="K102" s="70"/>
      <c r="L102" s="70"/>
      <c r="M102" s="70"/>
      <c r="N102" s="70"/>
    </row>
    <row r="103" spans="8:14" x14ac:dyDescent="0.25">
      <c r="H103" s="70"/>
      <c r="I103" s="70"/>
      <c r="J103" s="70"/>
      <c r="K103" s="70"/>
      <c r="L103" s="70"/>
      <c r="M103" s="70"/>
      <c r="N103" s="70"/>
    </row>
    <row r="104" spans="8:14" x14ac:dyDescent="0.25">
      <c r="H104" s="70"/>
      <c r="I104" s="70"/>
      <c r="J104" s="70"/>
      <c r="K104" s="70"/>
      <c r="L104" s="70"/>
      <c r="M104" s="70"/>
      <c r="N104" s="70"/>
    </row>
    <row r="105" spans="8:14" x14ac:dyDescent="0.25">
      <c r="H105" s="70"/>
      <c r="I105" s="70"/>
      <c r="J105" s="70"/>
      <c r="K105" s="70"/>
      <c r="L105" s="70"/>
      <c r="M105" s="70"/>
      <c r="N105" s="70"/>
    </row>
    <row r="106" spans="8:14" x14ac:dyDescent="0.25">
      <c r="H106" s="70"/>
      <c r="I106" s="70"/>
      <c r="J106" s="70"/>
      <c r="K106" s="70"/>
      <c r="L106" s="70"/>
      <c r="M106" s="70"/>
      <c r="N106" s="70"/>
    </row>
    <row r="107" spans="8:14" x14ac:dyDescent="0.25">
      <c r="H107" s="70"/>
      <c r="I107" s="70"/>
      <c r="J107" s="70"/>
      <c r="K107" s="70"/>
      <c r="L107" s="70"/>
      <c r="M107" s="70"/>
      <c r="N107" s="70"/>
    </row>
    <row r="108" spans="8:14" x14ac:dyDescent="0.25">
      <c r="H108" s="70"/>
      <c r="I108" s="70"/>
      <c r="J108" s="70"/>
      <c r="K108" s="70"/>
      <c r="L108" s="70"/>
      <c r="M108" s="70"/>
      <c r="N108" s="70"/>
    </row>
    <row r="109" spans="8:14" x14ac:dyDescent="0.25">
      <c r="H109" s="70"/>
      <c r="I109" s="70"/>
      <c r="J109" s="70"/>
      <c r="K109" s="70"/>
      <c r="L109" s="70"/>
      <c r="M109" s="70"/>
      <c r="N109" s="70"/>
    </row>
    <row r="110" spans="8:14" x14ac:dyDescent="0.25">
      <c r="H110" s="70"/>
      <c r="I110" s="70"/>
      <c r="J110" s="70"/>
      <c r="K110" s="70"/>
      <c r="L110" s="70"/>
      <c r="M110" s="70"/>
      <c r="N110" s="70"/>
    </row>
    <row r="111" spans="8:14" x14ac:dyDescent="0.25">
      <c r="H111" s="70"/>
      <c r="I111" s="70"/>
      <c r="J111" s="70"/>
      <c r="K111" s="70"/>
      <c r="L111" s="70"/>
      <c r="M111" s="70"/>
      <c r="N111" s="70"/>
    </row>
    <row r="112" spans="8:14" x14ac:dyDescent="0.25">
      <c r="H112" s="70"/>
      <c r="I112" s="70"/>
      <c r="J112" s="70"/>
      <c r="K112" s="70"/>
      <c r="L112" s="70"/>
      <c r="M112" s="70"/>
      <c r="N112" s="70"/>
    </row>
    <row r="113" spans="8:14" x14ac:dyDescent="0.25">
      <c r="H113" s="70"/>
      <c r="I113" s="70"/>
      <c r="J113" s="70"/>
      <c r="K113" s="70"/>
      <c r="L113" s="70"/>
      <c r="M113" s="70"/>
      <c r="N113" s="70"/>
    </row>
    <row r="114" spans="8:14" x14ac:dyDescent="0.25">
      <c r="H114" s="70"/>
      <c r="I114" s="70"/>
      <c r="J114" s="70"/>
      <c r="K114" s="70"/>
      <c r="L114" s="70"/>
      <c r="M114" s="70"/>
      <c r="N114" s="70"/>
    </row>
    <row r="115" spans="8:14" x14ac:dyDescent="0.25">
      <c r="H115" s="70"/>
      <c r="I115" s="70"/>
      <c r="J115" s="70"/>
      <c r="K115" s="70"/>
      <c r="L115" s="70"/>
      <c r="M115" s="70"/>
      <c r="N115" s="70"/>
    </row>
    <row r="116" spans="8:14" x14ac:dyDescent="0.25">
      <c r="H116" s="70"/>
      <c r="I116" s="70"/>
      <c r="J116" s="70"/>
      <c r="K116" s="70"/>
      <c r="L116" s="70"/>
      <c r="M116" s="70"/>
      <c r="N116" s="70"/>
    </row>
    <row r="117" spans="8:14" x14ac:dyDescent="0.25">
      <c r="H117" s="70"/>
      <c r="I117" s="70"/>
      <c r="J117" s="70"/>
      <c r="K117" s="70"/>
      <c r="L117" s="70"/>
      <c r="M117" s="70"/>
      <c r="N117" s="70"/>
    </row>
    <row r="118" spans="8:14" x14ac:dyDescent="0.25">
      <c r="H118" s="70"/>
      <c r="I118" s="70"/>
      <c r="J118" s="70"/>
      <c r="K118" s="70"/>
      <c r="L118" s="70"/>
      <c r="M118" s="70"/>
      <c r="N118" s="70"/>
    </row>
    <row r="119" spans="8:14" x14ac:dyDescent="0.25">
      <c r="H119" s="70"/>
      <c r="I119" s="70"/>
      <c r="J119" s="70"/>
      <c r="K119" s="70"/>
      <c r="L119" s="70"/>
      <c r="M119" s="70"/>
      <c r="N119" s="70"/>
    </row>
    <row r="120" spans="8:14" x14ac:dyDescent="0.25">
      <c r="H120" s="70"/>
      <c r="I120" s="70"/>
      <c r="J120" s="70"/>
      <c r="K120" s="70"/>
      <c r="L120" s="70"/>
      <c r="M120" s="70"/>
      <c r="N120" s="70"/>
    </row>
    <row r="121" spans="8:14" x14ac:dyDescent="0.25">
      <c r="H121" s="70"/>
      <c r="I121" s="70"/>
      <c r="J121" s="70"/>
      <c r="K121" s="70"/>
      <c r="L121" s="70"/>
      <c r="M121" s="70"/>
      <c r="N121" s="70"/>
    </row>
  </sheetData>
  <mergeCells count="14">
    <mergeCell ref="B82:F86"/>
    <mergeCell ref="B47:F51"/>
    <mergeCell ref="B71:F74"/>
    <mergeCell ref="B52:F56"/>
    <mergeCell ref="B76:F80"/>
    <mergeCell ref="B58:F62"/>
    <mergeCell ref="B64:F69"/>
    <mergeCell ref="C3:F3"/>
    <mergeCell ref="B41:F45"/>
    <mergeCell ref="E4:E5"/>
    <mergeCell ref="F4:F5"/>
    <mergeCell ref="B4:B5"/>
    <mergeCell ref="C4:C5"/>
    <mergeCell ref="D4:D5"/>
  </mergeCells>
  <phoneticPr fontId="29" type="noConversion"/>
  <hyperlinks>
    <hyperlink ref="N29" r:id="rId1" display="http://www.cmfclearinghouse.org/detail.cfm?facid=42" xr:uid="{E771629D-C7D7-4FD7-896F-E67459E5B220}"/>
    <hyperlink ref="N30" r:id="rId2" xr:uid="{F5CDA5FC-4B77-49BD-8185-3EFB9F23008E}"/>
    <hyperlink ref="N31" r:id="rId3" xr:uid="{0E0171D0-E604-42BC-8193-E800F25B55B4}"/>
    <hyperlink ref="N32" r:id="rId4" xr:uid="{13F9E4BB-5E50-42D5-BF27-3C422B00CC23}"/>
  </hyperlinks>
  <pageMargins left="0.25" right="0.25" top="0.75" bottom="0.75" header="0.3" footer="0.3"/>
  <pageSetup paperSize="3" scale="49" orientation="landscape"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C52D-462F-405A-995B-A163D414EEDE}">
  <sheetPr>
    <tabColor theme="6" tint="0.79998168889431442"/>
    <pageSetUpPr fitToPage="1"/>
  </sheetPr>
  <dimension ref="A1:AE69"/>
  <sheetViews>
    <sheetView zoomScale="85" zoomScaleNormal="85" zoomScaleSheetLayoutView="70" workbookViewId="0">
      <selection activeCell="F6" sqref="F6"/>
    </sheetView>
  </sheetViews>
  <sheetFormatPr defaultRowHeight="15" x14ac:dyDescent="0.25"/>
  <cols>
    <col min="1" max="1" width="9.140625" style="181"/>
    <col min="2" max="3" width="15.7109375" style="181" customWidth="1"/>
    <col min="4" max="5" width="18.5703125" style="181" customWidth="1"/>
    <col min="6" max="15" width="15.7109375" style="181" customWidth="1"/>
    <col min="16" max="16" width="17.7109375" style="181" customWidth="1"/>
    <col min="17" max="17" width="15.7109375" style="181" customWidth="1"/>
    <col min="18" max="22" width="15.42578125" style="181" customWidth="1"/>
    <col min="23" max="23" width="21.85546875" style="181" customWidth="1"/>
    <col min="24" max="24" width="15.7109375" style="181" customWidth="1"/>
    <col min="25" max="25" width="12.28515625" style="181" customWidth="1"/>
    <col min="26" max="26" width="19.140625" style="181" customWidth="1"/>
    <col min="27" max="27" width="13.85546875" style="181" customWidth="1"/>
    <col min="28" max="31" width="13.140625" style="181" customWidth="1"/>
    <col min="32" max="16384" width="9.140625" style="181"/>
  </cols>
  <sheetData>
    <row r="1" spans="2:31" s="242" customFormat="1" x14ac:dyDescent="0.25">
      <c r="B1" s="419">
        <v>1</v>
      </c>
      <c r="C1" s="419">
        <v>2</v>
      </c>
      <c r="D1" s="419">
        <v>3</v>
      </c>
      <c r="E1" s="419">
        <v>4</v>
      </c>
      <c r="F1" s="419">
        <v>5</v>
      </c>
      <c r="G1" s="419">
        <v>6</v>
      </c>
      <c r="H1" s="419">
        <v>7</v>
      </c>
      <c r="I1" s="419">
        <v>8</v>
      </c>
      <c r="J1" s="419">
        <v>9</v>
      </c>
      <c r="K1" s="419">
        <v>10</v>
      </c>
      <c r="L1" s="419">
        <v>11</v>
      </c>
      <c r="M1" s="419">
        <v>12</v>
      </c>
      <c r="N1" s="419">
        <v>13</v>
      </c>
      <c r="O1" s="419">
        <v>14</v>
      </c>
      <c r="P1" s="419">
        <v>15</v>
      </c>
    </row>
    <row r="2" spans="2:31" ht="15.75" thickBot="1" x14ac:dyDescent="0.3">
      <c r="B2" s="9" t="s">
        <v>37</v>
      </c>
      <c r="C2" s="9"/>
      <c r="D2" s="9"/>
      <c r="E2" s="9"/>
    </row>
    <row r="3" spans="2:31" ht="18.75" thickBot="1" x14ac:dyDescent="0.3">
      <c r="C3" s="519" t="s">
        <v>141</v>
      </c>
      <c r="D3" s="520"/>
      <c r="E3" s="521"/>
      <c r="F3" s="498" t="s">
        <v>47</v>
      </c>
      <c r="G3" s="499"/>
      <c r="H3" s="499"/>
      <c r="I3" s="499"/>
      <c r="J3" s="499"/>
      <c r="K3" s="499"/>
      <c r="L3" s="499"/>
      <c r="M3" s="499"/>
      <c r="N3" s="499"/>
      <c r="O3" s="522" t="s">
        <v>48</v>
      </c>
      <c r="P3" s="523"/>
    </row>
    <row r="4" spans="2:31" ht="35.1" customHeight="1" x14ac:dyDescent="0.25">
      <c r="B4" s="511" t="s">
        <v>0</v>
      </c>
      <c r="C4" s="488" t="s">
        <v>142</v>
      </c>
      <c r="D4" s="515" t="s">
        <v>143</v>
      </c>
      <c r="E4" s="525" t="s">
        <v>56</v>
      </c>
      <c r="F4" s="488" t="s">
        <v>38</v>
      </c>
      <c r="G4" s="515" t="s">
        <v>94</v>
      </c>
      <c r="H4" s="517" t="s">
        <v>144</v>
      </c>
      <c r="I4" s="513" t="s">
        <v>145</v>
      </c>
      <c r="J4" s="515" t="s">
        <v>149</v>
      </c>
      <c r="K4" s="517" t="s">
        <v>150</v>
      </c>
      <c r="L4" s="513" t="s">
        <v>148</v>
      </c>
      <c r="M4" s="488" t="s">
        <v>151</v>
      </c>
      <c r="N4" s="527" t="s">
        <v>1</v>
      </c>
      <c r="O4" s="529" t="s">
        <v>49</v>
      </c>
      <c r="P4" s="531" t="s">
        <v>152</v>
      </c>
      <c r="R4" s="76"/>
    </row>
    <row r="5" spans="2:31" ht="35.1" customHeight="1" thickBot="1" x14ac:dyDescent="0.3">
      <c r="B5" s="512"/>
      <c r="C5" s="524"/>
      <c r="D5" s="516"/>
      <c r="E5" s="526"/>
      <c r="F5" s="524"/>
      <c r="G5" s="516"/>
      <c r="H5" s="518"/>
      <c r="I5" s="514"/>
      <c r="J5" s="516"/>
      <c r="K5" s="518"/>
      <c r="L5" s="514"/>
      <c r="M5" s="524"/>
      <c r="N5" s="528"/>
      <c r="O5" s="530"/>
      <c r="P5" s="532"/>
    </row>
    <row r="6" spans="2:31" ht="17.25" customHeight="1" x14ac:dyDescent="0.25">
      <c r="B6" s="1">
        <f>Assumptions!$D$8</f>
        <v>2028</v>
      </c>
      <c r="C6" s="116">
        <f>(($F6*$V$8*Assumptions!$D$13)+($F6*Assumptions!$D$14*$V$9))/10^6</f>
        <v>0</v>
      </c>
      <c r="D6" s="117">
        <f t="shared" ref="D6:D35" si="0">C6*_xlfn.XLOOKUP($B6,$R$14:$R$54,$V$14:$V$54)</f>
        <v>0</v>
      </c>
      <c r="E6" s="118">
        <f>D6*(1+0.03)^-($B6-Assumptions!$D$4)</f>
        <v>0</v>
      </c>
      <c r="F6" s="236">
        <f>IF(B6&lt;=Assumptions!$D$9,IF(B6&gt;=Assumptions!$D$29,('VOC-Detour-Truck'!C6-'VOC-Detour-Truck'!D6+'VOC-Detour-Car'!C6-'VOC-Detour-Car'!D6),0),0)</f>
        <v>0</v>
      </c>
      <c r="G6" s="119">
        <f>(($F6*$S$8*Assumptions!$D$13)+($F6*Assumptions!$D$14*$S$9))/10^6</f>
        <v>0</v>
      </c>
      <c r="H6" s="120">
        <f>(($F6*$T$8*Assumptions!$D$13)+($F6*Assumptions!$D$14*$T$9))/10^6</f>
        <v>0</v>
      </c>
      <c r="I6" s="121">
        <f>(($F6*$U$8*Assumptions!$D$13)+($F6*Assumptions!$D$14*$U$9))/10^6</f>
        <v>0</v>
      </c>
      <c r="J6" s="235">
        <f>G6*_xlfn.XLOOKUP($B6,$R$14:$R$54,$S$14:$S$54)</f>
        <v>0</v>
      </c>
      <c r="K6" s="234">
        <f>G6*_xlfn.XLOOKUP($B6,$R$14:$R$54,$T$14:$T$54)</f>
        <v>0</v>
      </c>
      <c r="L6" s="118">
        <f>H6*_xlfn.XLOOKUP($B6,$R$14:$R$54,$U$14:$U$54)</f>
        <v>0</v>
      </c>
      <c r="M6" s="122">
        <f t="shared" ref="M6" si="1">SUM(J6:L6)</f>
        <v>0</v>
      </c>
      <c r="N6" s="123">
        <f>M6*(1+0.07)^-(B6-Assumptions!$D$4)</f>
        <v>0</v>
      </c>
      <c r="O6" s="110">
        <f>M6+D6</f>
        <v>0</v>
      </c>
      <c r="P6" s="82">
        <f t="shared" ref="P6" si="2">N6+E6</f>
        <v>0</v>
      </c>
      <c r="R6" s="77" t="s">
        <v>147</v>
      </c>
      <c r="S6" s="77"/>
      <c r="T6" s="77"/>
      <c r="U6" s="77"/>
      <c r="V6" s="77"/>
      <c r="Y6" s="9" t="s">
        <v>84</v>
      </c>
    </row>
    <row r="7" spans="2:31" ht="18" x14ac:dyDescent="0.25">
      <c r="B7" s="2">
        <f t="shared" ref="B7:B23" si="3">+B6+1</f>
        <v>2029</v>
      </c>
      <c r="C7" s="109">
        <f>(($F7*$V$8*Assumptions!$D$13)+($F7*Assumptions!$D$14*$V$9))/10^6</f>
        <v>0</v>
      </c>
      <c r="D7" s="110">
        <f t="shared" si="0"/>
        <v>0</v>
      </c>
      <c r="E7" s="82">
        <f>D7*(1+0.03)^-($B7-Assumptions!$D$4)</f>
        <v>0</v>
      </c>
      <c r="F7" s="233">
        <f>IF(B7&lt;=Assumptions!$D$9,IF(B7&gt;=Assumptions!$D$29,('VOC-Detour-Truck'!C7-'VOC-Detour-Truck'!D7+'VOC-Detour-Car'!C7-'VOC-Detour-Car'!D7),0),0)</f>
        <v>0</v>
      </c>
      <c r="G7" s="113">
        <f>(($F7*$S$8*Assumptions!$D$13)+($F7*Assumptions!$D$14*$S$9))/10^6</f>
        <v>0</v>
      </c>
      <c r="H7" s="114">
        <f>(($F7*$T$8*Assumptions!$D$13)+($F7*Assumptions!$D$14*$T$9))/10^6</f>
        <v>0</v>
      </c>
      <c r="I7" s="115">
        <f>(($F7*$U$8*Assumptions!$D$13)+($F7*Assumptions!$D$14*$U$9))/10^6</f>
        <v>0</v>
      </c>
      <c r="J7" s="105">
        <f t="shared" ref="J7:J35" si="4">G7*_xlfn.XLOOKUP($B7,$R$14:$R$54,$S$14:$S$54)</f>
        <v>0</v>
      </c>
      <c r="K7" s="78">
        <f t="shared" ref="K7:K35" si="5">G7*_xlfn.XLOOKUP($B7,$R$14:$R$54,$T$14:$T$54)</f>
        <v>0</v>
      </c>
      <c r="L7" s="79">
        <f t="shared" ref="L7:L35" si="6">H7*_xlfn.XLOOKUP($B7,$R$14:$R$54,$U$14:$U$54)</f>
        <v>0</v>
      </c>
      <c r="M7" s="83">
        <f t="shared" ref="M7:M35" si="7">SUM(J7:L7)</f>
        <v>0</v>
      </c>
      <c r="N7" s="124">
        <f>M7*(1+0.07)^-(B7-Assumptions!$D$4)</f>
        <v>0</v>
      </c>
      <c r="O7" s="125">
        <f t="shared" ref="O7:O35" si="8">M7+D7</f>
        <v>0</v>
      </c>
      <c r="P7" s="79">
        <f t="shared" ref="P7:P35" si="9">N7+E7</f>
        <v>0</v>
      </c>
      <c r="R7" s="74" t="s">
        <v>39</v>
      </c>
      <c r="S7" s="163" t="s">
        <v>139</v>
      </c>
      <c r="T7" s="163" t="s">
        <v>140</v>
      </c>
      <c r="U7" s="163" t="s">
        <v>99</v>
      </c>
      <c r="V7" s="163" t="s">
        <v>98</v>
      </c>
      <c r="Y7" s="127" t="s">
        <v>59</v>
      </c>
      <c r="Z7" s="127" t="s">
        <v>60</v>
      </c>
      <c r="AA7" s="127" t="s">
        <v>61</v>
      </c>
      <c r="AB7" s="201" t="s">
        <v>52</v>
      </c>
      <c r="AC7" s="201" t="s">
        <v>53</v>
      </c>
      <c r="AD7" s="201" t="s">
        <v>54</v>
      </c>
      <c r="AE7" s="201" t="s">
        <v>55</v>
      </c>
    </row>
    <row r="8" spans="2:31" x14ac:dyDescent="0.25">
      <c r="B8" s="2">
        <f t="shared" si="3"/>
        <v>2030</v>
      </c>
      <c r="C8" s="109">
        <f>(($F8*$V$8*Assumptions!$D$13)+($F8*Assumptions!$D$14*$V$9))/10^6</f>
        <v>0</v>
      </c>
      <c r="D8" s="110">
        <f t="shared" si="0"/>
        <v>0</v>
      </c>
      <c r="E8" s="82">
        <f>D8*(1+0.03)^-($B8-Assumptions!$D$4)</f>
        <v>0</v>
      </c>
      <c r="F8" s="233">
        <f>IF(B8&lt;=Assumptions!$D$9,IF(B8&gt;=Assumptions!$D$29,('VOC-Detour-Truck'!C8-'VOC-Detour-Truck'!D8+'VOC-Detour-Car'!C8-'VOC-Detour-Car'!D8),0),0)</f>
        <v>0</v>
      </c>
      <c r="G8" s="113">
        <f>(($F8*$S$8*Assumptions!$D$13)+($F8*Assumptions!$D$14*$S$9))/10^6</f>
        <v>0</v>
      </c>
      <c r="H8" s="114">
        <f>(($F8*$T$8*Assumptions!$D$13)+($F8*Assumptions!$D$14*$T$9))/10^6</f>
        <v>0</v>
      </c>
      <c r="I8" s="115">
        <f>(($F8*$U$8*Assumptions!$D$13)+($F8*Assumptions!$D$14*$U$9))/10^6</f>
        <v>0</v>
      </c>
      <c r="J8" s="105">
        <f t="shared" si="4"/>
        <v>0</v>
      </c>
      <c r="K8" s="78">
        <f t="shared" si="5"/>
        <v>0</v>
      </c>
      <c r="L8" s="79">
        <f t="shared" si="6"/>
        <v>0</v>
      </c>
      <c r="M8" s="83">
        <f t="shared" si="7"/>
        <v>0</v>
      </c>
      <c r="N8" s="124">
        <f>M8*(1+0.07)^-(B8-Assumptions!$D$4)</f>
        <v>0</v>
      </c>
      <c r="O8" s="125">
        <f t="shared" si="8"/>
        <v>0</v>
      </c>
      <c r="P8" s="79">
        <f t="shared" si="9"/>
        <v>0</v>
      </c>
      <c r="R8" s="74" t="s">
        <v>40</v>
      </c>
      <c r="S8" s="134">
        <f t="shared" ref="S8:V9" si="10">AB26</f>
        <v>0.22790983982547491</v>
      </c>
      <c r="T8" s="134">
        <f t="shared" si="10"/>
        <v>2.0699004398994176E-3</v>
      </c>
      <c r="U8" s="134">
        <f t="shared" si="10"/>
        <v>5.8180715878192544E-3</v>
      </c>
      <c r="V8" s="134">
        <f t="shared" si="10"/>
        <v>317.22468262036</v>
      </c>
      <c r="Y8" s="201">
        <v>11</v>
      </c>
      <c r="Z8" s="127" t="s">
        <v>62</v>
      </c>
      <c r="AA8" s="127" t="s">
        <v>63</v>
      </c>
      <c r="AB8" s="169">
        <v>0.73690802096518104</v>
      </c>
      <c r="AC8" s="169">
        <v>2.4081927794970298E-3</v>
      </c>
      <c r="AD8" s="169">
        <v>1.78605259703664E-2</v>
      </c>
      <c r="AE8" s="169">
        <v>362.51238716242</v>
      </c>
    </row>
    <row r="9" spans="2:31" x14ac:dyDescent="0.25">
      <c r="B9" s="2">
        <f t="shared" si="3"/>
        <v>2031</v>
      </c>
      <c r="C9" s="109">
        <f>(($F9*$V$8*Assumptions!$D$13)+($F9*Assumptions!$D$14*$V$9))/10^6</f>
        <v>0</v>
      </c>
      <c r="D9" s="110">
        <f t="shared" si="0"/>
        <v>0</v>
      </c>
      <c r="E9" s="82">
        <f>D9*(1+0.03)^-($B9-Assumptions!$D$4)</f>
        <v>0</v>
      </c>
      <c r="F9" s="233">
        <f>IF(B9&lt;=Assumptions!$D$9,IF(B9&gt;=Assumptions!$D$29,('VOC-Detour-Truck'!C9-'VOC-Detour-Truck'!D9+'VOC-Detour-Car'!C9-'VOC-Detour-Car'!D9),0),0)</f>
        <v>0</v>
      </c>
      <c r="G9" s="113">
        <f>(($F9*$S$8*Assumptions!$D$13)+($F9*Assumptions!$D$14*$S$9))/10^6</f>
        <v>0</v>
      </c>
      <c r="H9" s="114">
        <f>(($F9*$T$8*Assumptions!$D$13)+($F9*Assumptions!$D$14*$T$9))/10^6</f>
        <v>0</v>
      </c>
      <c r="I9" s="115">
        <f>(($F9*$U$8*Assumptions!$D$13)+($F9*Assumptions!$D$14*$U$9))/10^6</f>
        <v>0</v>
      </c>
      <c r="J9" s="105">
        <f t="shared" si="4"/>
        <v>0</v>
      </c>
      <c r="K9" s="78">
        <f t="shared" si="5"/>
        <v>0</v>
      </c>
      <c r="L9" s="79">
        <f t="shared" si="6"/>
        <v>0</v>
      </c>
      <c r="M9" s="83">
        <f t="shared" si="7"/>
        <v>0</v>
      </c>
      <c r="N9" s="124">
        <f>M9*(1+0.07)^-(B9-Assumptions!$D$4)</f>
        <v>0</v>
      </c>
      <c r="O9" s="125">
        <f t="shared" si="8"/>
        <v>0</v>
      </c>
      <c r="P9" s="79">
        <f t="shared" si="9"/>
        <v>0</v>
      </c>
      <c r="R9" s="74" t="s">
        <v>41</v>
      </c>
      <c r="S9" s="134">
        <f t="shared" si="10"/>
        <v>2.099484306313415</v>
      </c>
      <c r="T9" s="134">
        <f t="shared" si="10"/>
        <v>4.7858028693373951E-3</v>
      </c>
      <c r="U9" s="134">
        <f t="shared" si="10"/>
        <v>3.2505287070740692E-2</v>
      </c>
      <c r="V9" s="134">
        <f t="shared" si="10"/>
        <v>1238.7315972924489</v>
      </c>
      <c r="Y9" s="201">
        <v>21</v>
      </c>
      <c r="Z9" s="127" t="s">
        <v>64</v>
      </c>
      <c r="AA9" s="127" t="s">
        <v>63</v>
      </c>
      <c r="AB9" s="169">
        <v>3.7528759722247264E-2</v>
      </c>
      <c r="AC9" s="169">
        <v>1.6122938930079201E-3</v>
      </c>
      <c r="AD9" s="169">
        <v>1.1798384221972261E-3</v>
      </c>
      <c r="AE9" s="169">
        <v>243.79125643460799</v>
      </c>
    </row>
    <row r="10" spans="2:31" ht="15" customHeight="1" x14ac:dyDescent="0.25">
      <c r="B10" s="2">
        <f t="shared" si="3"/>
        <v>2032</v>
      </c>
      <c r="C10" s="109">
        <f>(($F10*$V$8*Assumptions!$D$13)+($F10*Assumptions!$D$14*$V$9))/10^6</f>
        <v>0</v>
      </c>
      <c r="D10" s="110">
        <f t="shared" si="0"/>
        <v>0</v>
      </c>
      <c r="E10" s="82">
        <f>D10*(1+0.03)^-($B10-Assumptions!$D$4)</f>
        <v>0</v>
      </c>
      <c r="F10" s="233">
        <f>IF(B10&lt;=Assumptions!$D$9,IF(B10&gt;=Assumptions!$D$29,('VOC-Detour-Truck'!C10-'VOC-Detour-Truck'!D10+'VOC-Detour-Car'!C10-'VOC-Detour-Car'!D10),0),0)</f>
        <v>0</v>
      </c>
      <c r="G10" s="113">
        <f>(($F10*$S$8*Assumptions!$D$13)+($F10*Assumptions!$D$14*$S$9))/10^6</f>
        <v>0</v>
      </c>
      <c r="H10" s="114">
        <f>(($F10*$T$8*Assumptions!$D$13)+($F10*Assumptions!$D$14*$T$9))/10^6</f>
        <v>0</v>
      </c>
      <c r="I10" s="115">
        <f>(($F10*$U$8*Assumptions!$D$13)+($F10*Assumptions!$D$14*$U$9))/10^6</f>
        <v>0</v>
      </c>
      <c r="J10" s="105">
        <f t="shared" si="4"/>
        <v>0</v>
      </c>
      <c r="K10" s="78">
        <f t="shared" si="5"/>
        <v>0</v>
      </c>
      <c r="L10" s="79">
        <f t="shared" si="6"/>
        <v>0</v>
      </c>
      <c r="M10" s="83">
        <f t="shared" si="7"/>
        <v>0</v>
      </c>
      <c r="N10" s="124">
        <f>M10*(1+0.07)^-(B10-Assumptions!$D$4)</f>
        <v>0</v>
      </c>
      <c r="O10" s="125">
        <f t="shared" si="8"/>
        <v>0</v>
      </c>
      <c r="P10" s="79">
        <f t="shared" si="9"/>
        <v>0</v>
      </c>
      <c r="R10" s="9"/>
      <c r="S10" s="132"/>
      <c r="T10" s="133"/>
      <c r="U10" s="132"/>
      <c r="V10" s="131"/>
      <c r="Y10" s="201">
        <v>31</v>
      </c>
      <c r="Z10" s="127" t="s">
        <v>64</v>
      </c>
      <c r="AA10" s="127" t="s">
        <v>63</v>
      </c>
      <c r="AB10" s="169">
        <v>5.602001301010253E-2</v>
      </c>
      <c r="AC10" s="169">
        <v>2.0534055761767299E-3</v>
      </c>
      <c r="AD10" s="169">
        <v>1.6834690354423085E-3</v>
      </c>
      <c r="AE10" s="169">
        <v>318.590574637288</v>
      </c>
    </row>
    <row r="11" spans="2:31" x14ac:dyDescent="0.25">
      <c r="B11" s="2">
        <f t="shared" si="3"/>
        <v>2033</v>
      </c>
      <c r="C11" s="109">
        <f>(($F11*$V$8*Assumptions!$D$13)+($F11*Assumptions!$D$14*$V$9))/10^6</f>
        <v>0</v>
      </c>
      <c r="D11" s="110">
        <f t="shared" si="0"/>
        <v>0</v>
      </c>
      <c r="E11" s="82">
        <f>D11*(1+0.03)^-($B11-Assumptions!$D$4)</f>
        <v>0</v>
      </c>
      <c r="F11" s="233">
        <f>IF(B11&lt;=Assumptions!$D$9,IF(B11&gt;=Assumptions!$D$29,('VOC-Detour-Truck'!C11-'VOC-Detour-Truck'!D11+'VOC-Detour-Car'!C11-'VOC-Detour-Car'!D11),0),0)</f>
        <v>0</v>
      </c>
      <c r="G11" s="113">
        <f>(($F11*$S$8*Assumptions!$D$13)+($F11*Assumptions!$D$14*$S$9))/10^6</f>
        <v>0</v>
      </c>
      <c r="H11" s="114">
        <f>(($F11*$T$8*Assumptions!$D$13)+($F11*Assumptions!$D$14*$T$9))/10^6</f>
        <v>0</v>
      </c>
      <c r="I11" s="115">
        <f>(($F11*$U$8*Assumptions!$D$13)+($F11*Assumptions!$D$14*$U$9))/10^6</f>
        <v>0</v>
      </c>
      <c r="J11" s="105">
        <f t="shared" si="4"/>
        <v>0</v>
      </c>
      <c r="K11" s="78">
        <f t="shared" si="5"/>
        <v>0</v>
      </c>
      <c r="L11" s="79">
        <f t="shared" si="6"/>
        <v>0</v>
      </c>
      <c r="M11" s="83">
        <f t="shared" si="7"/>
        <v>0</v>
      </c>
      <c r="N11" s="124">
        <f>M11*(1+0.07)^-(B11-Assumptions!$D$4)</f>
        <v>0</v>
      </c>
      <c r="O11" s="125">
        <f t="shared" si="8"/>
        <v>0</v>
      </c>
      <c r="P11" s="79">
        <f t="shared" si="9"/>
        <v>0</v>
      </c>
      <c r="S11" s="12"/>
      <c r="T11" s="12"/>
      <c r="U11" s="12"/>
      <c r="V11" s="12"/>
      <c r="Y11" s="201">
        <v>32</v>
      </c>
      <c r="Z11" s="127" t="s">
        <v>64</v>
      </c>
      <c r="AA11" s="127" t="s">
        <v>63</v>
      </c>
      <c r="AB11" s="169">
        <v>8.1182565604368817E-2</v>
      </c>
      <c r="AC11" s="169">
        <v>2.2057095109159902E-3</v>
      </c>
      <c r="AD11" s="169">
        <v>2.5484529232710825E-3</v>
      </c>
      <c r="AE11" s="169">
        <v>344.00451224712401</v>
      </c>
    </row>
    <row r="12" spans="2:31" x14ac:dyDescent="0.25">
      <c r="B12" s="2">
        <f t="shared" si="3"/>
        <v>2034</v>
      </c>
      <c r="C12" s="109">
        <f>(($F12*$V$8*Assumptions!$D$13)+($F12*Assumptions!$D$14*$V$9))/10^6</f>
        <v>0</v>
      </c>
      <c r="D12" s="110">
        <f t="shared" si="0"/>
        <v>0</v>
      </c>
      <c r="E12" s="82">
        <f>D12*(1+0.03)^-($B12-Assumptions!$D$4)</f>
        <v>0</v>
      </c>
      <c r="F12" s="233">
        <f>IF(B12&lt;=Assumptions!$D$9,IF(B12&gt;=Assumptions!$D$29,('VOC-Detour-Truck'!C12-'VOC-Detour-Truck'!D12+'VOC-Detour-Car'!C12-'VOC-Detour-Car'!D12),0),0)</f>
        <v>0</v>
      </c>
      <c r="G12" s="113">
        <f>(($F12*$S$8*Assumptions!$D$13)+($F12*Assumptions!$D$14*$S$9))/10^6</f>
        <v>0</v>
      </c>
      <c r="H12" s="114">
        <f>(($F12*$T$8*Assumptions!$D$13)+($F12*Assumptions!$D$14*$T$9))/10^6</f>
        <v>0</v>
      </c>
      <c r="I12" s="115">
        <f>(($F12*$U$8*Assumptions!$D$13)+($F12*Assumptions!$D$14*$U$9))/10^6</f>
        <v>0</v>
      </c>
      <c r="J12" s="105">
        <f t="shared" si="4"/>
        <v>0</v>
      </c>
      <c r="K12" s="78">
        <f t="shared" si="5"/>
        <v>0</v>
      </c>
      <c r="L12" s="79">
        <f t="shared" si="6"/>
        <v>0</v>
      </c>
      <c r="M12" s="83">
        <f t="shared" si="7"/>
        <v>0</v>
      </c>
      <c r="N12" s="124">
        <f>M12*(1+0.07)^-(B12-Assumptions!$D$4)</f>
        <v>0</v>
      </c>
      <c r="O12" s="125">
        <f t="shared" si="8"/>
        <v>0</v>
      </c>
      <c r="P12" s="79">
        <f t="shared" si="9"/>
        <v>0</v>
      </c>
      <c r="R12" s="9" t="s">
        <v>146</v>
      </c>
      <c r="Y12" s="201">
        <v>41</v>
      </c>
      <c r="Z12" s="127" t="s">
        <v>65</v>
      </c>
      <c r="AA12" s="127" t="s">
        <v>66</v>
      </c>
      <c r="AB12" s="169">
        <v>2.237602310868759</v>
      </c>
      <c r="AC12" s="169">
        <v>5.5717265564873301E-3</v>
      </c>
      <c r="AD12" s="169">
        <v>1.658066855283262E-2</v>
      </c>
      <c r="AE12" s="169">
        <v>1406.7823013201701</v>
      </c>
    </row>
    <row r="13" spans="2:31" ht="18" x14ac:dyDescent="0.25">
      <c r="B13" s="2">
        <f t="shared" si="3"/>
        <v>2035</v>
      </c>
      <c r="C13" s="109">
        <f>(($F13*$V$8*Assumptions!$D$13)+($F13*Assumptions!$D$14*$V$9))/10^6</f>
        <v>0</v>
      </c>
      <c r="D13" s="110">
        <f t="shared" si="0"/>
        <v>0</v>
      </c>
      <c r="E13" s="82">
        <f>D13*(1+0.03)^-($B13-Assumptions!$D$4)</f>
        <v>0</v>
      </c>
      <c r="F13" s="233">
        <f>IF(B13&lt;=Assumptions!$D$9,IF(B13&gt;=Assumptions!$D$29,('VOC-Detour-Truck'!C13-'VOC-Detour-Truck'!D13+'VOC-Detour-Car'!C13-'VOC-Detour-Car'!D13),0),0)</f>
        <v>0</v>
      </c>
      <c r="G13" s="113">
        <f>(($F13*$S$8*Assumptions!$D$13)+($F13*Assumptions!$D$14*$S$9))/10^6</f>
        <v>0</v>
      </c>
      <c r="H13" s="114">
        <f>(($F13*$T$8*Assumptions!$D$13)+($F13*Assumptions!$D$14*$T$9))/10^6</f>
        <v>0</v>
      </c>
      <c r="I13" s="115">
        <f>(($F13*$U$8*Assumptions!$D$13)+($F13*Assumptions!$D$14*$U$9))/10^6</f>
        <v>0</v>
      </c>
      <c r="J13" s="105">
        <f t="shared" si="4"/>
        <v>0</v>
      </c>
      <c r="K13" s="78">
        <f t="shared" si="5"/>
        <v>0</v>
      </c>
      <c r="L13" s="79">
        <f t="shared" si="6"/>
        <v>0</v>
      </c>
      <c r="M13" s="83">
        <f t="shared" si="7"/>
        <v>0</v>
      </c>
      <c r="N13" s="124">
        <f>M13*(1+0.07)^-(B13-Assumptions!$D$4)</f>
        <v>0</v>
      </c>
      <c r="O13" s="125">
        <f t="shared" si="8"/>
        <v>0</v>
      </c>
      <c r="P13" s="79">
        <f t="shared" si="9"/>
        <v>0</v>
      </c>
      <c r="R13" s="170" t="s">
        <v>43</v>
      </c>
      <c r="S13" s="163" t="s">
        <v>139</v>
      </c>
      <c r="T13" s="163" t="s">
        <v>140</v>
      </c>
      <c r="U13" s="163" t="s">
        <v>99</v>
      </c>
      <c r="V13" s="163" t="s">
        <v>98</v>
      </c>
      <c r="Y13" s="201">
        <v>42</v>
      </c>
      <c r="Z13" s="127" t="s">
        <v>65</v>
      </c>
      <c r="AA13" s="127" t="s">
        <v>66</v>
      </c>
      <c r="AB13" s="169">
        <v>1.9658170115512426</v>
      </c>
      <c r="AC13" s="169">
        <v>5.4889920561794897E-3</v>
      </c>
      <c r="AD13" s="169">
        <v>1.2308421676718551E-2</v>
      </c>
      <c r="AE13" s="169">
        <v>1391.9649569298599</v>
      </c>
    </row>
    <row r="14" spans="2:31" ht="15" customHeight="1" x14ac:dyDescent="0.25">
      <c r="B14" s="2">
        <f t="shared" si="3"/>
        <v>2036</v>
      </c>
      <c r="C14" s="109">
        <f>(($F14*$V$8*Assumptions!$D$13)+($F14*Assumptions!$D$14*$V$9))/10^6</f>
        <v>0</v>
      </c>
      <c r="D14" s="110">
        <f t="shared" si="0"/>
        <v>0</v>
      </c>
      <c r="E14" s="82">
        <f>D14*(1+0.03)^-($B14-Assumptions!$D$4)</f>
        <v>0</v>
      </c>
      <c r="F14" s="233">
        <f>IF(B14&lt;=Assumptions!$D$9,IF(B14&gt;=Assumptions!$D$29,('VOC-Detour-Truck'!C14-'VOC-Detour-Truck'!D14+'VOC-Detour-Car'!C14-'VOC-Detour-Car'!D14),0),0)</f>
        <v>0</v>
      </c>
      <c r="G14" s="113">
        <f>(($F14*$S$8*Assumptions!$D$13)+($F14*Assumptions!$D$14*$S$9))/10^6</f>
        <v>0</v>
      </c>
      <c r="H14" s="114">
        <f>(($F14*$T$8*Assumptions!$D$13)+($F14*Assumptions!$D$14*$T$9))/10^6</f>
        <v>0</v>
      </c>
      <c r="I14" s="115">
        <f>(($F14*$U$8*Assumptions!$D$13)+($F14*Assumptions!$D$14*$U$9))/10^6</f>
        <v>0</v>
      </c>
      <c r="J14" s="105">
        <f t="shared" si="4"/>
        <v>0</v>
      </c>
      <c r="K14" s="78">
        <f t="shared" si="5"/>
        <v>0</v>
      </c>
      <c r="L14" s="79">
        <f t="shared" si="6"/>
        <v>0</v>
      </c>
      <c r="M14" s="83">
        <f t="shared" si="7"/>
        <v>0</v>
      </c>
      <c r="N14" s="124">
        <f>M14*(1+0.07)^-(B14-Assumptions!$D$4)</f>
        <v>0</v>
      </c>
      <c r="O14" s="125">
        <f t="shared" si="8"/>
        <v>0</v>
      </c>
      <c r="P14" s="79">
        <f t="shared" si="9"/>
        <v>0</v>
      </c>
      <c r="R14" s="180">
        <v>2020</v>
      </c>
      <c r="S14" s="171">
        <v>15700</v>
      </c>
      <c r="T14" s="171">
        <v>40400</v>
      </c>
      <c r="U14" s="171">
        <v>729300</v>
      </c>
      <c r="V14" s="171">
        <v>50</v>
      </c>
      <c r="Y14" s="201">
        <v>43</v>
      </c>
      <c r="Z14" s="127" t="s">
        <v>65</v>
      </c>
      <c r="AA14" s="127" t="s">
        <v>66</v>
      </c>
      <c r="AB14" s="169">
        <v>1.9469017025302577</v>
      </c>
      <c r="AC14" s="169">
        <v>3.66910948950592E-3</v>
      </c>
      <c r="AD14" s="169">
        <v>5.5096995199883071E-2</v>
      </c>
      <c r="AE14" s="169">
        <v>1071.1129065416801</v>
      </c>
    </row>
    <row r="15" spans="2:31" x14ac:dyDescent="0.25">
      <c r="B15" s="2">
        <f t="shared" si="3"/>
        <v>2037</v>
      </c>
      <c r="C15" s="109">
        <f>(($F15*$V$8*Assumptions!$D$13)+($F15*Assumptions!$D$14*$V$9))/10^6</f>
        <v>0</v>
      </c>
      <c r="D15" s="110">
        <f t="shared" si="0"/>
        <v>0</v>
      </c>
      <c r="E15" s="82">
        <f>D15*(1+0.03)^-($B15-Assumptions!$D$4)</f>
        <v>0</v>
      </c>
      <c r="F15" s="233">
        <f>IF(B15&lt;=Assumptions!$D$9,IF(B15&gt;=Assumptions!$D$29,('VOC-Detour-Truck'!C15-'VOC-Detour-Truck'!D15+'VOC-Detour-Car'!C15-'VOC-Detour-Car'!D15),0),0)</f>
        <v>0</v>
      </c>
      <c r="G15" s="113">
        <f>(($F15*$S$8*Assumptions!$D$13)+($F15*Assumptions!$D$14*$S$9))/10^6</f>
        <v>0</v>
      </c>
      <c r="H15" s="114">
        <f>(($F15*$T$8*Assumptions!$D$13)+($F15*Assumptions!$D$14*$T$9))/10^6</f>
        <v>0</v>
      </c>
      <c r="I15" s="115">
        <f>(($F15*$U$8*Assumptions!$D$13)+($F15*Assumptions!$D$14*$U$9))/10^6</f>
        <v>0</v>
      </c>
      <c r="J15" s="105">
        <f t="shared" si="4"/>
        <v>0</v>
      </c>
      <c r="K15" s="78">
        <f t="shared" si="5"/>
        <v>0</v>
      </c>
      <c r="L15" s="79">
        <f t="shared" si="6"/>
        <v>0</v>
      </c>
      <c r="M15" s="83">
        <f t="shared" si="7"/>
        <v>0</v>
      </c>
      <c r="N15" s="124">
        <f>M15*(1+0.07)^-(B15-Assumptions!$D$4)</f>
        <v>0</v>
      </c>
      <c r="O15" s="125">
        <f t="shared" si="8"/>
        <v>0</v>
      </c>
      <c r="P15" s="79">
        <f t="shared" si="9"/>
        <v>0</v>
      </c>
      <c r="R15" s="180">
        <v>2021</v>
      </c>
      <c r="S15" s="171">
        <v>15900</v>
      </c>
      <c r="T15" s="171">
        <v>41300</v>
      </c>
      <c r="U15" s="171">
        <v>742300</v>
      </c>
      <c r="V15" s="171">
        <v>52</v>
      </c>
      <c r="Y15" s="201">
        <v>51</v>
      </c>
      <c r="Z15" s="127" t="s">
        <v>67</v>
      </c>
      <c r="AA15" s="127" t="s">
        <v>66</v>
      </c>
      <c r="AB15" s="169">
        <v>2.48942987946789</v>
      </c>
      <c r="AC15" s="169">
        <v>5.2833773025508703E-3</v>
      </c>
      <c r="AD15" s="169">
        <v>3.4321389281753531E-2</v>
      </c>
      <c r="AE15" s="169">
        <v>1427.83446247497</v>
      </c>
    </row>
    <row r="16" spans="2:31" x14ac:dyDescent="0.25">
      <c r="B16" s="2">
        <f t="shared" si="3"/>
        <v>2038</v>
      </c>
      <c r="C16" s="109">
        <f>(($F16*$V$8*Assumptions!$D$13)+($F16*Assumptions!$D$14*$V$9))/10^6</f>
        <v>0</v>
      </c>
      <c r="D16" s="110">
        <f t="shared" si="0"/>
        <v>0</v>
      </c>
      <c r="E16" s="82">
        <f>D16*(1+0.03)^-($B16-Assumptions!$D$4)</f>
        <v>0</v>
      </c>
      <c r="F16" s="233">
        <f>IF(B16&lt;=Assumptions!$D$9,IF(B16&gt;=Assumptions!$D$29,('VOC-Detour-Truck'!C16-'VOC-Detour-Truck'!D16+'VOC-Detour-Car'!C16-'VOC-Detour-Car'!D16),0),0)</f>
        <v>0</v>
      </c>
      <c r="G16" s="113">
        <f>(($F16*$S$8*Assumptions!$D$13)+($F16*Assumptions!$D$14*$S$9))/10^6</f>
        <v>0</v>
      </c>
      <c r="H16" s="114">
        <f>(($F16*$T$8*Assumptions!$D$13)+($F16*Assumptions!$D$14*$T$9))/10^6</f>
        <v>0</v>
      </c>
      <c r="I16" s="115">
        <f>(($F16*$U$8*Assumptions!$D$13)+($F16*Assumptions!$D$14*$U$9))/10^6</f>
        <v>0</v>
      </c>
      <c r="J16" s="105">
        <f t="shared" si="4"/>
        <v>0</v>
      </c>
      <c r="K16" s="78">
        <f t="shared" si="5"/>
        <v>0</v>
      </c>
      <c r="L16" s="79">
        <f t="shared" si="6"/>
        <v>0</v>
      </c>
      <c r="M16" s="83">
        <f t="shared" si="7"/>
        <v>0</v>
      </c>
      <c r="N16" s="124">
        <f>M16*(1+0.07)^-(B16-Assumptions!$D$4)</f>
        <v>0</v>
      </c>
      <c r="O16" s="125">
        <f t="shared" si="8"/>
        <v>0</v>
      </c>
      <c r="P16" s="79">
        <f t="shared" si="9"/>
        <v>0</v>
      </c>
      <c r="R16" s="180">
        <v>2022</v>
      </c>
      <c r="S16" s="171">
        <v>16100</v>
      </c>
      <c r="T16" s="171">
        <v>42100</v>
      </c>
      <c r="U16" s="171">
        <v>755500</v>
      </c>
      <c r="V16" s="171">
        <v>53</v>
      </c>
      <c r="Y16" s="201">
        <v>52</v>
      </c>
      <c r="Z16" s="127" t="s">
        <v>67</v>
      </c>
      <c r="AA16" s="127" t="s">
        <v>66</v>
      </c>
      <c r="AB16" s="169">
        <v>0.95074648895471525</v>
      </c>
      <c r="AC16" s="169">
        <v>3.5321878667988801E-3</v>
      </c>
      <c r="AD16" s="169">
        <v>1.5158170819293781E-2</v>
      </c>
      <c r="AE16" s="169">
        <v>862.616489254057</v>
      </c>
    </row>
    <row r="17" spans="1:31" x14ac:dyDescent="0.25">
      <c r="B17" s="2">
        <f t="shared" si="3"/>
        <v>2039</v>
      </c>
      <c r="C17" s="109">
        <f>(($F17*$V$8*Assumptions!$D$13)+($F17*Assumptions!$D$14*$V$9))/10^6</f>
        <v>0</v>
      </c>
      <c r="D17" s="110">
        <f t="shared" si="0"/>
        <v>0</v>
      </c>
      <c r="E17" s="82">
        <f>D17*(1+0.03)^-($B17-Assumptions!$D$4)</f>
        <v>0</v>
      </c>
      <c r="F17" s="233">
        <f>IF(B17&lt;=Assumptions!$D$9,IF(B17&gt;=Assumptions!$D$29,('VOC-Detour-Truck'!C17-'VOC-Detour-Truck'!D17+'VOC-Detour-Car'!C17-'VOC-Detour-Car'!D17),0),0)</f>
        <v>0</v>
      </c>
      <c r="G17" s="113">
        <f>(($F17*$S$8*Assumptions!$D$13)+($F17*Assumptions!$D$14*$S$9))/10^6</f>
        <v>0</v>
      </c>
      <c r="H17" s="114">
        <f>(($F17*$T$8*Assumptions!$D$13)+($F17*Assumptions!$D$14*$T$9))/10^6</f>
        <v>0</v>
      </c>
      <c r="I17" s="115">
        <f>(($F17*$U$8*Assumptions!$D$13)+($F17*Assumptions!$D$14*$U$9))/10^6</f>
        <v>0</v>
      </c>
      <c r="J17" s="105">
        <f t="shared" si="4"/>
        <v>0</v>
      </c>
      <c r="K17" s="78">
        <f t="shared" si="5"/>
        <v>0</v>
      </c>
      <c r="L17" s="79">
        <f t="shared" si="6"/>
        <v>0</v>
      </c>
      <c r="M17" s="83">
        <f t="shared" si="7"/>
        <v>0</v>
      </c>
      <c r="N17" s="124">
        <f>M17*(1+0.07)^-(B17-Assumptions!$D$4)</f>
        <v>0</v>
      </c>
      <c r="O17" s="125">
        <f t="shared" si="8"/>
        <v>0</v>
      </c>
      <c r="P17" s="79">
        <f t="shared" si="9"/>
        <v>0</v>
      </c>
      <c r="R17" s="180">
        <v>2023</v>
      </c>
      <c r="S17" s="171">
        <v>16400</v>
      </c>
      <c r="T17" s="171">
        <v>43000</v>
      </c>
      <c r="U17" s="171">
        <v>769000</v>
      </c>
      <c r="V17" s="171">
        <v>54</v>
      </c>
      <c r="Y17" s="201">
        <v>53</v>
      </c>
      <c r="Z17" s="127" t="s">
        <v>67</v>
      </c>
      <c r="AA17" s="127" t="s">
        <v>66</v>
      </c>
      <c r="AB17" s="169">
        <v>0.89067775827536644</v>
      </c>
      <c r="AC17" s="169">
        <v>3.4020765235606102E-3</v>
      </c>
      <c r="AD17" s="169">
        <v>1.349939126139434E-2</v>
      </c>
      <c r="AE17" s="169">
        <v>829.46088804247995</v>
      </c>
    </row>
    <row r="18" spans="1:31" x14ac:dyDescent="0.25">
      <c r="B18" s="2">
        <f t="shared" si="3"/>
        <v>2040</v>
      </c>
      <c r="C18" s="109">
        <f>(($F18*$V$8*Assumptions!$D$13)+($F18*Assumptions!$D$14*$V$9))/10^6</f>
        <v>0</v>
      </c>
      <c r="D18" s="110">
        <f t="shared" si="0"/>
        <v>0</v>
      </c>
      <c r="E18" s="82">
        <f>D18*(1+0.03)^-($B18-Assumptions!$D$4)</f>
        <v>0</v>
      </c>
      <c r="F18" s="233">
        <f>IF(B18&lt;=Assumptions!$D$9,IF(B18&gt;=Assumptions!$D$29,('VOC-Detour-Truck'!C18-'VOC-Detour-Truck'!D18+'VOC-Detour-Car'!C18-'VOC-Detour-Car'!D18),0),0)</f>
        <v>0</v>
      </c>
      <c r="G18" s="113">
        <f>(($F18*$S$8*Assumptions!$D$13)+($F18*Assumptions!$D$14*$S$9))/10^6</f>
        <v>0</v>
      </c>
      <c r="H18" s="114">
        <f>(($F18*$T$8*Assumptions!$D$13)+($F18*Assumptions!$D$14*$T$9))/10^6</f>
        <v>0</v>
      </c>
      <c r="I18" s="115">
        <f>(($F18*$U$8*Assumptions!$D$13)+($F18*Assumptions!$D$14*$U$9))/10^6</f>
        <v>0</v>
      </c>
      <c r="J18" s="105">
        <f t="shared" si="4"/>
        <v>0</v>
      </c>
      <c r="K18" s="78">
        <f t="shared" si="5"/>
        <v>0</v>
      </c>
      <c r="L18" s="79">
        <f t="shared" si="6"/>
        <v>0</v>
      </c>
      <c r="M18" s="83">
        <f t="shared" si="7"/>
        <v>0</v>
      </c>
      <c r="N18" s="124">
        <f>M18*(1+0.07)^-(B18-Assumptions!$D$4)</f>
        <v>0</v>
      </c>
      <c r="O18" s="125">
        <f t="shared" si="8"/>
        <v>0</v>
      </c>
      <c r="P18" s="79">
        <f t="shared" si="9"/>
        <v>0</v>
      </c>
      <c r="R18" s="180">
        <v>2024</v>
      </c>
      <c r="S18" s="171">
        <v>16600</v>
      </c>
      <c r="T18" s="171">
        <v>43900</v>
      </c>
      <c r="U18" s="171">
        <v>782700</v>
      </c>
      <c r="V18" s="171">
        <v>55</v>
      </c>
      <c r="Y18" s="201">
        <v>54</v>
      </c>
      <c r="Z18" s="127" t="s">
        <v>67</v>
      </c>
      <c r="AA18" s="127" t="s">
        <v>66</v>
      </c>
      <c r="AB18" s="169">
        <v>1.6481032166429217</v>
      </c>
      <c r="AC18" s="169">
        <v>6.0326542026046303E-3</v>
      </c>
      <c r="AD18" s="169">
        <v>4.2864875162321965E-2</v>
      </c>
      <c r="AE18" s="169">
        <v>1166.1048437433201</v>
      </c>
    </row>
    <row r="19" spans="1:31" x14ac:dyDescent="0.25">
      <c r="B19" s="2">
        <f t="shared" si="3"/>
        <v>2041</v>
      </c>
      <c r="C19" s="109">
        <f>(($F19*$V$8*Assumptions!$D$13)+($F19*Assumptions!$D$14*$V$9))/10^6</f>
        <v>0</v>
      </c>
      <c r="D19" s="110">
        <f t="shared" si="0"/>
        <v>0</v>
      </c>
      <c r="E19" s="82">
        <f>D19*(1+0.03)^-($B19-Assumptions!$D$4)</f>
        <v>0</v>
      </c>
      <c r="F19" s="233">
        <f>IF(B19&lt;=Assumptions!$D$9,IF(B19&gt;=Assumptions!$D$29,('VOC-Detour-Truck'!C19-'VOC-Detour-Truck'!D19+'VOC-Detour-Car'!C19-'VOC-Detour-Car'!D19),0),0)</f>
        <v>0</v>
      </c>
      <c r="G19" s="113">
        <f>(($F19*$S$8*Assumptions!$D$13)+($F19*Assumptions!$D$14*$S$9))/10^6</f>
        <v>0</v>
      </c>
      <c r="H19" s="114">
        <f>(($F19*$T$8*Assumptions!$D$13)+($F19*Assumptions!$D$14*$T$9))/10^6</f>
        <v>0</v>
      </c>
      <c r="I19" s="115">
        <f>(($F19*$U$8*Assumptions!$D$13)+($F19*Assumptions!$D$14*$U$9))/10^6</f>
        <v>0</v>
      </c>
      <c r="J19" s="105">
        <f t="shared" si="4"/>
        <v>0</v>
      </c>
      <c r="K19" s="78">
        <f t="shared" si="5"/>
        <v>0</v>
      </c>
      <c r="L19" s="79">
        <f t="shared" si="6"/>
        <v>0</v>
      </c>
      <c r="M19" s="83">
        <f t="shared" si="7"/>
        <v>0</v>
      </c>
      <c r="N19" s="124">
        <f>M19*(1+0.07)^-(B19-Assumptions!$D$4)</f>
        <v>0</v>
      </c>
      <c r="O19" s="125">
        <f t="shared" si="8"/>
        <v>0</v>
      </c>
      <c r="P19" s="79">
        <f t="shared" si="9"/>
        <v>0</v>
      </c>
      <c r="R19" s="180">
        <v>2025</v>
      </c>
      <c r="S19" s="171">
        <v>16800</v>
      </c>
      <c r="T19" s="171">
        <v>44900</v>
      </c>
      <c r="U19" s="171">
        <v>796600</v>
      </c>
      <c r="V19" s="171">
        <v>56</v>
      </c>
      <c r="Y19" s="201">
        <v>61</v>
      </c>
      <c r="Z19" s="127" t="s">
        <v>68</v>
      </c>
      <c r="AA19" s="127" t="s">
        <v>66</v>
      </c>
      <c r="AB19" s="169">
        <v>3.0234078113615883</v>
      </c>
      <c r="AC19" s="169">
        <v>4.9760807160904204E-3</v>
      </c>
      <c r="AD19" s="169">
        <v>4.3407648080982714E-2</v>
      </c>
      <c r="AE19" s="169">
        <v>1463.90880302132</v>
      </c>
    </row>
    <row r="20" spans="1:31" x14ac:dyDescent="0.25">
      <c r="B20" s="2">
        <f t="shared" si="3"/>
        <v>2042</v>
      </c>
      <c r="C20" s="109">
        <f>(($F20*$V$8*Assumptions!$D$13)+($F20*Assumptions!$D$14*$V$9))/10^6</f>
        <v>0</v>
      </c>
      <c r="D20" s="110">
        <f t="shared" si="0"/>
        <v>0</v>
      </c>
      <c r="E20" s="82">
        <f>D20*(1+0.03)^-($B20-Assumptions!$D$4)</f>
        <v>0</v>
      </c>
      <c r="F20" s="233">
        <f>IF(B20&lt;=Assumptions!$D$9,IF(B20&gt;=Assumptions!$D$29,('VOC-Detour-Truck'!C20-'VOC-Detour-Truck'!D20+'VOC-Detour-Car'!C20-'VOC-Detour-Car'!D20),0),0)</f>
        <v>0</v>
      </c>
      <c r="G20" s="113">
        <f>(($F20*$S$8*Assumptions!$D$13)+($F20*Assumptions!$D$14*$S$9))/10^6</f>
        <v>0</v>
      </c>
      <c r="H20" s="114">
        <f>(($F20*$T$8*Assumptions!$D$13)+($F20*Assumptions!$D$14*$T$9))/10^6</f>
        <v>0</v>
      </c>
      <c r="I20" s="115">
        <f>(($F20*$U$8*Assumptions!$D$13)+($F20*Assumptions!$D$14*$U$9))/10^6</f>
        <v>0</v>
      </c>
      <c r="J20" s="105">
        <f t="shared" si="4"/>
        <v>0</v>
      </c>
      <c r="K20" s="78">
        <f t="shared" si="5"/>
        <v>0</v>
      </c>
      <c r="L20" s="79">
        <f t="shared" si="6"/>
        <v>0</v>
      </c>
      <c r="M20" s="83">
        <f t="shared" si="7"/>
        <v>0</v>
      </c>
      <c r="N20" s="124">
        <f>M20*(1+0.07)^-(B20-Assumptions!$D$4)</f>
        <v>0</v>
      </c>
      <c r="O20" s="125">
        <f t="shared" si="8"/>
        <v>0</v>
      </c>
      <c r="P20" s="79">
        <f t="shared" si="9"/>
        <v>0</v>
      </c>
      <c r="R20" s="180">
        <v>2026</v>
      </c>
      <c r="S20" s="171">
        <v>17000</v>
      </c>
      <c r="T20" s="171">
        <v>45500</v>
      </c>
      <c r="U20" s="171">
        <v>807500</v>
      </c>
      <c r="V20" s="171">
        <v>57</v>
      </c>
      <c r="Y20" s="201">
        <v>62</v>
      </c>
      <c r="Z20" s="127" t="s">
        <v>68</v>
      </c>
      <c r="AA20" s="127" t="s">
        <v>66</v>
      </c>
      <c r="AB20" s="169">
        <v>3.7426725771679936</v>
      </c>
      <c r="AC20" s="169">
        <v>5.1160211102583997E-3</v>
      </c>
      <c r="AD20" s="169">
        <v>5.9310023601485649E-2</v>
      </c>
      <c r="AE20" s="169">
        <v>1528.79872430418</v>
      </c>
    </row>
    <row r="21" spans="1:31" x14ac:dyDescent="0.25">
      <c r="B21" s="2">
        <f t="shared" si="3"/>
        <v>2043</v>
      </c>
      <c r="C21" s="109">
        <f>(($F21*$V$8*Assumptions!$D$13)+($F21*Assumptions!$D$14*$V$9))/10^6</f>
        <v>0</v>
      </c>
      <c r="D21" s="110">
        <f t="shared" si="0"/>
        <v>0</v>
      </c>
      <c r="E21" s="82">
        <f>D21*(1+0.03)^-($B21-Assumptions!$D$4)</f>
        <v>0</v>
      </c>
      <c r="F21" s="233">
        <f>IF(B21&lt;=Assumptions!$D$9,IF(B21&gt;=Assumptions!$D$29,('VOC-Detour-Truck'!C21-'VOC-Detour-Truck'!D21+'VOC-Detour-Car'!C21-'VOC-Detour-Car'!D21),0),0)</f>
        <v>0</v>
      </c>
      <c r="G21" s="113">
        <f>(($F21*$S$8*Assumptions!$D$13)+($F21*Assumptions!$D$14*$S$9))/10^6</f>
        <v>0</v>
      </c>
      <c r="H21" s="114">
        <f>(($F21*$T$8*Assumptions!$D$13)+($F21*Assumptions!$D$14*$T$9))/10^6</f>
        <v>0</v>
      </c>
      <c r="I21" s="115">
        <f>(($F21*$U$8*Assumptions!$D$13)+($F21*Assumptions!$D$14*$U$9))/10^6</f>
        <v>0</v>
      </c>
      <c r="J21" s="105">
        <f t="shared" si="4"/>
        <v>0</v>
      </c>
      <c r="K21" s="78">
        <f t="shared" si="5"/>
        <v>0</v>
      </c>
      <c r="L21" s="79">
        <f t="shared" si="6"/>
        <v>0</v>
      </c>
      <c r="M21" s="83">
        <f t="shared" si="7"/>
        <v>0</v>
      </c>
      <c r="N21" s="124">
        <f>M21*(1+0.07)^-(B21-Assumptions!$D$4)</f>
        <v>0</v>
      </c>
      <c r="O21" s="125">
        <f t="shared" si="8"/>
        <v>0</v>
      </c>
      <c r="P21" s="79">
        <f t="shared" si="9"/>
        <v>0</v>
      </c>
      <c r="R21" s="180">
        <v>2027</v>
      </c>
      <c r="S21" s="171">
        <v>17300</v>
      </c>
      <c r="T21" s="171">
        <v>46200</v>
      </c>
      <c r="U21" s="171">
        <v>818600</v>
      </c>
      <c r="V21" s="171">
        <v>58</v>
      </c>
    </row>
    <row r="22" spans="1:31" x14ac:dyDescent="0.25">
      <c r="B22" s="2">
        <f t="shared" si="3"/>
        <v>2044</v>
      </c>
      <c r="C22" s="109">
        <f>(($F22*$V$8*Assumptions!$D$13)+($F22*Assumptions!$D$14*$V$9))/10^6</f>
        <v>0</v>
      </c>
      <c r="D22" s="110">
        <f t="shared" si="0"/>
        <v>0</v>
      </c>
      <c r="E22" s="82">
        <f>D22*(1+0.03)^-($B22-Assumptions!$D$4)</f>
        <v>0</v>
      </c>
      <c r="F22" s="233">
        <f>IF(B22&lt;=Assumptions!$D$9,IF(B22&gt;=Assumptions!$D$29,('VOC-Detour-Truck'!C22-'VOC-Detour-Truck'!D22+'VOC-Detour-Car'!C22-'VOC-Detour-Car'!D22),0),0)</f>
        <v>0</v>
      </c>
      <c r="G22" s="113">
        <f>(($F22*$S$8*Assumptions!$D$13)+($F22*Assumptions!$D$14*$S$9))/10^6</f>
        <v>0</v>
      </c>
      <c r="H22" s="114">
        <f>(($F22*$T$8*Assumptions!$D$13)+($F22*Assumptions!$D$14*$T$9))/10^6</f>
        <v>0</v>
      </c>
      <c r="I22" s="115">
        <f>(($F22*$U$8*Assumptions!$D$13)+($F22*Assumptions!$D$14*$U$9))/10^6</f>
        <v>0</v>
      </c>
      <c r="J22" s="105">
        <f t="shared" si="4"/>
        <v>0</v>
      </c>
      <c r="K22" s="78">
        <f t="shared" si="5"/>
        <v>0</v>
      </c>
      <c r="L22" s="79">
        <f t="shared" si="6"/>
        <v>0</v>
      </c>
      <c r="M22" s="83">
        <f t="shared" si="7"/>
        <v>0</v>
      </c>
      <c r="N22" s="124">
        <f>M22*(1+0.07)^-(B22-Assumptions!$D$4)</f>
        <v>0</v>
      </c>
      <c r="O22" s="125">
        <f t="shared" si="8"/>
        <v>0</v>
      </c>
      <c r="P22" s="79">
        <f t="shared" si="9"/>
        <v>0</v>
      </c>
      <c r="R22" s="180">
        <v>2028</v>
      </c>
      <c r="S22" s="171">
        <v>17500</v>
      </c>
      <c r="T22" s="171">
        <v>46900</v>
      </c>
      <c r="U22" s="171">
        <v>829800</v>
      </c>
      <c r="V22" s="171">
        <v>59</v>
      </c>
    </row>
    <row r="23" spans="1:31" x14ac:dyDescent="0.25">
      <c r="B23" s="2">
        <f t="shared" si="3"/>
        <v>2045</v>
      </c>
      <c r="C23" s="109">
        <f>(($F23*$V$8*Assumptions!$D$13)+($F23*Assumptions!$D$14*$V$9))/10^6</f>
        <v>0</v>
      </c>
      <c r="D23" s="110">
        <f t="shared" si="0"/>
        <v>0</v>
      </c>
      <c r="E23" s="82">
        <f>D23*(1+0.03)^-($B23-Assumptions!$D$4)</f>
        <v>0</v>
      </c>
      <c r="F23" s="233">
        <f>IF(B23&lt;=Assumptions!$D$9,IF(B23&gt;=Assumptions!$D$29,('VOC-Detour-Truck'!C23-'VOC-Detour-Truck'!D23+'VOC-Detour-Car'!C23-'VOC-Detour-Car'!D23),0),0)</f>
        <v>0</v>
      </c>
      <c r="G23" s="113">
        <f>(($F23*$S$8*Assumptions!$D$13)+($F23*Assumptions!$D$14*$S$9))/10^6</f>
        <v>0</v>
      </c>
      <c r="H23" s="114">
        <f>(($F23*$T$8*Assumptions!$D$13)+($F23*Assumptions!$D$14*$T$9))/10^6</f>
        <v>0</v>
      </c>
      <c r="I23" s="115">
        <f>(($F23*$U$8*Assumptions!$D$13)+($F23*Assumptions!$D$14*$U$9))/10^6</f>
        <v>0</v>
      </c>
      <c r="J23" s="105">
        <f t="shared" si="4"/>
        <v>0</v>
      </c>
      <c r="K23" s="78">
        <f t="shared" si="5"/>
        <v>0</v>
      </c>
      <c r="L23" s="79">
        <f t="shared" si="6"/>
        <v>0</v>
      </c>
      <c r="M23" s="83">
        <f t="shared" si="7"/>
        <v>0</v>
      </c>
      <c r="N23" s="124">
        <f>M23*(1+0.07)^-(B23-Assumptions!$D$4)</f>
        <v>0</v>
      </c>
      <c r="O23" s="125">
        <f t="shared" si="8"/>
        <v>0</v>
      </c>
      <c r="P23" s="79">
        <f t="shared" si="9"/>
        <v>0</v>
      </c>
      <c r="R23" s="180">
        <v>2029</v>
      </c>
      <c r="S23" s="171">
        <v>17700</v>
      </c>
      <c r="T23" s="171">
        <v>47600</v>
      </c>
      <c r="U23" s="171">
        <v>841200</v>
      </c>
      <c r="V23" s="171">
        <v>60</v>
      </c>
    </row>
    <row r="24" spans="1:31" x14ac:dyDescent="0.25">
      <c r="B24" s="2">
        <f>+B23+1</f>
        <v>2046</v>
      </c>
      <c r="C24" s="109">
        <f>(($F24*$V$8*Assumptions!$D$13)+($F24*Assumptions!$D$14*$V$9))/10^6</f>
        <v>7774.8687950341937</v>
      </c>
      <c r="D24" s="110">
        <f t="shared" si="0"/>
        <v>614214.63480770134</v>
      </c>
      <c r="E24" s="82">
        <f>D24*(1+0.03)^-($B24-Assumptions!$D$4)</f>
        <v>284808.08767589764</v>
      </c>
      <c r="F24" s="233">
        <f>IF(B24&lt;=Assumptions!$D$9,IF(B24&gt;=Assumptions!$D$29,('VOC-Detour-Truck'!C24-'VOC-Detour-Truck'!D24+'VOC-Detour-Car'!C24-'VOC-Detour-Car'!D24),0),0)</f>
        <v>14198043.75</v>
      </c>
      <c r="G24" s="113">
        <f>(($F24*$S$8*Assumptions!$D$13)+($F24*Assumptions!$D$14*$S$9))/10^6</f>
        <v>9.8790479160422553</v>
      </c>
      <c r="H24" s="114">
        <f>(($F24*$T$8*Assumptions!$D$13)+($F24*Assumptions!$D$14*$T$9))/10^6</f>
        <v>3.90286623823091E-2</v>
      </c>
      <c r="I24" s="115">
        <f>(($F24*$U$8*Assumptions!$D$13)+($F24*Assumptions!$D$14*$U$9))/10^6</f>
        <v>0.17733179819253872</v>
      </c>
      <c r="J24" s="105">
        <f t="shared" si="4"/>
        <v>177822.86248876058</v>
      </c>
      <c r="K24" s="78">
        <f t="shared" si="5"/>
        <v>476170.10955323669</v>
      </c>
      <c r="L24" s="79">
        <f t="shared" si="6"/>
        <v>33279.740413394968</v>
      </c>
      <c r="M24" s="83">
        <f t="shared" si="7"/>
        <v>687272.71245539223</v>
      </c>
      <c r="N24" s="124">
        <f>M24*(1+0.07)^-(B24-Assumptions!$D$4)</f>
        <v>118345.26355456514</v>
      </c>
      <c r="O24" s="125">
        <f t="shared" si="8"/>
        <v>1301487.3472630936</v>
      </c>
      <c r="P24" s="79">
        <f t="shared" si="9"/>
        <v>403153.35123046278</v>
      </c>
      <c r="R24" s="180">
        <v>2030</v>
      </c>
      <c r="S24" s="171">
        <v>18000</v>
      </c>
      <c r="T24" s="171">
        <v>48200</v>
      </c>
      <c r="U24" s="171">
        <v>852700</v>
      </c>
      <c r="V24" s="171">
        <v>61</v>
      </c>
    </row>
    <row r="25" spans="1:31" ht="15" customHeight="1" x14ac:dyDescent="0.25">
      <c r="B25" s="2">
        <f t="shared" ref="B25:B35" si="11">+B24+1</f>
        <v>2047</v>
      </c>
      <c r="C25" s="109">
        <f>(($F25*$V$8*Assumptions!$D$13)+($F25*Assumptions!$D$14*$V$9))/10^6</f>
        <v>7862.5637385432083</v>
      </c>
      <c r="D25" s="110">
        <f t="shared" si="0"/>
        <v>629005.09908345668</v>
      </c>
      <c r="E25" s="82">
        <f>D25*(1+0.03)^-($B25-Assumptions!$D$4)</f>
        <v>283171.21162809024</v>
      </c>
      <c r="F25" s="233">
        <f>IF(B25&lt;=Assumptions!$D$9,IF(B25&gt;=Assumptions!$D$29,('VOC-Detour-Truck'!C25-'VOC-Detour-Truck'!D25+'VOC-Detour-Car'!C25-'VOC-Detour-Car'!D25),0),0)</f>
        <v>14358187.5</v>
      </c>
      <c r="G25" s="113">
        <f>(($F25*$S$8*Assumptions!$D$13)+($F25*Assumptions!$D$14*$S$9))/10^6</f>
        <v>9.9904764908207131</v>
      </c>
      <c r="H25" s="114">
        <f>(($F25*$T$8*Assumptions!$D$13)+($F25*Assumptions!$D$14*$T$9))/10^6</f>
        <v>3.9468877700802318E-2</v>
      </c>
      <c r="I25" s="115">
        <f>(($F25*$U$8*Assumptions!$D$13)+($F25*Assumptions!$D$14*$U$9))/10^6</f>
        <v>0.17933197368550383</v>
      </c>
      <c r="J25" s="105">
        <f t="shared" si="4"/>
        <v>179828.57683477283</v>
      </c>
      <c r="K25" s="78">
        <f t="shared" si="5"/>
        <v>481540.96685755835</v>
      </c>
      <c r="L25" s="79">
        <f t="shared" si="6"/>
        <v>33655.112015474137</v>
      </c>
      <c r="M25" s="83">
        <f t="shared" si="7"/>
        <v>695024.6557078053</v>
      </c>
      <c r="N25" s="124">
        <f>M25*(1+0.07)^-(B25-Assumptions!$D$4)</f>
        <v>111850.5731258982</v>
      </c>
      <c r="O25" s="125">
        <f t="shared" si="8"/>
        <v>1324029.7547912621</v>
      </c>
      <c r="P25" s="79">
        <f t="shared" si="9"/>
        <v>395021.78475398844</v>
      </c>
      <c r="R25" s="180">
        <v>2031</v>
      </c>
      <c r="S25" s="171">
        <v>18000</v>
      </c>
      <c r="T25" s="171">
        <v>48200</v>
      </c>
      <c r="U25" s="171">
        <v>852700</v>
      </c>
      <c r="V25" s="171">
        <v>62</v>
      </c>
      <c r="AA25" s="74" t="s">
        <v>39</v>
      </c>
      <c r="AB25" s="163" t="s">
        <v>52</v>
      </c>
      <c r="AC25" s="163" t="s">
        <v>53</v>
      </c>
      <c r="AD25" s="163" t="s">
        <v>54</v>
      </c>
      <c r="AE25" s="163" t="s">
        <v>55</v>
      </c>
    </row>
    <row r="26" spans="1:31" x14ac:dyDescent="0.25">
      <c r="A26" s="10"/>
      <c r="B26" s="2">
        <f t="shared" si="11"/>
        <v>2048</v>
      </c>
      <c r="C26" s="109">
        <f>(($F26*$V$8*Assumptions!$D$13)+($F26*Assumptions!$D$14*$V$9))/10^6</f>
        <v>7950.2586820522229</v>
      </c>
      <c r="D26" s="110">
        <f t="shared" si="0"/>
        <v>643970.95324623003</v>
      </c>
      <c r="E26" s="82">
        <f>D26*(1+0.03)^-($B26-Assumptions!$D$4)</f>
        <v>281464.73338092619</v>
      </c>
      <c r="F26" s="233">
        <f>IF(B26&lt;=Assumptions!$D$9,IF(B26&gt;=Assumptions!$D$29,('VOC-Detour-Truck'!C26-'VOC-Detour-Truck'!D26+'VOC-Detour-Car'!C26-'VOC-Detour-Car'!D26),0),0)</f>
        <v>14518331.25</v>
      </c>
      <c r="G26" s="113">
        <f>(($F26*$S$8*Assumptions!$D$13)+($F26*Assumptions!$D$14*$S$9))/10^6</f>
        <v>10.101905065599171</v>
      </c>
      <c r="H26" s="114">
        <f>(($F26*$T$8*Assumptions!$D$13)+($F26*Assumptions!$D$14*$T$9))/10^6</f>
        <v>3.9909093019295544E-2</v>
      </c>
      <c r="I26" s="115">
        <f>(($F26*$U$8*Assumptions!$D$13)+($F26*Assumptions!$D$14*$U$9))/10^6</f>
        <v>0.18133214917846893</v>
      </c>
      <c r="J26" s="105">
        <f t="shared" si="4"/>
        <v>181834.29118078508</v>
      </c>
      <c r="K26" s="78">
        <f t="shared" si="5"/>
        <v>486911.82416188001</v>
      </c>
      <c r="L26" s="79">
        <f t="shared" si="6"/>
        <v>34030.483617553313</v>
      </c>
      <c r="M26" s="83">
        <f t="shared" si="7"/>
        <v>702776.59896021849</v>
      </c>
      <c r="N26" s="124">
        <f>M26*(1+0.07)^-(B26-Assumptions!$D$4)</f>
        <v>105699.1553278514</v>
      </c>
      <c r="O26" s="125">
        <f t="shared" si="8"/>
        <v>1346747.5522064485</v>
      </c>
      <c r="P26" s="79">
        <f t="shared" si="9"/>
        <v>387163.88870877761</v>
      </c>
      <c r="R26" s="180">
        <v>2032</v>
      </c>
      <c r="S26" s="171">
        <v>18000</v>
      </c>
      <c r="T26" s="171">
        <v>48200</v>
      </c>
      <c r="U26" s="171">
        <v>852700</v>
      </c>
      <c r="V26" s="171">
        <v>63</v>
      </c>
      <c r="AA26" s="74" t="s">
        <v>40</v>
      </c>
      <c r="AB26" s="134">
        <f>AVERAGE(AB8:AB11)</f>
        <v>0.22790983982547491</v>
      </c>
      <c r="AC26" s="134">
        <f>AVERAGE(AC8:AC11)</f>
        <v>2.0699004398994176E-3</v>
      </c>
      <c r="AD26" s="134">
        <f>AVERAGE(AD8:AD11)</f>
        <v>5.8180715878192544E-3</v>
      </c>
      <c r="AE26" s="134">
        <f>AVERAGE(AE8:AE11)</f>
        <v>317.22468262036</v>
      </c>
    </row>
    <row r="27" spans="1:31" x14ac:dyDescent="0.25">
      <c r="A27" s="10"/>
      <c r="B27" s="2">
        <f t="shared" si="11"/>
        <v>2049</v>
      </c>
      <c r="C27" s="109">
        <f>(($F27*$V$8*Assumptions!$D$13)+($F27*Assumptions!$D$14*$V$9))/10^6</f>
        <v>8037.9536255612375</v>
      </c>
      <c r="D27" s="110">
        <f t="shared" si="0"/>
        <v>667150.15092158271</v>
      </c>
      <c r="E27" s="82">
        <f>D27*(1+0.03)^-($B27-Assumptions!$D$4)</f>
        <v>283102.73965239304</v>
      </c>
      <c r="F27" s="233">
        <f>IF(B27&lt;=Assumptions!$D$9,IF(B27&gt;=Assumptions!$D$29,('VOC-Detour-Truck'!C27-'VOC-Detour-Truck'!D27+'VOC-Detour-Car'!C27-'VOC-Detour-Car'!D27),0),0)</f>
        <v>14678475</v>
      </c>
      <c r="G27" s="113">
        <f>(($F27*$S$8*Assumptions!$D$13)+($F27*Assumptions!$D$14*$S$9))/10^6</f>
        <v>10.213333640377629</v>
      </c>
      <c r="H27" s="114">
        <f>(($F27*$T$8*Assumptions!$D$13)+($F27*Assumptions!$D$14*$T$9))/10^6</f>
        <v>4.0349308337788763E-2</v>
      </c>
      <c r="I27" s="115">
        <f>(($F27*$U$8*Assumptions!$D$13)+($F27*Assumptions!$D$14*$U$9))/10^6</f>
        <v>0.18333232467143404</v>
      </c>
      <c r="J27" s="105">
        <f t="shared" si="4"/>
        <v>183840.00552679732</v>
      </c>
      <c r="K27" s="78">
        <f t="shared" si="5"/>
        <v>492282.68146620173</v>
      </c>
      <c r="L27" s="79">
        <f t="shared" si="6"/>
        <v>34405.855219632474</v>
      </c>
      <c r="M27" s="83">
        <f t="shared" si="7"/>
        <v>710528.54221263155</v>
      </c>
      <c r="N27" s="124">
        <f>M27*(1+0.07)^-(B27-Assumptions!$D$4)</f>
        <v>99873.892283783542</v>
      </c>
      <c r="O27" s="125">
        <f t="shared" si="8"/>
        <v>1377678.6931342143</v>
      </c>
      <c r="P27" s="79">
        <f t="shared" si="9"/>
        <v>382976.63193617656</v>
      </c>
      <c r="R27" s="180">
        <v>2033</v>
      </c>
      <c r="S27" s="171">
        <v>18000</v>
      </c>
      <c r="T27" s="171">
        <v>48200</v>
      </c>
      <c r="U27" s="171">
        <v>852700</v>
      </c>
      <c r="V27" s="171">
        <v>64</v>
      </c>
      <c r="AA27" s="74" t="s">
        <v>41</v>
      </c>
      <c r="AB27" s="134">
        <f>AVERAGE(AB12:AB20)</f>
        <v>2.099484306313415</v>
      </c>
      <c r="AC27" s="134">
        <f>AVERAGE(AC12:AC20)</f>
        <v>4.7858028693373951E-3</v>
      </c>
      <c r="AD27" s="134">
        <f>AVERAGE(AD12:AD20)</f>
        <v>3.2505287070740692E-2</v>
      </c>
      <c r="AE27" s="134">
        <f>AVERAGE(AE12:AE20)</f>
        <v>1238.7315972924489</v>
      </c>
    </row>
    <row r="28" spans="1:31" x14ac:dyDescent="0.25">
      <c r="B28" s="2">
        <f t="shared" si="11"/>
        <v>2050</v>
      </c>
      <c r="C28" s="109">
        <f>(($F28*$V$8*Assumptions!$D$13)+($F28*Assumptions!$D$14*$V$9))/10^6</f>
        <v>8125.6485690702493</v>
      </c>
      <c r="D28" s="110">
        <f t="shared" si="0"/>
        <v>682554.47980190092</v>
      </c>
      <c r="E28" s="82">
        <f>D28*(1+0.03)^-($B28-Assumptions!$D$4)</f>
        <v>281203.40832665068</v>
      </c>
      <c r="F28" s="233">
        <f>IF(B28&lt;=Assumptions!$D$9,IF(B28&gt;=Assumptions!$D$29,('VOC-Detour-Truck'!C28-'VOC-Detour-Truck'!D28+'VOC-Detour-Car'!C28-'VOC-Detour-Car'!D28),0),0)</f>
        <v>14838618.75</v>
      </c>
      <c r="G28" s="113">
        <f>(($F28*$S$8*Assumptions!$D$13)+($F28*Assumptions!$D$14*$S$9))/10^6</f>
        <v>10.324762215156086</v>
      </c>
      <c r="H28" s="114">
        <f>(($F28*$T$8*Assumptions!$D$13)+($F28*Assumptions!$D$14*$T$9))/10^6</f>
        <v>4.0789523656281974E-2</v>
      </c>
      <c r="I28" s="115">
        <f>(($F28*$U$8*Assumptions!$D$13)+($F28*Assumptions!$D$14*$U$9))/10^6</f>
        <v>0.18533250016439914</v>
      </c>
      <c r="J28" s="105">
        <f t="shared" si="4"/>
        <v>185845.71987280957</v>
      </c>
      <c r="K28" s="78">
        <f t="shared" si="5"/>
        <v>497653.53877052339</v>
      </c>
      <c r="L28" s="79">
        <f t="shared" si="6"/>
        <v>34781.226821711636</v>
      </c>
      <c r="M28" s="83">
        <f t="shared" si="7"/>
        <v>718280.48546504462</v>
      </c>
      <c r="N28" s="124">
        <f>M28*(1+0.07)^-(B28-Assumptions!$D$4)</f>
        <v>94358.436683942171</v>
      </c>
      <c r="O28" s="125">
        <f t="shared" si="8"/>
        <v>1400834.9652669455</v>
      </c>
      <c r="P28" s="79">
        <f t="shared" si="9"/>
        <v>375561.84501059284</v>
      </c>
      <c r="R28" s="180">
        <v>2034</v>
      </c>
      <c r="S28" s="171">
        <v>18000</v>
      </c>
      <c r="T28" s="171">
        <v>48200</v>
      </c>
      <c r="U28" s="171">
        <v>852700</v>
      </c>
      <c r="V28" s="171">
        <v>66</v>
      </c>
    </row>
    <row r="29" spans="1:31" ht="15" customHeight="1" x14ac:dyDescent="0.25">
      <c r="A29" s="10"/>
      <c r="B29" s="2">
        <f t="shared" si="11"/>
        <v>2051</v>
      </c>
      <c r="C29" s="109">
        <f>(($F29*$V$8*Assumptions!$D$13)+($F29*Assumptions!$D$14*$V$9))/10^6</f>
        <v>8213.3435125792639</v>
      </c>
      <c r="D29" s="110">
        <f t="shared" si="0"/>
        <v>689920.85505665815</v>
      </c>
      <c r="E29" s="82">
        <f>D29*(1+0.03)^-($B29-Assumptions!$D$4)</f>
        <v>275959.47320120025</v>
      </c>
      <c r="F29" s="233">
        <f>IF(B29&lt;=Assumptions!$D$9,IF(B29&gt;=Assumptions!$D$29,('VOC-Detour-Truck'!C29-'VOC-Detour-Truck'!D29+'VOC-Detour-Car'!C29-'VOC-Detour-Car'!D29),0),0)</f>
        <v>14998762.5</v>
      </c>
      <c r="G29" s="113">
        <f>(($F29*$S$8*Assumptions!$D$13)+($F29*Assumptions!$D$14*$S$9))/10^6</f>
        <v>10.436190789934546</v>
      </c>
      <c r="H29" s="114">
        <f>(($F29*$T$8*Assumptions!$D$13)+($F29*Assumptions!$D$14*$T$9))/10^6</f>
        <v>4.1229738974775193E-2</v>
      </c>
      <c r="I29" s="115">
        <f>(($F29*$U$8*Assumptions!$D$13)+($F29*Assumptions!$D$14*$U$9))/10^6</f>
        <v>0.18733267565736425</v>
      </c>
      <c r="J29" s="105">
        <f t="shared" si="4"/>
        <v>187851.43421882184</v>
      </c>
      <c r="K29" s="78">
        <f t="shared" si="5"/>
        <v>503024.39607484511</v>
      </c>
      <c r="L29" s="79">
        <f t="shared" si="6"/>
        <v>35156.598423790805</v>
      </c>
      <c r="M29" s="83">
        <f t="shared" si="7"/>
        <v>726032.42871745769</v>
      </c>
      <c r="N29" s="124">
        <f>M29*(1+0.07)^-(B29-Assumptions!$D$4)</f>
        <v>89137.184225567864</v>
      </c>
      <c r="O29" s="125">
        <f t="shared" si="8"/>
        <v>1415953.2837741158</v>
      </c>
      <c r="P29" s="79">
        <f t="shared" si="9"/>
        <v>365096.6574267681</v>
      </c>
      <c r="R29" s="180">
        <v>2035</v>
      </c>
      <c r="S29" s="171">
        <v>18000</v>
      </c>
      <c r="T29" s="171">
        <v>48200</v>
      </c>
      <c r="U29" s="171">
        <v>852700</v>
      </c>
      <c r="V29" s="171">
        <v>67</v>
      </c>
    </row>
    <row r="30" spans="1:31" x14ac:dyDescent="0.25">
      <c r="A30" s="10"/>
      <c r="B30" s="2">
        <f t="shared" si="11"/>
        <v>2052</v>
      </c>
      <c r="C30" s="109">
        <f>(($F30*$V$8*Assumptions!$D$13)+($F30*Assumptions!$D$14*$V$9))/10^6</f>
        <v>8301.0384560882776</v>
      </c>
      <c r="D30" s="110">
        <f t="shared" si="0"/>
        <v>697287.23031141527</v>
      </c>
      <c r="E30" s="82">
        <f>D30*(1+0.03)^-($B30-Assumptions!$D$4)</f>
        <v>270782.45496071433</v>
      </c>
      <c r="F30" s="233">
        <f>IF(B30&lt;=Assumptions!$D$9,IF(B30&gt;=Assumptions!$D$29,('VOC-Detour-Truck'!C30-'VOC-Detour-Truck'!D30+'VOC-Detour-Car'!C30-'VOC-Detour-Car'!D30),0),0)</f>
        <v>15158906.25</v>
      </c>
      <c r="G30" s="113">
        <f>(($F30*$S$8*Assumptions!$D$13)+($F30*Assumptions!$D$14*$S$9))/10^6</f>
        <v>10.547619364713004</v>
      </c>
      <c r="H30" s="114">
        <f>(($F30*$T$8*Assumptions!$D$13)+($F30*Assumptions!$D$14*$T$9))/10^6</f>
        <v>4.1669954293268412E-2</v>
      </c>
      <c r="I30" s="115">
        <f>(($F30*$U$8*Assumptions!$D$13)+($F30*Assumptions!$D$14*$U$9))/10^6</f>
        <v>0.18933285115032933</v>
      </c>
      <c r="J30" s="105">
        <f t="shared" si="4"/>
        <v>189857.14856483406</v>
      </c>
      <c r="K30" s="78">
        <f t="shared" si="5"/>
        <v>508395.25337916677</v>
      </c>
      <c r="L30" s="79">
        <f t="shared" si="6"/>
        <v>35531.970025869974</v>
      </c>
      <c r="M30" s="83">
        <f t="shared" si="7"/>
        <v>733784.37196987087</v>
      </c>
      <c r="N30" s="124">
        <f>M30*(1+0.07)^-(B30-Assumptions!$D$4)</f>
        <v>84195.246361056095</v>
      </c>
      <c r="O30" s="125">
        <f t="shared" si="8"/>
        <v>1431071.6022812861</v>
      </c>
      <c r="P30" s="79">
        <f t="shared" si="9"/>
        <v>354977.70132177044</v>
      </c>
      <c r="R30" s="180">
        <v>2036</v>
      </c>
      <c r="S30" s="171">
        <v>18000</v>
      </c>
      <c r="T30" s="171">
        <v>48200</v>
      </c>
      <c r="U30" s="171">
        <v>852700</v>
      </c>
      <c r="V30" s="171">
        <v>68</v>
      </c>
    </row>
    <row r="31" spans="1:31" x14ac:dyDescent="0.25">
      <c r="A31" s="10"/>
      <c r="B31" s="2">
        <f t="shared" si="11"/>
        <v>2053</v>
      </c>
      <c r="C31" s="109">
        <f>(($F31*$V$8*Assumptions!$D$13)+($F31*Assumptions!$D$14*$V$9))/10^6</f>
        <v>8388.7333995972913</v>
      </c>
      <c r="D31" s="110">
        <f t="shared" si="0"/>
        <v>704653.60556617251</v>
      </c>
      <c r="E31" s="82">
        <f>D31*(1+0.03)^-($B31-Assumptions!$D$4)</f>
        <v>265672.90415484144</v>
      </c>
      <c r="F31" s="233">
        <f>IF(B31&lt;=Assumptions!$D$9,IF(B31&gt;=Assumptions!$D$29,('VOC-Detour-Truck'!C31-'VOC-Detour-Truck'!D31+'VOC-Detour-Car'!C31-'VOC-Detour-Car'!D31),0),0)</f>
        <v>15319050</v>
      </c>
      <c r="G31" s="113">
        <f>(($F31*$S$8*Assumptions!$D$13)+($F31*Assumptions!$D$14*$S$9))/10^6</f>
        <v>10.659047939491462</v>
      </c>
      <c r="H31" s="114">
        <f>(($F31*$T$8*Assumptions!$D$13)+($F31*Assumptions!$D$14*$T$9))/10^6</f>
        <v>4.2110169611761637E-2</v>
      </c>
      <c r="I31" s="115">
        <f>(($F31*$U$8*Assumptions!$D$13)+($F31*Assumptions!$D$14*$U$9))/10^6</f>
        <v>0.19133302664329443</v>
      </c>
      <c r="J31" s="105">
        <f t="shared" si="4"/>
        <v>191862.86291084631</v>
      </c>
      <c r="K31" s="78">
        <f t="shared" si="5"/>
        <v>513766.11068348843</v>
      </c>
      <c r="L31" s="79">
        <f t="shared" si="6"/>
        <v>35907.34162794915</v>
      </c>
      <c r="M31" s="83">
        <f t="shared" si="7"/>
        <v>741536.31522228383</v>
      </c>
      <c r="N31" s="124">
        <f>M31*(1+0.07)^-(B31-Assumptions!$D$4)</f>
        <v>79518.42343182124</v>
      </c>
      <c r="O31" s="125">
        <f t="shared" si="8"/>
        <v>1446189.9207884562</v>
      </c>
      <c r="P31" s="79">
        <f t="shared" si="9"/>
        <v>345191.32758666266</v>
      </c>
      <c r="R31" s="180">
        <v>2037</v>
      </c>
      <c r="S31" s="171">
        <v>18000</v>
      </c>
      <c r="T31" s="171">
        <v>48200</v>
      </c>
      <c r="U31" s="171">
        <v>852700</v>
      </c>
      <c r="V31" s="171">
        <v>69</v>
      </c>
    </row>
    <row r="32" spans="1:31" x14ac:dyDescent="0.25">
      <c r="A32" s="10"/>
      <c r="B32" s="2">
        <f t="shared" si="11"/>
        <v>2054</v>
      </c>
      <c r="C32" s="109">
        <f>(($F32*$V$8*Assumptions!$D$13)+($F32*Assumptions!$D$14*$V$9))/10^6</f>
        <v>8476.4283431063068</v>
      </c>
      <c r="D32" s="110">
        <f t="shared" si="0"/>
        <v>712019.98082092975</v>
      </c>
      <c r="E32" s="82">
        <f>D32*(1+0.03)^-($B32-Assumptions!$D$4)</f>
        <v>260631.28249435301</v>
      </c>
      <c r="F32" s="233">
        <f>IF(B32&lt;=Assumptions!$D$9,IF(B32&gt;=Assumptions!$D$29,('VOC-Detour-Truck'!C32-'VOC-Detour-Truck'!D32+'VOC-Detour-Car'!C32-'VOC-Detour-Car'!D32),0),0)</f>
        <v>15479193.75</v>
      </c>
      <c r="G32" s="113">
        <f>(($F32*$S$8*Assumptions!$D$13)+($F32*Assumptions!$D$14*$S$9))/10^6</f>
        <v>10.770476514269918</v>
      </c>
      <c r="H32" s="114">
        <f>(($F32*$T$8*Assumptions!$D$13)+($F32*Assumptions!$D$14*$T$9))/10^6</f>
        <v>4.2550384930254856E-2</v>
      </c>
      <c r="I32" s="115">
        <f>(($F32*$U$8*Assumptions!$D$13)+($F32*Assumptions!$D$14*$U$9))/10^6</f>
        <v>0.1933332021362596</v>
      </c>
      <c r="J32" s="105">
        <f t="shared" si="4"/>
        <v>193868.57725685852</v>
      </c>
      <c r="K32" s="78">
        <f t="shared" si="5"/>
        <v>519136.96798781003</v>
      </c>
      <c r="L32" s="79">
        <f t="shared" si="6"/>
        <v>36282.713230028319</v>
      </c>
      <c r="M32" s="83">
        <f t="shared" si="7"/>
        <v>749288.25847469689</v>
      </c>
      <c r="N32" s="124">
        <f>M32*(1+0.07)^-(B32-Assumptions!$D$4)</f>
        <v>75093.178254032129</v>
      </c>
      <c r="O32" s="125">
        <f t="shared" si="8"/>
        <v>1461308.2392956265</v>
      </c>
      <c r="P32" s="79">
        <f t="shared" si="9"/>
        <v>335724.46074838517</v>
      </c>
      <c r="R32" s="180">
        <v>2038</v>
      </c>
      <c r="S32" s="171">
        <v>18000</v>
      </c>
      <c r="T32" s="171">
        <v>48200</v>
      </c>
      <c r="U32" s="171">
        <v>852700</v>
      </c>
      <c r="V32" s="171">
        <v>70</v>
      </c>
    </row>
    <row r="33" spans="1:22" x14ac:dyDescent="0.25">
      <c r="A33" s="10"/>
      <c r="B33" s="2">
        <f t="shared" si="11"/>
        <v>2055</v>
      </c>
      <c r="C33" s="109">
        <f>(($F33*$V$8*Assumptions!$D$13)+($F33*Assumptions!$D$14*$V$9))/10^6</f>
        <v>8564.1232866153205</v>
      </c>
      <c r="D33" s="110">
        <f t="shared" si="0"/>
        <v>719386.35607568687</v>
      </c>
      <c r="E33" s="82">
        <f>D33*(1+0.03)^-($B33-Assumptions!$D$4)</f>
        <v>255657.96755917202</v>
      </c>
      <c r="F33" s="233">
        <f>IF(B33&lt;=Assumptions!$D$9,IF(B33&gt;=Assumptions!$D$29,('VOC-Detour-Truck'!C33-'VOC-Detour-Truck'!D33+'VOC-Detour-Car'!C33-'VOC-Detour-Car'!D33),0),0)</f>
        <v>15639337.5</v>
      </c>
      <c r="G33" s="113">
        <f>(($F33*$S$8*Assumptions!$D$13)+($F33*Assumptions!$D$14*$S$9))/10^6</f>
        <v>10.881905089048376</v>
      </c>
      <c r="H33" s="114">
        <f>(($F33*$T$8*Assumptions!$D$13)+($F33*Assumptions!$D$14*$T$9))/10^6</f>
        <v>4.2990600248748075E-2</v>
      </c>
      <c r="I33" s="115">
        <f>(($F33*$U$8*Assumptions!$D$13)+($F33*Assumptions!$D$14*$U$9))/10^6</f>
        <v>0.19533337762922467</v>
      </c>
      <c r="J33" s="105">
        <f t="shared" si="4"/>
        <v>195874.29160287077</v>
      </c>
      <c r="K33" s="78">
        <f t="shared" si="5"/>
        <v>524507.82529213175</v>
      </c>
      <c r="L33" s="79">
        <f t="shared" si="6"/>
        <v>36658.084832107481</v>
      </c>
      <c r="M33" s="83">
        <f t="shared" si="7"/>
        <v>757040.20172711008</v>
      </c>
      <c r="N33" s="124">
        <f>M33*(1+0.07)^-(B33-Assumptions!$D$4)</f>
        <v>70906.610212077474</v>
      </c>
      <c r="O33" s="125">
        <f t="shared" si="8"/>
        <v>1476426.5578027968</v>
      </c>
      <c r="P33" s="79">
        <f t="shared" si="9"/>
        <v>326564.57777124946</v>
      </c>
      <c r="R33" s="180">
        <v>2039</v>
      </c>
      <c r="S33" s="171">
        <v>18000</v>
      </c>
      <c r="T33" s="171">
        <v>48200</v>
      </c>
      <c r="U33" s="171">
        <v>852700</v>
      </c>
      <c r="V33" s="171">
        <v>71</v>
      </c>
    </row>
    <row r="34" spans="1:22" x14ac:dyDescent="0.25">
      <c r="B34" s="2">
        <f t="shared" si="11"/>
        <v>2056</v>
      </c>
      <c r="C34" s="109">
        <f>(($F34*$V$8*Assumptions!$D$13)+($F34*Assumptions!$D$14*$V$9))/10^6</f>
        <v>8651.8182301243323</v>
      </c>
      <c r="D34" s="110">
        <f t="shared" si="0"/>
        <v>726752.73133044387</v>
      </c>
      <c r="E34" s="82">
        <f>D34*(1+0.03)^-($B34-Assumptions!$D$4)</f>
        <v>250753.25730751376</v>
      </c>
      <c r="F34" s="233">
        <f>IF(B34&lt;=Assumptions!$D$9,IF(B34&gt;=Assumptions!$D$29,('VOC-Detour-Truck'!C34-'VOC-Detour-Truck'!D34+'VOC-Detour-Car'!C34-'VOC-Detour-Car'!D34),0),0)</f>
        <v>15799481.25</v>
      </c>
      <c r="G34" s="113">
        <f>(($F34*$S$8*Assumptions!$D$13)+($F34*Assumptions!$D$14*$S$9))/10^6</f>
        <v>10.993333663826835</v>
      </c>
      <c r="H34" s="114">
        <f>(($F34*$T$8*Assumptions!$D$13)+($F34*Assumptions!$D$14*$T$9))/10^6</f>
        <v>4.34308155672413E-2</v>
      </c>
      <c r="I34" s="115">
        <f>(($F34*$U$8*Assumptions!$D$13)+($F34*Assumptions!$D$14*$U$9))/10^6</f>
        <v>0.19733355312218978</v>
      </c>
      <c r="J34" s="105">
        <f t="shared" si="4"/>
        <v>197880.00594888304</v>
      </c>
      <c r="K34" s="78">
        <f t="shared" si="5"/>
        <v>529878.68259645347</v>
      </c>
      <c r="L34" s="79">
        <f t="shared" si="6"/>
        <v>37033.456434186657</v>
      </c>
      <c r="M34" s="83">
        <f t="shared" si="7"/>
        <v>764792.14497952315</v>
      </c>
      <c r="N34" s="124">
        <f>M34*(1+0.07)^-(B34-Assumptions!$D$4)</f>
        <v>66946.429906379315</v>
      </c>
      <c r="O34" s="125">
        <f t="shared" si="8"/>
        <v>1491544.8763099671</v>
      </c>
      <c r="P34" s="79">
        <f t="shared" si="9"/>
        <v>317699.68721389305</v>
      </c>
      <c r="R34" s="180">
        <v>2040</v>
      </c>
      <c r="S34" s="171">
        <v>18000</v>
      </c>
      <c r="T34" s="171">
        <v>48200</v>
      </c>
      <c r="U34" s="171">
        <v>852700</v>
      </c>
      <c r="V34" s="171">
        <v>72</v>
      </c>
    </row>
    <row r="35" spans="1:22" ht="15.75" thickBot="1" x14ac:dyDescent="0.3">
      <c r="B35" s="3">
        <f t="shared" si="11"/>
        <v>2057</v>
      </c>
      <c r="C35" s="272">
        <f>(($F35*$V$8*Assumptions!$D$13)+($F35*Assumptions!$D$14*$V$9))/10^6</f>
        <v>8739.513173633346</v>
      </c>
      <c r="D35" s="273">
        <f t="shared" si="0"/>
        <v>734119.10658520111</v>
      </c>
      <c r="E35" s="274">
        <f>D35*(1+0.03)^-($B35-Assumptions!$D$4)</f>
        <v>245917.37439372842</v>
      </c>
      <c r="F35" s="232">
        <f>IF(B35&lt;=Assumptions!$D$9,IF(B35&gt;=Assumptions!$D$29,('VOC-Detour-Truck'!C35-'VOC-Detour-Truck'!D35+'VOC-Detour-Car'!C35-'VOC-Detour-Car'!D35),0),0)</f>
        <v>15959625</v>
      </c>
      <c r="G35" s="231">
        <f>(($F35*$S$8*Assumptions!$D$13)+($F35*Assumptions!$D$14*$S$9))/10^6</f>
        <v>11.104762238605293</v>
      </c>
      <c r="H35" s="230">
        <f>(($F35*$T$8*Assumptions!$D$13)+($F35*Assumptions!$D$14*$T$9))/10^6</f>
        <v>4.3871030885734512E-2</v>
      </c>
      <c r="I35" s="229">
        <f>(($F35*$U$8*Assumptions!$D$13)+($F35*Assumptions!$D$14*$U$9))/10^6</f>
        <v>0.19933372861515486</v>
      </c>
      <c r="J35" s="228">
        <f t="shared" si="4"/>
        <v>199885.72029489526</v>
      </c>
      <c r="K35" s="227">
        <f t="shared" si="5"/>
        <v>535249.53990077507</v>
      </c>
      <c r="L35" s="223">
        <f t="shared" si="6"/>
        <v>37408.828036265819</v>
      </c>
      <c r="M35" s="226">
        <f t="shared" si="7"/>
        <v>772544.0882319361</v>
      </c>
      <c r="N35" s="225">
        <f>M35*(1+0.07)^-(B35-Assumptions!$D$4)</f>
        <v>63200.934393898358</v>
      </c>
      <c r="O35" s="224">
        <f t="shared" si="8"/>
        <v>1506663.1948171372</v>
      </c>
      <c r="P35" s="223">
        <f t="shared" si="9"/>
        <v>309118.3087876268</v>
      </c>
      <c r="R35" s="180">
        <v>2041</v>
      </c>
      <c r="S35" s="171">
        <v>18000</v>
      </c>
      <c r="T35" s="171">
        <v>48200</v>
      </c>
      <c r="U35" s="171">
        <v>852700</v>
      </c>
      <c r="V35" s="171">
        <v>73</v>
      </c>
    </row>
    <row r="36" spans="1:22" x14ac:dyDescent="0.25">
      <c r="A36" s="10"/>
      <c r="B36" s="81"/>
      <c r="C36" s="81"/>
      <c r="D36" s="81"/>
      <c r="E36" s="81"/>
      <c r="F36" s="65"/>
      <c r="G36" s="65"/>
      <c r="H36" s="65"/>
      <c r="I36" s="65"/>
      <c r="J36" s="59"/>
      <c r="L36" s="75"/>
      <c r="M36" s="80" t="s">
        <v>2</v>
      </c>
      <c r="N36" s="111">
        <f>SUM(N6:N35)</f>
        <v>1059125.3277608731</v>
      </c>
      <c r="O36" s="111">
        <f>SUM(O6:O35)</f>
        <v>16979935.987731349</v>
      </c>
      <c r="P36" s="111">
        <f>SUM(P6:P35)</f>
        <v>4298250.222496354</v>
      </c>
      <c r="Q36" s="75"/>
      <c r="R36" s="180">
        <v>2042</v>
      </c>
      <c r="S36" s="171">
        <v>18000</v>
      </c>
      <c r="T36" s="171">
        <v>48200</v>
      </c>
      <c r="U36" s="171">
        <v>852700</v>
      </c>
      <c r="V36" s="171">
        <v>75</v>
      </c>
    </row>
    <row r="37" spans="1:22" x14ac:dyDescent="0.25">
      <c r="Q37" s="75"/>
      <c r="R37" s="180">
        <v>2043</v>
      </c>
      <c r="S37" s="171">
        <v>18000</v>
      </c>
      <c r="T37" s="171">
        <v>48200</v>
      </c>
      <c r="U37" s="171">
        <v>852700</v>
      </c>
      <c r="V37" s="171">
        <v>76</v>
      </c>
    </row>
    <row r="38" spans="1:22" x14ac:dyDescent="0.25">
      <c r="R38" s="180">
        <v>2044</v>
      </c>
      <c r="S38" s="171">
        <v>18000</v>
      </c>
      <c r="T38" s="171">
        <v>48200</v>
      </c>
      <c r="U38" s="171">
        <v>852700</v>
      </c>
      <c r="V38" s="171">
        <v>77</v>
      </c>
    </row>
    <row r="39" spans="1:22" ht="15" customHeight="1" x14ac:dyDescent="0.25">
      <c r="B39" s="9" t="s">
        <v>3</v>
      </c>
      <c r="C39" s="9"/>
      <c r="D39" s="9"/>
      <c r="E39" s="9"/>
      <c r="R39" s="180">
        <v>2045</v>
      </c>
      <c r="S39" s="171">
        <v>18000</v>
      </c>
      <c r="T39" s="171">
        <v>48200</v>
      </c>
      <c r="U39" s="171">
        <v>852700</v>
      </c>
      <c r="V39" s="171">
        <v>78</v>
      </c>
    </row>
    <row r="40" spans="1:22" ht="15" customHeight="1" x14ac:dyDescent="0.25">
      <c r="A40" s="10" t="s">
        <v>21</v>
      </c>
      <c r="B40" s="492" t="s">
        <v>652</v>
      </c>
      <c r="C40" s="492"/>
      <c r="D40" s="492"/>
      <c r="E40" s="492"/>
      <c r="F40" s="492"/>
      <c r="G40" s="492"/>
      <c r="H40" s="492"/>
      <c r="I40" s="492"/>
      <c r="J40" s="492"/>
      <c r="K40" s="492"/>
      <c r="L40" s="492"/>
      <c r="M40" s="492"/>
      <c r="R40" s="180">
        <v>2046</v>
      </c>
      <c r="S40" s="171">
        <v>18000</v>
      </c>
      <c r="T40" s="171">
        <v>48200</v>
      </c>
      <c r="U40" s="171">
        <v>852700</v>
      </c>
      <c r="V40" s="171">
        <v>79</v>
      </c>
    </row>
    <row r="41" spans="1:22" x14ac:dyDescent="0.25">
      <c r="B41" s="492"/>
      <c r="C41" s="492"/>
      <c r="D41" s="492"/>
      <c r="E41" s="492"/>
      <c r="F41" s="492"/>
      <c r="G41" s="492"/>
      <c r="H41" s="492"/>
      <c r="I41" s="492"/>
      <c r="J41" s="492"/>
      <c r="K41" s="492"/>
      <c r="L41" s="492"/>
      <c r="M41" s="492"/>
      <c r="R41" s="180">
        <v>2047</v>
      </c>
      <c r="S41" s="171">
        <v>18000</v>
      </c>
      <c r="T41" s="171">
        <v>48200</v>
      </c>
      <c r="U41" s="171">
        <v>852700</v>
      </c>
      <c r="V41" s="171">
        <v>80</v>
      </c>
    </row>
    <row r="42" spans="1:22" x14ac:dyDescent="0.25">
      <c r="B42" s="492"/>
      <c r="C42" s="492"/>
      <c r="D42" s="492"/>
      <c r="E42" s="492"/>
      <c r="F42" s="492"/>
      <c r="G42" s="492"/>
      <c r="H42" s="492"/>
      <c r="I42" s="492"/>
      <c r="J42" s="492"/>
      <c r="K42" s="492"/>
      <c r="L42" s="492"/>
      <c r="M42" s="492"/>
      <c r="R42" s="180">
        <v>2048</v>
      </c>
      <c r="S42" s="171">
        <v>18000</v>
      </c>
      <c r="T42" s="171">
        <v>48200</v>
      </c>
      <c r="U42" s="171">
        <v>852700</v>
      </c>
      <c r="V42" s="171">
        <v>81</v>
      </c>
    </row>
    <row r="43" spans="1:22" ht="15" customHeight="1" x14ac:dyDescent="0.25">
      <c r="B43" s="492"/>
      <c r="C43" s="492"/>
      <c r="D43" s="492"/>
      <c r="E43" s="492"/>
      <c r="F43" s="492"/>
      <c r="G43" s="492"/>
      <c r="H43" s="492"/>
      <c r="I43" s="492"/>
      <c r="J43" s="492"/>
      <c r="K43" s="492"/>
      <c r="L43" s="492"/>
      <c r="M43" s="492"/>
      <c r="N43" s="174"/>
      <c r="O43" s="174"/>
      <c r="P43" s="174"/>
      <c r="R43" s="180">
        <v>2049</v>
      </c>
      <c r="S43" s="171">
        <v>18000</v>
      </c>
      <c r="T43" s="171">
        <v>48200</v>
      </c>
      <c r="U43" s="171">
        <v>852700</v>
      </c>
      <c r="V43" s="171">
        <v>83</v>
      </c>
    </row>
    <row r="44" spans="1:22" ht="15.75" customHeight="1" x14ac:dyDescent="0.25">
      <c r="A44" s="10"/>
      <c r="B44" s="237"/>
      <c r="C44" s="237"/>
      <c r="D44" s="237"/>
      <c r="E44" s="237"/>
      <c r="F44" s="237"/>
      <c r="G44" s="237"/>
      <c r="H44" s="237"/>
      <c r="I44" s="237"/>
      <c r="J44" s="237"/>
      <c r="K44" s="237"/>
      <c r="L44" s="237"/>
      <c r="M44" s="237"/>
      <c r="N44" s="174"/>
      <c r="O44" s="174"/>
      <c r="P44" s="174"/>
      <c r="R44" s="180">
        <v>2050</v>
      </c>
      <c r="S44" s="171">
        <v>18000</v>
      </c>
      <c r="T44" s="171">
        <v>48200</v>
      </c>
      <c r="U44" s="171">
        <v>852700</v>
      </c>
      <c r="V44" s="171">
        <v>84</v>
      </c>
    </row>
    <row r="45" spans="1:22" x14ac:dyDescent="0.25">
      <c r="A45" s="10" t="s">
        <v>28</v>
      </c>
      <c r="B45" s="492" t="s">
        <v>653</v>
      </c>
      <c r="C45" s="492"/>
      <c r="D45" s="492"/>
      <c r="E45" s="492"/>
      <c r="F45" s="492"/>
      <c r="G45" s="492"/>
      <c r="H45" s="492"/>
      <c r="I45" s="492"/>
      <c r="J45" s="492"/>
      <c r="K45" s="492"/>
      <c r="L45" s="492"/>
      <c r="M45" s="492"/>
      <c r="N45" s="174"/>
      <c r="O45" s="174"/>
      <c r="P45" s="174"/>
      <c r="R45" s="172">
        <v>2051</v>
      </c>
      <c r="S45" s="173">
        <f t="shared" ref="S45:V45" si="12">S44</f>
        <v>18000</v>
      </c>
      <c r="T45" s="173">
        <f t="shared" si="12"/>
        <v>48200</v>
      </c>
      <c r="U45" s="173">
        <f t="shared" si="12"/>
        <v>852700</v>
      </c>
      <c r="V45" s="173">
        <f t="shared" si="12"/>
        <v>84</v>
      </c>
    </row>
    <row r="46" spans="1:22" ht="15" customHeight="1" x14ac:dyDescent="0.25">
      <c r="A46" s="242"/>
      <c r="B46" s="492"/>
      <c r="C46" s="492"/>
      <c r="D46" s="492"/>
      <c r="E46" s="492"/>
      <c r="F46" s="492"/>
      <c r="G46" s="492"/>
      <c r="H46" s="492"/>
      <c r="I46" s="492"/>
      <c r="J46" s="492"/>
      <c r="K46" s="492"/>
      <c r="L46" s="492"/>
      <c r="M46" s="492"/>
      <c r="R46" s="172">
        <v>2052</v>
      </c>
      <c r="S46" s="173">
        <f t="shared" ref="S46:V46" si="13">S45</f>
        <v>18000</v>
      </c>
      <c r="T46" s="173">
        <f t="shared" si="13"/>
        <v>48200</v>
      </c>
      <c r="U46" s="173">
        <f t="shared" si="13"/>
        <v>852700</v>
      </c>
      <c r="V46" s="173">
        <f t="shared" si="13"/>
        <v>84</v>
      </c>
    </row>
    <row r="47" spans="1:22" x14ac:dyDescent="0.25">
      <c r="A47" s="242"/>
      <c r="B47" s="237"/>
      <c r="C47" s="237"/>
      <c r="D47" s="237"/>
      <c r="E47" s="237"/>
      <c r="F47" s="237"/>
      <c r="G47" s="237"/>
      <c r="H47" s="237"/>
      <c r="I47" s="237"/>
      <c r="J47" s="237"/>
      <c r="K47" s="237"/>
      <c r="L47" s="237"/>
      <c r="M47" s="237"/>
      <c r="R47" s="172">
        <v>2053</v>
      </c>
      <c r="S47" s="173">
        <f t="shared" ref="S47:V47" si="14">S46</f>
        <v>18000</v>
      </c>
      <c r="T47" s="173">
        <f t="shared" si="14"/>
        <v>48200</v>
      </c>
      <c r="U47" s="173">
        <f t="shared" si="14"/>
        <v>852700</v>
      </c>
      <c r="V47" s="173">
        <f t="shared" si="14"/>
        <v>84</v>
      </c>
    </row>
    <row r="48" spans="1:22" x14ac:dyDescent="0.25">
      <c r="A48" s="10" t="s">
        <v>29</v>
      </c>
      <c r="B48" s="508" t="s">
        <v>651</v>
      </c>
      <c r="C48" s="508"/>
      <c r="D48" s="508"/>
      <c r="E48" s="508"/>
      <c r="F48" s="508"/>
      <c r="G48" s="508"/>
      <c r="H48" s="508"/>
      <c r="I48" s="508"/>
      <c r="J48" s="508"/>
      <c r="K48" s="508"/>
      <c r="L48" s="508"/>
      <c r="M48" s="508"/>
      <c r="R48" s="172">
        <v>2054</v>
      </c>
      <c r="S48" s="173">
        <f t="shared" ref="S48:V48" si="15">S47</f>
        <v>18000</v>
      </c>
      <c r="T48" s="173">
        <f t="shared" si="15"/>
        <v>48200</v>
      </c>
      <c r="U48" s="173">
        <f t="shared" si="15"/>
        <v>852700</v>
      </c>
      <c r="V48" s="173">
        <f t="shared" si="15"/>
        <v>84</v>
      </c>
    </row>
    <row r="49" spans="1:22" x14ac:dyDescent="0.25">
      <c r="A49" s="242"/>
      <c r="B49" s="508"/>
      <c r="C49" s="508"/>
      <c r="D49" s="508"/>
      <c r="E49" s="508"/>
      <c r="F49" s="508"/>
      <c r="G49" s="508"/>
      <c r="H49" s="508"/>
      <c r="I49" s="508"/>
      <c r="J49" s="508"/>
      <c r="K49" s="508"/>
      <c r="L49" s="508"/>
      <c r="M49" s="508"/>
      <c r="R49" s="172">
        <v>2055</v>
      </c>
      <c r="S49" s="173">
        <f t="shared" ref="S49:V49" si="16">S48</f>
        <v>18000</v>
      </c>
      <c r="T49" s="173">
        <f t="shared" si="16"/>
        <v>48200</v>
      </c>
      <c r="U49" s="173">
        <f t="shared" si="16"/>
        <v>852700</v>
      </c>
      <c r="V49" s="173">
        <f t="shared" si="16"/>
        <v>84</v>
      </c>
    </row>
    <row r="50" spans="1:22" x14ac:dyDescent="0.25">
      <c r="A50" s="242"/>
      <c r="B50" s="508"/>
      <c r="C50" s="508"/>
      <c r="D50" s="508"/>
      <c r="E50" s="508"/>
      <c r="F50" s="508"/>
      <c r="G50" s="508"/>
      <c r="H50" s="508"/>
      <c r="I50" s="508"/>
      <c r="J50" s="508"/>
      <c r="K50" s="508"/>
      <c r="L50" s="508"/>
      <c r="M50" s="508"/>
      <c r="R50" s="172">
        <v>2056</v>
      </c>
      <c r="S50" s="173">
        <f t="shared" ref="S50:V50" si="17">S49</f>
        <v>18000</v>
      </c>
      <c r="T50" s="173">
        <f t="shared" si="17"/>
        <v>48200</v>
      </c>
      <c r="U50" s="173">
        <f t="shared" si="17"/>
        <v>852700</v>
      </c>
      <c r="V50" s="173">
        <f t="shared" si="17"/>
        <v>84</v>
      </c>
    </row>
    <row r="51" spans="1:22" x14ac:dyDescent="0.25">
      <c r="B51" s="81"/>
      <c r="C51" s="81"/>
      <c r="D51" s="81"/>
      <c r="E51" s="81"/>
      <c r="F51" s="65"/>
      <c r="G51" s="65"/>
      <c r="H51" s="65"/>
      <c r="I51" s="65"/>
      <c r="J51" s="65"/>
      <c r="L51" s="75"/>
      <c r="M51" s="75"/>
      <c r="R51" s="172">
        <v>2057</v>
      </c>
      <c r="S51" s="173">
        <f t="shared" ref="S51:V51" si="18">S50</f>
        <v>18000</v>
      </c>
      <c r="T51" s="173">
        <f t="shared" si="18"/>
        <v>48200</v>
      </c>
      <c r="U51" s="173">
        <f t="shared" si="18"/>
        <v>852700</v>
      </c>
      <c r="V51" s="173">
        <f t="shared" si="18"/>
        <v>84</v>
      </c>
    </row>
    <row r="52" spans="1:22" x14ac:dyDescent="0.25">
      <c r="B52" s="81"/>
      <c r="C52" s="81"/>
      <c r="D52" s="81"/>
      <c r="E52" s="81"/>
      <c r="F52" s="65"/>
      <c r="G52" s="65"/>
      <c r="H52" s="65"/>
      <c r="I52" s="65"/>
      <c r="J52" s="65"/>
      <c r="R52" s="172">
        <v>2058</v>
      </c>
      <c r="S52" s="173">
        <f t="shared" ref="S52:V52" si="19">S51</f>
        <v>18000</v>
      </c>
      <c r="T52" s="173">
        <f t="shared" si="19"/>
        <v>48200</v>
      </c>
      <c r="U52" s="173">
        <f t="shared" si="19"/>
        <v>852700</v>
      </c>
      <c r="V52" s="173">
        <f t="shared" si="19"/>
        <v>84</v>
      </c>
    </row>
    <row r="53" spans="1:22" x14ac:dyDescent="0.25">
      <c r="B53" s="81"/>
      <c r="C53" s="81"/>
      <c r="D53" s="81"/>
      <c r="E53" s="81"/>
      <c r="F53" s="65"/>
      <c r="G53" s="65"/>
      <c r="H53" s="65"/>
      <c r="I53" s="65"/>
      <c r="J53" s="65"/>
      <c r="K53" s="65"/>
      <c r="R53" s="172">
        <v>2059</v>
      </c>
      <c r="S53" s="173">
        <f t="shared" ref="S53:V53" si="20">S52</f>
        <v>18000</v>
      </c>
      <c r="T53" s="173">
        <f t="shared" si="20"/>
        <v>48200</v>
      </c>
      <c r="U53" s="173">
        <f t="shared" si="20"/>
        <v>852700</v>
      </c>
      <c r="V53" s="173">
        <f t="shared" si="20"/>
        <v>84</v>
      </c>
    </row>
    <row r="54" spans="1:22" x14ac:dyDescent="0.25">
      <c r="B54" s="81"/>
      <c r="C54" s="81"/>
      <c r="D54" s="81"/>
      <c r="E54" s="81"/>
      <c r="F54" s="65"/>
      <c r="G54" s="65"/>
      <c r="H54" s="65"/>
      <c r="I54" s="65"/>
      <c r="J54" s="65"/>
      <c r="K54" s="65"/>
      <c r="R54" s="172">
        <v>2060</v>
      </c>
      <c r="S54" s="173">
        <f t="shared" ref="S54:V54" si="21">S53</f>
        <v>18000</v>
      </c>
      <c r="T54" s="173">
        <f t="shared" si="21"/>
        <v>48200</v>
      </c>
      <c r="U54" s="173">
        <f t="shared" si="21"/>
        <v>852700</v>
      </c>
      <c r="V54" s="173">
        <f t="shared" si="21"/>
        <v>84</v>
      </c>
    </row>
    <row r="55" spans="1:22" ht="15" customHeight="1" x14ac:dyDescent="0.25">
      <c r="B55" s="81"/>
      <c r="C55" s="81"/>
      <c r="D55" s="81"/>
      <c r="E55" s="81"/>
      <c r="F55" s="65"/>
      <c r="G55" s="65"/>
      <c r="H55" s="65"/>
      <c r="I55" s="65"/>
      <c r="J55" s="65"/>
      <c r="K55" s="65"/>
      <c r="Q55" s="242"/>
      <c r="R55" s="510" t="s">
        <v>69</v>
      </c>
      <c r="S55" s="510"/>
      <c r="T55" s="510"/>
      <c r="U55" s="510"/>
      <c r="V55" s="510"/>
    </row>
    <row r="56" spans="1:22" x14ac:dyDescent="0.25">
      <c r="A56" s="10"/>
      <c r="J56" s="65"/>
      <c r="K56" s="65"/>
      <c r="Q56" s="242"/>
      <c r="R56" s="306"/>
      <c r="S56" s="306"/>
      <c r="T56" s="306"/>
      <c r="U56" s="306"/>
      <c r="V56" s="306"/>
    </row>
    <row r="57" spans="1:22" x14ac:dyDescent="0.25">
      <c r="F57" s="75"/>
      <c r="I57" s="75"/>
      <c r="J57" s="65"/>
      <c r="K57" s="65"/>
      <c r="Q57" s="242"/>
      <c r="R57" s="242"/>
      <c r="S57" s="242"/>
      <c r="T57" s="242"/>
      <c r="U57" s="242"/>
      <c r="V57" s="242"/>
    </row>
    <row r="58" spans="1:22" x14ac:dyDescent="0.25">
      <c r="B58" s="75"/>
      <c r="C58" s="75"/>
      <c r="D58" s="75"/>
      <c r="E58" s="75"/>
      <c r="F58" s="75"/>
      <c r="I58" s="75"/>
      <c r="J58" s="65"/>
      <c r="K58" s="65"/>
      <c r="Q58" s="242"/>
      <c r="R58" s="242"/>
      <c r="S58" s="242"/>
      <c r="T58" s="242"/>
      <c r="U58" s="242"/>
      <c r="V58" s="242"/>
    </row>
    <row r="59" spans="1:22" x14ac:dyDescent="0.25">
      <c r="J59" s="65"/>
      <c r="K59" s="65"/>
      <c r="Q59" s="242"/>
      <c r="R59" s="242"/>
      <c r="S59" s="242"/>
      <c r="T59" s="242"/>
      <c r="U59" s="242"/>
      <c r="V59" s="242"/>
    </row>
    <row r="60" spans="1:22" x14ac:dyDescent="0.25">
      <c r="B60" s="65"/>
      <c r="C60" s="65"/>
      <c r="D60" s="65"/>
      <c r="E60" s="65"/>
      <c r="F60" s="65"/>
      <c r="G60" s="65"/>
      <c r="H60" s="65"/>
      <c r="I60" s="65"/>
      <c r="J60" s="65"/>
      <c r="K60" s="65"/>
    </row>
    <row r="61" spans="1:22" x14ac:dyDescent="0.25">
      <c r="A61" s="10"/>
      <c r="B61" s="65"/>
      <c r="C61" s="65"/>
      <c r="D61" s="65"/>
      <c r="E61" s="65"/>
      <c r="F61" s="65"/>
      <c r="G61" s="65"/>
      <c r="H61" s="65"/>
      <c r="J61" s="65"/>
      <c r="K61" s="65"/>
    </row>
    <row r="62" spans="1:22" x14ac:dyDescent="0.25">
      <c r="J62" s="65"/>
      <c r="K62" s="65"/>
    </row>
    <row r="63" spans="1:22" x14ac:dyDescent="0.25">
      <c r="J63" s="65"/>
      <c r="K63" s="65"/>
    </row>
    <row r="64" spans="1:22" x14ac:dyDescent="0.25">
      <c r="A64" s="10"/>
      <c r="J64" s="65"/>
      <c r="K64" s="65"/>
    </row>
    <row r="66" spans="10:12" x14ac:dyDescent="0.25">
      <c r="J66" s="75"/>
    </row>
    <row r="67" spans="10:12" x14ac:dyDescent="0.25">
      <c r="J67" s="75"/>
      <c r="L67" s="65"/>
    </row>
    <row r="69" spans="10:12" x14ac:dyDescent="0.25">
      <c r="J69" s="65"/>
      <c r="K69" s="65"/>
    </row>
  </sheetData>
  <mergeCells count="22">
    <mergeCell ref="C3:E3"/>
    <mergeCell ref="F3:N3"/>
    <mergeCell ref="O3:P3"/>
    <mergeCell ref="C4:C5"/>
    <mergeCell ref="D4:D5"/>
    <mergeCell ref="E4:E5"/>
    <mergeCell ref="F4:F5"/>
    <mergeCell ref="G4:G5"/>
    <mergeCell ref="H4:H5"/>
    <mergeCell ref="M4:M5"/>
    <mergeCell ref="N4:N5"/>
    <mergeCell ref="O4:O5"/>
    <mergeCell ref="P4:P5"/>
    <mergeCell ref="R55:V55"/>
    <mergeCell ref="B48:M50"/>
    <mergeCell ref="B45:M46"/>
    <mergeCell ref="B4:B5"/>
    <mergeCell ref="I4:I5"/>
    <mergeCell ref="J4:J5"/>
    <mergeCell ref="K4:K5"/>
    <mergeCell ref="L4:L5"/>
    <mergeCell ref="B40:M43"/>
  </mergeCells>
  <pageMargins left="0.25" right="0.25" top="0.75" bottom="0.75" header="0.3" footer="0.3"/>
  <pageSetup paperSize="3"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37</vt:i4>
      </vt:variant>
    </vt:vector>
  </HeadingPairs>
  <TitlesOfParts>
    <vt:vector size="53" baseType="lpstr">
      <vt:lpstr>Assumptions</vt:lpstr>
      <vt:lpstr>BCA Summary </vt:lpstr>
      <vt:lpstr>TT-Detour-Truck</vt:lpstr>
      <vt:lpstr>VOC-Detour-Truck</vt:lpstr>
      <vt:lpstr>TT-Detour-Car</vt:lpstr>
      <vt:lpstr>VOC-Detour-Car</vt:lpstr>
      <vt:lpstr>TT - Construction</vt:lpstr>
      <vt:lpstr>Safety -  I-80 Mainline</vt:lpstr>
      <vt:lpstr>Air Quality</vt:lpstr>
      <vt:lpstr>Safety - N-103 Interchange</vt:lpstr>
      <vt:lpstr>Safety US 6 (I-80 Alt)</vt:lpstr>
      <vt:lpstr>Capital Cost and RCV</vt:lpstr>
      <vt:lpstr>Operating and Maintenance Costs</vt:lpstr>
      <vt:lpstr>AADT Data</vt:lpstr>
      <vt:lpstr>I-80 Mainline Crash Data_17-19</vt:lpstr>
      <vt:lpstr>US 6 Crash &amp; AADT Data</vt:lpstr>
      <vt:lpstr>'TT-Detour-Truck'!_ftnref1</vt:lpstr>
      <vt:lpstr>AnalysisPeriod</vt:lpstr>
      <vt:lpstr>AutoCost</vt:lpstr>
      <vt:lpstr>CompositeCost</vt:lpstr>
      <vt:lpstr>Daysinyr</vt:lpstr>
      <vt:lpstr>DiscountRate</vt:lpstr>
      <vt:lpstr>EndYear</vt:lpstr>
      <vt:lpstr>PeakLngthE</vt:lpstr>
      <vt:lpstr>PercentAutoW</vt:lpstr>
      <vt:lpstr>PercentAutoWO</vt:lpstr>
      <vt:lpstr>PercentTrucksW</vt:lpstr>
      <vt:lpstr>PercentTrucksWO</vt:lpstr>
      <vt:lpstr>PercTruckW</vt:lpstr>
      <vt:lpstr>PerTruckE</vt:lpstr>
      <vt:lpstr>PerTruckN</vt:lpstr>
      <vt:lpstr>'Air Quality'!Print_Area</vt:lpstr>
      <vt:lpstr>Assumptions!Print_Area</vt:lpstr>
      <vt:lpstr>'BCA Summary '!Print_Area</vt:lpstr>
      <vt:lpstr>'Capital Cost and RCV'!Print_Area</vt:lpstr>
      <vt:lpstr>'Safety -  I-80 Mainline'!Print_Area</vt:lpstr>
      <vt:lpstr>'Safety - N-103 Interchange'!Print_Area</vt:lpstr>
      <vt:lpstr>'Safety US 6 (I-80 Alt)'!Print_Area</vt:lpstr>
      <vt:lpstr>'TT - Construction'!Print_Area</vt:lpstr>
      <vt:lpstr>'TT-Detour-Car'!Print_Area</vt:lpstr>
      <vt:lpstr>'TT-Detour-Truck'!Print_Area</vt:lpstr>
      <vt:lpstr>'VOC-Detour-Car'!Print_Area</vt:lpstr>
      <vt:lpstr>'VOC-Detour-Truck'!Print_Area</vt:lpstr>
      <vt:lpstr>ProjLoc</vt:lpstr>
      <vt:lpstr>Projlocation</vt:lpstr>
      <vt:lpstr>ProjName</vt:lpstr>
      <vt:lpstr>SRFProjectNum</vt:lpstr>
      <vt:lpstr>TAccReductPer</vt:lpstr>
      <vt:lpstr>TAptFW</vt:lpstr>
      <vt:lpstr>TPerHwy</vt:lpstr>
      <vt:lpstr>TruckSpeed</vt:lpstr>
      <vt:lpstr>TVehMiBW</vt:lpstr>
      <vt:lpstr>TVehMiFW</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2015-06-02T17:19:45Z</cp:lastPrinted>
  <dcterms:created xsi:type="dcterms:W3CDTF">2013-05-17T20:57:43Z</dcterms:created>
  <dcterms:modified xsi:type="dcterms:W3CDTF">2022-05-19T23:30:31Z</dcterms:modified>
</cp:coreProperties>
</file>