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Trans\Grant Applications\2023 Grants\MPDG\NDDOT\BCA\"/>
    </mc:Choice>
  </mc:AlternateContent>
  <xr:revisionPtr revIDLastSave="0" documentId="8_{F9320F95-FC76-4334-8B6B-15CDB977FFAA}" xr6:coauthVersionLast="47" xr6:coauthVersionMax="47" xr10:uidLastSave="{00000000-0000-0000-0000-000000000000}"/>
  <bookViews>
    <workbookView xWindow="28680" yWindow="-120" windowWidth="29040" windowHeight="15840" tabRatio="704" xr2:uid="{9B11C689-6E71-4457-99BF-6C090D81190F}"/>
  </bookViews>
  <sheets>
    <sheet name="BCA Summary" sheetId="5" r:id="rId1"/>
    <sheet name="Assumptions" sheetId="1" r:id="rId2"/>
    <sheet name="Safety" sheetId="2" r:id="rId3"/>
    <sheet name="Travel Time" sheetId="6" r:id="rId4"/>
    <sheet name="Air Quality" sheetId="8" r:id="rId5"/>
    <sheet name="Operation and Maintenance" sheetId="3" r:id="rId6"/>
    <sheet name="Capital Value" sheetId="4" r:id="rId7"/>
    <sheet name="Traffic Counts-Segments" sheetId="9" r:id="rId8"/>
  </sheets>
  <definedNames>
    <definedName name="_Fill" hidden="1">#REF!</definedName>
    <definedName name="_Key1" hidden="1">#REF!</definedName>
    <definedName name="_Key2" hidden="1">#REF!</definedName>
    <definedName name="_Order1" hidden="1">255</definedName>
    <definedName name="_Order2" hidden="1">255</definedName>
    <definedName name="BEx3O85IKWARA6NCJOLRBRJFMEWW" hidden="1">#REF!</definedName>
    <definedName name="BEx5MLQZM68YQSKARVWTTPINFQ2C" hidden="1">#REF!</definedName>
    <definedName name="BExERWCEBKQRYWRQLYJ4UCMMKTHG" hidden="1">#REF!</definedName>
    <definedName name="BExMBYPQDG9AYDQ5E8IECVFREPO6" hidden="1">#REF!</definedName>
    <definedName name="BExQ9ZLYHWABXAA9NJDW8ZS0UQ9P" hidden="1">#REF!</definedName>
    <definedName name="BExTUY9WNSJ91GV8CP0SKJTEIV82" hidden="1">#REF!</definedName>
    <definedName name="_xlnm.Print_Area" localSheetId="4">'Air Quality'!$B$2:$AK$52</definedName>
    <definedName name="_xlnm.Print_Area" localSheetId="1">Assumptions!$B$2:$M$51</definedName>
    <definedName name="_xlnm.Print_Area" localSheetId="0">'BCA Summary'!$B$2:$N$37</definedName>
    <definedName name="_xlnm.Print_Area" localSheetId="6">'Capital Value'!$B$2:$K$39</definedName>
    <definedName name="_xlnm.Print_Area" localSheetId="5">'Operation and Maintenance'!$B$2:$J$34</definedName>
    <definedName name="_xlnm.Print_Area" localSheetId="2">Safety!$B$2:$T$36</definedName>
    <definedName name="_xlnm.Print_Area" localSheetId="7">'Traffic Counts-Segments'!$B$2:$L$35</definedName>
    <definedName name="_xlnm.Print_Area" localSheetId="3">'Travel Time'!$B$2:$AF$51</definedName>
    <definedName name="SAPBEXhrIndnt" hidden="1">"Wide"</definedName>
    <definedName name="SAPsysID" hidden="1">"708C5W7SBKP804JT78WJ0JNKI"</definedName>
    <definedName name="SAPwbID" hidden="1">"ARS"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5" l="1"/>
  <c r="C26" i="5"/>
  <c r="C25" i="5"/>
  <c r="C24" i="5"/>
  <c r="C23" i="5"/>
  <c r="C22" i="5"/>
  <c r="C21" i="5"/>
  <c r="C20" i="5"/>
  <c r="C19" i="5"/>
  <c r="C18" i="5"/>
  <c r="C17" i="5"/>
  <c r="C16" i="5"/>
  <c r="C15" i="5"/>
  <c r="C14" i="5"/>
  <c r="C13" i="5"/>
  <c r="C12" i="5"/>
  <c r="C11" i="5"/>
  <c r="C10" i="5"/>
  <c r="C9" i="5"/>
  <c r="C8" i="5"/>
  <c r="J26" i="1"/>
  <c r="J32" i="1"/>
  <c r="L31" i="1"/>
  <c r="L30" i="1"/>
  <c r="K32" i="1"/>
  <c r="J20" i="6"/>
  <c r="J19" i="6"/>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L32" i="1" l="1"/>
  <c r="L4" i="9"/>
  <c r="G21" i="1" s="1"/>
  <c r="G22" i="1"/>
  <c r="G23" i="1"/>
  <c r="G24" i="1"/>
  <c r="G25" i="1"/>
  <c r="L26" i="2" l="1"/>
  <c r="L25" i="2"/>
  <c r="G26" i="1"/>
  <c r="J16" i="2" l="1"/>
  <c r="B5" i="6"/>
  <c r="J21" i="1"/>
  <c r="J22" i="1"/>
  <c r="J24" i="1"/>
  <c r="B8" i="5"/>
  <c r="B6" i="8"/>
  <c r="B7" i="8" s="1"/>
  <c r="B8" i="8" s="1"/>
  <c r="B9" i="8" s="1"/>
  <c r="B10" i="8" s="1"/>
  <c r="B11" i="8" s="1"/>
  <c r="B12" i="8" s="1"/>
  <c r="B13" i="8" s="1"/>
  <c r="B14" i="8" s="1"/>
  <c r="B15" i="8" s="1"/>
  <c r="B16" i="8" s="1"/>
  <c r="B17" i="8" s="1"/>
  <c r="B18" i="8" s="1"/>
  <c r="B19" i="8" s="1"/>
  <c r="B20" i="8" s="1"/>
  <c r="B21" i="8" s="1"/>
  <c r="B22" i="8" s="1"/>
  <c r="B23" i="8" s="1"/>
  <c r="B24" i="8" s="1"/>
  <c r="B25" i="8" s="1"/>
  <c r="Y46" i="8"/>
  <c r="Y47" i="8" s="1"/>
  <c r="Y48" i="8" s="1"/>
  <c r="Y49" i="8" s="1"/>
  <c r="Y50" i="8" s="1"/>
  <c r="Y51" i="8" s="1"/>
  <c r="Y52" i="8" s="1"/>
  <c r="X46" i="8"/>
  <c r="X47" i="8" s="1"/>
  <c r="X48" i="8" s="1"/>
  <c r="X49" i="8" s="1"/>
  <c r="X50" i="8" s="1"/>
  <c r="X51" i="8" s="1"/>
  <c r="X52" i="8" s="1"/>
  <c r="W46" i="8"/>
  <c r="W47" i="8" s="1"/>
  <c r="W48" i="8" s="1"/>
  <c r="W49" i="8" s="1"/>
  <c r="W50" i="8" s="1"/>
  <c r="W51" i="8" s="1"/>
  <c r="W52" i="8" s="1"/>
  <c r="V46" i="8"/>
  <c r="V47" i="8" s="1"/>
  <c r="V48" i="8" s="1"/>
  <c r="V49" i="8" s="1"/>
  <c r="V50" i="8" s="1"/>
  <c r="V51" i="8" s="1"/>
  <c r="V52" i="8" s="1"/>
  <c r="AE27" i="8"/>
  <c r="AD27" i="8"/>
  <c r="X9" i="8" s="1"/>
  <c r="AC27" i="8"/>
  <c r="W9" i="8" s="1"/>
  <c r="AB27" i="8"/>
  <c r="V9" i="8" s="1"/>
  <c r="AE26" i="8"/>
  <c r="Y8" i="8" s="1"/>
  <c r="AD26" i="8"/>
  <c r="X8" i="8" s="1"/>
  <c r="AC26" i="8"/>
  <c r="W8" i="8" s="1"/>
  <c r="AB26" i="8"/>
  <c r="V8" i="8" s="1"/>
  <c r="Y9" i="8"/>
  <c r="L11" i="2"/>
  <c r="N11" i="2"/>
  <c r="M11" i="2"/>
  <c r="K11" i="2"/>
  <c r="J11" i="2"/>
  <c r="K16" i="2" l="1"/>
  <c r="M16" i="2" s="1"/>
  <c r="L16" i="2"/>
  <c r="O10" i="2"/>
  <c r="O9" i="2"/>
  <c r="O8" i="2"/>
  <c r="O7" i="2"/>
  <c r="O6" i="2"/>
  <c r="C5" i="4"/>
  <c r="I27" i="4" s="1"/>
  <c r="I28" i="4" s="1"/>
  <c r="M14" i="1"/>
  <c r="J15" i="1"/>
  <c r="M16" i="1" s="1"/>
  <c r="M15" i="1"/>
  <c r="I5" i="6" a="1"/>
  <c r="J6" i="6" s="1"/>
  <c r="L6" i="6" s="1"/>
  <c r="J13" i="6" s="1"/>
  <c r="J24" i="6" s="1"/>
  <c r="K7" i="6" l="1"/>
  <c r="M7" i="6" s="1"/>
  <c r="J7" i="6"/>
  <c r="L7" i="6" s="1"/>
  <c r="J14" i="6" s="1"/>
  <c r="K6" i="6"/>
  <c r="K8" i="6" s="1"/>
  <c r="M8" i="6" s="1"/>
  <c r="I5" i="6"/>
  <c r="J30" i="6"/>
  <c r="O11" i="2"/>
  <c r="J5" i="3"/>
  <c r="I7" i="4"/>
  <c r="B6" i="6"/>
  <c r="B7" i="6" s="1"/>
  <c r="B8" i="6" s="1"/>
  <c r="B9" i="6" s="1"/>
  <c r="B10" i="6" s="1"/>
  <c r="B11" i="6" s="1"/>
  <c r="B12" i="6" s="1"/>
  <c r="B13" i="6" s="1"/>
  <c r="B14" i="6" s="1"/>
  <c r="B15" i="6" s="1"/>
  <c r="B16" i="6" s="1"/>
  <c r="B17" i="6" s="1"/>
  <c r="B18" i="6" s="1"/>
  <c r="B19" i="6" s="1"/>
  <c r="B20" i="6" s="1"/>
  <c r="B21" i="6" s="1"/>
  <c r="B22" i="6" s="1"/>
  <c r="B23" i="6" s="1"/>
  <c r="B24" i="6" s="1"/>
  <c r="G27" i="1" l="1"/>
  <c r="K14" i="6"/>
  <c r="K31" i="6" s="1"/>
  <c r="J36" i="6"/>
  <c r="J25" i="6"/>
  <c r="J31" i="6"/>
  <c r="J8" i="6"/>
  <c r="L8" i="6" s="1"/>
  <c r="N8" i="6" s="1"/>
  <c r="M6" i="6"/>
  <c r="K13" i="6" s="1"/>
  <c r="K30" i="6" s="1"/>
  <c r="K32" i="6" s="1"/>
  <c r="N7" i="6"/>
  <c r="N6" i="6"/>
  <c r="F5" i="4"/>
  <c r="AC32" i="8" l="1"/>
  <c r="J37" i="6"/>
  <c r="C5" i="6"/>
  <c r="O16" i="2"/>
  <c r="J20" i="2"/>
  <c r="L20" i="2" s="1"/>
  <c r="J19" i="2"/>
  <c r="L19" i="2" s="1"/>
  <c r="J18" i="2"/>
  <c r="K18" i="2" s="1"/>
  <c r="M18" i="2" s="1"/>
  <c r="J17" i="2"/>
  <c r="K17" i="2" s="1"/>
  <c r="M17" i="2" s="1"/>
  <c r="J26" i="6"/>
  <c r="AC33" i="8"/>
  <c r="R8" i="8" s="1" a="1"/>
  <c r="R8" i="8" s="1"/>
  <c r="K24" i="6"/>
  <c r="K15" i="6"/>
  <c r="J38" i="6"/>
  <c r="L31" i="6"/>
  <c r="K25" i="6"/>
  <c r="L30" i="6"/>
  <c r="J32" i="6"/>
  <c r="J15" i="6"/>
  <c r="I10" i="4"/>
  <c r="B5" i="4"/>
  <c r="B6" i="4" s="1"/>
  <c r="K18" i="4"/>
  <c r="K19" i="4"/>
  <c r="K20" i="4"/>
  <c r="C25" i="3"/>
  <c r="B5" i="3"/>
  <c r="B6" i="3" s="1"/>
  <c r="B7" i="3" s="1"/>
  <c r="B8" i="3" s="1"/>
  <c r="B9" i="3" s="1"/>
  <c r="B10" i="3" s="1"/>
  <c r="B11" i="3" s="1"/>
  <c r="B12" i="3" s="1"/>
  <c r="B13" i="3" s="1"/>
  <c r="B14" i="3" s="1"/>
  <c r="B15" i="3" s="1"/>
  <c r="B16" i="3" s="1"/>
  <c r="B17" i="3" s="1"/>
  <c r="B18" i="3" s="1"/>
  <c r="B19" i="3" s="1"/>
  <c r="B20" i="3" s="1"/>
  <c r="B21" i="3" s="1"/>
  <c r="B22" i="3" s="1"/>
  <c r="B23" i="3" s="1"/>
  <c r="B24" i="3" s="1"/>
  <c r="J7" i="3"/>
  <c r="B5" i="2"/>
  <c r="K36" i="6" l="1"/>
  <c r="D5" i="6"/>
  <c r="L24" i="6"/>
  <c r="D18" i="6"/>
  <c r="E5" i="6"/>
  <c r="F5" i="6" s="1"/>
  <c r="D15" i="6"/>
  <c r="D14" i="6"/>
  <c r="R11" i="8" a="1"/>
  <c r="R11" i="8" s="1"/>
  <c r="R10" i="8" a="1"/>
  <c r="R10" i="8" s="1"/>
  <c r="R7" i="8" a="1"/>
  <c r="R7" i="8" s="1"/>
  <c r="K26" i="6"/>
  <c r="R9" i="8" a="1"/>
  <c r="R9" i="8" s="1"/>
  <c r="R6" i="8" a="1"/>
  <c r="R6" i="8" s="1"/>
  <c r="D21" i="6"/>
  <c r="L18" i="2"/>
  <c r="D23" i="6"/>
  <c r="D6" i="6"/>
  <c r="D7" i="6"/>
  <c r="D22" i="6"/>
  <c r="D13" i="6"/>
  <c r="L17" i="2"/>
  <c r="D12" i="6"/>
  <c r="D20" i="6"/>
  <c r="L25" i="6"/>
  <c r="L26" i="6" s="1"/>
  <c r="D5" i="3"/>
  <c r="E5" i="3" s="1"/>
  <c r="D10" i="6"/>
  <c r="K37" i="6"/>
  <c r="L37" i="6" s="1"/>
  <c r="D8" i="6"/>
  <c r="D16" i="6"/>
  <c r="D24" i="6"/>
  <c r="D9" i="6"/>
  <c r="D17" i="6"/>
  <c r="D11" i="6"/>
  <c r="D19" i="6"/>
  <c r="K38" i="6"/>
  <c r="L36" i="6"/>
  <c r="AB32" i="8"/>
  <c r="L32" i="6"/>
  <c r="R12" i="8" a="1"/>
  <c r="R12" i="8" s="1"/>
  <c r="C24" i="6"/>
  <c r="C23" i="6"/>
  <c r="C22" i="6"/>
  <c r="C21" i="6"/>
  <c r="C20" i="6"/>
  <c r="C19" i="6"/>
  <c r="C18" i="6"/>
  <c r="C17" i="6"/>
  <c r="C16" i="6"/>
  <c r="C15" i="6"/>
  <c r="C14" i="6"/>
  <c r="C13" i="6"/>
  <c r="C12" i="6"/>
  <c r="C11" i="6"/>
  <c r="C10" i="6"/>
  <c r="C9" i="6"/>
  <c r="C8" i="6"/>
  <c r="C7" i="6"/>
  <c r="C6" i="6"/>
  <c r="I8" i="4"/>
  <c r="J17" i="4" s="1"/>
  <c r="K17" i="4" s="1"/>
  <c r="I9" i="4"/>
  <c r="J21" i="4"/>
  <c r="K21" i="4" s="1"/>
  <c r="I11" i="4"/>
  <c r="F6" i="4"/>
  <c r="B7" i="4"/>
  <c r="D24" i="3"/>
  <c r="E24" i="3" s="1"/>
  <c r="F24" i="3" s="1"/>
  <c r="D23" i="3"/>
  <c r="E23" i="3" s="1"/>
  <c r="F23" i="3" s="1"/>
  <c r="D22" i="3"/>
  <c r="E22" i="3" s="1"/>
  <c r="F22" i="3" s="1"/>
  <c r="D21" i="3"/>
  <c r="E21" i="3" s="1"/>
  <c r="F21" i="3" s="1"/>
  <c r="D20" i="3"/>
  <c r="E20" i="3" s="1"/>
  <c r="F20" i="3" s="1"/>
  <c r="D19" i="3"/>
  <c r="E19" i="3" s="1"/>
  <c r="F19" i="3" s="1"/>
  <c r="D18" i="3"/>
  <c r="E18" i="3" s="1"/>
  <c r="F18" i="3" s="1"/>
  <c r="D17" i="3"/>
  <c r="E17" i="3" s="1"/>
  <c r="F17" i="3" s="1"/>
  <c r="D16" i="3"/>
  <c r="E16" i="3" s="1"/>
  <c r="F16" i="3" s="1"/>
  <c r="D15" i="3"/>
  <c r="E15" i="3" s="1"/>
  <c r="F15" i="3" s="1"/>
  <c r="D14" i="3"/>
  <c r="E14" i="3" s="1"/>
  <c r="F14" i="3" s="1"/>
  <c r="D13" i="3"/>
  <c r="E13" i="3" s="1"/>
  <c r="F13" i="3" s="1"/>
  <c r="D12" i="3"/>
  <c r="E12" i="3" s="1"/>
  <c r="F12" i="3" s="1"/>
  <c r="D11" i="3"/>
  <c r="E11" i="3" s="1"/>
  <c r="F11" i="3" s="1"/>
  <c r="D10" i="3"/>
  <c r="E10" i="3" s="1"/>
  <c r="F10" i="3" s="1"/>
  <c r="D9" i="3"/>
  <c r="E9" i="3" s="1"/>
  <c r="F9" i="3" s="1"/>
  <c r="D8" i="3"/>
  <c r="E8" i="3" s="1"/>
  <c r="F8" i="3" s="1"/>
  <c r="D7" i="3"/>
  <c r="E7" i="3" s="1"/>
  <c r="F7" i="3" s="1"/>
  <c r="D6" i="3"/>
  <c r="E6" i="3" s="1"/>
  <c r="F6" i="3" s="1"/>
  <c r="B6" i="2"/>
  <c r="L38" i="6" l="1"/>
  <c r="N16" i="2"/>
  <c r="AB33" i="8"/>
  <c r="Q6" i="8" s="1" a="1"/>
  <c r="Q6" i="8" s="1"/>
  <c r="R13" i="8" a="1"/>
  <c r="R13" i="8" s="1"/>
  <c r="N18" i="2"/>
  <c r="R16" i="2"/>
  <c r="I12" i="4"/>
  <c r="J22" i="4" s="1"/>
  <c r="B9" i="5"/>
  <c r="F7" i="4"/>
  <c r="B8" i="4"/>
  <c r="D25" i="3"/>
  <c r="B7" i="2"/>
  <c r="Q16" i="2" l="1"/>
  <c r="P16" i="2"/>
  <c r="Q11" i="8" a="1"/>
  <c r="Q11" i="8" s="1"/>
  <c r="S11" i="8" s="1"/>
  <c r="F11" i="8" s="1"/>
  <c r="D11" i="8" s="1"/>
  <c r="Q10" i="8" a="1"/>
  <c r="Q10" i="8" s="1"/>
  <c r="S10" i="8" s="1"/>
  <c r="F10" i="8" s="1"/>
  <c r="Q9" i="8" a="1"/>
  <c r="Q9" i="8" s="1"/>
  <c r="S9" i="8" s="1"/>
  <c r="F9" i="8" s="1"/>
  <c r="K9" i="8" s="1"/>
  <c r="Q8" i="8" a="1"/>
  <c r="Q8" i="8" s="1"/>
  <c r="S8" i="8" s="1"/>
  <c r="F8" i="8" s="1"/>
  <c r="K8" i="8" s="1"/>
  <c r="Q13" i="8" a="1"/>
  <c r="Q13" i="8" s="1"/>
  <c r="S13" i="8" s="1"/>
  <c r="F13" i="8" s="1"/>
  <c r="Q7" i="8" a="1"/>
  <c r="Q7" i="8" s="1"/>
  <c r="S7" i="8" s="1"/>
  <c r="F7" i="8" s="1"/>
  <c r="K7" i="8" s="1"/>
  <c r="S6" i="8"/>
  <c r="F6" i="8" s="1"/>
  <c r="Q12" i="8" a="1"/>
  <c r="Q12" i="8" s="1"/>
  <c r="S12" i="8" s="1"/>
  <c r="F12" i="8" s="1"/>
  <c r="Q14" i="8" a="1"/>
  <c r="Q14" i="8" s="1"/>
  <c r="R14" i="8" a="1"/>
  <c r="R14" i="8" s="1"/>
  <c r="O18" i="2"/>
  <c r="S16" i="2"/>
  <c r="N17" i="2"/>
  <c r="Q17" i="2" s="1"/>
  <c r="N20" i="2"/>
  <c r="K20" i="2"/>
  <c r="M20" i="2" s="1"/>
  <c r="O20" i="2" s="1"/>
  <c r="N19" i="2"/>
  <c r="K19" i="2"/>
  <c r="M19" i="2" s="1"/>
  <c r="Q18" i="2"/>
  <c r="F5" i="3"/>
  <c r="F25" i="3" s="1"/>
  <c r="G8" i="5"/>
  <c r="G9" i="5"/>
  <c r="B10" i="5"/>
  <c r="F8" i="4"/>
  <c r="B9" i="4"/>
  <c r="E25" i="3"/>
  <c r="B8" i="2"/>
  <c r="L11" i="8" l="1"/>
  <c r="K11" i="8"/>
  <c r="J11" i="8"/>
  <c r="D8" i="8"/>
  <c r="F10" i="5" s="1"/>
  <c r="L8" i="8"/>
  <c r="J9" i="8"/>
  <c r="L7" i="8"/>
  <c r="D7" i="8"/>
  <c r="F9" i="5" s="1"/>
  <c r="D9" i="8"/>
  <c r="F11" i="5" s="1"/>
  <c r="J7" i="8"/>
  <c r="J8" i="8"/>
  <c r="L9" i="8"/>
  <c r="D10" i="8"/>
  <c r="F12" i="5" s="1"/>
  <c r="L10" i="8"/>
  <c r="K10" i="8"/>
  <c r="J10" i="8"/>
  <c r="D6" i="8"/>
  <c r="L6" i="8"/>
  <c r="J6" i="8"/>
  <c r="K6" i="8"/>
  <c r="F13" i="5"/>
  <c r="K12" i="8"/>
  <c r="J12" i="8"/>
  <c r="D12" i="8"/>
  <c r="F14" i="5" s="1"/>
  <c r="L12" i="8"/>
  <c r="S14" i="8"/>
  <c r="F14" i="8" s="1"/>
  <c r="Q15" i="8" a="1"/>
  <c r="Q15" i="8" s="1"/>
  <c r="R15" i="8" a="1"/>
  <c r="R15" i="8" s="1"/>
  <c r="M11" i="8"/>
  <c r="E13" i="5" s="1"/>
  <c r="O19" i="2"/>
  <c r="N21" i="2"/>
  <c r="O17" i="2"/>
  <c r="P17" i="2" s="1"/>
  <c r="S17" i="2" s="1"/>
  <c r="M21" i="2"/>
  <c r="L21" i="2"/>
  <c r="Q19" i="2"/>
  <c r="Q20" i="2"/>
  <c r="E22" i="6"/>
  <c r="F22" i="6" s="1"/>
  <c r="E6" i="6"/>
  <c r="E10" i="6"/>
  <c r="F10" i="6" s="1"/>
  <c r="E9" i="6"/>
  <c r="F9" i="6" s="1"/>
  <c r="E16" i="6"/>
  <c r="F16" i="6" s="1"/>
  <c r="R18" i="2"/>
  <c r="P18" i="2"/>
  <c r="S18" i="2" s="1"/>
  <c r="J23" i="4"/>
  <c r="N6" i="5" s="1"/>
  <c r="M11" i="5" s="1"/>
  <c r="M18" i="5" s="1"/>
  <c r="K22" i="4"/>
  <c r="K23" i="4" s="1"/>
  <c r="D25" i="4" s="1"/>
  <c r="G10" i="5"/>
  <c r="B11" i="5"/>
  <c r="F9" i="4"/>
  <c r="B10" i="4"/>
  <c r="B9" i="2"/>
  <c r="M7" i="8" l="1"/>
  <c r="O7" i="8" s="1"/>
  <c r="M8" i="8"/>
  <c r="O8" i="8" s="1"/>
  <c r="M9" i="8"/>
  <c r="P9" i="8" s="1"/>
  <c r="E10" i="5"/>
  <c r="M10" i="8"/>
  <c r="E12" i="5" s="1"/>
  <c r="E9" i="5"/>
  <c r="P7" i="8"/>
  <c r="M6" i="8"/>
  <c r="F8" i="5"/>
  <c r="E11" i="5"/>
  <c r="M12" i="8"/>
  <c r="L13" i="8"/>
  <c r="J13" i="8"/>
  <c r="K13" i="8"/>
  <c r="Q16" i="8" a="1"/>
  <c r="Q16" i="8" s="1"/>
  <c r="R16" i="8" a="1"/>
  <c r="R16" i="8" s="1"/>
  <c r="O11" i="8"/>
  <c r="D13" i="8"/>
  <c r="F15" i="5" s="1"/>
  <c r="K14" i="8"/>
  <c r="J14" i="8"/>
  <c r="D14" i="8"/>
  <c r="F16" i="5" s="1"/>
  <c r="L14" i="8"/>
  <c r="S15" i="8"/>
  <c r="F15" i="8" s="1"/>
  <c r="Q21" i="2"/>
  <c r="R19" i="2"/>
  <c r="P19" i="2"/>
  <c r="S19" i="2" s="1"/>
  <c r="R20" i="2"/>
  <c r="P20" i="2"/>
  <c r="S20" i="2" s="1"/>
  <c r="O21" i="2"/>
  <c r="R17" i="2"/>
  <c r="E20" i="6"/>
  <c r="F20" i="6" s="1"/>
  <c r="E14" i="6"/>
  <c r="F14" i="6" s="1"/>
  <c r="E13" i="6"/>
  <c r="F13" i="6" s="1"/>
  <c r="E24" i="6"/>
  <c r="F24" i="6" s="1"/>
  <c r="E21" i="6"/>
  <c r="F21" i="6" s="1"/>
  <c r="E12" i="6"/>
  <c r="F12" i="6" s="1"/>
  <c r="E17" i="6"/>
  <c r="F17" i="6" s="1"/>
  <c r="E11" i="6"/>
  <c r="F11" i="6" s="1"/>
  <c r="E18" i="6"/>
  <c r="F18" i="6" s="1"/>
  <c r="E7" i="6"/>
  <c r="F7" i="6" s="1"/>
  <c r="E19" i="6"/>
  <c r="F19" i="6" s="1"/>
  <c r="E15" i="6"/>
  <c r="F15" i="6" s="1"/>
  <c r="E23" i="6"/>
  <c r="F23" i="6" s="1"/>
  <c r="E8" i="6"/>
  <c r="F8" i="6" s="1"/>
  <c r="F6" i="6"/>
  <c r="G11" i="5"/>
  <c r="B12" i="5"/>
  <c r="F10" i="4"/>
  <c r="B11" i="4"/>
  <c r="B10" i="2"/>
  <c r="P8" i="8" l="1"/>
  <c r="O9" i="8"/>
  <c r="P21" i="2"/>
  <c r="P10" i="8"/>
  <c r="O10" i="8"/>
  <c r="F25" i="6"/>
  <c r="E8" i="5"/>
  <c r="O6" i="8"/>
  <c r="R21" i="2"/>
  <c r="E14" i="5"/>
  <c r="O12" i="8"/>
  <c r="P12" i="8"/>
  <c r="M14" i="8"/>
  <c r="E16" i="5" s="1"/>
  <c r="S16" i="8"/>
  <c r="F16" i="8" s="1"/>
  <c r="Q17" i="8" a="1"/>
  <c r="Q17" i="8" s="1"/>
  <c r="R17" i="8" a="1"/>
  <c r="R17" i="8" s="1"/>
  <c r="M13" i="8"/>
  <c r="E15" i="5" s="1"/>
  <c r="P11" i="8"/>
  <c r="D15" i="8"/>
  <c r="F17" i="5" s="1"/>
  <c r="K15" i="8"/>
  <c r="J15" i="8"/>
  <c r="L15" i="8"/>
  <c r="S21" i="2"/>
  <c r="G12" i="5"/>
  <c r="B13" i="5"/>
  <c r="F11" i="4"/>
  <c r="B12" i="4"/>
  <c r="B11" i="2"/>
  <c r="O14" i="8" l="1"/>
  <c r="P6" i="8"/>
  <c r="P14" i="8"/>
  <c r="S17" i="8"/>
  <c r="F17" i="8" s="1"/>
  <c r="K17" i="8" s="1"/>
  <c r="M15" i="8"/>
  <c r="Q18" i="8" a="1"/>
  <c r="Q18" i="8" s="1"/>
  <c r="R18" i="8" a="1"/>
  <c r="R18" i="8" s="1"/>
  <c r="O13" i="8"/>
  <c r="K16" i="8"/>
  <c r="J16" i="8"/>
  <c r="D16" i="8"/>
  <c r="F18" i="5" s="1"/>
  <c r="L16" i="8"/>
  <c r="G13" i="5"/>
  <c r="B14" i="5"/>
  <c r="F12" i="4"/>
  <c r="B13" i="4"/>
  <c r="B12" i="2"/>
  <c r="L17" i="8" l="1"/>
  <c r="D17" i="8"/>
  <c r="F19" i="5" s="1"/>
  <c r="O15" i="8"/>
  <c r="E17" i="5"/>
  <c r="J17" i="8"/>
  <c r="M17" i="8" s="1"/>
  <c r="E19" i="5" s="1"/>
  <c r="P15" i="8"/>
  <c r="P13" i="8"/>
  <c r="S18" i="8"/>
  <c r="F18" i="8" s="1"/>
  <c r="M16" i="8"/>
  <c r="E18" i="5" s="1"/>
  <c r="Q19" i="8" a="1"/>
  <c r="Q19" i="8" s="1"/>
  <c r="R19" i="8" a="1"/>
  <c r="R19" i="8" s="1"/>
  <c r="G14" i="5"/>
  <c r="B15" i="5"/>
  <c r="F13" i="4"/>
  <c r="B14" i="4"/>
  <c r="B13" i="2"/>
  <c r="S19" i="8" l="1"/>
  <c r="F19" i="8" s="1"/>
  <c r="Q20" i="8" a="1"/>
  <c r="Q20" i="8" s="1"/>
  <c r="R20" i="8" a="1"/>
  <c r="R20" i="8" s="1"/>
  <c r="J18" i="8"/>
  <c r="D18" i="8"/>
  <c r="F20" i="5" s="1"/>
  <c r="L18" i="8"/>
  <c r="O16" i="8"/>
  <c r="O17" i="8"/>
  <c r="P17" i="8"/>
  <c r="D19" i="8"/>
  <c r="F21" i="5" s="1"/>
  <c r="L19" i="8"/>
  <c r="K19" i="8"/>
  <c r="J19" i="8"/>
  <c r="G15" i="5"/>
  <c r="B16" i="5"/>
  <c r="F14" i="4"/>
  <c r="B15" i="4"/>
  <c r="B14" i="2"/>
  <c r="M19" i="8" l="1"/>
  <c r="K18" i="8"/>
  <c r="M18" i="8" s="1"/>
  <c r="E20" i="5" s="1"/>
  <c r="S20" i="8"/>
  <c r="F20" i="8" s="1"/>
  <c r="P16" i="8"/>
  <c r="Q21" i="8" a="1"/>
  <c r="Q21" i="8" s="1"/>
  <c r="R21" i="8" a="1"/>
  <c r="R21" i="8" s="1"/>
  <c r="G16" i="5"/>
  <c r="B17" i="5"/>
  <c r="F15" i="4"/>
  <c r="B16" i="4"/>
  <c r="B15" i="2"/>
  <c r="O19" i="8" l="1"/>
  <c r="E21" i="5"/>
  <c r="P19" i="8"/>
  <c r="O18" i="8"/>
  <c r="P18" i="8"/>
  <c r="K20" i="8"/>
  <c r="J20" i="8"/>
  <c r="D20" i="8"/>
  <c r="F22" i="5" s="1"/>
  <c r="L20" i="8"/>
  <c r="S21" i="8"/>
  <c r="F21" i="8" s="1"/>
  <c r="Q22" i="8" a="1"/>
  <c r="Q22" i="8" s="1"/>
  <c r="R22" i="8" a="1"/>
  <c r="R22" i="8" s="1"/>
  <c r="G17" i="5"/>
  <c r="B18" i="5"/>
  <c r="F16" i="4"/>
  <c r="B17" i="4"/>
  <c r="B16" i="2"/>
  <c r="Q23" i="8" l="1" a="1"/>
  <c r="Q23" i="8" s="1"/>
  <c r="R23" i="8" a="1"/>
  <c r="R23" i="8" s="1"/>
  <c r="M20" i="8"/>
  <c r="E22" i="5" s="1"/>
  <c r="D21" i="8"/>
  <c r="F23" i="5" s="1"/>
  <c r="L21" i="8"/>
  <c r="K21" i="8"/>
  <c r="J21" i="8"/>
  <c r="S22" i="8"/>
  <c r="F22" i="8" s="1"/>
  <c r="G18" i="5"/>
  <c r="B19" i="5"/>
  <c r="F17" i="4"/>
  <c r="B18" i="4"/>
  <c r="B17" i="2"/>
  <c r="M21" i="8" l="1"/>
  <c r="P21" i="8" s="1"/>
  <c r="O20" i="8"/>
  <c r="P20" i="8"/>
  <c r="S23" i="8"/>
  <c r="F23" i="8" s="1"/>
  <c r="K22" i="8"/>
  <c r="J22" i="8"/>
  <c r="D22" i="8"/>
  <c r="F24" i="5" s="1"/>
  <c r="L22" i="8"/>
  <c r="Q24" i="8" a="1"/>
  <c r="Q24" i="8" s="1"/>
  <c r="R24" i="8" a="1"/>
  <c r="R24" i="8" s="1"/>
  <c r="G19" i="5"/>
  <c r="B20" i="5"/>
  <c r="F18" i="4"/>
  <c r="B19" i="4"/>
  <c r="B18" i="2"/>
  <c r="O21" i="8" l="1"/>
  <c r="E23" i="5"/>
  <c r="M22" i="8"/>
  <c r="E24" i="5" s="1"/>
  <c r="S24" i="8"/>
  <c r="D23" i="8"/>
  <c r="F25" i="5" s="1"/>
  <c r="L23" i="8"/>
  <c r="K23" i="8"/>
  <c r="J23" i="8"/>
  <c r="Q25" i="8" a="1"/>
  <c r="Q25" i="8" s="1"/>
  <c r="R25" i="8" a="1"/>
  <c r="R25" i="8" s="1"/>
  <c r="G20" i="5"/>
  <c r="B21" i="5"/>
  <c r="F19" i="4"/>
  <c r="B20" i="4"/>
  <c r="B19" i="2"/>
  <c r="P22" i="8" l="1"/>
  <c r="O22" i="8"/>
  <c r="F24" i="8"/>
  <c r="L24" i="8" s="1"/>
  <c r="M23" i="8"/>
  <c r="E25" i="5" s="1"/>
  <c r="S25" i="8"/>
  <c r="F25" i="8" s="1"/>
  <c r="G21" i="5"/>
  <c r="B22" i="5"/>
  <c r="F20" i="4"/>
  <c r="B21" i="4"/>
  <c r="B20" i="2"/>
  <c r="P23" i="8" l="1"/>
  <c r="O23" i="8"/>
  <c r="K24" i="8"/>
  <c r="J24" i="8"/>
  <c r="D24" i="8"/>
  <c r="F26" i="5" s="1"/>
  <c r="D25" i="8"/>
  <c r="L25" i="8"/>
  <c r="K25" i="8"/>
  <c r="J25" i="8"/>
  <c r="G22" i="5"/>
  <c r="B23" i="5"/>
  <c r="F21" i="4"/>
  <c r="B22" i="4"/>
  <c r="B21" i="2"/>
  <c r="E26" i="8" l="1"/>
  <c r="M24" i="8"/>
  <c r="P24" i="8" s="1"/>
  <c r="F27" i="5"/>
  <c r="F28" i="5" s="1"/>
  <c r="M25" i="8"/>
  <c r="E27" i="5" s="1"/>
  <c r="G23" i="5"/>
  <c r="B24" i="5"/>
  <c r="F22" i="4"/>
  <c r="B23" i="4"/>
  <c r="B22" i="2"/>
  <c r="O24" i="8" l="1"/>
  <c r="E26" i="5"/>
  <c r="E28" i="5" s="1"/>
  <c r="N26" i="8"/>
  <c r="O25" i="8"/>
  <c r="G24" i="5"/>
  <c r="B25" i="5"/>
  <c r="F23" i="4"/>
  <c r="B24" i="4"/>
  <c r="B23" i="2"/>
  <c r="P25" i="8" l="1"/>
  <c r="G25" i="5"/>
  <c r="B26" i="5"/>
  <c r="F24" i="4"/>
  <c r="B25" i="4"/>
  <c r="B24" i="2"/>
  <c r="G26" i="5" l="1"/>
  <c r="B27" i="5"/>
  <c r="B26" i="4"/>
  <c r="E26" i="4" s="1"/>
  <c r="C28" i="5" l="1"/>
  <c r="G27" i="5"/>
  <c r="G28" i="5" s="1"/>
  <c r="B27" i="4"/>
  <c r="B28" i="4" l="1"/>
  <c r="E27" i="4"/>
  <c r="B29" i="4" l="1"/>
  <c r="E28" i="4"/>
  <c r="B30" i="4" l="1"/>
  <c r="E30" i="4" s="1"/>
  <c r="E29" i="4"/>
  <c r="F25" i="4" l="1"/>
  <c r="H27" i="5"/>
  <c r="J26" i="2"/>
  <c r="K26" i="2" s="1"/>
  <c r="H28" i="5" l="1"/>
  <c r="D10" i="2"/>
  <c r="I26" i="8" l="1"/>
  <c r="I27" i="8" s="1"/>
  <c r="AB40" i="8" s="1"/>
  <c r="G26" i="8"/>
  <c r="G27" i="8" s="1"/>
  <c r="AB38" i="8" s="1"/>
  <c r="C26" i="8"/>
  <c r="AB37" i="8" s="1"/>
  <c r="H26" i="8"/>
  <c r="H27" i="8" s="1"/>
  <c r="AB39" i="8" s="1"/>
  <c r="D19" i="2"/>
  <c r="D11" i="2"/>
  <c r="D7" i="2"/>
  <c r="D8" i="2"/>
  <c r="D15" i="2"/>
  <c r="D9" i="2"/>
  <c r="D23" i="2"/>
  <c r="D18" i="2"/>
  <c r="D12" i="2"/>
  <c r="D20" i="2"/>
  <c r="D16" i="2"/>
  <c r="D24" i="2"/>
  <c r="D17" i="2"/>
  <c r="D6" i="2"/>
  <c r="D13" i="2"/>
  <c r="D14" i="2"/>
  <c r="D5" i="2"/>
  <c r="D21" i="2"/>
  <c r="D22" i="2"/>
  <c r="D25" i="2" l="1"/>
  <c r="O26" i="8" l="1"/>
  <c r="P26" i="8" l="1"/>
  <c r="J25" i="2" l="1"/>
  <c r="K25" i="2"/>
  <c r="C8" i="2"/>
  <c r="C12" i="2"/>
  <c r="C16" i="2"/>
  <c r="C20" i="2"/>
  <c r="C24" i="2"/>
  <c r="C23" i="2"/>
  <c r="C19" i="2"/>
  <c r="C15" i="2"/>
  <c r="C11" i="2"/>
  <c r="C7" i="2"/>
  <c r="C22" i="2"/>
  <c r="C18" i="2"/>
  <c r="C14" i="2"/>
  <c r="C10" i="2"/>
  <c r="C6" i="2"/>
  <c r="C5" i="2"/>
  <c r="C21" i="2"/>
  <c r="C17" i="2"/>
  <c r="C13" i="2"/>
  <c r="C9" i="2"/>
  <c r="E19" i="2"/>
  <c r="E11" i="2"/>
  <c r="E7" i="2"/>
  <c r="E8" i="2"/>
  <c r="E10" i="2"/>
  <c r="E15" i="2"/>
  <c r="E9" i="2"/>
  <c r="E23" i="2"/>
  <c r="E18" i="2"/>
  <c r="E12" i="2"/>
  <c r="E20" i="2"/>
  <c r="E16" i="2"/>
  <c r="E24" i="2"/>
  <c r="E17" i="2"/>
  <c r="E6" i="2"/>
  <c r="E13" i="2"/>
  <c r="E14" i="2"/>
  <c r="C25" i="2"/>
  <c r="E21" i="2"/>
  <c r="E22" i="2"/>
  <c r="F6" i="2"/>
  <c r="D9" i="5"/>
  <c r="I9" i="5"/>
  <c r="J9" i="5"/>
  <c r="D12" i="5"/>
  <c r="I12" i="5"/>
  <c r="J12" i="5"/>
  <c r="F9" i="2"/>
  <c r="D24" i="5"/>
  <c r="I24" i="5"/>
  <c r="J24" i="5"/>
  <c r="F21" i="2"/>
  <c r="F24" i="2"/>
  <c r="D27" i="5"/>
  <c r="I27" i="5"/>
  <c r="J27" i="5"/>
  <c r="F20" i="2"/>
  <c r="D23" i="5"/>
  <c r="I23" i="5"/>
  <c r="J23" i="5"/>
  <c r="F18" i="2"/>
  <c r="D21" i="5"/>
  <c r="I21" i="5"/>
  <c r="J21" i="5"/>
  <c r="D20" i="5"/>
  <c r="I20" i="5"/>
  <c r="J20" i="5"/>
  <c r="F17" i="2"/>
  <c r="F16" i="2"/>
  <c r="D19" i="5"/>
  <c r="I19" i="5"/>
  <c r="J19" i="5"/>
  <c r="F15" i="2"/>
  <c r="D18" i="5"/>
  <c r="I18" i="5"/>
  <c r="J18" i="5"/>
  <c r="F14" i="2"/>
  <c r="D17" i="5"/>
  <c r="I17" i="5"/>
  <c r="J17" i="5"/>
  <c r="D16" i="5"/>
  <c r="I16" i="5"/>
  <c r="J16" i="5"/>
  <c r="F13" i="2"/>
  <c r="F7" i="2"/>
  <c r="D10" i="5"/>
  <c r="I10" i="5"/>
  <c r="J10" i="5"/>
  <c r="F10" i="2"/>
  <c r="D13" i="5"/>
  <c r="I13" i="5"/>
  <c r="J13" i="5"/>
  <c r="F22" i="2"/>
  <c r="D25" i="5"/>
  <c r="I25" i="5"/>
  <c r="J25" i="5"/>
  <c r="F8" i="2"/>
  <c r="D11" i="5"/>
  <c r="I11" i="5"/>
  <c r="J11" i="5"/>
  <c r="F23" i="2"/>
  <c r="D26" i="5"/>
  <c r="I26" i="5"/>
  <c r="J26" i="5"/>
  <c r="F19" i="2"/>
  <c r="D22" i="5"/>
  <c r="I22" i="5"/>
  <c r="J22" i="5"/>
  <c r="F12" i="2"/>
  <c r="D15" i="5"/>
  <c r="I15" i="5"/>
  <c r="J15" i="5"/>
  <c r="E5" i="2"/>
  <c r="F5" i="2"/>
  <c r="F11" i="2"/>
  <c r="D14" i="5"/>
  <c r="I14" i="5"/>
  <c r="J14" i="5"/>
  <c r="F25" i="2"/>
  <c r="D8" i="5"/>
  <c r="E25" i="2"/>
  <c r="D28" i="5"/>
  <c r="I8" i="5"/>
  <c r="J29" i="5"/>
  <c r="J8" i="5"/>
  <c r="J28" i="5"/>
  <c r="M10" i="5"/>
  <c r="I28" i="5"/>
  <c r="M13" i="5"/>
  <c r="M12" i="5"/>
  <c r="M17" i="5"/>
  <c r="M20" i="5"/>
  <c r="M19"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<sst xmlns="http://schemas.openxmlformats.org/spreadsheetml/2006/main" count="574" uniqueCount="296">
  <si>
    <t>Fatal</t>
  </si>
  <si>
    <t>Incapacitating</t>
  </si>
  <si>
    <t>Non-Incapacitating</t>
  </si>
  <si>
    <t>Possible Injury</t>
  </si>
  <si>
    <t>PDO</t>
  </si>
  <si>
    <t>Total</t>
  </si>
  <si>
    <t>Growth</t>
  </si>
  <si>
    <t>AADT</t>
  </si>
  <si>
    <t>VMT</t>
  </si>
  <si>
    <t>Type</t>
  </si>
  <si>
    <t>CMF Table</t>
  </si>
  <si>
    <t>Crash Type</t>
  </si>
  <si>
    <t>CMF Value</t>
  </si>
  <si>
    <t>Source</t>
  </si>
  <si>
    <t>Fatality crashes</t>
  </si>
  <si>
    <t>All</t>
  </si>
  <si>
    <t>Install any type of median barrier; CMF ID# 42; Source: HANDBOOK OF ROAD SAFETY MEASURES, ELVIK, R. AND VAA, T., 2004</t>
  </si>
  <si>
    <t>Injury Crashes</t>
  </si>
  <si>
    <t>Install any type of median barrier; CMF ID# 43; Source: HANDBOOK OF ROAD SAFETY MEASURES, ELVIK, R. AND VAA, T., 2004</t>
  </si>
  <si>
    <t>PDO Crashes</t>
  </si>
  <si>
    <t>Iowa Planning-Level Crash Reduction Factor List, 2019; https://iowadot.gov/traffic/pdfs/CRFListVersion.pdf</t>
  </si>
  <si>
    <t>Build</t>
  </si>
  <si>
    <t>Crash Severity</t>
  </si>
  <si>
    <t>K</t>
  </si>
  <si>
    <t>A</t>
  </si>
  <si>
    <t>B</t>
  </si>
  <si>
    <t>C</t>
  </si>
  <si>
    <t>Recommended Value</t>
  </si>
  <si>
    <t>Analysis Year</t>
  </si>
  <si>
    <t>7% Discount</t>
  </si>
  <si>
    <t>No Build Cost</t>
  </si>
  <si>
    <t>Build Cost</t>
  </si>
  <si>
    <t>Crash Savings</t>
  </si>
  <si>
    <t>Base Year</t>
  </si>
  <si>
    <t>Build Year</t>
  </si>
  <si>
    <t>5-Year Total</t>
  </si>
  <si>
    <t>No Build</t>
  </si>
  <si>
    <t>Year</t>
  </si>
  <si>
    <t>Miles of Barrier</t>
  </si>
  <si>
    <t>Annual Maintenance Costs (2021$)</t>
  </si>
  <si>
    <t>Base Year Of Nominal Dollar</t>
  </si>
  <si>
    <t>Multiplier to Adjust to Real 2021 $</t>
  </si>
  <si>
    <t>Annual Maintenance Costs (2020$)</t>
  </si>
  <si>
    <t>Project Component</t>
  </si>
  <si>
    <t>Design Engineering</t>
  </si>
  <si>
    <t>Right-of Way</t>
  </si>
  <si>
    <t>Utility Relocation</t>
  </si>
  <si>
    <t>Construction Cost</t>
  </si>
  <si>
    <t xml:space="preserve">Construction Engineering </t>
  </si>
  <si>
    <t>Cost Category  2021 $</t>
  </si>
  <si>
    <t>Life (years)</t>
  </si>
  <si>
    <t>Remaining Capital Value</t>
  </si>
  <si>
    <t>Right-of-Way</t>
  </si>
  <si>
    <t>Major Structures</t>
  </si>
  <si>
    <t>Grading and Drainage</t>
  </si>
  <si>
    <t>Sub Base and Base</t>
  </si>
  <si>
    <t>Surface</t>
  </si>
  <si>
    <t>Miscellaneous (Sunk)</t>
  </si>
  <si>
    <t>Cost ($2021)</t>
  </si>
  <si>
    <t>Capital Cost</t>
  </si>
  <si>
    <t>Residual Value</t>
  </si>
  <si>
    <t>Post Project Costs</t>
  </si>
  <si>
    <t>Discount Rate</t>
  </si>
  <si>
    <t>Safety</t>
  </si>
  <si>
    <t>State of Good Repair</t>
  </si>
  <si>
    <t>Crash Cost Savings</t>
  </si>
  <si>
    <t>Operation and Maintenance Costs</t>
  </si>
  <si>
    <t>Remaining Capital Value (7%)</t>
  </si>
  <si>
    <t>Results</t>
  </si>
  <si>
    <t>Benefits</t>
  </si>
  <si>
    <t>Costs</t>
  </si>
  <si>
    <t>B/C Ratio</t>
  </si>
  <si>
    <t>NPV</t>
  </si>
  <si>
    <t>2023 Costs</t>
  </si>
  <si>
    <t>2021 Costs</t>
  </si>
  <si>
    <t>New Costs (2021$)</t>
  </si>
  <si>
    <t>Distributions</t>
  </si>
  <si>
    <t>Capital Costs (2025$)</t>
  </si>
  <si>
    <t>Deflated/Discounted</t>
  </si>
  <si>
    <t>Average</t>
  </si>
  <si>
    <t>Savings</t>
  </si>
  <si>
    <t>Value</t>
  </si>
  <si>
    <t>FFS</t>
  </si>
  <si>
    <t>Travel Time Savings</t>
  </si>
  <si>
    <t>Difference</t>
  </si>
  <si>
    <t>Date</t>
  </si>
  <si>
    <t>PPI: Construction Materials</t>
  </si>
  <si>
    <t>No Build Costs</t>
  </si>
  <si>
    <t>Build Costs</t>
  </si>
  <si>
    <t>No Build Crash/VMT</t>
  </si>
  <si>
    <t>Build Crash/VMT</t>
  </si>
  <si>
    <t>No Build Annual</t>
  </si>
  <si>
    <t>Build Annual Crashes</t>
  </si>
  <si>
    <t>No Build 20 Year Crashes</t>
  </si>
  <si>
    <t>Build 20 Year Crashes</t>
  </si>
  <si>
    <t>Subtotal</t>
  </si>
  <si>
    <t>Other Inputs</t>
  </si>
  <si>
    <t>Inflation Adjustment</t>
  </si>
  <si>
    <t>Maintenance Inputs</t>
  </si>
  <si>
    <t>Price Index GDP</t>
  </si>
  <si>
    <t>Class</t>
  </si>
  <si>
    <t>Auto</t>
  </si>
  <si>
    <t>Truck</t>
  </si>
  <si>
    <t>VOF</t>
  </si>
  <si>
    <t>Proportion</t>
  </si>
  <si>
    <t>Wage</t>
  </si>
  <si>
    <t>ShoulderClosed</t>
  </si>
  <si>
    <t>OneLaneClosed</t>
  </si>
  <si>
    <t>Basic</t>
  </si>
  <si>
    <t>OnRamp</t>
  </si>
  <si>
    <t>OffRamp</t>
  </si>
  <si>
    <t>VHT Build</t>
  </si>
  <si>
    <t>VHT No Build</t>
  </si>
  <si>
    <t>Incident Event Type</t>
  </si>
  <si>
    <t>Avg TT/Mile Cost (mins)</t>
  </si>
  <si>
    <t>Build/Year</t>
  </si>
  <si>
    <t>No Build/Year</t>
  </si>
  <si>
    <t>Time Factor</t>
  </si>
  <si>
    <t>Scenarios</t>
  </si>
  <si>
    <t>Project Miles</t>
  </si>
  <si>
    <t>Model Miles</t>
  </si>
  <si>
    <t xml:space="preserve"> Duration(Periods)</t>
  </si>
  <si>
    <t xml:space="preserve"> Start Period</t>
  </si>
  <si>
    <t xml:space="preserve"> Segment ID</t>
  </si>
  <si>
    <t xml:space="preserve"> Scenario ID</t>
  </si>
  <si>
    <t>Per Mile Diff</t>
  </si>
  <si>
    <t>Build Per Mile</t>
  </si>
  <si>
    <t>No Build Per Mile</t>
  </si>
  <si>
    <t>Incident Speed</t>
  </si>
  <si>
    <t>Demand Growth</t>
  </si>
  <si>
    <t>Model Segments</t>
  </si>
  <si>
    <t>No Build Incidents</t>
  </si>
  <si>
    <t>Build Incidents</t>
  </si>
  <si>
    <t>Average Wage</t>
  </si>
  <si>
    <t>ENVIRONMENTAL SUSTAINABILITY - AIR QUALITY</t>
  </si>
  <si>
    <t>CO2 Savings Estimations</t>
  </si>
  <si>
    <t>Other Emissions Cost Savings</t>
  </si>
  <si>
    <t>Total (CO2 + Other Emissions)</t>
  </si>
  <si>
    <t>Change in C02 (metric tons)</t>
  </si>
  <si>
    <t>CO2 Yearly Carbon Emissions Savings
(3% Discount)</t>
  </si>
  <si>
    <t>Change in Annual Network VMT</t>
  </si>
  <si>
    <t xml:space="preserve"> 7% Discounted</t>
  </si>
  <si>
    <t>Mode</t>
  </si>
  <si>
    <t>NOX</t>
  </si>
  <si>
    <t>SO2</t>
  </si>
  <si>
    <t>PM2.5</t>
  </si>
  <si>
    <t>CO2</t>
  </si>
  <si>
    <t>Source Type</t>
  </si>
  <si>
    <t>HPMS Description</t>
  </si>
  <si>
    <t>Auto/Truck</t>
  </si>
  <si>
    <t>Automobile</t>
  </si>
  <si>
    <t>Motorcycle</t>
  </si>
  <si>
    <t>Trucks</t>
  </si>
  <si>
    <t>Light-Duty Vehicle</t>
  </si>
  <si>
    <t>Buses</t>
  </si>
  <si>
    <t>Single-Unit Truck</t>
  </si>
  <si>
    <t>Combination Truck</t>
  </si>
  <si>
    <t>Delay VHT</t>
  </si>
  <si>
    <t>Total Benefit</t>
  </si>
  <si>
    <t>NOTES:</t>
  </si>
  <si>
    <t>1)</t>
  </si>
  <si>
    <t>Average emission rates per vehicle type were obtained from the Environmental Protection Agency’s Motor Vehicle Emission Simulator (MOVES) version 3. The change in VMT between No Build and Build conditions was applied to emission rates by vehicle type.</t>
  </si>
  <si>
    <t>Automobile (gallons per hour)</t>
  </si>
  <si>
    <t>2)</t>
  </si>
  <si>
    <t>The value of emissions costs were obtained from the Benefit Cost Analysis Guidance for Discretionary Grant Programs, dated January 2023.</t>
  </si>
  <si>
    <t>*Note conservative estimate does not include trucks which  reflects an undercount in benefits.</t>
  </si>
  <si>
    <t>Average MPG</t>
  </si>
  <si>
    <t>1 hour of delay is equivalent to</t>
  </si>
  <si>
    <t>Emission Type</t>
  </si>
  <si>
    <t>Reduction</t>
  </si>
  <si>
    <t>CO2 (metric tons)</t>
  </si>
  <si>
    <t>NOx (kg)</t>
  </si>
  <si>
    <t>SO2 (kg)</t>
  </si>
  <si>
    <t>PM2.5 (kg)</t>
  </si>
  <si>
    <t>Air Quality</t>
  </si>
  <si>
    <t>Emission Reduction Savings (No CO2)</t>
  </si>
  <si>
    <t>CO2 Emission Reduction Discounted at 3%</t>
  </si>
  <si>
    <t>Mobility</t>
  </si>
  <si>
    <t>Dollar Value No Build</t>
  </si>
  <si>
    <t>Dollar Value Build</t>
  </si>
  <si>
    <t>Cost Per Year Per Mile</t>
  </si>
  <si>
    <t>Demand per Hour</t>
  </si>
  <si>
    <t>Travel Time Modeling</t>
  </si>
  <si>
    <t>HCS Data</t>
  </si>
  <si>
    <r>
      <t xml:space="preserve">Yearly CO2 Emissions Savings in Current Dollars ($) </t>
    </r>
    <r>
      <rPr>
        <b/>
        <vertAlign val="superscript"/>
        <sz val="9"/>
        <color theme="1"/>
        <rFont val="Calibri"/>
        <family val="2"/>
        <scheme val="minor"/>
      </rPr>
      <t>2</t>
    </r>
  </si>
  <si>
    <r>
      <t>Change in NOx 
(metric tons)</t>
    </r>
    <r>
      <rPr>
        <b/>
        <vertAlign val="superscript"/>
        <sz val="9"/>
        <color theme="1"/>
        <rFont val="Calibri"/>
        <family val="2"/>
        <scheme val="minor"/>
      </rPr>
      <t>1</t>
    </r>
  </si>
  <si>
    <r>
      <t>Change in SO2
(metric tons)</t>
    </r>
    <r>
      <rPr>
        <b/>
        <vertAlign val="superscript"/>
        <sz val="9"/>
        <color theme="1"/>
        <rFont val="Calibri"/>
        <family val="2"/>
        <scheme val="minor"/>
      </rPr>
      <t>1</t>
    </r>
  </si>
  <si>
    <r>
      <t>Change in PM
(metric tons)</t>
    </r>
    <r>
      <rPr>
        <b/>
        <vertAlign val="superscript"/>
        <sz val="9"/>
        <color theme="1"/>
        <rFont val="Calibri"/>
        <family val="2"/>
        <scheme val="minor"/>
      </rPr>
      <t>1</t>
    </r>
  </si>
  <si>
    <r>
      <t>Change in NOx 
($)</t>
    </r>
    <r>
      <rPr>
        <b/>
        <vertAlign val="superscript"/>
        <sz val="9"/>
        <color theme="1"/>
        <rFont val="Calibri"/>
        <family val="2"/>
        <scheme val="minor"/>
      </rPr>
      <t>(2)</t>
    </r>
  </si>
  <si>
    <r>
      <t>Change in SO2
($)</t>
    </r>
    <r>
      <rPr>
        <b/>
        <vertAlign val="superscript"/>
        <sz val="9"/>
        <color theme="1"/>
        <rFont val="Calibri"/>
        <family val="2"/>
        <scheme val="minor"/>
      </rPr>
      <t>(2)</t>
    </r>
  </si>
  <si>
    <r>
      <t>Change in PM
($)</t>
    </r>
    <r>
      <rPr>
        <b/>
        <vertAlign val="superscript"/>
        <sz val="9"/>
        <color theme="1"/>
        <rFont val="Calibri"/>
        <family val="2"/>
        <scheme val="minor"/>
      </rPr>
      <t>(2)</t>
    </r>
  </si>
  <si>
    <r>
      <t xml:space="preserve">Yearly Emissions Savings in Current Dollars Non-CO2 Emissions ($) </t>
    </r>
    <r>
      <rPr>
        <b/>
        <vertAlign val="superscript"/>
        <sz val="9"/>
        <color theme="1"/>
        <rFont val="Calibri"/>
        <family val="2"/>
        <scheme val="minor"/>
      </rPr>
      <t>(2)</t>
    </r>
  </si>
  <si>
    <t>VMT Equivalent</t>
  </si>
  <si>
    <t>Table 1. GDP Deflator Values</t>
  </si>
  <si>
    <t>Table 3. Crash Cost by Severity</t>
  </si>
  <si>
    <t>Table 4. AADT and Estimated VMT on I 29 Corridor</t>
  </si>
  <si>
    <t>Table 5. Project BCA Assumptions</t>
  </si>
  <si>
    <t>Table 6. Average User Wages</t>
  </si>
  <si>
    <t>Input Value</t>
  </si>
  <si>
    <t>Table 7. Travel Time Modeling Assumptions</t>
  </si>
  <si>
    <t>Table 1. Benefit Overview</t>
  </si>
  <si>
    <t>Table 2. Project Costs</t>
  </si>
  <si>
    <t>Table 3. BCA SUMMARY</t>
  </si>
  <si>
    <t>Table 4. SUMMARY ROUNDED</t>
  </si>
  <si>
    <t>Table 2. Price Indices</t>
  </si>
  <si>
    <t>Table 1. Observed Crash History</t>
  </si>
  <si>
    <t>Severity</t>
  </si>
  <si>
    <t>Table 3. Total Safety Costs by Year</t>
  </si>
  <si>
    <t>Table 2. CMF Application and Crash Savings Calculations</t>
  </si>
  <si>
    <t>Table 4. Crash Modification Factors Used</t>
  </si>
  <si>
    <t>Table 3. MOVES Model Output (grams per VMT)</t>
  </si>
  <si>
    <t>Table 5. Average Gallons of Fuel Consumed Per Hour Idle</t>
  </si>
  <si>
    <t>Table 6. Average MPG for VMT Equivalent</t>
  </si>
  <si>
    <t>Table 7. VHT to VMT</t>
  </si>
  <si>
    <t>Table 1. Closure Incident Analysis Results</t>
  </si>
  <si>
    <t>Table 3. Time Loss from Events</t>
  </si>
  <si>
    <t>Table 4. Dollar Value Incident Time</t>
  </si>
  <si>
    <t>Table 2. HCS Incidents By Type</t>
  </si>
  <si>
    <t>Table 5. Total VHT by Build and Type</t>
  </si>
  <si>
    <t>Table 6. Annual Incident Costs</t>
  </si>
  <si>
    <t>Table 7. HCS Output</t>
  </si>
  <si>
    <r>
      <t xml:space="preserve">Table 1. Pollution Emission by Mode (g/VMT) </t>
    </r>
    <r>
      <rPr>
        <b/>
        <vertAlign val="superscript"/>
        <sz val="9"/>
        <color theme="1"/>
        <rFont val="Calibri"/>
        <family val="2"/>
        <scheme val="minor"/>
      </rPr>
      <t>(1)</t>
    </r>
  </si>
  <si>
    <r>
      <t xml:space="preserve">Table 2. Damage Costs for Emissions per metric ton </t>
    </r>
    <r>
      <rPr>
        <b/>
        <vertAlign val="superscript"/>
        <sz val="9"/>
        <color theme="1"/>
        <rFont val="Calibri"/>
        <family val="2"/>
        <scheme val="minor"/>
      </rPr>
      <t>(2)</t>
    </r>
  </si>
  <si>
    <t>Maintenance Cost</t>
  </si>
  <si>
    <t>Table 1. Barrier Maintenance Costs</t>
  </si>
  <si>
    <t>Table 1. Capital Costs by Component</t>
  </si>
  <si>
    <t>Table 2. Average Lifespan by Cost Category</t>
  </si>
  <si>
    <t>Table 3. Capital Cost Deflation</t>
  </si>
  <si>
    <t xml:space="preserve">NEAR 32ND AVE N TO 32ND AVE         </t>
  </si>
  <si>
    <t>Polyline M</t>
  </si>
  <si>
    <t xml:space="preserve">NEAR 32ND AVE S N TO HWY 2 INTER.   </t>
  </si>
  <si>
    <t xml:space="preserve">N OF ND 15 N TO NEAR 32ND AVE-GF    </t>
  </si>
  <si>
    <t xml:space="preserve">N OF BUXTON N TO S OF ND 15         </t>
  </si>
  <si>
    <t xml:space="preserve">N OF BUXTON_N TO S OF ND 15         </t>
  </si>
  <si>
    <t xml:space="preserve">N OF BUXTON N TO R.P. 119.245       </t>
  </si>
  <si>
    <t xml:space="preserve">N OF JCT 200 N TO N BUXTON          </t>
  </si>
  <si>
    <t xml:space="preserve">N JCT 200 N TO N OF BUXTON          </t>
  </si>
  <si>
    <t xml:space="preserve">N BLANCHARD XCHANGE N TO N JCT 200  </t>
  </si>
  <si>
    <t xml:space="preserve">N OF BLANCHARD INTCHG TO N JCT 200  </t>
  </si>
  <si>
    <t xml:space="preserve">N OF KELSO N TO N BLANCHARD XCHANGE </t>
  </si>
  <si>
    <t xml:space="preserve">N OF KELSO TO N OF BLANCHARD INTCHG </t>
  </si>
  <si>
    <t xml:space="preserve">0.9 MI S BLANCHARD INTR N           </t>
  </si>
  <si>
    <t xml:space="preserve">0.9 MI S BLANCHARD N                </t>
  </si>
  <si>
    <t xml:space="preserve">GRANDIN N TO NEAR BLANCHARD INTR    </t>
  </si>
  <si>
    <t xml:space="preserve">S HUNTER SEP N TO NEAR BLANCHARD-NB </t>
  </si>
  <si>
    <t xml:space="preserve">S HUNTER SEP N TO GRANDIN INTR      </t>
  </si>
  <si>
    <t xml:space="preserve">S GARDNER N TO S HUNTER SEP         </t>
  </si>
  <si>
    <t xml:space="preserve">N OF ARGUSVILLE TO S GARDNER INTR   </t>
  </si>
  <si>
    <t xml:space="preserve">S ARGUSVILLE N TO S GARDNER INTR    </t>
  </si>
  <si>
    <t xml:space="preserve">ARGUSVILLE INTER TO S OF ARGUSVILLE </t>
  </si>
  <si>
    <t xml:space="preserve">S OF ARGUSVILLE TO N OF ARGUSVILLE  </t>
  </si>
  <si>
    <t xml:space="preserve">N OF AMENIA TO S OF ARGUSVILLE      </t>
  </si>
  <si>
    <t xml:space="preserve">AMENIA SEPERATION NORTH             </t>
  </si>
  <si>
    <t>SHEYENNE RIVER TO AMENIA SERPERATION</t>
  </si>
  <si>
    <t xml:space="preserve">SHEYENNE RIVER TO N OF AMNEIA       </t>
  </si>
  <si>
    <t xml:space="preserve">CASS CNTY 20 TO SHEYENNE RIVER      </t>
  </si>
  <si>
    <t xml:space="preserve">NEAR CNTY RD 20 N TO SHEYENNE RIVER </t>
  </si>
  <si>
    <t>DVMT</t>
  </si>
  <si>
    <t>TAADT</t>
  </si>
  <si>
    <t>LOCATION</t>
  </si>
  <si>
    <t>LENGTH_E</t>
  </si>
  <si>
    <t>TO_ROUTE_MEASURE</t>
  </si>
  <si>
    <t>FR_ROUTE_MEASURE</t>
  </si>
  <si>
    <t>ROUTE_ID</t>
  </si>
  <si>
    <t>Shape *</t>
  </si>
  <si>
    <t>OBJECTID *</t>
  </si>
  <si>
    <t>SEGMENT TRAFFIC DATA - NDDOT</t>
  </si>
  <si>
    <t>Project Length (miles)</t>
  </si>
  <si>
    <t>Days in Year</t>
  </si>
  <si>
    <t>The median cable barrier is expected to reduce serious and fatal crashes, while increases property damage only crashes. Once fatal crashes will become property damage only crashes when vehicles are caught be the cable. The KABCO crash valuation values, from the BCA guidance, were used to value differences in the number of crashes by type. SRF analyzed three years of crash data, 2018 - 2022, as part of this analysis to create an average per-year crash cost for both No Build and Build conditions.</t>
  </si>
  <si>
    <t>The useful life of the barrier is estimated at 25 years. This leave 20% of the nominal capital cost as remaining capital value. This value is discounted to the correct year, 2046, and then the remaining maintenance over the remaining 5 years of life is subtracted from the remaining capital value to find the value used in the analysis.</t>
  </si>
  <si>
    <t>GDP Deflator Values, Crash Cost by Severity, the discount rate and average user wages are from the 2023 Benefit-Cost Analysis for Discretionary Grant Programs - USDDOT</t>
  </si>
  <si>
    <t>The BCA shows a very cost effective project that produces about $443 of social benefit for every $100 spent on capital costs.</t>
  </si>
  <si>
    <t>The BCA was carried using the recommendations of the 2023 Benefit-Cost Analysis Guidance for Discretionary Grant Programs. Others values are referenced when necessary.</t>
  </si>
  <si>
    <t>VMT values displayed in Table 4 are estimated from the published 2022 VMT data from the NDDOT. Traffic count segments data was used to estimate the VMT and average AADT on the corridor. The ratio between the average AADT and the total VMT in 2022 is used to estimated the total VMT in the other analysis years, using an average AADT</t>
  </si>
  <si>
    <t>No Build VMT Equivalents</t>
  </si>
  <si>
    <t>VMT Equivalent Savings</t>
  </si>
  <si>
    <t>Table 4. Emissions by Class and Type</t>
  </si>
  <si>
    <t>Table 5. Total Emissions Reductions</t>
  </si>
  <si>
    <t>Build VMT Equivalents</t>
  </si>
  <si>
    <t>Table 5. VMT Equivalents Input</t>
  </si>
  <si>
    <t>Reducing the number of over-the-center crashes also has a travel time benefit. Crashes often result in a temporary closure of a single lane or the roadway shoulder. Such a closure, even for a short time, incurs additional travel time cost to the road users.
To estimate the amount of time a shoulder or lane closure will cost as well as how often these closures will occur SRF staff used Highway Capacity Manual Software (HCS). This model was representative of the Interstate 29 freeway structure, and the default incident rates are reduced to reflect the reduction in fatal crashes. This allows for a per VMT calculation of incident prevalence in the build and no build conditions.</t>
  </si>
  <si>
    <t>Maintenance costs were provided by the North Dakota Department of Transportation. The maintenance costs are specific to the median cable barrier itself as other road construction or  maintenance would be a similar cost with or without the barrier.</t>
  </si>
  <si>
    <t>BCA CRASH COST SAVINGS</t>
  </si>
  <si>
    <t>BCA ANALYSIS ASSUMPTIONS</t>
  </si>
  <si>
    <t>BENEFIT COST ANALYSIS SUMMARY: NDDOT MPDG CROSS-MEDIAN CRASH ELIMINATION</t>
  </si>
  <si>
    <t>TRAVEL TIME SAVINGS</t>
  </si>
  <si>
    <t>OPERATIONS AND MAINTENANCE</t>
  </si>
  <si>
    <t>CAPITAL VALUE</t>
  </si>
  <si>
    <t>Fargo</t>
  </si>
  <si>
    <t>Grand Forks</t>
  </si>
  <si>
    <t>City</t>
  </si>
  <si>
    <t>Annual Rate</t>
  </si>
  <si>
    <r>
      <t>Table 8. Demand Growth Assumptions</t>
    </r>
    <r>
      <rPr>
        <b/>
        <vertAlign val="superscript"/>
        <sz val="9"/>
        <color theme="1"/>
        <rFont val="Calibri"/>
        <family val="2"/>
        <scheme val="minor"/>
      </rPr>
      <t>3</t>
    </r>
  </si>
  <si>
    <t>3)</t>
  </si>
  <si>
    <t>Travel demand growth is assumed to be proportional to the population growth in the cities of Grand Forks and Fargo. Population growth is estimated from census data. QuickFacts. (2023, August). Retrieved from United State Census Bureau: https://www.census.gov/quickfacts/fact/table/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</si>
</sst>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4" formatCode="_(&quot;$&quot;* #,##0.00_);_(&quot;$&quot;* \(#,##0.00\);_(&quot;$&quot;* &quot;-&quot;??_);_(@_)"/>
    <numFmt numFmtId="43" formatCode="_(* #,##0.00_);_(* \(#,##0.00\);_(* &quot;-&quot;??_);_(@_)"/>
    <numFmt numFmtId="164" formatCode="_(* #,##0_);_(* \(#,##0\);_(* &quot;-&quot;??_);_(@_)"/>
    <numFmt numFmtId="165" formatCode="0.0E+00"/>
    <numFmt numFmtId="166" formatCode="_(* #,##0_);_(* \(#,##0\);_(* &quot;-&quot;?_);_(@_)"/>
    <numFmt numFmtId="167" formatCode="_(* #,##0.00_);_(* \(#,##0.00\);_(* &quot;-&quot;?_);_(@_)"/>
    <numFmt numFmtId="168" formatCode="_(&quot;$&quot;* #,##0_);_(&quot;$&quot;* \(#,##0\);_(&quot;$&quot;* &quot;-&quot;??_);_(@_)"/>
    <numFmt numFmtId="169" formatCode="&quot;$&quot;#,##0"/>
    <numFmt numFmtId="170" formatCode="0.0"/>
    <numFmt numFmtId="171" formatCode="_(&quot;$&quot;* #,##0.0_);_(&quot;$&quot;* \(#,##0.0\);_(&quot;$&quot;* &quot;-&quot;??_);_(@_)"/>
    <numFmt numFmtId="172" formatCode="0.0000"/>
    <numFmt numFmtId="173" formatCode="#,##0.000"/>
    <numFmt numFmtId="174" formatCode="_(* #,##0.0_);_(* \(#,##0.0\);_(* &quot;-&quot;?_);_(@_)"/>
  </numFmts>
  <fonts count="11" x14ac:knownFonts="1">
    <font>
      <sz val="11"/>
      <color theme="1"/>
      <name val="Calibri"/>
      <family val="2"/>
      <scheme val="minor"/>
    </font>
    <font>
      <sz val="11"/>
      <color theme="1"/>
      <name val="Calibri"/>
      <family val="2"/>
      <scheme val="minor"/>
    </font>
    <font>
      <sz val="9"/>
      <color theme="1"/>
      <name val="Calibri"/>
      <family val="2"/>
      <scheme val="minor"/>
    </font>
    <font>
      <u/>
      <sz val="11"/>
      <color theme="10"/>
      <name val="Calibri"/>
      <family val="2"/>
      <scheme val="minor"/>
    </font>
    <font>
      <b/>
      <sz val="9"/>
      <color theme="1"/>
      <name val="Calibri"/>
      <family val="2"/>
      <scheme val="minor"/>
    </font>
    <font>
      <sz val="9"/>
      <color rgb="FFFF0000"/>
      <name val="Calibri"/>
      <family val="2"/>
      <scheme val="minor"/>
    </font>
    <font>
      <b/>
      <vertAlign val="superscript"/>
      <sz val="9"/>
      <color theme="1"/>
      <name val="Calibri"/>
      <family val="2"/>
      <scheme val="minor"/>
    </font>
    <font>
      <sz val="9"/>
      <color theme="2"/>
      <name val="Calibri"/>
      <family val="2"/>
      <scheme val="minor"/>
    </font>
    <font>
      <u/>
      <sz val="9"/>
      <color theme="10"/>
      <name val="Calibri"/>
      <family val="2"/>
      <scheme val="minor"/>
    </font>
    <font>
      <sz val="9"/>
      <name val="Calibri"/>
      <family val="2"/>
      <scheme val="minor"/>
    </font>
    <font>
      <b/>
      <sz val="9"/>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right style="thin">
        <color auto="1"/>
      </right>
      <top style="thin">
        <color auto="1"/>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385">
    <xf numFmtId="0" fontId="0" fillId="0" borderId="0" xfId="0"/>
    <xf numFmtId="170" fontId="2" fillId="0" borderId="61" xfId="0" applyNumberFormat="1" applyFont="1" applyBorder="1" applyAlignment="1">
      <alignment horizontal="center"/>
    </xf>
    <xf numFmtId="6" fontId="2" fillId="0" borderId="11" xfId="0" applyNumberFormat="1" applyFont="1" applyBorder="1" applyAlignment="1">
      <alignment horizontal="center"/>
    </xf>
    <xf numFmtId="6" fontId="2" fillId="0" borderId="12" xfId="0" applyNumberFormat="1" applyFont="1" applyBorder="1" applyAlignment="1">
      <alignment horizontal="center"/>
    </xf>
    <xf numFmtId="3" fontId="2" fillId="0" borderId="28" xfId="0" applyNumberFormat="1" applyFont="1" applyBorder="1" applyAlignment="1">
      <alignment horizontal="center"/>
    </xf>
    <xf numFmtId="173" fontId="2" fillId="0" borderId="11" xfId="0" applyNumberFormat="1" applyFont="1" applyBorder="1" applyAlignment="1">
      <alignment horizontal="center"/>
    </xf>
    <xf numFmtId="173" fontId="2" fillId="0" borderId="10" xfId="0" applyNumberFormat="1" applyFont="1" applyBorder="1" applyAlignment="1">
      <alignment horizontal="center"/>
    </xf>
    <xf numFmtId="173" fontId="2" fillId="0" borderId="12" xfId="0" applyNumberFormat="1" applyFont="1" applyBorder="1" applyAlignment="1">
      <alignment horizontal="center"/>
    </xf>
    <xf numFmtId="6" fontId="2" fillId="0" borderId="48" xfId="0" applyNumberFormat="1" applyFont="1" applyBorder="1" applyAlignment="1">
      <alignment horizontal="center"/>
    </xf>
    <xf numFmtId="6" fontId="2" fillId="0" borderId="10" xfId="0" applyNumberFormat="1" applyFont="1" applyBorder="1" applyAlignment="1">
      <alignment horizontal="center"/>
    </xf>
    <xf numFmtId="6" fontId="2" fillId="0" borderId="28" xfId="0" applyNumberFormat="1" applyFont="1" applyBorder="1" applyAlignment="1">
      <alignment horizontal="center"/>
    </xf>
    <xf numFmtId="6" fontId="2" fillId="0" borderId="62" xfId="0" applyNumberFormat="1" applyFont="1" applyBorder="1" applyAlignment="1">
      <alignment horizontal="center"/>
    </xf>
    <xf numFmtId="6" fontId="2" fillId="0" borderId="39" xfId="0" applyNumberFormat="1" applyFont="1" applyBorder="1" applyAlignment="1">
      <alignment horizontal="center"/>
    </xf>
    <xf numFmtId="6" fontId="2" fillId="0" borderId="33" xfId="0" applyNumberFormat="1" applyFont="1" applyBorder="1" applyAlignment="1">
      <alignment horizontal="center"/>
    </xf>
    <xf numFmtId="170" fontId="2" fillId="0" borderId="32" xfId="0" applyNumberFormat="1" applyFont="1" applyBorder="1" applyAlignment="1">
      <alignment horizontal="center"/>
    </xf>
    <xf numFmtId="3" fontId="2" fillId="0" borderId="27" xfId="0" applyNumberFormat="1" applyFont="1" applyBorder="1" applyAlignment="1">
      <alignment horizontal="center"/>
    </xf>
    <xf numFmtId="173" fontId="2" fillId="0" borderId="13" xfId="0" applyNumberFormat="1" applyFont="1" applyBorder="1" applyAlignment="1">
      <alignment horizontal="center"/>
    </xf>
    <xf numFmtId="173" fontId="2" fillId="0" borderId="1" xfId="0" applyNumberFormat="1" applyFont="1" applyBorder="1" applyAlignment="1">
      <alignment horizontal="center"/>
    </xf>
    <xf numFmtId="173" fontId="2" fillId="0" borderId="14" xfId="0" applyNumberFormat="1" applyFont="1" applyBorder="1" applyAlignment="1">
      <alignment horizontal="center"/>
    </xf>
    <xf numFmtId="6" fontId="2" fillId="0" borderId="50" xfId="0" applyNumberFormat="1" applyFont="1" applyBorder="1" applyAlignment="1">
      <alignment horizontal="center"/>
    </xf>
    <xf numFmtId="6" fontId="2" fillId="0" borderId="1" xfId="0" applyNumberFormat="1" applyFont="1" applyBorder="1" applyAlignment="1">
      <alignment horizontal="center"/>
    </xf>
    <xf numFmtId="6" fontId="2" fillId="0" borderId="14" xfId="0" applyNumberFormat="1" applyFont="1" applyBorder="1" applyAlignment="1">
      <alignment horizontal="center"/>
    </xf>
    <xf numFmtId="6" fontId="2" fillId="0" borderId="27" xfId="0" applyNumberFormat="1" applyFont="1" applyBorder="1" applyAlignment="1">
      <alignment horizontal="center"/>
    </xf>
    <xf numFmtId="6" fontId="2" fillId="0" borderId="30" xfId="0" applyNumberFormat="1" applyFont="1" applyBorder="1" applyAlignment="1">
      <alignment horizontal="center"/>
    </xf>
    <xf numFmtId="6" fontId="2" fillId="0" borderId="13" xfId="0" applyNumberFormat="1" applyFont="1" applyBorder="1" applyAlignment="1">
      <alignment horizontal="center"/>
    </xf>
    <xf numFmtId="6" fontId="2" fillId="0" borderId="15" xfId="0" applyNumberFormat="1" applyFont="1" applyBorder="1" applyAlignment="1">
      <alignment horizontal="center"/>
    </xf>
    <xf numFmtId="6" fontId="2" fillId="0" borderId="17" xfId="0" applyNumberFormat="1" applyFont="1" applyBorder="1" applyAlignment="1">
      <alignment horizontal="center"/>
    </xf>
    <xf numFmtId="3" fontId="2" fillId="0" borderId="51" xfId="0" applyNumberFormat="1" applyFont="1" applyBorder="1" applyAlignment="1">
      <alignment horizontal="center"/>
    </xf>
    <xf numFmtId="173" fontId="2" fillId="0" borderId="15" xfId="0" applyNumberFormat="1" applyFont="1" applyBorder="1" applyAlignment="1">
      <alignment horizontal="center"/>
    </xf>
    <xf numFmtId="173" fontId="2" fillId="0" borderId="16" xfId="0" applyNumberFormat="1" applyFont="1" applyBorder="1" applyAlignment="1">
      <alignment horizontal="center"/>
    </xf>
    <xf numFmtId="173" fontId="2" fillId="0" borderId="17" xfId="0" applyNumberFormat="1" applyFont="1" applyBorder="1" applyAlignment="1">
      <alignment horizontal="center"/>
    </xf>
    <xf numFmtId="6" fontId="2" fillId="0" borderId="49" xfId="0" applyNumberFormat="1" applyFont="1" applyBorder="1" applyAlignment="1">
      <alignment horizontal="center"/>
    </xf>
    <xf numFmtId="6" fontId="2" fillId="0" borderId="16" xfId="0" applyNumberFormat="1" applyFont="1" applyBorder="1" applyAlignment="1">
      <alignment horizontal="center"/>
    </xf>
    <xf numFmtId="6" fontId="2" fillId="0" borderId="51" xfId="0" applyNumberFormat="1" applyFont="1" applyBorder="1" applyAlignment="1">
      <alignment horizontal="center"/>
    </xf>
    <xf numFmtId="6" fontId="2" fillId="0" borderId="64" xfId="0" applyNumberFormat="1" applyFont="1" applyBorder="1" applyAlignment="1">
      <alignment horizontal="center"/>
    </xf>
    <xf numFmtId="0" fontId="2" fillId="0" borderId="0" xfId="0" applyFont="1"/>
    <xf numFmtId="3" fontId="2" fillId="0" borderId="0" xfId="0" applyNumberFormat="1" applyFont="1"/>
    <xf numFmtId="6" fontId="4" fillId="0" borderId="0" xfId="0" applyNumberFormat="1" applyFont="1"/>
    <xf numFmtId="6" fontId="2" fillId="0" borderId="0" xfId="0" applyNumberFormat="1" applyFont="1" applyAlignment="1">
      <alignment horizontal="center"/>
    </xf>
    <xf numFmtId="0" fontId="5" fillId="0" borderId="0" xfId="0" applyFont="1"/>
    <xf numFmtId="173" fontId="2" fillId="0" borderId="0" xfId="0" applyNumberFormat="1" applyFont="1"/>
    <xf numFmtId="0" fontId="4" fillId="2" borderId="3"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8" xfId="0" applyFont="1" applyFill="1" applyBorder="1" applyAlignment="1">
      <alignment horizontal="center"/>
    </xf>
    <xf numFmtId="0" fontId="4" fillId="2" borderId="31" xfId="0" applyFont="1" applyFill="1" applyBorder="1" applyAlignment="1">
      <alignment horizontal="center"/>
    </xf>
    <xf numFmtId="0" fontId="4" fillId="2" borderId="38" xfId="0" applyFont="1" applyFill="1" applyBorder="1"/>
    <xf numFmtId="0" fontId="4" fillId="2" borderId="46" xfId="0" applyFont="1" applyFill="1" applyBorder="1"/>
    <xf numFmtId="0" fontId="4" fillId="2" borderId="46" xfId="0" applyFont="1" applyFill="1" applyBorder="1" applyAlignment="1">
      <alignment horizontal="center"/>
    </xf>
    <xf numFmtId="0" fontId="4" fillId="2" borderId="38" xfId="0" applyFont="1" applyFill="1" applyBorder="1" applyAlignment="1">
      <alignment vertical="center"/>
    </xf>
    <xf numFmtId="0" fontId="4" fillId="2" borderId="46" xfId="0" applyFont="1" applyFill="1" applyBorder="1" applyAlignment="1">
      <alignment horizontal="center" vertical="center"/>
    </xf>
    <xf numFmtId="0" fontId="4" fillId="2" borderId="31" xfId="0" applyFont="1" applyFill="1" applyBorder="1" applyAlignment="1">
      <alignment horizontal="center" vertical="center"/>
    </xf>
    <xf numFmtId="0" fontId="2" fillId="4" borderId="13" xfId="0" applyFont="1" applyFill="1" applyBorder="1"/>
    <xf numFmtId="0" fontId="2" fillId="4" borderId="14" xfId="0" applyFont="1" applyFill="1" applyBorder="1" applyAlignment="1">
      <alignment horizontal="center" vertical="center"/>
    </xf>
    <xf numFmtId="170" fontId="2" fillId="0" borderId="60" xfId="0" applyNumberFormat="1" applyFont="1" applyBorder="1" applyAlignment="1">
      <alignment horizontal="center"/>
    </xf>
    <xf numFmtId="6" fontId="2" fillId="0" borderId="6" xfId="0" applyNumberFormat="1" applyFont="1" applyBorder="1" applyAlignment="1">
      <alignment horizontal="center"/>
    </xf>
    <xf numFmtId="6" fontId="2" fillId="0" borderId="7" xfId="0" applyNumberFormat="1" applyFont="1" applyBorder="1" applyAlignment="1">
      <alignment horizontal="center"/>
    </xf>
    <xf numFmtId="0" fontId="2" fillId="0" borderId="11" xfId="0" applyFont="1" applyBorder="1"/>
    <xf numFmtId="0" fontId="2" fillId="0" borderId="10" xfId="0" applyFont="1" applyBorder="1"/>
    <xf numFmtId="0" fontId="2" fillId="0" borderId="12" xfId="0" applyFont="1" applyBorder="1"/>
    <xf numFmtId="0" fontId="4" fillId="2" borderId="31"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4" fillId="0" borderId="0" xfId="0" applyFont="1"/>
    <xf numFmtId="17" fontId="2" fillId="0" borderId="39" xfId="0" applyNumberFormat="1" applyFont="1" applyBorder="1"/>
    <xf numFmtId="170" fontId="2" fillId="0" borderId="54" xfId="0" applyNumberFormat="1" applyFont="1" applyBorder="1"/>
    <xf numFmtId="170" fontId="2" fillId="0" borderId="33" xfId="0" applyNumberFormat="1" applyFont="1" applyBorder="1"/>
    <xf numFmtId="0" fontId="2" fillId="0" borderId="39" xfId="0" applyFont="1" applyBorder="1" applyAlignment="1">
      <alignment horizontal="center" vertical="center"/>
    </xf>
    <xf numFmtId="0" fontId="2" fillId="0" borderId="33" xfId="0" applyFont="1" applyBorder="1" applyAlignment="1">
      <alignment horizontal="center" vertical="center"/>
    </xf>
    <xf numFmtId="17" fontId="2" fillId="0" borderId="15" xfId="0" applyNumberFormat="1" applyFont="1" applyBorder="1"/>
    <xf numFmtId="170" fontId="2" fillId="0" borderId="53" xfId="0" applyNumberFormat="1" applyFont="1" applyBorder="1"/>
    <xf numFmtId="170" fontId="2" fillId="0" borderId="17" xfId="0" applyNumberFormat="1" applyFont="1" applyBorder="1"/>
    <xf numFmtId="0" fontId="2" fillId="0" borderId="13" xfId="0" applyFont="1" applyBorder="1"/>
    <xf numFmtId="0" fontId="2" fillId="0" borderId="14" xfId="0" applyFont="1" applyBorder="1"/>
    <xf numFmtId="0" fontId="2" fillId="0" borderId="13" xfId="0" applyFont="1" applyBorder="1" applyAlignment="1">
      <alignment horizontal="center" vertical="center"/>
    </xf>
    <xf numFmtId="0" fontId="2" fillId="0" borderId="14" xfId="0" applyFont="1" applyBorder="1" applyAlignment="1">
      <alignment horizontal="center" vertical="center"/>
    </xf>
    <xf numFmtId="17" fontId="2" fillId="0" borderId="0" xfId="0" applyNumberFormat="1" applyFont="1"/>
    <xf numFmtId="170" fontId="2" fillId="0" borderId="0" xfId="0" applyNumberFormat="1" applyFont="1"/>
    <xf numFmtId="0" fontId="2" fillId="0" borderId="15" xfId="0" applyFont="1" applyBorder="1"/>
    <xf numFmtId="9" fontId="2" fillId="0" borderId="17" xfId="0" applyNumberFormat="1" applyFont="1" applyBorder="1"/>
    <xf numFmtId="168" fontId="2" fillId="0" borderId="14" xfId="2" applyNumberFormat="1" applyFont="1" applyBorder="1"/>
    <xf numFmtId="168" fontId="2" fillId="0" borderId="17" xfId="2" applyNumberFormat="1" applyFont="1" applyBorder="1"/>
    <xf numFmtId="44" fontId="2" fillId="0" borderId="21" xfId="2" applyFont="1" applyBorder="1"/>
    <xf numFmtId="168" fontId="2" fillId="0" borderId="0" xfId="2" applyNumberFormat="1" applyFont="1" applyBorder="1"/>
    <xf numFmtId="0" fontId="2" fillId="0" borderId="0" xfId="0" applyFont="1" applyAlignment="1">
      <alignment horizontal="center" vertical="center"/>
    </xf>
    <xf numFmtId="164" fontId="2" fillId="0" borderId="0" xfId="0" applyNumberFormat="1" applyFont="1"/>
    <xf numFmtId="164" fontId="2" fillId="0" borderId="33" xfId="0" applyNumberFormat="1" applyFont="1" applyBorder="1"/>
    <xf numFmtId="2" fontId="2" fillId="0" borderId="12" xfId="0" applyNumberFormat="1" applyFont="1" applyBorder="1"/>
    <xf numFmtId="164" fontId="2" fillId="0" borderId="1" xfId="1" applyNumberFormat="1" applyFont="1" applyBorder="1"/>
    <xf numFmtId="164" fontId="2" fillId="0" borderId="14" xfId="0" applyNumberFormat="1" applyFont="1" applyBorder="1"/>
    <xf numFmtId="2" fontId="2" fillId="0" borderId="14" xfId="0" applyNumberFormat="1" applyFont="1" applyBorder="1"/>
    <xf numFmtId="1" fontId="2" fillId="0" borderId="14" xfId="0" applyNumberFormat="1" applyFont="1" applyBorder="1"/>
    <xf numFmtId="0" fontId="2" fillId="0" borderId="15" xfId="0" applyFont="1" applyBorder="1" applyAlignment="1">
      <alignment horizontal="center" vertical="center"/>
    </xf>
    <xf numFmtId="0" fontId="2" fillId="0" borderId="17" xfId="0" applyFont="1" applyBorder="1" applyAlignment="1">
      <alignment horizontal="center" vertical="center"/>
    </xf>
    <xf numFmtId="10" fontId="2" fillId="0" borderId="17" xfId="3" applyNumberFormat="1" applyFont="1" applyBorder="1"/>
    <xf numFmtId="164" fontId="2" fillId="0" borderId="12" xfId="0" applyNumberFormat="1" applyFont="1" applyBorder="1"/>
    <xf numFmtId="0" fontId="2" fillId="0" borderId="15" xfId="0" applyFont="1" applyBorder="1" applyAlignment="1">
      <alignment horizontal="center"/>
    </xf>
    <xf numFmtId="164" fontId="2" fillId="0" borderId="17" xfId="0" applyNumberFormat="1" applyFont="1" applyBorder="1"/>
    <xf numFmtId="0" fontId="4" fillId="0" borderId="18" xfId="0" applyFont="1" applyBorder="1" applyAlignment="1">
      <alignment horizontal="center" vertical="center"/>
    </xf>
    <xf numFmtId="0" fontId="4" fillId="0" borderId="2" xfId="0" applyFont="1" applyBorder="1" applyAlignment="1">
      <alignment horizontal="center" vertical="center"/>
    </xf>
    <xf numFmtId="0" fontId="2" fillId="0" borderId="8" xfId="0" applyFont="1" applyBorder="1" applyAlignment="1">
      <alignment horizontal="center"/>
    </xf>
    <xf numFmtId="168" fontId="2" fillId="0" borderId="8" xfId="2" applyNumberFormat="1" applyFont="1" applyBorder="1" applyAlignment="1">
      <alignment horizontal="center"/>
    </xf>
    <xf numFmtId="0" fontId="2" fillId="0" borderId="27" xfId="0" applyFont="1" applyBorder="1" applyAlignment="1">
      <alignment horizontal="center" vertical="center"/>
    </xf>
    <xf numFmtId="168" fontId="2" fillId="0" borderId="27" xfId="2" applyNumberFormat="1" applyFont="1" applyBorder="1" applyAlignment="1">
      <alignment horizontal="center" vertical="center"/>
    </xf>
    <xf numFmtId="168" fontId="2" fillId="0" borderId="13" xfId="2" applyNumberFormat="1" applyFont="1" applyBorder="1" applyAlignment="1">
      <alignment horizontal="center" vertical="center"/>
    </xf>
    <xf numFmtId="168" fontId="2" fillId="0" borderId="14" xfId="2" applyNumberFormat="1" applyFont="1" applyBorder="1" applyAlignment="1">
      <alignment horizontal="center" vertical="center"/>
    </xf>
    <xf numFmtId="168" fontId="2" fillId="0" borderId="30" xfId="0" applyNumberFormat="1" applyFont="1" applyBorder="1" applyAlignment="1">
      <alignment horizontal="center" vertical="center"/>
    </xf>
    <xf numFmtId="168" fontId="2" fillId="0" borderId="27" xfId="0" applyNumberFormat="1" applyFont="1" applyBorder="1" applyAlignment="1">
      <alignment horizontal="center" vertical="center"/>
    </xf>
    <xf numFmtId="0" fontId="4" fillId="0" borderId="0" xfId="0" applyFont="1" applyAlignment="1">
      <alignment horizontal="left" vertical="center"/>
    </xf>
    <xf numFmtId="0" fontId="2" fillId="0" borderId="19" xfId="0" applyFont="1" applyBorder="1"/>
    <xf numFmtId="9" fontId="4" fillId="2" borderId="31" xfId="0" applyNumberFormat="1" applyFont="1" applyFill="1" applyBorder="1" applyAlignment="1">
      <alignment horizontal="center"/>
    </xf>
    <xf numFmtId="0" fontId="4" fillId="0" borderId="0" xfId="0" applyFont="1" applyAlignment="1">
      <alignment horizontal="center"/>
    </xf>
    <xf numFmtId="0" fontId="4" fillId="2" borderId="32" xfId="0" applyFont="1" applyFill="1" applyBorder="1"/>
    <xf numFmtId="169" fontId="2" fillId="0" borderId="33" xfId="0" applyNumberFormat="1" applyFont="1" applyBorder="1" applyAlignment="1">
      <alignment horizontal="center"/>
    </xf>
    <xf numFmtId="0" fontId="4" fillId="2" borderId="34" xfId="0" applyFont="1" applyFill="1" applyBorder="1"/>
    <xf numFmtId="169" fontId="2" fillId="0" borderId="35" xfId="0" applyNumberFormat="1" applyFont="1" applyBorder="1" applyAlignment="1">
      <alignment horizontal="center"/>
    </xf>
    <xf numFmtId="0" fontId="4" fillId="2" borderId="36" xfId="0" applyFont="1" applyFill="1" applyBorder="1"/>
    <xf numFmtId="2" fontId="4" fillId="0" borderId="37" xfId="0" applyNumberFormat="1" applyFont="1" applyBorder="1" applyAlignment="1">
      <alignment horizontal="center"/>
    </xf>
    <xf numFmtId="0" fontId="4" fillId="2" borderId="15" xfId="0" applyFont="1" applyFill="1" applyBorder="1"/>
    <xf numFmtId="169" fontId="2" fillId="0" borderId="17" xfId="0" applyNumberFormat="1" applyFont="1" applyBorder="1" applyAlignment="1">
      <alignment horizontal="center"/>
    </xf>
    <xf numFmtId="0" fontId="2" fillId="0" borderId="38" xfId="0" applyFont="1" applyBorder="1"/>
    <xf numFmtId="9" fontId="4" fillId="2" borderId="21" xfId="0" applyNumberFormat="1" applyFont="1" applyFill="1" applyBorder="1" applyAlignment="1">
      <alignment horizontal="center"/>
    </xf>
    <xf numFmtId="0" fontId="4" fillId="2" borderId="39" xfId="0" applyFont="1" applyFill="1" applyBorder="1"/>
    <xf numFmtId="169" fontId="2" fillId="0" borderId="12" xfId="0" applyNumberFormat="1" applyFont="1" applyBorder="1" applyAlignment="1">
      <alignment horizontal="center"/>
    </xf>
    <xf numFmtId="0" fontId="4" fillId="2" borderId="40" xfId="0" applyFont="1" applyFill="1" applyBorder="1"/>
    <xf numFmtId="0" fontId="4" fillId="2" borderId="41" xfId="0" applyFont="1" applyFill="1" applyBorder="1"/>
    <xf numFmtId="2" fontId="2" fillId="0" borderId="0" xfId="0" applyNumberFormat="1" applyFont="1"/>
    <xf numFmtId="0" fontId="2" fillId="0" borderId="29" xfId="0" applyFont="1" applyBorder="1" applyAlignment="1">
      <alignment horizontal="center" vertical="center"/>
    </xf>
    <xf numFmtId="168" fontId="2" fillId="0" borderId="29" xfId="2" applyNumberFormat="1" applyFont="1" applyBorder="1" applyAlignment="1">
      <alignment horizontal="center" vertical="center"/>
    </xf>
    <xf numFmtId="168" fontId="2" fillId="0" borderId="43" xfId="2" applyNumberFormat="1" applyFont="1" applyBorder="1" applyAlignment="1">
      <alignment horizontal="center" vertical="center"/>
    </xf>
    <xf numFmtId="168" fontId="2" fillId="0" borderId="45" xfId="2" applyNumberFormat="1" applyFont="1" applyBorder="1" applyAlignment="1">
      <alignment horizontal="center" vertical="center"/>
    </xf>
    <xf numFmtId="168" fontId="2" fillId="0" borderId="26" xfId="0" applyNumberFormat="1" applyFont="1" applyBorder="1" applyAlignment="1">
      <alignment horizontal="center" vertical="center"/>
    </xf>
    <xf numFmtId="168" fontId="2" fillId="0" borderId="29" xfId="0" applyNumberFormat="1" applyFont="1" applyBorder="1" applyAlignment="1">
      <alignment horizontal="center" vertical="center"/>
    </xf>
    <xf numFmtId="0" fontId="2" fillId="0" borderId="8" xfId="0" applyFont="1" applyBorder="1" applyAlignment="1">
      <alignment horizontal="center" vertical="center"/>
    </xf>
    <xf numFmtId="168" fontId="2" fillId="0" borderId="8" xfId="0" applyNumberFormat="1" applyFont="1" applyBorder="1" applyAlignment="1">
      <alignment horizontal="center" vertical="center"/>
    </xf>
    <xf numFmtId="168" fontId="2" fillId="0" borderId="38" xfId="0" applyNumberFormat="1" applyFont="1" applyBorder="1" applyAlignment="1">
      <alignment horizontal="center" vertical="center"/>
    </xf>
    <xf numFmtId="168" fontId="2" fillId="0" borderId="31" xfId="0" applyNumberFormat="1" applyFont="1" applyBorder="1" applyAlignment="1">
      <alignment horizontal="center" vertical="center"/>
    </xf>
    <xf numFmtId="168" fontId="2" fillId="0" borderId="20" xfId="0" applyNumberFormat="1" applyFont="1" applyBorder="1" applyAlignment="1">
      <alignment horizontal="center" vertical="center"/>
    </xf>
    <xf numFmtId="168" fontId="7" fillId="0" borderId="0" xfId="2" applyNumberFormat="1" applyFont="1"/>
    <xf numFmtId="0" fontId="2" fillId="0" borderId="28" xfId="0" applyFont="1" applyBorder="1"/>
    <xf numFmtId="168" fontId="2" fillId="0" borderId="48" xfId="2" applyNumberFormat="1" applyFont="1" applyBorder="1"/>
    <xf numFmtId="168" fontId="2" fillId="0" borderId="22" xfId="2" applyNumberFormat="1" applyFont="1" applyBorder="1"/>
    <xf numFmtId="168" fontId="2" fillId="0" borderId="11" xfId="2" applyNumberFormat="1" applyFont="1" applyBorder="1"/>
    <xf numFmtId="168" fontId="2" fillId="0" borderId="12" xfId="0" applyNumberFormat="1" applyFont="1" applyBorder="1"/>
    <xf numFmtId="0" fontId="2" fillId="0" borderId="27" xfId="0" applyFont="1" applyBorder="1"/>
    <xf numFmtId="168" fontId="2" fillId="0" borderId="50" xfId="2" applyNumberFormat="1" applyFont="1" applyBorder="1"/>
    <xf numFmtId="168" fontId="2" fillId="0" borderId="23" xfId="2" applyNumberFormat="1" applyFont="1" applyBorder="1"/>
    <xf numFmtId="168" fontId="2" fillId="0" borderId="13" xfId="2" applyNumberFormat="1" applyFont="1" applyBorder="1"/>
    <xf numFmtId="168" fontId="2" fillId="0" borderId="14" xfId="0" applyNumberFormat="1" applyFont="1" applyBorder="1"/>
    <xf numFmtId="0" fontId="2" fillId="0" borderId="39" xfId="0" applyFont="1" applyBorder="1"/>
    <xf numFmtId="0" fontId="2" fillId="0" borderId="42" xfId="0" applyFont="1" applyBorder="1"/>
    <xf numFmtId="0" fontId="2" fillId="0" borderId="33" xfId="0" applyFont="1" applyBorder="1"/>
    <xf numFmtId="0" fontId="2" fillId="0" borderId="1" xfId="0" applyFont="1" applyBorder="1"/>
    <xf numFmtId="0" fontId="2" fillId="0" borderId="16" xfId="0" applyFont="1" applyBorder="1"/>
    <xf numFmtId="0" fontId="2" fillId="0" borderId="17" xfId="0" applyFont="1" applyBorder="1"/>
    <xf numFmtId="0" fontId="2" fillId="0" borderId="43" xfId="0" applyFont="1" applyBorder="1"/>
    <xf numFmtId="0" fontId="2" fillId="0" borderId="44" xfId="0" applyFont="1" applyBorder="1"/>
    <xf numFmtId="0" fontId="2" fillId="0" borderId="45" xfId="0" applyFont="1" applyBorder="1"/>
    <xf numFmtId="0" fontId="2" fillId="0" borderId="46" xfId="0" applyFont="1" applyBorder="1"/>
    <xf numFmtId="0" fontId="2" fillId="0" borderId="31" xfId="0" applyFont="1" applyBorder="1"/>
    <xf numFmtId="11" fontId="2" fillId="0" borderId="0" xfId="0" applyNumberFormat="1" applyFont="1"/>
    <xf numFmtId="11" fontId="2" fillId="0" borderId="1" xfId="0" applyNumberFormat="1" applyFont="1" applyBorder="1"/>
    <xf numFmtId="165" fontId="2" fillId="0" borderId="1" xfId="0" applyNumberFormat="1" applyFont="1" applyBorder="1"/>
    <xf numFmtId="167" fontId="2" fillId="0" borderId="1" xfId="0" applyNumberFormat="1" applyFont="1" applyBorder="1"/>
    <xf numFmtId="43" fontId="2" fillId="0" borderId="1" xfId="0" applyNumberFormat="1" applyFont="1" applyBorder="1"/>
    <xf numFmtId="168" fontId="2" fillId="0" borderId="1" xfId="2" applyNumberFormat="1" applyFont="1" applyBorder="1"/>
    <xf numFmtId="11" fontId="2" fillId="0" borderId="16" xfId="0" applyNumberFormat="1" applyFont="1" applyBorder="1"/>
    <xf numFmtId="165" fontId="2" fillId="0" borderId="16" xfId="0" applyNumberFormat="1" applyFont="1" applyBorder="1"/>
    <xf numFmtId="167" fontId="2" fillId="0" borderId="16" xfId="0" applyNumberFormat="1" applyFont="1" applyBorder="1"/>
    <xf numFmtId="43" fontId="2" fillId="0" borderId="16" xfId="0" applyNumberFormat="1" applyFont="1" applyBorder="1"/>
    <xf numFmtId="168" fontId="2" fillId="0" borderId="16" xfId="2" applyNumberFormat="1" applyFont="1" applyBorder="1"/>
    <xf numFmtId="0" fontId="2" fillId="0" borderId="6" xfId="0" applyFont="1" applyBorder="1" applyAlignment="1">
      <alignment horizontal="center"/>
    </xf>
    <xf numFmtId="0" fontId="2" fillId="0" borderId="9" xfId="0" applyFont="1" applyBorder="1" applyAlignment="1">
      <alignment horizontal="center"/>
    </xf>
    <xf numFmtId="166" fontId="2" fillId="0" borderId="9" xfId="0" applyNumberFormat="1" applyFont="1" applyBorder="1"/>
    <xf numFmtId="43" fontId="2" fillId="0" borderId="9" xfId="0" applyNumberFormat="1" applyFont="1" applyBorder="1"/>
    <xf numFmtId="168" fontId="2" fillId="0" borderId="9" xfId="0" applyNumberFormat="1" applyFont="1" applyBorder="1"/>
    <xf numFmtId="168" fontId="2" fillId="0" borderId="7" xfId="0" applyNumberFormat="1" applyFont="1" applyBorder="1"/>
    <xf numFmtId="0" fontId="2" fillId="0" borderId="8" xfId="0" applyFont="1" applyBorder="1"/>
    <xf numFmtId="168" fontId="2" fillId="0" borderId="20" xfId="0" applyNumberFormat="1" applyFont="1" applyBorder="1"/>
    <xf numFmtId="168" fontId="2" fillId="0" borderId="19" xfId="0" applyNumberFormat="1" applyFont="1" applyBorder="1"/>
    <xf numFmtId="168" fontId="2" fillId="0" borderId="21" xfId="0" applyNumberFormat="1" applyFont="1" applyBorder="1"/>
    <xf numFmtId="168" fontId="2" fillId="0" borderId="10" xfId="2" applyNumberFormat="1" applyFont="1" applyBorder="1"/>
    <xf numFmtId="168" fontId="2" fillId="0" borderId="17" xfId="0" applyNumberFormat="1" applyFont="1" applyBorder="1"/>
    <xf numFmtId="0" fontId="4" fillId="2" borderId="38"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2" fillId="0" borderId="51" xfId="0" applyFont="1" applyBorder="1"/>
    <xf numFmtId="0" fontId="2" fillId="0" borderId="0" xfId="0" applyFont="1" applyAlignment="1">
      <alignment wrapText="1"/>
    </xf>
    <xf numFmtId="1" fontId="2" fillId="0" borderId="0" xfId="0" applyNumberFormat="1" applyFont="1"/>
    <xf numFmtId="0" fontId="2" fillId="0" borderId="0" xfId="0" applyFont="1" applyAlignment="1">
      <alignment horizontal="right"/>
    </xf>
    <xf numFmtId="0" fontId="2" fillId="0" borderId="0" xfId="0" applyFont="1" applyAlignment="1">
      <alignment horizontal="left" vertical="top" wrapText="1"/>
    </xf>
    <xf numFmtId="0" fontId="2" fillId="0" borderId="0" xfId="0" applyFont="1" applyAlignment="1">
      <alignment vertical="top" wrapText="1"/>
    </xf>
    <xf numFmtId="0" fontId="8" fillId="0" borderId="0" xfId="4" applyFont="1" applyFill="1"/>
    <xf numFmtId="0" fontId="4" fillId="0" borderId="63" xfId="0" applyFont="1" applyBorder="1" applyAlignment="1">
      <alignment horizontal="left"/>
    </xf>
    <xf numFmtId="0" fontId="4" fillId="0" borderId="39" xfId="0" applyFont="1" applyBorder="1"/>
    <xf numFmtId="172" fontId="2" fillId="0" borderId="42" xfId="0" applyNumberFormat="1" applyFont="1" applyBorder="1" applyAlignment="1">
      <alignment horizontal="center" vertical="center"/>
    </xf>
    <xf numFmtId="172" fontId="2" fillId="0" borderId="33" xfId="0" applyNumberFormat="1" applyFont="1" applyBorder="1" applyAlignment="1">
      <alignment horizontal="center" vertical="center"/>
    </xf>
    <xf numFmtId="0" fontId="2" fillId="0" borderId="39" xfId="0" applyFont="1" applyBorder="1" applyAlignment="1">
      <alignment horizontal="center"/>
    </xf>
    <xf numFmtId="172" fontId="2" fillId="0" borderId="42" xfId="0" applyNumberFormat="1" applyFont="1" applyBorder="1"/>
    <xf numFmtId="172" fontId="2" fillId="0" borderId="33" xfId="0" applyNumberFormat="1" applyFont="1" applyBorder="1"/>
    <xf numFmtId="0" fontId="4" fillId="0" borderId="15" xfId="0" applyFont="1" applyBorder="1"/>
    <xf numFmtId="172" fontId="2" fillId="0" borderId="16" xfId="0" applyNumberFormat="1" applyFont="1" applyBorder="1" applyAlignment="1">
      <alignment horizontal="center" vertical="center"/>
    </xf>
    <xf numFmtId="172" fontId="2" fillId="0" borderId="17" xfId="0" applyNumberFormat="1" applyFont="1" applyBorder="1" applyAlignment="1">
      <alignment horizontal="center" vertical="center"/>
    </xf>
    <xf numFmtId="0" fontId="2" fillId="0" borderId="13" xfId="0" applyFont="1" applyBorder="1" applyAlignment="1">
      <alignment horizontal="center"/>
    </xf>
    <xf numFmtId="172" fontId="2" fillId="0" borderId="1" xfId="0" applyNumberFormat="1" applyFont="1" applyBorder="1"/>
    <xf numFmtId="172" fontId="2" fillId="0" borderId="14" xfId="0" applyNumberFormat="1" applyFont="1" applyBorder="1"/>
    <xf numFmtId="0" fontId="9" fillId="0" borderId="0" xfId="0" applyFont="1" applyAlignment="1">
      <alignment horizontal="center"/>
    </xf>
    <xf numFmtId="0" fontId="10" fillId="0" borderId="0" xfId="0" applyFont="1" applyAlignment="1">
      <alignment horizontal="center"/>
    </xf>
    <xf numFmtId="0" fontId="9" fillId="0" borderId="0" xfId="0" applyFont="1" applyAlignment="1">
      <alignment horizontal="center" vertical="center"/>
    </xf>
    <xf numFmtId="0" fontId="2" fillId="0" borderId="0" xfId="0" applyFont="1" applyAlignment="1">
      <alignment horizontal="center"/>
    </xf>
    <xf numFmtId="172" fontId="2" fillId="0" borderId="6" xfId="0" applyNumberFormat="1" applyFont="1" applyBorder="1"/>
    <xf numFmtId="172" fontId="2" fillId="0" borderId="7" xfId="0" applyNumberFormat="1" applyFont="1" applyBorder="1"/>
    <xf numFmtId="6" fontId="2" fillId="0" borderId="42" xfId="0" applyNumberFormat="1" applyFont="1" applyBorder="1"/>
    <xf numFmtId="6" fontId="2" fillId="0" borderId="33" xfId="0" applyNumberFormat="1" applyFont="1" applyBorder="1"/>
    <xf numFmtId="6" fontId="2" fillId="0" borderId="1" xfId="0" applyNumberFormat="1" applyFont="1" applyBorder="1"/>
    <xf numFmtId="6" fontId="2" fillId="0" borderId="14" xfId="0" applyNumberFormat="1" applyFont="1" applyBorder="1"/>
    <xf numFmtId="172" fontId="2" fillId="0" borderId="16" xfId="0" applyNumberFormat="1" applyFont="1" applyBorder="1"/>
    <xf numFmtId="172" fontId="2" fillId="0" borderId="17" xfId="0" applyNumberFormat="1" applyFont="1" applyBorder="1"/>
    <xf numFmtId="0" fontId="10" fillId="0" borderId="0" xfId="0" applyFont="1"/>
    <xf numFmtId="164" fontId="2" fillId="0" borderId="1" xfId="0" applyNumberFormat="1" applyFont="1" applyBorder="1"/>
    <xf numFmtId="164" fontId="2" fillId="0" borderId="16" xfId="0" applyNumberFormat="1" applyFont="1" applyBorder="1"/>
    <xf numFmtId="0" fontId="2" fillId="0" borderId="0" xfId="0" applyFont="1" applyAlignment="1">
      <alignment vertical="top"/>
    </xf>
    <xf numFmtId="172" fontId="2" fillId="0" borderId="14" xfId="0" applyNumberFormat="1" applyFont="1" applyBorder="1" applyAlignment="1">
      <alignment horizontal="center" vertical="center"/>
    </xf>
    <xf numFmtId="0" fontId="4" fillId="0" borderId="0" xfId="0" applyFont="1" applyAlignment="1">
      <alignment horizontal="center" vertical="center" textRotation="90" wrapText="1"/>
    </xf>
    <xf numFmtId="0" fontId="2" fillId="3" borderId="13" xfId="0" applyFont="1" applyFill="1" applyBorder="1" applyAlignment="1">
      <alignment horizontal="center" vertical="center"/>
    </xf>
    <xf numFmtId="6" fontId="2" fillId="3" borderId="1" xfId="0" applyNumberFormat="1" applyFont="1" applyFill="1" applyBorder="1"/>
    <xf numFmtId="6" fontId="2" fillId="3" borderId="14" xfId="0" applyNumberFormat="1" applyFont="1" applyFill="1" applyBorder="1"/>
    <xf numFmtId="0" fontId="2" fillId="3" borderId="15" xfId="0" applyFont="1" applyFill="1" applyBorder="1" applyAlignment="1">
      <alignment horizontal="center" vertical="center"/>
    </xf>
    <xf numFmtId="6" fontId="2" fillId="3" borderId="16" xfId="0" applyNumberFormat="1" applyFont="1" applyFill="1" applyBorder="1"/>
    <xf numFmtId="6" fontId="2" fillId="3" borderId="17" xfId="0" applyNumberFormat="1" applyFont="1" applyFill="1" applyBorder="1"/>
    <xf numFmtId="0" fontId="2" fillId="0" borderId="65" xfId="0" applyFont="1" applyBorder="1"/>
    <xf numFmtId="0" fontId="2" fillId="0" borderId="54" xfId="0" applyFont="1" applyBorder="1"/>
    <xf numFmtId="168" fontId="2" fillId="0" borderId="1" xfId="0" applyNumberFormat="1" applyFont="1" applyBorder="1"/>
    <xf numFmtId="170" fontId="2" fillId="0" borderId="42" xfId="0" applyNumberFormat="1" applyFont="1" applyBorder="1"/>
    <xf numFmtId="0" fontId="2" fillId="0" borderId="50" xfId="0" applyFont="1" applyBorder="1"/>
    <xf numFmtId="0" fontId="2" fillId="0" borderId="23" xfId="0" applyFont="1" applyBorder="1"/>
    <xf numFmtId="170" fontId="2" fillId="0" borderId="1" xfId="0" applyNumberFormat="1" applyFont="1" applyBorder="1"/>
    <xf numFmtId="170" fontId="2" fillId="0" borderId="14" xfId="0" applyNumberFormat="1" applyFont="1" applyBorder="1"/>
    <xf numFmtId="170" fontId="2" fillId="0" borderId="16" xfId="0" applyNumberFormat="1" applyFont="1" applyBorder="1"/>
    <xf numFmtId="1" fontId="2" fillId="0" borderId="42" xfId="0" applyNumberFormat="1" applyFont="1" applyBorder="1"/>
    <xf numFmtId="1" fontId="2" fillId="0" borderId="33" xfId="0" applyNumberFormat="1" applyFont="1" applyBorder="1"/>
    <xf numFmtId="1" fontId="2" fillId="0" borderId="1" xfId="0" applyNumberFormat="1" applyFont="1" applyBorder="1"/>
    <xf numFmtId="1" fontId="2" fillId="0" borderId="16" xfId="0" applyNumberFormat="1" applyFont="1" applyBorder="1"/>
    <xf numFmtId="1" fontId="2" fillId="0" borderId="17" xfId="0" applyNumberFormat="1" applyFont="1" applyBorder="1"/>
    <xf numFmtId="2" fontId="2" fillId="0" borderId="42" xfId="0" applyNumberFormat="1" applyFont="1" applyBorder="1"/>
    <xf numFmtId="2" fontId="2" fillId="0" borderId="16" xfId="0" applyNumberFormat="1" applyFont="1" applyBorder="1"/>
    <xf numFmtId="0" fontId="4" fillId="2" borderId="3" xfId="0" applyFont="1" applyFill="1" applyBorder="1"/>
    <xf numFmtId="0" fontId="4" fillId="2" borderId="52" xfId="0" applyFont="1" applyFill="1" applyBorder="1"/>
    <xf numFmtId="0" fontId="4" fillId="2" borderId="4" xfId="0" applyFont="1" applyFill="1" applyBorder="1"/>
    <xf numFmtId="168" fontId="2" fillId="0" borderId="10" xfId="2" applyNumberFormat="1" applyFont="1" applyBorder="1" applyAlignment="1"/>
    <xf numFmtId="168" fontId="2" fillId="0" borderId="12" xfId="2" applyNumberFormat="1" applyFont="1" applyBorder="1"/>
    <xf numFmtId="168" fontId="2" fillId="0" borderId="16" xfId="0" applyNumberFormat="1" applyFont="1" applyBorder="1"/>
    <xf numFmtId="168" fontId="2" fillId="0" borderId="1" xfId="2" applyNumberFormat="1" applyFont="1" applyBorder="1" applyAlignment="1"/>
    <xf numFmtId="168" fontId="2" fillId="0" borderId="0" xfId="0" applyNumberFormat="1" applyFont="1"/>
    <xf numFmtId="164" fontId="2" fillId="0" borderId="10" xfId="1" applyNumberFormat="1" applyFont="1" applyBorder="1" applyAlignment="1"/>
    <xf numFmtId="0" fontId="2" fillId="0" borderId="66" xfId="0" applyFont="1" applyBorder="1"/>
    <xf numFmtId="0" fontId="2" fillId="0" borderId="67" xfId="0" applyFont="1" applyBorder="1"/>
    <xf numFmtId="164" fontId="2" fillId="0" borderId="1" xfId="1" applyNumberFormat="1" applyFont="1" applyBorder="1" applyAlignment="1"/>
    <xf numFmtId="171" fontId="2" fillId="0" borderId="0" xfId="2" applyNumberFormat="1" applyFont="1"/>
    <xf numFmtId="171" fontId="2" fillId="0" borderId="0" xfId="0" applyNumberFormat="1" applyFont="1"/>
    <xf numFmtId="44" fontId="2" fillId="0" borderId="10" xfId="2" applyFont="1" applyBorder="1"/>
    <xf numFmtId="44" fontId="2" fillId="0" borderId="12" xfId="0" applyNumberFormat="1" applyFont="1" applyBorder="1"/>
    <xf numFmtId="44" fontId="2" fillId="0" borderId="1" xfId="2" applyFont="1" applyBorder="1" applyAlignment="1"/>
    <xf numFmtId="44" fontId="2" fillId="0" borderId="14" xfId="0" applyNumberFormat="1" applyFont="1" applyBorder="1"/>
    <xf numFmtId="44" fontId="2" fillId="0" borderId="16" xfId="2" applyFont="1" applyBorder="1" applyAlignment="1"/>
    <xf numFmtId="44" fontId="2" fillId="0" borderId="17" xfId="0" applyNumberFormat="1" applyFont="1" applyBorder="1"/>
    <xf numFmtId="168" fontId="2" fillId="0" borderId="10" xfId="0" applyNumberFormat="1" applyFont="1" applyBorder="1"/>
    <xf numFmtId="44" fontId="2" fillId="0" borderId="1" xfId="2" applyFont="1" applyBorder="1"/>
    <xf numFmtId="44" fontId="2" fillId="0" borderId="20" xfId="0" applyNumberFormat="1" applyFont="1" applyBorder="1"/>
    <xf numFmtId="168" fontId="2" fillId="0" borderId="20" xfId="2" applyNumberFormat="1" applyFont="1" applyBorder="1"/>
    <xf numFmtId="168" fontId="2" fillId="0" borderId="21" xfId="2" applyNumberFormat="1" applyFont="1" applyBorder="1"/>
    <xf numFmtId="168" fontId="2" fillId="0" borderId="1" xfId="2" applyNumberFormat="1" applyFont="1" applyBorder="1" applyAlignment="1">
      <alignment horizontal="center" vertical="center"/>
    </xf>
    <xf numFmtId="9" fontId="2" fillId="0" borderId="14" xfId="3" applyFont="1" applyBorder="1" applyAlignment="1">
      <alignment horizontal="center" vertical="center"/>
    </xf>
    <xf numFmtId="168" fontId="2" fillId="0" borderId="16" xfId="2" applyNumberFormat="1" applyFont="1" applyBorder="1" applyAlignment="1">
      <alignment horizontal="center" vertical="center"/>
    </xf>
    <xf numFmtId="168" fontId="2" fillId="0" borderId="0" xfId="2"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2" fillId="0" borderId="14" xfId="0" applyNumberFormat="1" applyFont="1" applyBorder="1" applyAlignment="1">
      <alignment horizontal="center" vertical="center"/>
    </xf>
    <xf numFmtId="0" fontId="2" fillId="0" borderId="16" xfId="0" applyFont="1" applyBorder="1" applyAlignment="1">
      <alignment horizontal="center" vertical="center"/>
    </xf>
    <xf numFmtId="168" fontId="2" fillId="0" borderId="16" xfId="0" applyNumberFormat="1" applyFont="1" applyBorder="1" applyAlignment="1">
      <alignment horizontal="center" vertical="center"/>
    </xf>
    <xf numFmtId="168" fontId="2" fillId="0" borderId="17" xfId="0" applyNumberFormat="1" applyFont="1" applyBorder="1" applyAlignment="1">
      <alignment horizontal="center" vertical="center"/>
    </xf>
    <xf numFmtId="168" fontId="2" fillId="0" borderId="9" xfId="0" applyNumberFormat="1" applyFont="1" applyBorder="1" applyAlignment="1">
      <alignment horizontal="center" vertical="center"/>
    </xf>
    <xf numFmtId="168" fontId="2" fillId="0" borderId="7" xfId="0" applyNumberFormat="1" applyFont="1" applyBorder="1" applyAlignment="1">
      <alignment horizontal="center" vertical="center"/>
    </xf>
    <xf numFmtId="168" fontId="2" fillId="0" borderId="0" xfId="0" applyNumberFormat="1" applyFont="1" applyAlignment="1">
      <alignment horizontal="center" vertical="center"/>
    </xf>
    <xf numFmtId="168" fontId="4" fillId="0" borderId="14" xfId="0" applyNumberFormat="1" applyFont="1" applyBorder="1"/>
    <xf numFmtId="168" fontId="2" fillId="0" borderId="0" xfId="2" applyNumberFormat="1" applyFont="1" applyFill="1" applyBorder="1" applyAlignment="1">
      <alignment horizontal="center" vertical="center"/>
    </xf>
    <xf numFmtId="44" fontId="2" fillId="0" borderId="14" xfId="2" applyFont="1" applyBorder="1"/>
    <xf numFmtId="44" fontId="2" fillId="0" borderId="0" xfId="0" applyNumberFormat="1" applyFont="1"/>
    <xf numFmtId="44" fontId="2" fillId="0" borderId="16" xfId="2" applyFont="1" applyBorder="1"/>
    <xf numFmtId="44" fontId="2" fillId="0" borderId="17" xfId="2" applyFont="1" applyBorder="1"/>
    <xf numFmtId="44" fontId="2" fillId="0" borderId="0" xfId="2" applyFont="1"/>
    <xf numFmtId="0" fontId="4" fillId="2" borderId="2" xfId="0" applyFont="1" applyFill="1" applyBorder="1" applyAlignment="1">
      <alignment vertical="center" wrapText="1"/>
    </xf>
    <xf numFmtId="0" fontId="2" fillId="0" borderId="11" xfId="0" applyFont="1" applyBorder="1" applyAlignment="1">
      <alignment horizontal="center" vertical="center"/>
    </xf>
    <xf numFmtId="0" fontId="2" fillId="0" borderId="60" xfId="0" applyFont="1" applyBorder="1"/>
    <xf numFmtId="0" fontId="2" fillId="0" borderId="69" xfId="0" applyFont="1" applyBorder="1"/>
    <xf numFmtId="168" fontId="2" fillId="0" borderId="56" xfId="0" applyNumberFormat="1" applyFont="1" applyBorder="1"/>
    <xf numFmtId="164" fontId="2" fillId="0" borderId="9" xfId="0" applyNumberFormat="1" applyFont="1" applyBorder="1"/>
    <xf numFmtId="174" fontId="2" fillId="0" borderId="1" xfId="0" applyNumberFormat="1" applyFont="1" applyBorder="1"/>
    <xf numFmtId="174" fontId="2" fillId="0" borderId="16" xfId="0" applyNumberFormat="1" applyFont="1" applyBorder="1"/>
    <xf numFmtId="44" fontId="2" fillId="0" borderId="70" xfId="2" applyFont="1" applyBorder="1"/>
    <xf numFmtId="44" fontId="2" fillId="0" borderId="71" xfId="2" applyFont="1" applyBorder="1"/>
    <xf numFmtId="9" fontId="2" fillId="0" borderId="10" xfId="0" applyNumberFormat="1" applyFont="1" applyBorder="1"/>
    <xf numFmtId="44" fontId="2" fillId="0" borderId="12" xfId="2" applyFont="1" applyBorder="1"/>
    <xf numFmtId="9" fontId="2" fillId="0" borderId="16" xfId="0" applyNumberFormat="1" applyFont="1" applyBorder="1"/>
    <xf numFmtId="164" fontId="2" fillId="0" borderId="10" xfId="1" applyNumberFormat="1" applyFont="1" applyBorder="1"/>
    <xf numFmtId="164" fontId="2" fillId="0" borderId="16" xfId="1" applyNumberFormat="1" applyFont="1" applyBorder="1"/>
    <xf numFmtId="164" fontId="2" fillId="0" borderId="14" xfId="1" applyNumberFormat="1" applyFont="1" applyBorder="1"/>
    <xf numFmtId="164" fontId="2" fillId="0" borderId="17" xfId="1" applyNumberFormat="1" applyFont="1" applyBorder="1"/>
    <xf numFmtId="164" fontId="2" fillId="0" borderId="33" xfId="1" applyNumberFormat="1" applyFont="1" applyBorder="1"/>
    <xf numFmtId="0" fontId="4" fillId="2" borderId="8" xfId="0" applyFont="1" applyFill="1" applyBorder="1"/>
    <xf numFmtId="164" fontId="2" fillId="0" borderId="5" xfId="0" applyNumberFormat="1" applyFont="1" applyBorder="1"/>
    <xf numFmtId="43" fontId="2" fillId="0" borderId="0" xfId="0" applyNumberFormat="1" applyFont="1"/>
    <xf numFmtId="164" fontId="2" fillId="0" borderId="0" xfId="1" applyNumberFormat="1" applyFont="1"/>
    <xf numFmtId="10" fontId="2" fillId="0" borderId="1" xfId="3" applyNumberFormat="1" applyFont="1" applyBorder="1"/>
    <xf numFmtId="0" fontId="4" fillId="2" borderId="1" xfId="0" applyFont="1" applyFill="1" applyBorder="1"/>
    <xf numFmtId="10" fontId="2" fillId="0" borderId="12" xfId="3" applyNumberFormat="1" applyFont="1" applyBorder="1"/>
    <xf numFmtId="0" fontId="2" fillId="0" borderId="0" xfId="0" applyFont="1" applyAlignment="1">
      <alignment horizontal="left" vertical="top" wrapText="1"/>
    </xf>
    <xf numFmtId="169" fontId="4" fillId="0" borderId="19" xfId="0" applyNumberFormat="1" applyFont="1" applyBorder="1" applyAlignment="1">
      <alignment horizontal="center" vertical="center"/>
    </xf>
    <xf numFmtId="169" fontId="4" fillId="0" borderId="20" xfId="0" applyNumberFormat="1" applyFont="1" applyBorder="1" applyAlignment="1">
      <alignment horizontal="center" vertical="center"/>
    </xf>
    <xf numFmtId="169" fontId="4" fillId="0" borderId="21" xfId="0" applyNumberFormat="1" applyFont="1" applyBorder="1" applyAlignment="1">
      <alignment horizontal="center" vertical="center"/>
    </xf>
    <xf numFmtId="0" fontId="4" fillId="2" borderId="2"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3"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2" fillId="0" borderId="15" xfId="0" applyFont="1" applyBorder="1" applyAlignment="1">
      <alignment horizontal="center"/>
    </xf>
    <xf numFmtId="0" fontId="2" fillId="0" borderId="16" xfId="0" applyFont="1" applyBorder="1" applyAlignment="1">
      <alignment horizontal="center"/>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xf>
    <xf numFmtId="0" fontId="4" fillId="2" borderId="20" xfId="0" applyFont="1" applyFill="1" applyBorder="1" applyAlignment="1">
      <alignment horizontal="center"/>
    </xf>
    <xf numFmtId="0" fontId="4" fillId="2" borderId="21" xfId="0" applyFont="1" applyFill="1" applyBorder="1" applyAlignment="1">
      <alignment horizontal="center"/>
    </xf>
    <xf numFmtId="0" fontId="4" fillId="2" borderId="12"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2" fillId="0" borderId="39" xfId="0" applyFont="1" applyBorder="1" applyAlignment="1">
      <alignment horizontal="center"/>
    </xf>
    <xf numFmtId="0" fontId="2" fillId="0" borderId="42" xfId="0" applyFont="1" applyBorder="1" applyAlignment="1">
      <alignment horizontal="center"/>
    </xf>
    <xf numFmtId="0" fontId="4" fillId="2" borderId="15"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3" xfId="0" applyFont="1" applyFill="1" applyBorder="1" applyAlignment="1">
      <alignment horizontal="center"/>
    </xf>
    <xf numFmtId="0" fontId="4" fillId="2" borderId="52" xfId="0" applyFont="1" applyFill="1" applyBorder="1" applyAlignment="1">
      <alignment horizontal="center"/>
    </xf>
    <xf numFmtId="0" fontId="4" fillId="2" borderId="4" xfId="0" applyFont="1" applyFill="1" applyBorder="1" applyAlignment="1">
      <alignment horizontal="center"/>
    </xf>
    <xf numFmtId="0" fontId="4" fillId="2" borderId="38" xfId="0" applyFont="1" applyFill="1" applyBorder="1" applyAlignment="1">
      <alignment horizontal="center"/>
    </xf>
    <xf numFmtId="0" fontId="4" fillId="2" borderId="46" xfId="0" applyFont="1" applyFill="1" applyBorder="1" applyAlignment="1">
      <alignment horizontal="center"/>
    </xf>
    <xf numFmtId="0" fontId="4" fillId="2" borderId="31" xfId="0" applyFont="1" applyFill="1" applyBorder="1" applyAlignment="1">
      <alignment horizontal="center"/>
    </xf>
    <xf numFmtId="0" fontId="4" fillId="2" borderId="9"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49" fontId="4" fillId="2" borderId="12" xfId="0" applyNumberFormat="1" applyFont="1" applyFill="1" applyBorder="1" applyAlignment="1">
      <alignment horizontal="center" vertical="center" wrapText="1"/>
    </xf>
    <xf numFmtId="49" fontId="4" fillId="2" borderId="17" xfId="0" applyNumberFormat="1" applyFont="1" applyFill="1" applyBorder="1" applyAlignment="1">
      <alignment horizontal="center" vertical="center" wrapText="1"/>
    </xf>
    <xf numFmtId="0" fontId="4" fillId="0" borderId="20" xfId="0" applyFont="1" applyBorder="1" applyAlignment="1">
      <alignment horizontal="center" vertic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18" xfId="0" applyFont="1" applyBorder="1" applyAlignment="1">
      <alignment horizontal="center"/>
    </xf>
    <xf numFmtId="0" fontId="4" fillId="0" borderId="55" xfId="0" applyFont="1" applyBorder="1" applyAlignment="1">
      <alignment horizontal="center"/>
    </xf>
    <xf numFmtId="0" fontId="4" fillId="2" borderId="57" xfId="0" applyFont="1" applyFill="1" applyBorder="1" applyAlignment="1">
      <alignment horizontal="center" vertical="center" wrapText="1"/>
    </xf>
    <xf numFmtId="0" fontId="4" fillId="2" borderId="45" xfId="0" applyFont="1" applyFill="1" applyBorder="1" applyAlignment="1">
      <alignment horizontal="center" vertical="center"/>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2" fillId="0" borderId="24" xfId="0" applyFont="1" applyBorder="1" applyAlignment="1">
      <alignment horizontal="left" vertical="top" wrapText="1"/>
    </xf>
    <xf numFmtId="0" fontId="4" fillId="2" borderId="19"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9" xfId="0" applyFont="1" applyBorder="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6C718-6548-4FD2-B052-FA18E6D7A8E2}">
  <sheetPr>
    <pageSetUpPr fitToPage="1"/>
  </sheetPr>
  <dimension ref="B2:N37"/>
  <sheetViews>
    <sheetView tabSelected="1" view="pageBreakPreview" zoomScaleNormal="100" zoomScaleSheetLayoutView="100" workbookViewId="0"/>
  </sheetViews>
  <sheetFormatPr defaultRowHeight="12" x14ac:dyDescent="0.2"/>
  <cols>
    <col min="1" max="1" width="9.140625" style="35"/>
    <col min="2" max="2" width="11.5703125" style="35" customWidth="1"/>
    <col min="3" max="3" width="9.85546875" style="35" customWidth="1"/>
    <col min="4" max="4" width="14.85546875" style="35" customWidth="1"/>
    <col min="5" max="5" width="15.42578125" style="35" customWidth="1"/>
    <col min="6" max="6" width="13.7109375" style="35" customWidth="1"/>
    <col min="7" max="7" width="13.85546875" style="35" customWidth="1"/>
    <col min="8" max="8" width="11.42578125" style="35" customWidth="1"/>
    <col min="9" max="9" width="11.5703125" style="35" customWidth="1"/>
    <col min="10" max="10" width="11.85546875" style="35" customWidth="1"/>
    <col min="11" max="11" width="9.140625" style="35"/>
    <col min="12" max="12" width="12.5703125" style="35" bestFit="1" customWidth="1"/>
    <col min="13" max="13" width="20.42578125" style="35" bestFit="1" customWidth="1"/>
    <col min="14" max="14" width="20.42578125" style="35" customWidth="1"/>
    <col min="15" max="15" width="12.5703125" style="35" bestFit="1" customWidth="1"/>
    <col min="16" max="16" width="20.42578125" style="35" bestFit="1" customWidth="1"/>
    <col min="17" max="17" width="11.140625" style="35" bestFit="1" customWidth="1"/>
    <col min="18" max="16384" width="9.140625" style="35"/>
  </cols>
  <sheetData>
    <row r="2" spans="2:14" x14ac:dyDescent="0.2">
      <c r="B2" s="64" t="s">
        <v>285</v>
      </c>
      <c r="C2" s="64"/>
    </row>
    <row r="3" spans="2:14" x14ac:dyDescent="0.2">
      <c r="B3" s="64"/>
      <c r="C3" s="64"/>
    </row>
    <row r="4" spans="2:14" ht="12.75" thickBot="1" x14ac:dyDescent="0.25">
      <c r="B4" s="64" t="s">
        <v>200</v>
      </c>
      <c r="L4" s="64" t="s">
        <v>201</v>
      </c>
    </row>
    <row r="5" spans="2:14" ht="12.75" thickBot="1" x14ac:dyDescent="0.25">
      <c r="B5" s="99"/>
      <c r="C5" s="99" t="s">
        <v>177</v>
      </c>
      <c r="D5" s="100" t="s">
        <v>63</v>
      </c>
      <c r="E5" s="331" t="s">
        <v>174</v>
      </c>
      <c r="F5" s="332"/>
      <c r="G5" s="317" t="s">
        <v>64</v>
      </c>
      <c r="H5" s="318"/>
      <c r="I5" s="318"/>
      <c r="J5" s="319"/>
      <c r="L5" s="291" t="s">
        <v>28</v>
      </c>
      <c r="M5" s="291" t="s">
        <v>77</v>
      </c>
      <c r="N5" s="291" t="s">
        <v>78</v>
      </c>
    </row>
    <row r="6" spans="2:14" ht="12.75" thickBot="1" x14ac:dyDescent="0.25">
      <c r="B6" s="320" t="s">
        <v>28</v>
      </c>
      <c r="C6" s="320" t="s">
        <v>83</v>
      </c>
      <c r="D6" s="322" t="s">
        <v>65</v>
      </c>
      <c r="E6" s="326" t="s">
        <v>175</v>
      </c>
      <c r="F6" s="328" t="s">
        <v>176</v>
      </c>
      <c r="G6" s="320" t="s">
        <v>66</v>
      </c>
      <c r="H6" s="320" t="s">
        <v>67</v>
      </c>
      <c r="I6" s="324" t="s">
        <v>95</v>
      </c>
      <c r="J6" s="320" t="s">
        <v>29</v>
      </c>
      <c r="L6" s="101">
        <v>2025</v>
      </c>
      <c r="M6" s="102">
        <v>24000000</v>
      </c>
      <c r="N6" s="102">
        <f>'Capital Value'!F5</f>
        <v>16117041.604118839</v>
      </c>
    </row>
    <row r="7" spans="2:14" x14ac:dyDescent="0.2">
      <c r="B7" s="321"/>
      <c r="C7" s="330"/>
      <c r="D7" s="323"/>
      <c r="E7" s="327"/>
      <c r="F7" s="329"/>
      <c r="G7" s="321"/>
      <c r="H7" s="321"/>
      <c r="I7" s="325"/>
      <c r="J7" s="321"/>
    </row>
    <row r="8" spans="2:14" ht="12.75" thickBot="1" x14ac:dyDescent="0.25">
      <c r="B8" s="103">
        <f>Assumptions!J8+1</f>
        <v>2027</v>
      </c>
      <c r="C8" s="104">
        <f>_xlfn.XLOOKUP(B8,'Travel Time'!$B$5:$B$24,'Travel Time'!$E$5:$E$24,0,0,1)</f>
        <v>16025.057312822326</v>
      </c>
      <c r="D8" s="104">
        <f>_xlfn.XLOOKUP(B8,Safety!B:B,Safety!E:E,0,0,1)</f>
        <v>8599504.0307132006</v>
      </c>
      <c r="E8" s="105">
        <f>SUM('Air Quality'!M6)</f>
        <v>2681.6540374690276</v>
      </c>
      <c r="F8" s="106">
        <f>'Air Quality'!E6</f>
        <v>4129.257934258223</v>
      </c>
      <c r="G8" s="104">
        <f>_xlfn.XLOOKUP(B8,'Operation and Maintenance'!B:B,'Operation and Maintenance'!E:E,0,0,1)</f>
        <v>-244632.96000000002</v>
      </c>
      <c r="H8" s="104">
        <v>0</v>
      </c>
      <c r="I8" s="107">
        <f>SUM(C8:E8,G8)</f>
        <v>8373577.7820634907</v>
      </c>
      <c r="J8" s="108">
        <f>I8*(1+Assumptions!$J$10)^-(B8-Assumptions!$J$9)+F8+H8</f>
        <v>5583797.6985349851</v>
      </c>
      <c r="L8" s="109" t="s">
        <v>202</v>
      </c>
    </row>
    <row r="9" spans="2:14" ht="12.75" thickBot="1" x14ac:dyDescent="0.25">
      <c r="B9" s="103">
        <f t="shared" ref="B9:B27" si="0">B8+1</f>
        <v>2028</v>
      </c>
      <c r="C9" s="104">
        <f>_xlfn.XLOOKUP(B9,'Travel Time'!$B$5:$B$24,'Travel Time'!$E$5:$E$24,0,0,1)</f>
        <v>16265.433172514662</v>
      </c>
      <c r="D9" s="104">
        <f>_xlfn.XLOOKUP(B9,Safety!B:B,Safety!E:E,0,0,1)</f>
        <v>8741138.0351008177</v>
      </c>
      <c r="E9" s="105">
        <f>SUM('Air Quality'!M7)</f>
        <v>2769.696664738171</v>
      </c>
      <c r="F9" s="106">
        <f>'Air Quality'!E7</f>
        <v>4140.8387055726844</v>
      </c>
      <c r="G9" s="104">
        <f>_xlfn.XLOOKUP(B9,'Operation and Maintenance'!B:B,'Operation and Maintenance'!E:E,0,0,1)</f>
        <v>-244632.96000000002</v>
      </c>
      <c r="H9" s="104">
        <v>0</v>
      </c>
      <c r="I9" s="107">
        <f t="shared" ref="I9:I27" si="1">SUM(C9:E9,G9)</f>
        <v>8515540.204938069</v>
      </c>
      <c r="J9" s="108">
        <f>I9*(1+Assumptions!$J$10)^-(B9-Assumptions!$J$9)+F9+H9</f>
        <v>5307191.3033386124</v>
      </c>
      <c r="L9" s="110"/>
      <c r="M9" s="111" t="s">
        <v>68</v>
      </c>
      <c r="N9" s="112"/>
    </row>
    <row r="10" spans="2:14" x14ac:dyDescent="0.2">
      <c r="B10" s="103">
        <f t="shared" si="0"/>
        <v>2029</v>
      </c>
      <c r="C10" s="104">
        <f>_xlfn.XLOOKUP(B10,'Travel Time'!$B$5:$B$24,'Travel Time'!$E$5:$E$24,0,0,1)</f>
        <v>16509.414670102378</v>
      </c>
      <c r="D10" s="104">
        <f>_xlfn.XLOOKUP(B10,Safety!B:B,Safety!E:E,0,0,1)</f>
        <v>8882772.0394884944</v>
      </c>
      <c r="E10" s="105">
        <f>SUM('Air Quality'!M8)</f>
        <v>2866.9253597402621</v>
      </c>
      <c r="F10" s="106">
        <f>'Air Quality'!E8</f>
        <v>4150.3129404835126</v>
      </c>
      <c r="G10" s="104">
        <f>_xlfn.XLOOKUP(B10,'Operation and Maintenance'!B:B,'Operation and Maintenance'!E:E,0,0,1)</f>
        <v>-244632.96000000002</v>
      </c>
      <c r="H10" s="104">
        <v>0</v>
      </c>
      <c r="I10" s="107">
        <f t="shared" si="1"/>
        <v>8657515.4195183367</v>
      </c>
      <c r="J10" s="108">
        <f>I10*(1+Assumptions!$J$10)^-(B10-Assumptions!$J$9)+F10+H10</f>
        <v>5042903.1100123636</v>
      </c>
      <c r="L10" s="113" t="s">
        <v>69</v>
      </c>
      <c r="M10" s="114">
        <f>J28</f>
        <v>71492853.383611962</v>
      </c>
    </row>
    <row r="11" spans="2:14" ht="12.75" thickBot="1" x14ac:dyDescent="0.25">
      <c r="B11" s="103">
        <f t="shared" si="0"/>
        <v>2030</v>
      </c>
      <c r="C11" s="104">
        <f>_xlfn.XLOOKUP(B11,'Travel Time'!$B$5:$B$24,'Travel Time'!$E$5:$E$24,0,0,1)</f>
        <v>16757.055890153912</v>
      </c>
      <c r="D11" s="104">
        <f>_xlfn.XLOOKUP(B11,Safety!B:B,Safety!E:E,0,0,1)</f>
        <v>9024406.0438759923</v>
      </c>
      <c r="E11" s="105">
        <f>SUM('Air Quality'!M9)</f>
        <v>2958.6530446725678</v>
      </c>
      <c r="F11" s="106">
        <f>'Air Quality'!E9</f>
        <v>4222.6977842977631</v>
      </c>
      <c r="G11" s="104">
        <f>_xlfn.XLOOKUP(B11,'Operation and Maintenance'!B:B,'Operation and Maintenance'!E:E,0,0,1)</f>
        <v>-244632.96000000002</v>
      </c>
      <c r="H11" s="104">
        <v>0</v>
      </c>
      <c r="I11" s="107">
        <f t="shared" si="1"/>
        <v>8799488.7928108182</v>
      </c>
      <c r="J11" s="108">
        <f>I11*(1+Assumptions!$J$10)^-(B11-Assumptions!$J$9)+F11+H11</f>
        <v>4790561.5696851537</v>
      </c>
      <c r="L11" s="115" t="s">
        <v>70</v>
      </c>
      <c r="M11" s="116">
        <f>N6</f>
        <v>16117041.604118839</v>
      </c>
    </row>
    <row r="12" spans="2:14" ht="12.75" thickTop="1" x14ac:dyDescent="0.2">
      <c r="B12" s="103">
        <f t="shared" si="0"/>
        <v>2031</v>
      </c>
      <c r="C12" s="104">
        <f>_xlfn.XLOOKUP(B12,'Travel Time'!$B$5:$B$24,'Travel Time'!$E$5:$E$24,0,0,1)</f>
        <v>17008.411728506217</v>
      </c>
      <c r="D12" s="104">
        <f>_xlfn.XLOOKUP(B12,Safety!B:B,Safety!E:E,0,0,1)</f>
        <v>9166040.0482636094</v>
      </c>
      <c r="E12" s="105">
        <f>SUM('Air Quality'!M10)</f>
        <v>3004.4403605418265</v>
      </c>
      <c r="F12" s="106">
        <f>'Air Quality'!E10</f>
        <v>4227.2010397724634</v>
      </c>
      <c r="G12" s="104">
        <f>_xlfn.XLOOKUP(B12,'Operation and Maintenance'!B:B,'Operation and Maintenance'!E:E,0,0,1)</f>
        <v>-244632.96000000002</v>
      </c>
      <c r="H12" s="104">
        <v>0</v>
      </c>
      <c r="I12" s="107">
        <f t="shared" si="1"/>
        <v>8941419.9403526578</v>
      </c>
      <c r="J12" s="108">
        <f>I12*(1+Assumptions!$J$10)^-(B12-Assumptions!$J$9)+F12+H12</f>
        <v>4549591.6983972965</v>
      </c>
      <c r="L12" s="117" t="s">
        <v>71</v>
      </c>
      <c r="M12" s="118">
        <f>+M10/M11</f>
        <v>4.4358546152379104</v>
      </c>
    </row>
    <row r="13" spans="2:14" ht="12.75" thickBot="1" x14ac:dyDescent="0.25">
      <c r="B13" s="103">
        <f t="shared" si="0"/>
        <v>2032</v>
      </c>
      <c r="C13" s="104">
        <f>_xlfn.XLOOKUP(B13,'Travel Time'!$B$5:$B$24,'Travel Time'!$E$5:$E$24,0,0,1)</f>
        <v>17263.537904433808</v>
      </c>
      <c r="D13" s="104">
        <f>_xlfn.XLOOKUP(B13,Safety!B:B,Safety!E:E,0,0,1)</f>
        <v>9307674.0526512861</v>
      </c>
      <c r="E13" s="105">
        <f>SUM('Air Quality'!M11)</f>
        <v>3050.2276764110848</v>
      </c>
      <c r="F13" s="106">
        <f>'Air Quality'!E11</f>
        <v>4229.7550252437695</v>
      </c>
      <c r="G13" s="104">
        <f>_xlfn.XLOOKUP(B13,'Operation and Maintenance'!B:B,'Operation and Maintenance'!E:E,0,0,1)</f>
        <v>-244632.96000000002</v>
      </c>
      <c r="H13" s="104">
        <v>0</v>
      </c>
      <c r="I13" s="107">
        <f t="shared" si="1"/>
        <v>9083354.8582321294</v>
      </c>
      <c r="J13" s="108">
        <f>I13*(1+Assumptions!$J$10)^-(B13-Assumptions!$J$9)+F13+H13</f>
        <v>4319666.2152035162</v>
      </c>
      <c r="L13" s="119" t="s">
        <v>72</v>
      </c>
      <c r="M13" s="120">
        <f>M10-M11</f>
        <v>55375811.779493123</v>
      </c>
    </row>
    <row r="14" spans="2:14" x14ac:dyDescent="0.2">
      <c r="B14" s="103">
        <f t="shared" si="0"/>
        <v>2033</v>
      </c>
      <c r="C14" s="104">
        <f>_xlfn.XLOOKUP(B14,'Travel Time'!$B$5:$B$24,'Travel Time'!$E$5:$E$24,0,0,1)</f>
        <v>17522.490973000309</v>
      </c>
      <c r="D14" s="104">
        <f>_xlfn.XLOOKUP(B14,Safety!B:B,Safety!E:E,0,0,1)</f>
        <v>9449308.0570389032</v>
      </c>
      <c r="E14" s="105">
        <f>SUM('Air Quality'!M12)</f>
        <v>3096.0149922803439</v>
      </c>
      <c r="F14" s="106">
        <f>'Air Quality'!E12</f>
        <v>4230.414266549833</v>
      </c>
      <c r="G14" s="104">
        <f>_xlfn.XLOOKUP(B14,'Operation and Maintenance'!B:B,'Operation and Maintenance'!E:E,0,0,1)</f>
        <v>-244632.96000000002</v>
      </c>
      <c r="H14" s="104">
        <v>0</v>
      </c>
      <c r="I14" s="107">
        <f t="shared" si="1"/>
        <v>9225293.6030041818</v>
      </c>
      <c r="J14" s="108">
        <f>I14*(1+Assumptions!$J$10)^-(B14-Assumptions!$J$9)+F14+H14</f>
        <v>4100371.1015074588</v>
      </c>
    </row>
    <row r="15" spans="2:14" ht="12.75" thickBot="1" x14ac:dyDescent="0.25">
      <c r="B15" s="103">
        <f t="shared" si="0"/>
        <v>2034</v>
      </c>
      <c r="C15" s="104">
        <f>_xlfn.XLOOKUP(B15,'Travel Time'!$B$5:$B$24,'Travel Time'!$E$5:$E$24,0,0,1)</f>
        <v>17785.328337595311</v>
      </c>
      <c r="D15" s="104">
        <f>_xlfn.XLOOKUP(B15,Safety!B:B,Safety!E:E,0,0,1)</f>
        <v>9590942.0614264011</v>
      </c>
      <c r="E15" s="105">
        <f>SUM('Air Quality'!M13)</f>
        <v>3141.8023081496012</v>
      </c>
      <c r="F15" s="106">
        <f>'Air Quality'!E13</f>
        <v>4229.2333747746407</v>
      </c>
      <c r="G15" s="104">
        <f>_xlfn.XLOOKUP(B15,'Operation and Maintenance'!B:B,'Operation and Maintenance'!E:E,0,0,1)</f>
        <v>-244632.96000000002</v>
      </c>
      <c r="H15" s="104">
        <v>0</v>
      </c>
      <c r="I15" s="107">
        <f t="shared" si="1"/>
        <v>9367236.2320721447</v>
      </c>
      <c r="J15" s="108">
        <f>I15*(1+Assumptions!$J$10)^-(B15-Assumptions!$J$9)+F15+H15</f>
        <v>3891299.2446580972</v>
      </c>
      <c r="L15" s="109" t="s">
        <v>203</v>
      </c>
    </row>
    <row r="16" spans="2:14" ht="12.75" thickBot="1" x14ac:dyDescent="0.25">
      <c r="B16" s="103">
        <f t="shared" si="0"/>
        <v>2035</v>
      </c>
      <c r="C16" s="104">
        <f>_xlfn.XLOOKUP(B16,'Travel Time'!$B$5:$B$24,'Travel Time'!$E$5:$E$24,0,0,1)</f>
        <v>18052.108262659243</v>
      </c>
      <c r="D16" s="104">
        <f>_xlfn.XLOOKUP(B16,Safety!B:B,Safety!E:E,0,0,1)</f>
        <v>9732576.0658140779</v>
      </c>
      <c r="E16" s="105">
        <f>SUM('Air Quality'!M14)</f>
        <v>3187.5896240188595</v>
      </c>
      <c r="F16" s="106">
        <f>'Air Quality'!E14</f>
        <v>4226.2669481947742</v>
      </c>
      <c r="G16" s="104">
        <f>_xlfn.XLOOKUP(B16,'Operation and Maintenance'!B:B,'Operation and Maintenance'!E:E,0,0,1)</f>
        <v>-244632.96000000002</v>
      </c>
      <c r="H16" s="104">
        <v>0</v>
      </c>
      <c r="I16" s="107">
        <f t="shared" si="1"/>
        <v>9509182.8037007563</v>
      </c>
      <c r="J16" s="108">
        <f>I16*(1+Assumptions!$J$10)^-(B16-Assumptions!$J$9)+F16+H16</f>
        <v>3692051.3062088122</v>
      </c>
      <c r="L16" s="121"/>
      <c r="M16" s="122" t="s">
        <v>68</v>
      </c>
    </row>
    <row r="17" spans="2:14" x14ac:dyDescent="0.2">
      <c r="B17" s="103">
        <f t="shared" si="0"/>
        <v>2036</v>
      </c>
      <c r="C17" s="104">
        <f>_xlfn.XLOOKUP(B17,'Travel Time'!$B$5:$B$24,'Travel Time'!$E$5:$E$24,0,0,1)</f>
        <v>18322.889886599125</v>
      </c>
      <c r="D17" s="104">
        <f>_xlfn.XLOOKUP(B17,Safety!B:B,Safety!E:E,0,0,1)</f>
        <v>9874210.070201695</v>
      </c>
      <c r="E17" s="105">
        <f>SUM('Air Quality'!M15)</f>
        <v>3233.3769398881577</v>
      </c>
      <c r="F17" s="106">
        <f>'Air Quality'!E15</f>
        <v>4281.0282063175127</v>
      </c>
      <c r="G17" s="104">
        <f>_xlfn.XLOOKUP(B17,'Operation and Maintenance'!B:B,'Operation and Maintenance'!E:E,0,0,1)</f>
        <v>-244632.96000000002</v>
      </c>
      <c r="H17" s="104">
        <v>0</v>
      </c>
      <c r="I17" s="107">
        <f t="shared" si="1"/>
        <v>9651133.3770281821</v>
      </c>
      <c r="J17" s="108">
        <f>I17*(1+Assumptions!$J$10)^-(B17-Assumptions!$J$9)+F17+H17</f>
        <v>3502295.9057477075</v>
      </c>
      <c r="L17" s="123" t="s">
        <v>69</v>
      </c>
      <c r="M17" s="124">
        <f>MROUND(M10,100000)</f>
        <v>71500000</v>
      </c>
    </row>
    <row r="18" spans="2:14" ht="12.75" thickBot="1" x14ac:dyDescent="0.25">
      <c r="B18" s="103">
        <f t="shared" si="0"/>
        <v>2037</v>
      </c>
      <c r="C18" s="104">
        <f>_xlfn.XLOOKUP(B18,'Travel Time'!$B$5:$B$24,'Travel Time'!$E$5:$E$24,0,0,1)</f>
        <v>18597.733234898114</v>
      </c>
      <c r="D18" s="104">
        <f>_xlfn.XLOOKUP(B18,Safety!B:B,Safety!E:E,0,0,1)</f>
        <v>10015844.074589312</v>
      </c>
      <c r="E18" s="105">
        <f>SUM('Air Quality'!M16)</f>
        <v>3279.164255757416</v>
      </c>
      <c r="F18" s="106">
        <f>'Air Quality'!E16</f>
        <v>4273.7396589205337</v>
      </c>
      <c r="G18" s="104">
        <f>_xlfn.XLOOKUP(B18,'Operation and Maintenance'!B:B,'Operation and Maintenance'!E:E,0,0,1)</f>
        <v>-244632.96000000002</v>
      </c>
      <c r="H18" s="104">
        <v>0</v>
      </c>
      <c r="I18" s="107">
        <f t="shared" si="1"/>
        <v>9793088.0120799653</v>
      </c>
      <c r="J18" s="108">
        <f>I18*(1+Assumptions!$J$10)^-(B18-Assumptions!$J$9)+F18+H18</f>
        <v>3321531.4686175119</v>
      </c>
      <c r="L18" s="125" t="s">
        <v>70</v>
      </c>
      <c r="M18" s="116">
        <f>MROUND(M11,100000)</f>
        <v>16100000</v>
      </c>
    </row>
    <row r="19" spans="2:14" ht="12.75" thickTop="1" x14ac:dyDescent="0.2">
      <c r="B19" s="103">
        <f t="shared" si="0"/>
        <v>2038</v>
      </c>
      <c r="C19" s="104">
        <f>_xlfn.XLOOKUP(B19,'Travel Time'!$B$5:$B$24,'Travel Time'!$E$5:$E$24,0,0,1)</f>
        <v>18876.699233421583</v>
      </c>
      <c r="D19" s="104">
        <f>_xlfn.XLOOKUP(B19,Safety!B:B,Safety!E:E,0,0,1)</f>
        <v>10157478.07897687</v>
      </c>
      <c r="E19" s="105">
        <f>SUM('Air Quality'!M17)</f>
        <v>3324.9515716266947</v>
      </c>
      <c r="F19" s="106">
        <f>'Air Quality'!E17</f>
        <v>4264.8312389436633</v>
      </c>
      <c r="G19" s="104">
        <f>_xlfn.XLOOKUP(B19,'Operation and Maintenance'!B:B,'Operation and Maintenance'!E:E,0,0,1)</f>
        <v>-244632.96000000002</v>
      </c>
      <c r="H19" s="104">
        <v>0</v>
      </c>
      <c r="I19" s="107">
        <f t="shared" si="1"/>
        <v>9935046.7697819173</v>
      </c>
      <c r="J19" s="108">
        <f>I19*(1+Assumptions!$J$10)^-(B19-Assumptions!$J$9)+F19+H19</f>
        <v>3149446.2066150811</v>
      </c>
      <c r="L19" s="126" t="s">
        <v>71</v>
      </c>
      <c r="M19" s="118">
        <f>+M17/M18</f>
        <v>4.4409937888198758</v>
      </c>
    </row>
    <row r="20" spans="2:14" ht="12.75" thickBot="1" x14ac:dyDescent="0.25">
      <c r="B20" s="103">
        <f t="shared" si="0"/>
        <v>2039</v>
      </c>
      <c r="C20" s="104">
        <f>_xlfn.XLOOKUP(B20,'Travel Time'!$B$5:$B$24,'Travel Time'!$E$5:$E$24,0,0,1)</f>
        <v>19159.849721922899</v>
      </c>
      <c r="D20" s="104">
        <f>_xlfn.XLOOKUP(B20,Safety!B:B,Safety!E:E,0,0,1)</f>
        <v>10299112.083364487</v>
      </c>
      <c r="E20" s="105">
        <f>SUM('Air Quality'!M18)</f>
        <v>3370.7388874959524</v>
      </c>
      <c r="F20" s="106">
        <f>'Air Quality'!E18</f>
        <v>4254.3572588935785</v>
      </c>
      <c r="G20" s="104">
        <f>_xlfn.XLOOKUP(B20,'Operation and Maintenance'!B:B,'Operation and Maintenance'!E:E,0,0,1)</f>
        <v>-244632.96000000002</v>
      </c>
      <c r="H20" s="104">
        <v>0</v>
      </c>
      <c r="I20" s="107">
        <f t="shared" si="1"/>
        <v>10077009.711973906</v>
      </c>
      <c r="J20" s="108">
        <f>I20*(1+Assumptions!$J$10)^-(B20-Assumptions!$J$9)+F20+H20</f>
        <v>2985677.915454274</v>
      </c>
      <c r="L20" s="119" t="s">
        <v>72</v>
      </c>
      <c r="M20" s="120">
        <f>M17-M18</f>
        <v>55400000</v>
      </c>
    </row>
    <row r="21" spans="2:14" x14ac:dyDescent="0.2">
      <c r="B21" s="103">
        <f t="shared" si="0"/>
        <v>2040</v>
      </c>
      <c r="C21" s="104">
        <f>_xlfn.XLOOKUP(B21,'Travel Time'!$B$5:$B$24,'Travel Time'!$E$5:$E$24,0,0,1)</f>
        <v>19447.247467751746</v>
      </c>
      <c r="D21" s="104">
        <f>_xlfn.XLOOKUP(B21,Safety!B:B,Safety!E:E,0,0,1)</f>
        <v>10440746.087752104</v>
      </c>
      <c r="E21" s="105">
        <f>SUM('Air Quality'!M19)</f>
        <v>3416.5262033652116</v>
      </c>
      <c r="F21" s="106">
        <f>'Air Quality'!E19</f>
        <v>4242.3715882056877</v>
      </c>
      <c r="G21" s="104">
        <f>_xlfn.XLOOKUP(B21,'Operation and Maintenance'!B:B,'Operation and Maintenance'!E:E,0,0,1)</f>
        <v>-244632.96000000002</v>
      </c>
      <c r="H21" s="104">
        <v>0</v>
      </c>
      <c r="I21" s="107">
        <f t="shared" si="1"/>
        <v>10218976.901423221</v>
      </c>
      <c r="J21" s="108">
        <f>I21*(1+Assumptions!$J$10)^-(B21-Assumptions!$J$9)+F21+H21</f>
        <v>2829874.6396770147</v>
      </c>
    </row>
    <row r="22" spans="2:14" x14ac:dyDescent="0.2">
      <c r="B22" s="103">
        <f t="shared" si="0"/>
        <v>2041</v>
      </c>
      <c r="C22" s="104">
        <f>_xlfn.XLOOKUP(B22,'Travel Time'!$B$5:$B$24,'Travel Time'!$E$5:$E$24,0,0,1)</f>
        <v>19738.956179768018</v>
      </c>
      <c r="D22" s="104">
        <f>_xlfn.XLOOKUP(B22,Safety!B:B,Safety!E:E,0,0,1)</f>
        <v>10582380.092139781</v>
      </c>
      <c r="E22" s="105">
        <f>SUM('Air Quality'!M20)</f>
        <v>3462.3135192344698</v>
      </c>
      <c r="F22" s="106">
        <f>'Air Quality'!E20</f>
        <v>4283.8487313395963</v>
      </c>
      <c r="G22" s="104">
        <f>_xlfn.XLOOKUP(B22,'Operation and Maintenance'!B:B,'Operation and Maintenance'!E:E,0,0,1)</f>
        <v>-244632.96000000002</v>
      </c>
      <c r="H22" s="104">
        <v>0</v>
      </c>
      <c r="I22" s="107">
        <f t="shared" si="1"/>
        <v>10360948.401838781</v>
      </c>
      <c r="J22" s="108">
        <f>I22*(1+Assumptions!$J$10)^-(B22-Assumptions!$J$9)+F22+H22</f>
        <v>2681749.8029404641</v>
      </c>
    </row>
    <row r="23" spans="2:14" x14ac:dyDescent="0.2">
      <c r="B23" s="103">
        <f t="shared" si="0"/>
        <v>2042</v>
      </c>
      <c r="C23" s="104">
        <f>_xlfn.XLOOKUP(B23,'Travel Time'!$B$5:$B$24,'Travel Time'!$E$5:$E$24,0,0,1)</f>
        <v>20035.040522464529</v>
      </c>
      <c r="D23" s="104">
        <f>_xlfn.XLOOKUP(B23,Safety!B:B,Safety!E:E,0,0,1)</f>
        <v>10724014.096527278</v>
      </c>
      <c r="E23" s="105">
        <f>SUM('Air Quality'!M21)</f>
        <v>3508.1008351037271</v>
      </c>
      <c r="F23" s="106">
        <f>'Air Quality'!E21</f>
        <v>4268.1047274905914</v>
      </c>
      <c r="G23" s="104">
        <f>_xlfn.XLOOKUP(B23,'Operation and Maintenance'!B:B,'Operation and Maintenance'!E:E,0,0,1)</f>
        <v>-244632.96000000002</v>
      </c>
      <c r="H23" s="104">
        <v>0</v>
      </c>
      <c r="I23" s="107">
        <f t="shared" si="1"/>
        <v>10502924.277884845</v>
      </c>
      <c r="J23" s="108">
        <f>I23*(1+Assumptions!$J$10)^-(B23-Assumptions!$J$9)+F23+H23</f>
        <v>2540861.7668962511</v>
      </c>
    </row>
    <row r="24" spans="2:14" x14ac:dyDescent="0.2">
      <c r="B24" s="103">
        <f t="shared" si="0"/>
        <v>2043</v>
      </c>
      <c r="C24" s="104">
        <f>_xlfn.XLOOKUP(B24,'Travel Time'!$B$5:$B$24,'Travel Time'!$E$5:$E$24,0,0,1)</f>
        <v>20335.566130301497</v>
      </c>
      <c r="D24" s="104">
        <f>_xlfn.XLOOKUP(B24,Safety!B:B,Safety!E:E,0,0,1)</f>
        <v>10865648.100914896</v>
      </c>
      <c r="E24" s="105">
        <f>SUM('Air Quality'!M22)</f>
        <v>3553.8881509729863</v>
      </c>
      <c r="F24" s="106">
        <f>'Air Quality'!E22</f>
        <v>4251.0129276048137</v>
      </c>
      <c r="G24" s="104">
        <f>_xlfn.XLOOKUP(B24,'Operation and Maintenance'!B:B,'Operation and Maintenance'!E:E,0,0,1)</f>
        <v>-244632.96000000002</v>
      </c>
      <c r="H24" s="104">
        <v>0</v>
      </c>
      <c r="I24" s="107">
        <f t="shared" si="1"/>
        <v>10644904.595196169</v>
      </c>
      <c r="J24" s="108">
        <f>I24*(1+Assumptions!$J$10)^-(B24-Assumptions!$J$9)+F24+H24</f>
        <v>2406946.1221418269</v>
      </c>
      <c r="N24" s="127"/>
    </row>
    <row r="25" spans="2:14" x14ac:dyDescent="0.2">
      <c r="B25" s="103">
        <f t="shared" si="0"/>
        <v>2044</v>
      </c>
      <c r="C25" s="104">
        <f>_xlfn.XLOOKUP(B25,'Travel Time'!$B$5:$B$24,'Travel Time'!$E$5:$E$24,0,0,1)</f>
        <v>20640.599622256013</v>
      </c>
      <c r="D25" s="104">
        <f>_xlfn.XLOOKUP(B25,Safety!B:B,Safety!E:E,0,0,1)</f>
        <v>11007282.105302572</v>
      </c>
      <c r="E25" s="105">
        <f>SUM('Air Quality'!M23)</f>
        <v>3599.6754668422436</v>
      </c>
      <c r="F25" s="106">
        <f>'Air Quality'!E23</f>
        <v>4232.6253200309911</v>
      </c>
      <c r="G25" s="104">
        <f>_xlfn.XLOOKUP(B25,'Operation and Maintenance'!B:B,'Operation and Maintenance'!E:E,0,0,1)</f>
        <v>-244632.96000000002</v>
      </c>
      <c r="H25" s="104">
        <v>0</v>
      </c>
      <c r="I25" s="107">
        <f t="shared" si="1"/>
        <v>10786889.420391669</v>
      </c>
      <c r="J25" s="108">
        <f>I25*(1+Assumptions!$J$10)^-(B25-Assumptions!$J$9)+F25+H25</f>
        <v>2279693.3295410951</v>
      </c>
    </row>
    <row r="26" spans="2:14" x14ac:dyDescent="0.2">
      <c r="B26" s="103">
        <f t="shared" si="0"/>
        <v>2045</v>
      </c>
      <c r="C26" s="104">
        <f>_xlfn.XLOOKUP(B26,'Travel Time'!$B$5:$B$24,'Travel Time'!$E$5:$E$24,0,0,1)</f>
        <v>20950.208616589858</v>
      </c>
      <c r="D26" s="104">
        <f>_xlfn.XLOOKUP(B26,Safety!B:B,Safety!E:E,0,0,1)</f>
        <v>11148916.109690189</v>
      </c>
      <c r="E26" s="105">
        <f>SUM('Air Quality'!M24)</f>
        <v>3645.4627827115228</v>
      </c>
      <c r="F26" s="106">
        <f>'Air Quality'!E24</f>
        <v>4212.993169615449</v>
      </c>
      <c r="G26" s="104">
        <f>_xlfn.XLOOKUP(B26,'Operation and Maintenance'!B:B,'Operation and Maintenance'!E:E,0,0,1)</f>
        <v>-244632.96000000002</v>
      </c>
      <c r="H26" s="104">
        <v>0</v>
      </c>
      <c r="I26" s="107">
        <f t="shared" si="1"/>
        <v>10928878.821089489</v>
      </c>
      <c r="J26" s="108">
        <f>I26*(1+Assumptions!$J$10)^-(B26-Assumptions!$J$9)+F26+H26</f>
        <v>2158804.512577395</v>
      </c>
    </row>
    <row r="27" spans="2:14" ht="12.75" thickBot="1" x14ac:dyDescent="0.25">
      <c r="B27" s="128">
        <f t="shared" si="0"/>
        <v>2046</v>
      </c>
      <c r="C27" s="129">
        <f>_xlfn.XLOOKUP(B27,'Travel Time'!$B$5:$B$24,'Travel Time'!$E$5:$E$24,0,0,1)</f>
        <v>21264.4617458387</v>
      </c>
      <c r="D27" s="129">
        <f>_xlfn.XLOOKUP(B27,Safety!B:B,Safety!E:E,0,0,1)</f>
        <v>11290550.114077687</v>
      </c>
      <c r="E27" s="130">
        <f>SUM('Air Quality'!M25)</f>
        <v>3691.250098580781</v>
      </c>
      <c r="F27" s="131">
        <f>'Air Quality'!E25</f>
        <v>4242.675017838963</v>
      </c>
      <c r="G27" s="129">
        <f>_xlfn.XLOOKUP(B27,'Operation and Maintenance'!B:B,'Operation and Maintenance'!E:E,0,0,1)</f>
        <v>-244632.96000000002</v>
      </c>
      <c r="H27" s="129">
        <f>_xlfn.XLOOKUP(B27,'Capital Value'!B:B,'Capital Value'!F:F,0,0,1)</f>
        <v>314496.5708397798</v>
      </c>
      <c r="I27" s="132">
        <f t="shared" si="1"/>
        <v>11070872.865922106</v>
      </c>
      <c r="J27" s="133">
        <f>I27*(1+Assumptions!$J$10)^-(B27-Assumptions!$J$9)+F27+H27</f>
        <v>2358538.4658570462</v>
      </c>
    </row>
    <row r="28" spans="2:14" ht="12.75" thickBot="1" x14ac:dyDescent="0.25">
      <c r="B28" s="134" t="s">
        <v>5</v>
      </c>
      <c r="C28" s="135">
        <f t="shared" ref="C28:D28" si="2">SUM(C8:C27)</f>
        <v>370558.09061360022</v>
      </c>
      <c r="D28" s="135">
        <f t="shared" si="2"/>
        <v>198900541.44790965</v>
      </c>
      <c r="E28" s="136">
        <f>SUM(E8:E27)</f>
        <v>64842.452779600899</v>
      </c>
      <c r="F28" s="137">
        <f t="shared" ref="F28:J28" si="3">SUM(F8:F27)</f>
        <v>84593.565864349031</v>
      </c>
      <c r="G28" s="135">
        <f t="shared" si="3"/>
        <v>-4892659.2</v>
      </c>
      <c r="H28" s="135">
        <f t="shared" si="3"/>
        <v>314496.5708397798</v>
      </c>
      <c r="I28" s="138">
        <f t="shared" si="3"/>
        <v>194443282.79130283</v>
      </c>
      <c r="J28" s="135">
        <f t="shared" si="3"/>
        <v>71492853.383611962</v>
      </c>
    </row>
    <row r="29" spans="2:14" x14ac:dyDescent="0.2">
      <c r="J29" s="139">
        <f>SUM(Safety!F25,'Travel Time'!F25,'Operation and Maintenance'!F25,'Capital Value'!F25,'Air Quality'!N26,'Air Quality'!E26)</f>
        <v>71492853.383611977</v>
      </c>
    </row>
    <row r="32" spans="2:14" x14ac:dyDescent="0.2">
      <c r="B32" s="64" t="s">
        <v>159</v>
      </c>
    </row>
    <row r="33" spans="2:6" x14ac:dyDescent="0.2">
      <c r="B33" s="189" t="s">
        <v>160</v>
      </c>
      <c r="C33" s="316" t="s">
        <v>273</v>
      </c>
      <c r="D33" s="316"/>
      <c r="E33" s="316"/>
      <c r="F33" s="316"/>
    </row>
    <row r="34" spans="2:6" x14ac:dyDescent="0.2">
      <c r="B34" s="189"/>
      <c r="C34" s="316"/>
      <c r="D34" s="316"/>
      <c r="E34" s="316"/>
      <c r="F34" s="316"/>
    </row>
    <row r="35" spans="2:6" x14ac:dyDescent="0.2">
      <c r="B35" s="189"/>
      <c r="C35" s="316"/>
      <c r="D35" s="316"/>
      <c r="E35" s="316"/>
      <c r="F35" s="316"/>
    </row>
    <row r="36" spans="2:6" x14ac:dyDescent="0.2">
      <c r="B36" s="189" t="s">
        <v>163</v>
      </c>
      <c r="C36" s="316" t="s">
        <v>272</v>
      </c>
      <c r="D36" s="316"/>
      <c r="E36" s="316"/>
      <c r="F36" s="316"/>
    </row>
    <row r="37" spans="2:6" x14ac:dyDescent="0.2">
      <c r="B37" s="189"/>
      <c r="C37" s="316"/>
      <c r="D37" s="316"/>
      <c r="E37" s="316"/>
      <c r="F37" s="316"/>
    </row>
  </sheetData>
  <mergeCells count="13">
    <mergeCell ref="C33:F35"/>
    <mergeCell ref="C36:F37"/>
    <mergeCell ref="G5:J5"/>
    <mergeCell ref="B6:B7"/>
    <mergeCell ref="D6:D7"/>
    <mergeCell ref="G6:G7"/>
    <mergeCell ref="H6:H7"/>
    <mergeCell ref="I6:I7"/>
    <mergeCell ref="J6:J7"/>
    <mergeCell ref="E6:E7"/>
    <mergeCell ref="F6:F7"/>
    <mergeCell ref="C6:C7"/>
    <mergeCell ref="E5:F5"/>
  </mergeCells>
  <pageMargins left="0.7" right="0.7" top="0.75" bottom="0.75" header="0.3" footer="0.3"/>
  <pageSetup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8911E-44C6-471C-B9EA-FDC0CB105074}">
  <sheetPr>
    <pageSetUpPr fitToPage="1"/>
  </sheetPr>
  <dimension ref="B2:M45"/>
  <sheetViews>
    <sheetView view="pageBreakPreview" zoomScaleNormal="100" zoomScaleSheetLayoutView="100" workbookViewId="0">
      <selection activeCell="J26" sqref="J26"/>
    </sheetView>
  </sheetViews>
  <sheetFormatPr defaultRowHeight="12" x14ac:dyDescent="0.2"/>
  <cols>
    <col min="1" max="1" width="9.140625" style="35"/>
    <col min="2" max="2" width="12.42578125" style="35" customWidth="1"/>
    <col min="3" max="3" width="15" style="35" customWidth="1"/>
    <col min="4" max="4" width="9.140625" style="35"/>
    <col min="5" max="5" width="9.28515625" style="35" customWidth="1"/>
    <col min="6" max="6" width="12.42578125" style="35" customWidth="1"/>
    <col min="7" max="7" width="11.85546875" style="35" customWidth="1"/>
    <col min="8" max="8" width="16.7109375" style="35" bestFit="1" customWidth="1"/>
    <col min="9" max="9" width="17.85546875" style="35" customWidth="1"/>
    <col min="10" max="10" width="11" style="35" customWidth="1"/>
    <col min="11" max="11" width="9.85546875" style="35" bestFit="1" customWidth="1"/>
    <col min="12" max="12" width="10.5703125" style="35" customWidth="1"/>
    <col min="13" max="16384" width="9.140625" style="35"/>
  </cols>
  <sheetData>
    <row r="2" spans="2:13" x14ac:dyDescent="0.2">
      <c r="B2" s="64" t="s">
        <v>284</v>
      </c>
    </row>
    <row r="3" spans="2:13" ht="12.75" thickBot="1" x14ac:dyDescent="0.25">
      <c r="B3" s="64"/>
      <c r="E3" s="64" t="s">
        <v>204</v>
      </c>
      <c r="I3" s="64" t="s">
        <v>196</v>
      </c>
    </row>
    <row r="4" spans="2:13" ht="24" customHeight="1" thickBot="1" x14ac:dyDescent="0.25">
      <c r="B4" s="64" t="s">
        <v>193</v>
      </c>
      <c r="E4" s="343" t="s">
        <v>85</v>
      </c>
      <c r="F4" s="348" t="s">
        <v>86</v>
      </c>
      <c r="G4" s="341" t="s">
        <v>99</v>
      </c>
      <c r="I4" s="343" t="s">
        <v>96</v>
      </c>
      <c r="J4" s="341" t="s">
        <v>81</v>
      </c>
    </row>
    <row r="5" spans="2:13" ht="12.75" customHeight="1" thickBot="1" x14ac:dyDescent="0.25">
      <c r="B5" s="326" t="s">
        <v>40</v>
      </c>
      <c r="C5" s="328" t="s">
        <v>41</v>
      </c>
      <c r="E5" s="347"/>
      <c r="F5" s="349"/>
      <c r="G5" s="342"/>
      <c r="I5" s="347"/>
      <c r="J5" s="342"/>
    </row>
    <row r="6" spans="2:13" ht="12.75" thickBot="1" x14ac:dyDescent="0.25">
      <c r="B6" s="335"/>
      <c r="C6" s="353"/>
      <c r="E6" s="65">
        <v>44197</v>
      </c>
      <c r="F6" s="66">
        <v>256.39999999999998</v>
      </c>
      <c r="G6" s="67">
        <v>116.119</v>
      </c>
      <c r="I6" s="57" t="s">
        <v>267</v>
      </c>
      <c r="J6" s="59">
        <v>67.33</v>
      </c>
    </row>
    <row r="7" spans="2:13" ht="12.75" thickBot="1" x14ac:dyDescent="0.25">
      <c r="B7" s="68">
        <v>2003</v>
      </c>
      <c r="C7" s="69">
        <v>1.44</v>
      </c>
      <c r="E7" s="70">
        <v>44927</v>
      </c>
      <c r="F7" s="71">
        <v>327.33800000000002</v>
      </c>
      <c r="G7" s="72">
        <v>130.82</v>
      </c>
      <c r="I7" s="73" t="s">
        <v>268</v>
      </c>
      <c r="J7" s="74">
        <v>365</v>
      </c>
    </row>
    <row r="8" spans="2:13" x14ac:dyDescent="0.2">
      <c r="B8" s="75">
        <v>2004</v>
      </c>
      <c r="C8" s="76">
        <v>1.4</v>
      </c>
      <c r="E8" s="77"/>
      <c r="F8" s="78"/>
      <c r="I8" s="73" t="s">
        <v>34</v>
      </c>
      <c r="J8" s="74">
        <v>2026</v>
      </c>
    </row>
    <row r="9" spans="2:13" ht="12.75" thickBot="1" x14ac:dyDescent="0.25">
      <c r="B9" s="75">
        <v>2005</v>
      </c>
      <c r="C9" s="76">
        <v>1.36</v>
      </c>
      <c r="E9" s="64" t="s">
        <v>194</v>
      </c>
      <c r="I9" s="73" t="s">
        <v>33</v>
      </c>
      <c r="J9" s="74">
        <v>2021</v>
      </c>
    </row>
    <row r="10" spans="2:13" ht="12.75" thickBot="1" x14ac:dyDescent="0.25">
      <c r="B10" s="75">
        <v>2006</v>
      </c>
      <c r="C10" s="76">
        <v>1.32</v>
      </c>
      <c r="E10" s="343" t="s">
        <v>22</v>
      </c>
      <c r="F10" s="341" t="s">
        <v>27</v>
      </c>
      <c r="I10" s="79" t="s">
        <v>62</v>
      </c>
      <c r="J10" s="80">
        <v>7.0000000000000007E-2</v>
      </c>
    </row>
    <row r="11" spans="2:13" ht="12.75" thickBot="1" x14ac:dyDescent="0.25">
      <c r="B11" s="75">
        <v>2007</v>
      </c>
      <c r="C11" s="76">
        <v>1.28</v>
      </c>
      <c r="E11" s="347"/>
      <c r="F11" s="342"/>
    </row>
    <row r="12" spans="2:13" ht="12.75" thickBot="1" x14ac:dyDescent="0.25">
      <c r="B12" s="75">
        <v>2008</v>
      </c>
      <c r="C12" s="76">
        <v>1.26</v>
      </c>
      <c r="E12" s="73" t="s">
        <v>23</v>
      </c>
      <c r="F12" s="81">
        <v>11800000</v>
      </c>
      <c r="I12" s="64" t="s">
        <v>197</v>
      </c>
    </row>
    <row r="13" spans="2:13" ht="12.75" thickBot="1" x14ac:dyDescent="0.25">
      <c r="B13" s="75">
        <v>2009</v>
      </c>
      <c r="C13" s="76">
        <v>1.25</v>
      </c>
      <c r="E13" s="73" t="s">
        <v>24</v>
      </c>
      <c r="F13" s="81">
        <v>564300</v>
      </c>
      <c r="I13" s="61" t="s">
        <v>100</v>
      </c>
      <c r="J13" s="62" t="s">
        <v>104</v>
      </c>
      <c r="K13" s="62" t="s">
        <v>103</v>
      </c>
      <c r="L13" s="63" t="s">
        <v>105</v>
      </c>
      <c r="M13" s="63" t="s">
        <v>105</v>
      </c>
    </row>
    <row r="14" spans="2:13" x14ac:dyDescent="0.2">
      <c r="B14" s="75">
        <v>2010</v>
      </c>
      <c r="C14" s="76">
        <v>1.24</v>
      </c>
      <c r="E14" s="73" t="s">
        <v>25</v>
      </c>
      <c r="F14" s="81">
        <v>153700</v>
      </c>
      <c r="I14" s="57" t="s">
        <v>101</v>
      </c>
      <c r="J14" s="301">
        <v>0.75</v>
      </c>
      <c r="K14" s="58">
        <v>1.67</v>
      </c>
      <c r="L14" s="302">
        <v>18.8</v>
      </c>
      <c r="M14" s="299">
        <f>K14*L14</f>
        <v>31.396000000000001</v>
      </c>
    </row>
    <row r="15" spans="2:13" ht="12.75" thickBot="1" x14ac:dyDescent="0.25">
      <c r="B15" s="75">
        <v>2011</v>
      </c>
      <c r="C15" s="76">
        <v>1.21</v>
      </c>
      <c r="E15" s="73" t="s">
        <v>26</v>
      </c>
      <c r="F15" s="81">
        <v>78500</v>
      </c>
      <c r="I15" s="79" t="s">
        <v>102</v>
      </c>
      <c r="J15" s="303">
        <f>100%-J14</f>
        <v>0.25</v>
      </c>
      <c r="K15" s="154">
        <v>1</v>
      </c>
      <c r="L15" s="289">
        <v>32.4</v>
      </c>
      <c r="M15" s="300">
        <f>PRODUCT(K15:L15)</f>
        <v>32.4</v>
      </c>
    </row>
    <row r="16" spans="2:13" ht="12.75" thickBot="1" x14ac:dyDescent="0.25">
      <c r="B16" s="75">
        <v>2012</v>
      </c>
      <c r="C16" s="76">
        <v>1.19</v>
      </c>
      <c r="E16" s="79" t="s">
        <v>4</v>
      </c>
      <c r="F16" s="82">
        <v>4000</v>
      </c>
      <c r="I16" s="338" t="s">
        <v>133</v>
      </c>
      <c r="J16" s="339"/>
      <c r="K16" s="339"/>
      <c r="L16" s="340"/>
      <c r="M16" s="83">
        <f>J14*K14*L14+J15*K15*L15</f>
        <v>31.646999999999998</v>
      </c>
    </row>
    <row r="17" spans="2:12" x14ac:dyDescent="0.2">
      <c r="B17" s="75">
        <v>2013</v>
      </c>
      <c r="C17" s="76">
        <v>1.17</v>
      </c>
      <c r="F17" s="84"/>
    </row>
    <row r="18" spans="2:12" ht="12.75" thickBot="1" x14ac:dyDescent="0.25">
      <c r="B18" s="75">
        <v>2014</v>
      </c>
      <c r="C18" s="76">
        <v>1.1499999999999999</v>
      </c>
      <c r="E18" s="64" t="s">
        <v>195</v>
      </c>
      <c r="I18" s="64" t="s">
        <v>199</v>
      </c>
    </row>
    <row r="19" spans="2:12" x14ac:dyDescent="0.2">
      <c r="B19" s="75">
        <v>2015</v>
      </c>
      <c r="C19" s="76">
        <v>1.1399999999999999</v>
      </c>
      <c r="D19" s="85"/>
      <c r="E19" s="343" t="s">
        <v>37</v>
      </c>
      <c r="F19" s="350" t="s">
        <v>7</v>
      </c>
      <c r="G19" s="341" t="s">
        <v>8</v>
      </c>
      <c r="H19" s="86"/>
      <c r="I19" s="326" t="s">
        <v>182</v>
      </c>
      <c r="J19" s="336" t="s">
        <v>198</v>
      </c>
    </row>
    <row r="20" spans="2:12" ht="12.75" thickBot="1" x14ac:dyDescent="0.25">
      <c r="B20" s="75">
        <v>2016</v>
      </c>
      <c r="C20" s="76">
        <v>1.1200000000000001</v>
      </c>
      <c r="D20" s="85"/>
      <c r="E20" s="344"/>
      <c r="F20" s="351"/>
      <c r="G20" s="352"/>
      <c r="H20" s="86"/>
      <c r="I20" s="335"/>
      <c r="J20" s="337"/>
    </row>
    <row r="21" spans="2:12" x14ac:dyDescent="0.2">
      <c r="B21" s="75">
        <v>2017</v>
      </c>
      <c r="C21" s="76">
        <v>1.1000000000000001</v>
      </c>
      <c r="D21" s="85"/>
      <c r="E21" s="57">
        <v>2022</v>
      </c>
      <c r="F21" s="304">
        <v>12335</v>
      </c>
      <c r="G21" s="96">
        <f>'Traffic Counts-Segments'!L4</f>
        <v>303191224.36783499</v>
      </c>
      <c r="H21" s="86"/>
      <c r="I21" s="57" t="s">
        <v>120</v>
      </c>
      <c r="J21" s="88">
        <f>SUM('Travel Time'!S$5:S$54)/5280</f>
        <v>14.287878787878787</v>
      </c>
    </row>
    <row r="22" spans="2:12" x14ac:dyDescent="0.2">
      <c r="B22" s="75">
        <v>2018</v>
      </c>
      <c r="C22" s="76">
        <v>1.08</v>
      </c>
      <c r="D22" s="85"/>
      <c r="E22" s="73">
        <v>2021</v>
      </c>
      <c r="F22" s="89">
        <v>11025</v>
      </c>
      <c r="G22" s="90">
        <f>($G$21/$F$21)*F22</f>
        <v>270991751.00570577</v>
      </c>
      <c r="H22" s="86"/>
      <c r="I22" s="73" t="s">
        <v>119</v>
      </c>
      <c r="J22" s="91">
        <f>Assumptions!$J$6</f>
        <v>67.33</v>
      </c>
    </row>
    <row r="23" spans="2:12" x14ac:dyDescent="0.2">
      <c r="B23" s="75">
        <v>2019</v>
      </c>
      <c r="C23" s="76">
        <v>1.06</v>
      </c>
      <c r="D23" s="85"/>
      <c r="E23" s="73">
        <v>2020</v>
      </c>
      <c r="F23" s="89">
        <v>10765</v>
      </c>
      <c r="G23" s="90">
        <f t="shared" ref="G23:G25" si="0">($G$21/$F$21)*F23</f>
        <v>264601015.83459616</v>
      </c>
      <c r="H23" s="86"/>
      <c r="I23" s="73" t="s">
        <v>118</v>
      </c>
      <c r="J23" s="92">
        <v>108</v>
      </c>
    </row>
    <row r="24" spans="2:12" x14ac:dyDescent="0.2">
      <c r="B24" s="75">
        <v>2020</v>
      </c>
      <c r="C24" s="76">
        <v>1.04</v>
      </c>
      <c r="D24" s="85"/>
      <c r="E24" s="73">
        <v>2019</v>
      </c>
      <c r="F24" s="89">
        <v>11240</v>
      </c>
      <c r="G24" s="90">
        <f t="shared" si="0"/>
        <v>276276397.39720029</v>
      </c>
      <c r="H24" s="86"/>
      <c r="I24" s="73" t="s">
        <v>117</v>
      </c>
      <c r="J24" s="91">
        <f>365/J23</f>
        <v>3.3796296296296298</v>
      </c>
    </row>
    <row r="25" spans="2:12" ht="12.75" thickBot="1" x14ac:dyDescent="0.25">
      <c r="B25" s="93">
        <v>2021</v>
      </c>
      <c r="C25" s="94">
        <v>1</v>
      </c>
      <c r="D25" s="85"/>
      <c r="E25" s="79">
        <v>2018</v>
      </c>
      <c r="F25" s="305">
        <v>11520</v>
      </c>
      <c r="G25" s="98">
        <f t="shared" si="0"/>
        <v>283158727.58147216</v>
      </c>
      <c r="H25" s="86"/>
      <c r="I25" s="73" t="s">
        <v>181</v>
      </c>
      <c r="J25" s="74">
        <v>500</v>
      </c>
    </row>
    <row r="26" spans="2:12" ht="12.75" thickBot="1" x14ac:dyDescent="0.25">
      <c r="E26" s="345" t="s">
        <v>35</v>
      </c>
      <c r="F26" s="346"/>
      <c r="G26" s="87">
        <f>SUM(G21:G25)</f>
        <v>1398219116.1868093</v>
      </c>
      <c r="H26" s="86"/>
      <c r="I26" s="79" t="s">
        <v>129</v>
      </c>
      <c r="J26" s="95">
        <f>ROUNDDOWN(L32,3)</f>
        <v>1.4999999999999999E-2</v>
      </c>
    </row>
    <row r="27" spans="2:12" ht="12.75" thickBot="1" x14ac:dyDescent="0.25">
      <c r="E27" s="333" t="s">
        <v>79</v>
      </c>
      <c r="F27" s="334"/>
      <c r="G27" s="98">
        <f>AVERAGE(G21:G25)</f>
        <v>279643823.23736185</v>
      </c>
      <c r="H27" s="86"/>
    </row>
    <row r="28" spans="2:12" ht="14.25" x14ac:dyDescent="0.2">
      <c r="H28" s="86"/>
      <c r="I28" s="64" t="s">
        <v>293</v>
      </c>
    </row>
    <row r="29" spans="2:12" x14ac:dyDescent="0.2">
      <c r="I29" s="314" t="s">
        <v>291</v>
      </c>
      <c r="J29" s="314">
        <v>2010</v>
      </c>
      <c r="K29" s="314">
        <v>2020</v>
      </c>
      <c r="L29" s="314" t="s">
        <v>292</v>
      </c>
    </row>
    <row r="30" spans="2:12" x14ac:dyDescent="0.2">
      <c r="I30" s="153" t="s">
        <v>289</v>
      </c>
      <c r="J30" s="89">
        <v>105549</v>
      </c>
      <c r="K30" s="89">
        <v>125990</v>
      </c>
      <c r="L30" s="313">
        <f>LN(K30/J30)/10</f>
        <v>1.7702723865594093E-2</v>
      </c>
    </row>
    <row r="31" spans="2:12" x14ac:dyDescent="0.2">
      <c r="B31" s="64" t="s">
        <v>159</v>
      </c>
      <c r="I31" s="153" t="s">
        <v>290</v>
      </c>
      <c r="J31" s="89">
        <v>52838</v>
      </c>
      <c r="K31" s="89">
        <v>59166</v>
      </c>
      <c r="L31" s="313">
        <f t="shared" ref="L31:L32" si="1">LN(K31/J31)/10</f>
        <v>1.131164237540064E-2</v>
      </c>
    </row>
    <row r="32" spans="2:12" ht="12" customHeight="1" x14ac:dyDescent="0.2">
      <c r="B32" s="189" t="s">
        <v>160</v>
      </c>
      <c r="C32" s="316" t="s">
        <v>271</v>
      </c>
      <c r="D32" s="316"/>
      <c r="E32" s="316"/>
      <c r="F32" s="316"/>
      <c r="I32" s="153" t="s">
        <v>5</v>
      </c>
      <c r="J32" s="219">
        <f>SUM(J30:J31)</f>
        <v>158387</v>
      </c>
      <c r="K32" s="219">
        <f>SUM(K30:K31)</f>
        <v>185156</v>
      </c>
      <c r="L32" s="313">
        <f t="shared" si="1"/>
        <v>1.5615730768645345E-2</v>
      </c>
    </row>
    <row r="33" spans="2:6" x14ac:dyDescent="0.2">
      <c r="C33" s="316"/>
      <c r="D33" s="316"/>
      <c r="E33" s="316"/>
      <c r="F33" s="316"/>
    </row>
    <row r="34" spans="2:6" x14ac:dyDescent="0.2">
      <c r="C34" s="316"/>
      <c r="D34" s="316"/>
      <c r="E34" s="316"/>
      <c r="F34" s="316"/>
    </row>
    <row r="35" spans="2:6" ht="12" customHeight="1" x14ac:dyDescent="0.2">
      <c r="B35" s="189" t="s">
        <v>163</v>
      </c>
      <c r="C35" s="316" t="s">
        <v>274</v>
      </c>
      <c r="D35" s="316"/>
      <c r="E35" s="316"/>
      <c r="F35" s="316"/>
    </row>
    <row r="36" spans="2:6" x14ac:dyDescent="0.2">
      <c r="C36" s="316"/>
      <c r="D36" s="316"/>
      <c r="E36" s="316"/>
      <c r="F36" s="316"/>
    </row>
    <row r="37" spans="2:6" x14ac:dyDescent="0.2">
      <c r="C37" s="316"/>
      <c r="D37" s="316"/>
      <c r="E37" s="316"/>
      <c r="F37" s="316"/>
    </row>
    <row r="38" spans="2:6" x14ac:dyDescent="0.2">
      <c r="C38" s="316"/>
      <c r="D38" s="316"/>
      <c r="E38" s="316"/>
      <c r="F38" s="316"/>
    </row>
    <row r="39" spans="2:6" x14ac:dyDescent="0.2">
      <c r="C39" s="316"/>
      <c r="D39" s="316"/>
      <c r="E39" s="316"/>
      <c r="F39" s="316"/>
    </row>
    <row r="40" spans="2:6" x14ac:dyDescent="0.2">
      <c r="C40" s="316"/>
      <c r="D40" s="316"/>
      <c r="E40" s="316"/>
      <c r="F40" s="316"/>
    </row>
    <row r="41" spans="2:6" ht="12" customHeight="1" x14ac:dyDescent="0.2">
      <c r="B41" s="189" t="s">
        <v>294</v>
      </c>
      <c r="C41" s="316" t="s">
        <v>295</v>
      </c>
      <c r="D41" s="316"/>
      <c r="E41" s="316"/>
      <c r="F41" s="316"/>
    </row>
    <row r="42" spans="2:6" x14ac:dyDescent="0.2">
      <c r="C42" s="316"/>
      <c r="D42" s="316"/>
      <c r="E42" s="316"/>
      <c r="F42" s="316"/>
    </row>
    <row r="43" spans="2:6" x14ac:dyDescent="0.2">
      <c r="C43" s="316"/>
      <c r="D43" s="316"/>
      <c r="E43" s="316"/>
      <c r="F43" s="316"/>
    </row>
    <row r="44" spans="2:6" x14ac:dyDescent="0.2">
      <c r="C44" s="316"/>
      <c r="D44" s="316"/>
      <c r="E44" s="316"/>
      <c r="F44" s="316"/>
    </row>
    <row r="45" spans="2:6" x14ac:dyDescent="0.2">
      <c r="C45" s="316"/>
      <c r="D45" s="316"/>
      <c r="E45" s="316"/>
      <c r="F45" s="316"/>
    </row>
  </sheetData>
  <mergeCells count="20">
    <mergeCell ref="B5:B6"/>
    <mergeCell ref="C5:C6"/>
    <mergeCell ref="I4:I5"/>
    <mergeCell ref="G4:G5"/>
    <mergeCell ref="E10:E11"/>
    <mergeCell ref="F10:F11"/>
    <mergeCell ref="J19:J20"/>
    <mergeCell ref="I16:L16"/>
    <mergeCell ref="J4:J5"/>
    <mergeCell ref="E19:E20"/>
    <mergeCell ref="E26:F26"/>
    <mergeCell ref="E4:E5"/>
    <mergeCell ref="F4:F5"/>
    <mergeCell ref="F19:F20"/>
    <mergeCell ref="G19:G20"/>
    <mergeCell ref="C32:F34"/>
    <mergeCell ref="C35:F40"/>
    <mergeCell ref="E27:F27"/>
    <mergeCell ref="I19:I20"/>
    <mergeCell ref="C41:F45"/>
  </mergeCells>
  <pageMargins left="0.7" right="0.7" top="0.75" bottom="0.75" header="0.3" footer="0.3"/>
  <pageSetup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F6A1C-0582-4403-AA86-9322968E2574}">
  <sheetPr>
    <pageSetUpPr fitToPage="1"/>
  </sheetPr>
  <dimension ref="B2:T36"/>
  <sheetViews>
    <sheetView view="pageBreakPreview" zoomScaleNormal="70" zoomScaleSheetLayoutView="100" workbookViewId="0"/>
  </sheetViews>
  <sheetFormatPr defaultRowHeight="12" x14ac:dyDescent="0.2"/>
  <cols>
    <col min="1" max="1" width="9.140625" style="35"/>
    <col min="2" max="2" width="8.42578125" style="35" customWidth="1"/>
    <col min="3" max="3" width="11.28515625" style="35" customWidth="1"/>
    <col min="4" max="5" width="11.5703125" style="35" bestFit="1" customWidth="1"/>
    <col min="6" max="6" width="10.7109375" style="35" bestFit="1" customWidth="1"/>
    <col min="7" max="8" width="7.140625" style="35" customWidth="1"/>
    <col min="9" max="9" width="15.7109375" style="35" customWidth="1"/>
    <col min="10" max="10" width="10.42578125" style="35" customWidth="1"/>
    <col min="11" max="11" width="11.28515625" style="35" customWidth="1"/>
    <col min="12" max="12" width="8.85546875" style="35" customWidth="1"/>
    <col min="13" max="13" width="9.140625" style="35" customWidth="1"/>
    <col min="14" max="14" width="8.5703125" style="35" customWidth="1"/>
    <col min="15" max="15" width="10" style="35" customWidth="1"/>
    <col min="16" max="16" width="8.7109375" style="35" customWidth="1"/>
    <col min="17" max="17" width="14.28515625" style="35" customWidth="1"/>
    <col min="18" max="19" width="12.140625" style="35" customWidth="1"/>
    <col min="20" max="21" width="112.7109375" style="35" bestFit="1" customWidth="1"/>
    <col min="22" max="16384" width="9.140625" style="35"/>
  </cols>
  <sheetData>
    <row r="2" spans="2:20" ht="12.75" thickBot="1" x14ac:dyDescent="0.25">
      <c r="B2" s="64" t="s">
        <v>283</v>
      </c>
    </row>
    <row r="3" spans="2:20" x14ac:dyDescent="0.2">
      <c r="B3" s="320" t="s">
        <v>28</v>
      </c>
      <c r="C3" s="326" t="s">
        <v>30</v>
      </c>
      <c r="D3" s="328" t="s">
        <v>31</v>
      </c>
      <c r="E3" s="326" t="s">
        <v>32</v>
      </c>
      <c r="F3" s="328" t="s">
        <v>29</v>
      </c>
    </row>
    <row r="4" spans="2:20" ht="12.75" thickBot="1" x14ac:dyDescent="0.25">
      <c r="B4" s="354"/>
      <c r="C4" s="335"/>
      <c r="D4" s="353"/>
      <c r="E4" s="335"/>
      <c r="F4" s="353"/>
      <c r="I4" s="64" t="s">
        <v>205</v>
      </c>
      <c r="Q4" s="64" t="s">
        <v>209</v>
      </c>
    </row>
    <row r="5" spans="2:20" ht="12.75" thickBot="1" x14ac:dyDescent="0.25">
      <c r="B5" s="140">
        <f>Assumptions!J8+1</f>
        <v>2027</v>
      </c>
      <c r="C5" s="141">
        <f t="shared" ref="C5:C24" si="0">_xlfn.FORECAST.LINEAR(B5,$J$25:$K$25,$J$24:$K$24)</f>
        <v>22741028.628889561</v>
      </c>
      <c r="D5" s="142">
        <f t="shared" ref="D5:D24" si="1">_xlfn.FORECAST.LINEAR(B5,$J$26:$K$26,$J$24:$K$24)</f>
        <v>14141524.59817636</v>
      </c>
      <c r="E5" s="143">
        <f>C5-D5</f>
        <v>8599504.0307132006</v>
      </c>
      <c r="F5" s="144">
        <f>E5*(1+Assumptions!$J$10)^-(B5-Assumptions!$J$9)</f>
        <v>5730212.6395444972</v>
      </c>
      <c r="I5" s="184" t="s">
        <v>206</v>
      </c>
      <c r="J5" s="185">
        <v>2018</v>
      </c>
      <c r="K5" s="185">
        <v>2019</v>
      </c>
      <c r="L5" s="185">
        <v>2020</v>
      </c>
      <c r="M5" s="185">
        <v>2021</v>
      </c>
      <c r="N5" s="185">
        <v>2022</v>
      </c>
      <c r="O5" s="185" t="s">
        <v>5</v>
      </c>
      <c r="Q5" s="343" t="s">
        <v>10</v>
      </c>
      <c r="R5" s="350"/>
      <c r="S5" s="350"/>
      <c r="T5" s="341"/>
    </row>
    <row r="6" spans="2:20" x14ac:dyDescent="0.2">
      <c r="B6" s="145">
        <f>B5+1</f>
        <v>2028</v>
      </c>
      <c r="C6" s="146">
        <f t="shared" si="0"/>
        <v>23110744.147302389</v>
      </c>
      <c r="D6" s="147">
        <f t="shared" si="1"/>
        <v>14369606.112201571</v>
      </c>
      <c r="E6" s="148">
        <f t="shared" ref="E6:E24" si="2">C6-D6</f>
        <v>8741138.0351008177</v>
      </c>
      <c r="F6" s="149">
        <f>E6*(1+Assumptions!$J$10)^-(B6-Assumptions!$J$9)</f>
        <v>5443541.4551366158</v>
      </c>
      <c r="I6" s="150" t="s">
        <v>0</v>
      </c>
      <c r="J6" s="151">
        <v>3</v>
      </c>
      <c r="K6" s="151">
        <v>1</v>
      </c>
      <c r="L6" s="151">
        <v>1</v>
      </c>
      <c r="M6" s="151">
        <v>0</v>
      </c>
      <c r="N6" s="151">
        <v>1</v>
      </c>
      <c r="O6" s="152">
        <f>SUM(J6:N6)</f>
        <v>6</v>
      </c>
      <c r="Q6" s="73" t="s">
        <v>11</v>
      </c>
      <c r="R6" s="153" t="s">
        <v>12</v>
      </c>
      <c r="S6" s="153" t="s">
        <v>11</v>
      </c>
      <c r="T6" s="74" t="s">
        <v>13</v>
      </c>
    </row>
    <row r="7" spans="2:20" x14ac:dyDescent="0.2">
      <c r="B7" s="145">
        <f t="shared" ref="B7:B24" si="3">B6+1</f>
        <v>2029</v>
      </c>
      <c r="C7" s="146">
        <f t="shared" si="0"/>
        <v>23480459.665715218</v>
      </c>
      <c r="D7" s="147">
        <f t="shared" si="1"/>
        <v>14597687.626226723</v>
      </c>
      <c r="E7" s="148">
        <f t="shared" si="2"/>
        <v>8882772.0394884944</v>
      </c>
      <c r="F7" s="149">
        <f>E7*(1+Assumptions!$J$10)^-(B7-Assumptions!$J$9)</f>
        <v>5169854.2007580586</v>
      </c>
      <c r="I7" s="73" t="s">
        <v>1</v>
      </c>
      <c r="J7" s="153">
        <v>4</v>
      </c>
      <c r="K7" s="153">
        <v>1</v>
      </c>
      <c r="L7" s="153">
        <v>3</v>
      </c>
      <c r="M7" s="153">
        <v>5</v>
      </c>
      <c r="N7" s="153">
        <v>4</v>
      </c>
      <c r="O7" s="74">
        <f t="shared" ref="O7:O10" si="4">SUM(J7:N7)</f>
        <v>17</v>
      </c>
      <c r="Q7" s="73" t="s">
        <v>14</v>
      </c>
      <c r="R7" s="153">
        <v>0.56999999999999995</v>
      </c>
      <c r="S7" s="153" t="s">
        <v>15</v>
      </c>
      <c r="T7" s="74" t="s">
        <v>16</v>
      </c>
    </row>
    <row r="8" spans="2:20" x14ac:dyDescent="0.2">
      <c r="B8" s="145">
        <f t="shared" si="3"/>
        <v>2030</v>
      </c>
      <c r="C8" s="146">
        <f t="shared" si="0"/>
        <v>23850175.184127927</v>
      </c>
      <c r="D8" s="147">
        <f t="shared" si="1"/>
        <v>14825769.140251935</v>
      </c>
      <c r="E8" s="148">
        <f t="shared" si="2"/>
        <v>9024406.0438759923</v>
      </c>
      <c r="F8" s="149">
        <f>E8*(1+Assumptions!$J$10)^-(B8-Assumptions!$J$9)</f>
        <v>4908678.9540444743</v>
      </c>
      <c r="I8" s="73" t="s">
        <v>2</v>
      </c>
      <c r="J8" s="153">
        <v>13</v>
      </c>
      <c r="K8" s="153">
        <v>20</v>
      </c>
      <c r="L8" s="153">
        <v>24</v>
      </c>
      <c r="M8" s="153">
        <v>9</v>
      </c>
      <c r="N8" s="153">
        <v>34</v>
      </c>
      <c r="O8" s="74">
        <f t="shared" si="4"/>
        <v>100</v>
      </c>
      <c r="Q8" s="73" t="s">
        <v>17</v>
      </c>
      <c r="R8" s="153">
        <v>0.7</v>
      </c>
      <c r="S8" s="153" t="s">
        <v>15</v>
      </c>
      <c r="T8" s="74" t="s">
        <v>18</v>
      </c>
    </row>
    <row r="9" spans="2:20" ht="12.75" thickBot="1" x14ac:dyDescent="0.25">
      <c r="B9" s="145">
        <f t="shared" si="3"/>
        <v>2031</v>
      </c>
      <c r="C9" s="146">
        <f t="shared" si="0"/>
        <v>24219890.702540755</v>
      </c>
      <c r="D9" s="147">
        <f t="shared" si="1"/>
        <v>15053850.654277146</v>
      </c>
      <c r="E9" s="148">
        <f t="shared" si="2"/>
        <v>9166040.0482636094</v>
      </c>
      <c r="F9" s="149">
        <f>E9*(1+Assumptions!$J$10)^-(B9-Assumptions!$J$9)</f>
        <v>4659549.9702132801</v>
      </c>
      <c r="I9" s="73" t="s">
        <v>3</v>
      </c>
      <c r="J9" s="153">
        <v>12</v>
      </c>
      <c r="K9" s="153">
        <v>7</v>
      </c>
      <c r="L9" s="153">
        <v>11</v>
      </c>
      <c r="M9" s="153">
        <v>5</v>
      </c>
      <c r="N9" s="153">
        <v>9</v>
      </c>
      <c r="O9" s="74">
        <f t="shared" si="4"/>
        <v>44</v>
      </c>
      <c r="Q9" s="79" t="s">
        <v>19</v>
      </c>
      <c r="R9" s="154">
        <v>1.6</v>
      </c>
      <c r="S9" s="154" t="s">
        <v>15</v>
      </c>
      <c r="T9" s="155" t="s">
        <v>20</v>
      </c>
    </row>
    <row r="10" spans="2:20" ht="12.75" thickBot="1" x14ac:dyDescent="0.25">
      <c r="B10" s="145">
        <f t="shared" si="3"/>
        <v>2032</v>
      </c>
      <c r="C10" s="146">
        <f t="shared" si="0"/>
        <v>24589606.220953584</v>
      </c>
      <c r="D10" s="147">
        <f t="shared" si="1"/>
        <v>15281932.168302298</v>
      </c>
      <c r="E10" s="148">
        <f t="shared" si="2"/>
        <v>9307674.0526512861</v>
      </c>
      <c r="F10" s="149">
        <f>E10*(1+Assumptions!$J$10)^-(B10-Assumptions!$J$9)</f>
        <v>4422008.8935382813</v>
      </c>
      <c r="I10" s="156" t="s">
        <v>4</v>
      </c>
      <c r="J10" s="157">
        <v>86</v>
      </c>
      <c r="K10" s="157">
        <v>65</v>
      </c>
      <c r="L10" s="157">
        <v>95</v>
      </c>
      <c r="M10" s="157">
        <v>55</v>
      </c>
      <c r="N10" s="157">
        <v>86</v>
      </c>
      <c r="O10" s="158">
        <f t="shared" si="4"/>
        <v>387</v>
      </c>
    </row>
    <row r="11" spans="2:20" ht="12.75" thickBot="1" x14ac:dyDescent="0.25">
      <c r="B11" s="145">
        <f t="shared" si="3"/>
        <v>2033</v>
      </c>
      <c r="C11" s="146">
        <f t="shared" si="0"/>
        <v>24959321.739366412</v>
      </c>
      <c r="D11" s="147">
        <f t="shared" si="1"/>
        <v>15510013.682327509</v>
      </c>
      <c r="E11" s="148">
        <f t="shared" si="2"/>
        <v>9449308.0570389032</v>
      </c>
      <c r="F11" s="149">
        <f>E11*(1+Assumptions!$J$10)^-(B11-Assumptions!$J$9)</f>
        <v>4195605.7838751087</v>
      </c>
      <c r="I11" s="121" t="s">
        <v>5</v>
      </c>
      <c r="J11" s="159">
        <f>SUM(J6:J10)</f>
        <v>118</v>
      </c>
      <c r="K11" s="159">
        <f t="shared" ref="K11:O11" si="5">SUM(K6:K10)</f>
        <v>94</v>
      </c>
      <c r="L11" s="159">
        <f>SUM(L6:L10)</f>
        <v>134</v>
      </c>
      <c r="M11" s="159">
        <f t="shared" si="5"/>
        <v>74</v>
      </c>
      <c r="N11" s="159">
        <f t="shared" si="5"/>
        <v>134</v>
      </c>
      <c r="O11" s="160">
        <f t="shared" si="5"/>
        <v>554</v>
      </c>
    </row>
    <row r="12" spans="2:20" x14ac:dyDescent="0.2">
      <c r="B12" s="145">
        <f t="shared" si="3"/>
        <v>2034</v>
      </c>
      <c r="C12" s="146">
        <f t="shared" si="0"/>
        <v>25329037.257779121</v>
      </c>
      <c r="D12" s="147">
        <f t="shared" si="1"/>
        <v>15738095.19635272</v>
      </c>
      <c r="E12" s="148">
        <f t="shared" si="2"/>
        <v>9590942.0614264011</v>
      </c>
      <c r="F12" s="149">
        <f>E12*(1+Assumptions!$J$10)^-(B12-Assumptions!$J$9)</f>
        <v>3979899.977250759</v>
      </c>
    </row>
    <row r="13" spans="2:20" ht="12.75" thickBot="1" x14ac:dyDescent="0.25">
      <c r="B13" s="145">
        <f t="shared" si="3"/>
        <v>2035</v>
      </c>
      <c r="C13" s="146">
        <f t="shared" si="0"/>
        <v>25698752.77619195</v>
      </c>
      <c r="D13" s="147">
        <f t="shared" si="1"/>
        <v>15966176.710377872</v>
      </c>
      <c r="E13" s="148">
        <f t="shared" si="2"/>
        <v>9732576.0658140779</v>
      </c>
      <c r="F13" s="149">
        <f>E13*(1+Assumptions!$J$10)^-(B13-Assumptions!$J$9)</f>
        <v>3774460.7978352662</v>
      </c>
      <c r="I13" s="64" t="s">
        <v>208</v>
      </c>
    </row>
    <row r="14" spans="2:20" x14ac:dyDescent="0.2">
      <c r="B14" s="145">
        <f t="shared" si="3"/>
        <v>2036</v>
      </c>
      <c r="C14" s="146">
        <f t="shared" si="0"/>
        <v>26068468.294604778</v>
      </c>
      <c r="D14" s="147">
        <f t="shared" si="1"/>
        <v>16194258.224403083</v>
      </c>
      <c r="E14" s="148">
        <f t="shared" si="2"/>
        <v>9874210.070201695</v>
      </c>
      <c r="F14" s="149">
        <f>E14*(1+Assumptions!$J$10)^-(B14-Assumptions!$J$9)</f>
        <v>3578868.1370571093</v>
      </c>
      <c r="I14" s="326" t="s">
        <v>9</v>
      </c>
      <c r="J14" s="355" t="s">
        <v>89</v>
      </c>
      <c r="K14" s="355" t="s">
        <v>90</v>
      </c>
      <c r="L14" s="355" t="s">
        <v>91</v>
      </c>
      <c r="M14" s="355" t="s">
        <v>92</v>
      </c>
      <c r="N14" s="355" t="s">
        <v>93</v>
      </c>
      <c r="O14" s="355" t="s">
        <v>94</v>
      </c>
      <c r="P14" s="355" t="s">
        <v>84</v>
      </c>
      <c r="Q14" s="355" t="s">
        <v>87</v>
      </c>
      <c r="R14" s="355" t="s">
        <v>88</v>
      </c>
      <c r="S14" s="328" t="s">
        <v>84</v>
      </c>
    </row>
    <row r="15" spans="2:20" x14ac:dyDescent="0.2">
      <c r="B15" s="145">
        <f t="shared" si="3"/>
        <v>2037</v>
      </c>
      <c r="C15" s="146">
        <f t="shared" si="0"/>
        <v>26438183.813017607</v>
      </c>
      <c r="D15" s="147">
        <f t="shared" si="1"/>
        <v>16422339.738428295</v>
      </c>
      <c r="E15" s="148">
        <f t="shared" si="2"/>
        <v>10015844.074589312</v>
      </c>
      <c r="F15" s="149">
        <f>E15*(1+Assumptions!$J$10)^-(B15-Assumptions!$J$9)</f>
        <v>3392712.9141994487</v>
      </c>
      <c r="H15" s="161"/>
      <c r="I15" s="327"/>
      <c r="J15" s="356"/>
      <c r="K15" s="356"/>
      <c r="L15" s="356"/>
      <c r="M15" s="356"/>
      <c r="N15" s="356"/>
      <c r="O15" s="356"/>
      <c r="P15" s="356"/>
      <c r="Q15" s="356"/>
      <c r="R15" s="356"/>
      <c r="S15" s="329"/>
    </row>
    <row r="16" spans="2:20" x14ac:dyDescent="0.2">
      <c r="B16" s="145">
        <f t="shared" si="3"/>
        <v>2038</v>
      </c>
      <c r="C16" s="146">
        <f t="shared" si="0"/>
        <v>26807899.331430316</v>
      </c>
      <c r="D16" s="147">
        <f t="shared" si="1"/>
        <v>16650421.252453446</v>
      </c>
      <c r="E16" s="148">
        <f t="shared" si="2"/>
        <v>10157478.07897687</v>
      </c>
      <c r="F16" s="149">
        <f>E16*(1+Assumptions!$J$10)^-(B16-Assumptions!$J$9)</f>
        <v>3215597.4315046631</v>
      </c>
      <c r="I16" s="73" t="s">
        <v>0</v>
      </c>
      <c r="J16" s="162">
        <f>SUM(J6:N6)/Assumptions!$G$26</f>
        <v>4.2911729145593862E-9</v>
      </c>
      <c r="K16" s="163">
        <f>R7*J16</f>
        <v>2.4459685612988499E-9</v>
      </c>
      <c r="L16" s="297">
        <f>Assumptions!$G$26*J16/($N$5-$J$5+1)</f>
        <v>1.1999999999999997</v>
      </c>
      <c r="M16" s="164">
        <f>Assumptions!$G$26*K16/($N$5-$J$5+1)</f>
        <v>0.68399999999999994</v>
      </c>
      <c r="N16" s="219">
        <f>20*L16</f>
        <v>23.999999999999993</v>
      </c>
      <c r="O16" s="165">
        <f>20*M16</f>
        <v>13.68</v>
      </c>
      <c r="P16" s="165">
        <f>N16-O16</f>
        <v>10.319999999999993</v>
      </c>
      <c r="Q16" s="166">
        <f>N16*Assumptions!F12</f>
        <v>283199999.99999994</v>
      </c>
      <c r="R16" s="166">
        <f>O16*Assumptions!F12</f>
        <v>161424000</v>
      </c>
      <c r="S16" s="81">
        <f>P16*Assumptions!F12</f>
        <v>121775999.99999993</v>
      </c>
    </row>
    <row r="17" spans="2:19" x14ac:dyDescent="0.2">
      <c r="B17" s="145">
        <f t="shared" si="3"/>
        <v>2039</v>
      </c>
      <c r="C17" s="146">
        <f t="shared" si="0"/>
        <v>27177614.849843144</v>
      </c>
      <c r="D17" s="147">
        <f t="shared" si="1"/>
        <v>16878502.766478658</v>
      </c>
      <c r="E17" s="148">
        <f t="shared" si="2"/>
        <v>10299112.083364487</v>
      </c>
      <c r="F17" s="149">
        <f>E17*(1+Assumptions!$J$10)^-(B17-Assumptions!$J$9)</f>
        <v>3047135.6356193121</v>
      </c>
      <c r="I17" s="73" t="s">
        <v>1</v>
      </c>
      <c r="J17" s="162">
        <f>SUM(J7:N7)/Assumptions!$G$26</f>
        <v>1.2158323257918263E-8</v>
      </c>
      <c r="K17" s="163">
        <f>J17*$R$8</f>
        <v>8.5108262805427831E-9</v>
      </c>
      <c r="L17" s="297">
        <f>Assumptions!$G$26*J17/($N$5-$J$5+1)</f>
        <v>3.4</v>
      </c>
      <c r="M17" s="164">
        <f>Assumptions!$G$26*K17/($N$5-$J$5+1)</f>
        <v>2.38</v>
      </c>
      <c r="N17" s="219">
        <f t="shared" ref="N17:N20" si="6">20*L17</f>
        <v>68</v>
      </c>
      <c r="O17" s="165">
        <f t="shared" ref="O17:O19" si="7">20*M17</f>
        <v>47.599999999999994</v>
      </c>
      <c r="P17" s="165">
        <f t="shared" ref="P17:P20" si="8">N17-O17</f>
        <v>20.400000000000006</v>
      </c>
      <c r="Q17" s="166">
        <f>N17*Assumptions!F13</f>
        <v>38372400</v>
      </c>
      <c r="R17" s="166">
        <f>O17*Assumptions!F13</f>
        <v>26860679.999999996</v>
      </c>
      <c r="S17" s="81">
        <f>P17*Assumptions!F13</f>
        <v>11511720.000000004</v>
      </c>
    </row>
    <row r="18" spans="2:19" x14ac:dyDescent="0.2">
      <c r="B18" s="145">
        <f t="shared" si="3"/>
        <v>2040</v>
      </c>
      <c r="C18" s="146">
        <f t="shared" si="0"/>
        <v>27547330.368255973</v>
      </c>
      <c r="D18" s="147">
        <f t="shared" si="1"/>
        <v>17106584.280503869</v>
      </c>
      <c r="E18" s="148">
        <f t="shared" si="2"/>
        <v>10440746.087752104</v>
      </c>
      <c r="F18" s="149">
        <f>E18*(1+Assumptions!$J$10)^-(B18-Assumptions!$J$9)</f>
        <v>2886953.2961137784</v>
      </c>
      <c r="I18" s="73" t="s">
        <v>2</v>
      </c>
      <c r="J18" s="162">
        <f>SUM(J8:N8)/Assumptions!$G$26</f>
        <v>7.1519548575989772E-8</v>
      </c>
      <c r="K18" s="163">
        <f>J18*$R$8</f>
        <v>5.006368400319284E-8</v>
      </c>
      <c r="L18" s="297">
        <f>Assumptions!$G$26*J18/($N$5-$J$5+1)</f>
        <v>20</v>
      </c>
      <c r="M18" s="164">
        <f>Assumptions!$G$26*K18/($N$5-$J$5+1)</f>
        <v>14</v>
      </c>
      <c r="N18" s="219">
        <f t="shared" si="6"/>
        <v>400</v>
      </c>
      <c r="O18" s="165">
        <f t="shared" si="7"/>
        <v>280</v>
      </c>
      <c r="P18" s="165">
        <f t="shared" si="8"/>
        <v>120</v>
      </c>
      <c r="Q18" s="166">
        <f>N18*Assumptions!F14</f>
        <v>61480000</v>
      </c>
      <c r="R18" s="166">
        <f>O18*Assumptions!F14</f>
        <v>43036000</v>
      </c>
      <c r="S18" s="81">
        <f>P18*Assumptions!F14</f>
        <v>18444000</v>
      </c>
    </row>
    <row r="19" spans="2:19" x14ac:dyDescent="0.2">
      <c r="B19" s="145">
        <f t="shared" si="3"/>
        <v>2041</v>
      </c>
      <c r="C19" s="146">
        <f t="shared" si="0"/>
        <v>27917045.886668801</v>
      </c>
      <c r="D19" s="147">
        <f t="shared" si="1"/>
        <v>17334665.794529021</v>
      </c>
      <c r="E19" s="148">
        <f t="shared" si="2"/>
        <v>10582380.092139781</v>
      </c>
      <c r="F19" s="149">
        <f>E19*(1+Assumptions!$J$10)^-(B19-Assumptions!$J$9)</f>
        <v>2734688.1108080982</v>
      </c>
      <c r="I19" s="73" t="s">
        <v>3</v>
      </c>
      <c r="J19" s="162">
        <f>SUM(J9:N9)/Assumptions!$G$26</f>
        <v>3.1468601373435502E-8</v>
      </c>
      <c r="K19" s="163">
        <f>J19*$R$8</f>
        <v>2.2028020961404852E-8</v>
      </c>
      <c r="L19" s="297">
        <f>Assumptions!$G$26*J19/($N$5-$J$5+1)</f>
        <v>8.8000000000000007</v>
      </c>
      <c r="M19" s="164">
        <f>Assumptions!$G$26*K19/($N$5-$J$5+1)</f>
        <v>6.16</v>
      </c>
      <c r="N19" s="219">
        <f t="shared" si="6"/>
        <v>176</v>
      </c>
      <c r="O19" s="165">
        <f t="shared" si="7"/>
        <v>123.2</v>
      </c>
      <c r="P19" s="165">
        <f t="shared" si="8"/>
        <v>52.8</v>
      </c>
      <c r="Q19" s="166">
        <f>N19*Assumptions!F15</f>
        <v>13816000</v>
      </c>
      <c r="R19" s="166">
        <f>O19*Assumptions!F15</f>
        <v>9671200</v>
      </c>
      <c r="S19" s="81">
        <f>P19*Assumptions!F15</f>
        <v>4144800</v>
      </c>
    </row>
    <row r="20" spans="2:19" ht="12.75" thickBot="1" x14ac:dyDescent="0.25">
      <c r="B20" s="145">
        <f t="shared" si="3"/>
        <v>2042</v>
      </c>
      <c r="C20" s="146">
        <f t="shared" si="0"/>
        <v>28286761.405081511</v>
      </c>
      <c r="D20" s="147">
        <f t="shared" si="1"/>
        <v>17562747.308554232</v>
      </c>
      <c r="E20" s="148">
        <f t="shared" si="2"/>
        <v>10724014.096527278</v>
      </c>
      <c r="F20" s="149">
        <f>E20*(1+Assumptions!$J$10)^-(B20-Assumptions!$J$9)</f>
        <v>2589989.7467163089</v>
      </c>
      <c r="I20" s="79" t="s">
        <v>4</v>
      </c>
      <c r="J20" s="167">
        <f>SUM(J10:N10)/Assumptions!$G$26</f>
        <v>2.7678065298908043E-7</v>
      </c>
      <c r="K20" s="168">
        <f>J20*$R$9</f>
        <v>4.4284904478252869E-7</v>
      </c>
      <c r="L20" s="298">
        <f>Assumptions!$G$26*J20/($N$5-$J$5+1)</f>
        <v>77.400000000000006</v>
      </c>
      <c r="M20" s="169">
        <f>Assumptions!$G$26*K20/($N$5-$J$5+1)</f>
        <v>123.84</v>
      </c>
      <c r="N20" s="220">
        <f t="shared" si="6"/>
        <v>1548</v>
      </c>
      <c r="O20" s="170">
        <f>20*M20</f>
        <v>2476.8000000000002</v>
      </c>
      <c r="P20" s="170">
        <f t="shared" si="8"/>
        <v>-928.80000000000018</v>
      </c>
      <c r="Q20" s="171">
        <f>N20*Assumptions!F16</f>
        <v>6192000</v>
      </c>
      <c r="R20" s="171">
        <f>O20*Assumptions!F16</f>
        <v>9907200</v>
      </c>
      <c r="S20" s="82">
        <f>P20*Assumptions!F16</f>
        <v>-3715200.0000000009</v>
      </c>
    </row>
    <row r="21" spans="2:19" ht="12.75" thickBot="1" x14ac:dyDescent="0.25">
      <c r="B21" s="145">
        <f t="shared" si="3"/>
        <v>2043</v>
      </c>
      <c r="C21" s="146">
        <f t="shared" si="0"/>
        <v>28656476.923494339</v>
      </c>
      <c r="D21" s="147">
        <f t="shared" si="1"/>
        <v>17790828.822579443</v>
      </c>
      <c r="E21" s="148">
        <f t="shared" si="2"/>
        <v>10865648.100914896</v>
      </c>
      <c r="F21" s="149">
        <f>E21*(1+Assumptions!$J$10)^-(B21-Assumptions!$J$9)</f>
        <v>2452519.8245827877</v>
      </c>
      <c r="I21" s="172" t="s">
        <v>5</v>
      </c>
      <c r="J21" s="173"/>
      <c r="K21" s="173"/>
      <c r="L21" s="174">
        <f>SUM(L16:L20)</f>
        <v>110.80000000000001</v>
      </c>
      <c r="M21" s="174">
        <f>SUM(M16:M20)</f>
        <v>147.06399999999999</v>
      </c>
      <c r="N21" s="296">
        <f>SUM(N16:N20)</f>
        <v>2216</v>
      </c>
      <c r="O21" s="175">
        <f t="shared" ref="O21" si="9">SUM(O16:O20)</f>
        <v>2941.28</v>
      </c>
      <c r="P21" s="175">
        <f>SUM(P16:P20)</f>
        <v>-725.2800000000002</v>
      </c>
      <c r="Q21" s="176">
        <f>SUM(Q16:Q20)</f>
        <v>403060399.99999994</v>
      </c>
      <c r="R21" s="176">
        <f>SUM(R16:R20)</f>
        <v>250899080</v>
      </c>
      <c r="S21" s="177">
        <f>SUM(S16:S20)</f>
        <v>152161319.99999994</v>
      </c>
    </row>
    <row r="22" spans="2:19" x14ac:dyDescent="0.2">
      <c r="B22" s="145">
        <f t="shared" si="3"/>
        <v>2044</v>
      </c>
      <c r="C22" s="146">
        <f t="shared" si="0"/>
        <v>29026192.441907167</v>
      </c>
      <c r="D22" s="147">
        <f t="shared" si="1"/>
        <v>18018910.336604595</v>
      </c>
      <c r="E22" s="148">
        <f t="shared" si="2"/>
        <v>11007282.105302572</v>
      </c>
      <c r="F22" s="149">
        <f>E22*(1+Assumptions!$J$10)^-(B22-Assumptions!$J$9)</f>
        <v>2321951.8542151023</v>
      </c>
    </row>
    <row r="23" spans="2:19" ht="12.75" thickBot="1" x14ac:dyDescent="0.25">
      <c r="B23" s="145">
        <f t="shared" si="3"/>
        <v>2045</v>
      </c>
      <c r="C23" s="146">
        <f t="shared" si="0"/>
        <v>29395907.960319996</v>
      </c>
      <c r="D23" s="147">
        <f t="shared" si="1"/>
        <v>18246991.850629807</v>
      </c>
      <c r="E23" s="148">
        <f t="shared" si="2"/>
        <v>11148916.109690189</v>
      </c>
      <c r="F23" s="149">
        <f>E23*(1+Assumptions!$J$10)^-(B23-Assumptions!$J$9)</f>
        <v>2197971.1271181051</v>
      </c>
      <c r="I23" s="64" t="s">
        <v>207</v>
      </c>
    </row>
    <row r="24" spans="2:19" ht="12.75" thickBot="1" x14ac:dyDescent="0.25">
      <c r="B24" s="145">
        <f t="shared" si="3"/>
        <v>2046</v>
      </c>
      <c r="C24" s="146">
        <f t="shared" si="0"/>
        <v>29765623.478732705</v>
      </c>
      <c r="D24" s="147">
        <f t="shared" si="1"/>
        <v>18475073.364655018</v>
      </c>
      <c r="E24" s="148">
        <f t="shared" si="2"/>
        <v>11290550.114077687</v>
      </c>
      <c r="F24" s="149">
        <f>E24*(1+Assumptions!$J$10)^-(B24-Assumptions!$J$9)</f>
        <v>2080274.572292442</v>
      </c>
      <c r="I24" s="41" t="s">
        <v>37</v>
      </c>
      <c r="J24" s="42">
        <v>2020</v>
      </c>
      <c r="K24" s="43">
        <v>2046</v>
      </c>
      <c r="L24" s="43" t="s">
        <v>6</v>
      </c>
    </row>
    <row r="25" spans="2:19" ht="12.75" thickBot="1" x14ac:dyDescent="0.25">
      <c r="B25" s="178" t="s">
        <v>5</v>
      </c>
      <c r="C25" s="179">
        <f>SUM(C5:C24)</f>
        <v>525066521.07622325</v>
      </c>
      <c r="D25" s="179">
        <f>SUM(D5:D24)</f>
        <v>326165979.6283136</v>
      </c>
      <c r="E25" s="180">
        <f>SUM(E5:E24)</f>
        <v>198900541.44790965</v>
      </c>
      <c r="F25" s="181">
        <f>SUM(F5:F24)</f>
        <v>72782475.322423503</v>
      </c>
      <c r="I25" s="57" t="s">
        <v>36</v>
      </c>
      <c r="J25" s="182">
        <f>SUMPRODUCT(L16:L20,Assumptions!$F$12:$F$16)</f>
        <v>20153019.999999996</v>
      </c>
      <c r="K25" s="144">
        <f>EXP($L$25*($K$24-$J$24))*J25</f>
        <v>29765623.478732772</v>
      </c>
      <c r="L25" s="315">
        <f>Assumptions!J26</f>
        <v>1.4999999999999999E-2</v>
      </c>
    </row>
    <row r="26" spans="2:19" ht="12.75" thickBot="1" x14ac:dyDescent="0.25">
      <c r="I26" s="79" t="s">
        <v>21</v>
      </c>
      <c r="J26" s="171">
        <f>SUMPRODUCT(M16:M20,Assumptions!$F$12:$F$16)</f>
        <v>12544954</v>
      </c>
      <c r="K26" s="183">
        <f>(1+$L$25)^($K$24-$J$24)*J26</f>
        <v>18475073.364654981</v>
      </c>
      <c r="L26" s="95">
        <f>Assumptions!J26</f>
        <v>1.4999999999999999E-2</v>
      </c>
    </row>
    <row r="29" spans="2:19" x14ac:dyDescent="0.2">
      <c r="B29" s="64" t="s">
        <v>159</v>
      </c>
    </row>
    <row r="30" spans="2:19" ht="12" customHeight="1" x14ac:dyDescent="0.2">
      <c r="B30" s="189" t="s">
        <v>160</v>
      </c>
      <c r="C30" s="316" t="s">
        <v>269</v>
      </c>
      <c r="D30" s="316"/>
      <c r="E30" s="316"/>
      <c r="F30" s="316"/>
      <c r="G30" s="316"/>
      <c r="H30" s="316"/>
    </row>
    <row r="31" spans="2:19" x14ac:dyDescent="0.2">
      <c r="C31" s="316"/>
      <c r="D31" s="316"/>
      <c r="E31" s="316"/>
      <c r="F31" s="316"/>
      <c r="G31" s="316"/>
      <c r="H31" s="316"/>
    </row>
    <row r="32" spans="2:19" x14ac:dyDescent="0.2">
      <c r="C32" s="316"/>
      <c r="D32" s="316"/>
      <c r="E32" s="316"/>
      <c r="F32" s="316"/>
      <c r="G32" s="316"/>
      <c r="H32" s="316"/>
    </row>
    <row r="33" spans="3:8" x14ac:dyDescent="0.2">
      <c r="C33" s="316"/>
      <c r="D33" s="316"/>
      <c r="E33" s="316"/>
      <c r="F33" s="316"/>
      <c r="G33" s="316"/>
      <c r="H33" s="316"/>
    </row>
    <row r="34" spans="3:8" x14ac:dyDescent="0.2">
      <c r="C34" s="316"/>
      <c r="D34" s="316"/>
      <c r="E34" s="316"/>
      <c r="F34" s="316"/>
      <c r="G34" s="316"/>
      <c r="H34" s="316"/>
    </row>
    <row r="35" spans="3:8" x14ac:dyDescent="0.2">
      <c r="C35" s="316"/>
      <c r="D35" s="316"/>
      <c r="E35" s="316"/>
      <c r="F35" s="316"/>
      <c r="G35" s="316"/>
      <c r="H35" s="316"/>
    </row>
    <row r="36" spans="3:8" x14ac:dyDescent="0.2">
      <c r="C36" s="316"/>
      <c r="D36" s="316"/>
      <c r="E36" s="316"/>
      <c r="F36" s="316"/>
      <c r="G36" s="316"/>
      <c r="H36" s="316"/>
    </row>
  </sheetData>
  <mergeCells count="18">
    <mergeCell ref="C30:H36"/>
    <mergeCell ref="Q5:T5"/>
    <mergeCell ref="I14:I15"/>
    <mergeCell ref="J14:J15"/>
    <mergeCell ref="K14:K15"/>
    <mergeCell ref="L14:L15"/>
    <mergeCell ref="R14:R15"/>
    <mergeCell ref="S14:S15"/>
    <mergeCell ref="M14:M15"/>
    <mergeCell ref="N14:N15"/>
    <mergeCell ref="O14:O15"/>
    <mergeCell ref="P14:P15"/>
    <mergeCell ref="Q14:Q15"/>
    <mergeCell ref="B3:B4"/>
    <mergeCell ref="C3:C4"/>
    <mergeCell ref="D3:D4"/>
    <mergeCell ref="E3:E4"/>
    <mergeCell ref="F3:F4"/>
  </mergeCells>
  <pageMargins left="0.7" right="0.7" top="0.75" bottom="0.75" header="0.3" footer="0.3"/>
  <pageSetup scale="3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E6AE2-CA88-4EF7-8E6D-16AAE8E3FB53}">
  <sheetPr>
    <pageSetUpPr fitToPage="1"/>
  </sheetPr>
  <dimension ref="B2:AF51"/>
  <sheetViews>
    <sheetView view="pageBreakPreview" zoomScaleNormal="70" zoomScaleSheetLayoutView="100" workbookViewId="0"/>
  </sheetViews>
  <sheetFormatPr defaultRowHeight="12" x14ac:dyDescent="0.2"/>
  <cols>
    <col min="1" max="2" width="9.140625" style="35"/>
    <col min="3" max="6" width="9.28515625" style="35" customWidth="1"/>
    <col min="7" max="7" width="16.28515625" style="35" customWidth="1"/>
    <col min="8" max="8" width="5.140625" style="35" customWidth="1"/>
    <col min="9" max="9" width="16" style="35" customWidth="1"/>
    <col min="10" max="10" width="17.85546875" style="35" customWidth="1"/>
    <col min="11" max="11" width="13.85546875" style="35" bestFit="1" customWidth="1"/>
    <col min="12" max="12" width="13.42578125" style="35" bestFit="1" customWidth="1"/>
    <col min="13" max="13" width="10.85546875" style="35" bestFit="1" customWidth="1"/>
    <col min="14" max="14" width="10" style="35" bestFit="1" customWidth="1"/>
    <col min="15" max="16" width="3.42578125" style="35" customWidth="1"/>
    <col min="17" max="17" width="15.28515625" style="35" bestFit="1" customWidth="1"/>
    <col min="18" max="18" width="9.140625" style="35"/>
    <col min="19" max="19" width="4.42578125" style="35" bestFit="1" customWidth="1"/>
    <col min="20" max="20" width="1.85546875" style="35" bestFit="1" customWidth="1"/>
    <col min="21" max="22" width="2.7109375" style="35" bestFit="1" customWidth="1"/>
    <col min="23" max="23" width="16.140625" style="35" bestFit="1" customWidth="1"/>
    <col min="24" max="25" width="10.28515625" style="35" bestFit="1" customWidth="1"/>
    <col min="26" max="26" width="10.42578125" style="35" bestFit="1" customWidth="1"/>
    <col min="27" max="27" width="15.42578125" style="35" bestFit="1" customWidth="1"/>
    <col min="28" max="28" width="16.140625" style="35" bestFit="1" customWidth="1"/>
    <col min="29" max="30" width="10.28515625" style="35" bestFit="1" customWidth="1"/>
    <col min="31" max="31" width="10.42578125" style="35" bestFit="1" customWidth="1"/>
    <col min="32" max="32" width="15.42578125" style="35" bestFit="1" customWidth="1"/>
    <col min="33" max="16384" width="9.140625" style="35"/>
  </cols>
  <sheetData>
    <row r="2" spans="2:32" ht="12.75" thickBot="1" x14ac:dyDescent="0.25">
      <c r="B2" s="218" t="s">
        <v>286</v>
      </c>
      <c r="Q2" s="64" t="s">
        <v>220</v>
      </c>
    </row>
    <row r="3" spans="2:32" ht="12.75" thickBot="1" x14ac:dyDescent="0.25">
      <c r="B3" s="326" t="s">
        <v>28</v>
      </c>
      <c r="C3" s="355" t="s">
        <v>36</v>
      </c>
      <c r="D3" s="355" t="s">
        <v>21</v>
      </c>
      <c r="E3" s="355" t="s">
        <v>80</v>
      </c>
      <c r="F3" s="341" t="s">
        <v>29</v>
      </c>
      <c r="Q3" s="357" t="s">
        <v>183</v>
      </c>
      <c r="R3" s="358"/>
      <c r="S3" s="358"/>
      <c r="T3" s="358"/>
      <c r="U3" s="358"/>
      <c r="V3" s="358"/>
      <c r="W3" s="358"/>
      <c r="X3" s="358"/>
      <c r="Y3" s="358"/>
      <c r="Z3" s="358"/>
      <c r="AA3" s="358"/>
      <c r="AB3" s="358"/>
      <c r="AC3" s="358"/>
      <c r="AD3" s="358"/>
      <c r="AE3" s="358"/>
      <c r="AF3" s="359"/>
    </row>
    <row r="4" spans="2:32" ht="12.75" thickBot="1" x14ac:dyDescent="0.25">
      <c r="B4" s="335"/>
      <c r="C4" s="363"/>
      <c r="D4" s="363"/>
      <c r="E4" s="363"/>
      <c r="F4" s="342"/>
      <c r="I4" s="64" t="s">
        <v>214</v>
      </c>
      <c r="Q4" s="360" t="s">
        <v>130</v>
      </c>
      <c r="R4" s="361"/>
      <c r="S4" s="361"/>
      <c r="T4" s="361"/>
      <c r="U4" s="361"/>
      <c r="V4" s="362"/>
      <c r="W4" s="360" t="s">
        <v>131</v>
      </c>
      <c r="X4" s="361"/>
      <c r="Y4" s="361"/>
      <c r="Z4" s="361"/>
      <c r="AA4" s="362"/>
      <c r="AB4" s="360" t="s">
        <v>132</v>
      </c>
      <c r="AC4" s="361"/>
      <c r="AD4" s="361"/>
      <c r="AE4" s="361"/>
      <c r="AF4" s="362"/>
    </row>
    <row r="5" spans="2:32" ht="12.75" thickBot="1" x14ac:dyDescent="0.25">
      <c r="B5" s="292">
        <f>Assumptions!J8+1</f>
        <v>2027</v>
      </c>
      <c r="C5" s="182">
        <f>SUM($J$24:$J$25)*(1+Assumptions!$J$26)^(B5-$B$5)</f>
        <v>35840.988398570364</v>
      </c>
      <c r="D5" s="182">
        <f>SUM($K$24:$K$25)*(1+Assumptions!$J$26)^(B5-$B$5)</f>
        <v>19815.931085748038</v>
      </c>
      <c r="E5" s="266">
        <f>C5-D5</f>
        <v>16025.057312822326</v>
      </c>
      <c r="F5" s="250">
        <f>E5*(1.07)^-(B5-2021)</f>
        <v>10678.172326613096</v>
      </c>
      <c r="I5" s="46" t="str" cm="1">
        <f t="array" ref="I5:I7">_xlfn.UNIQUE('Travel Time'!W5:W51)</f>
        <v>Incident Event Type</v>
      </c>
      <c r="J5" s="47" t="s">
        <v>36</v>
      </c>
      <c r="K5" s="47" t="s">
        <v>21</v>
      </c>
      <c r="L5" s="47" t="s">
        <v>127</v>
      </c>
      <c r="M5" s="47" t="s">
        <v>126</v>
      </c>
      <c r="N5" s="60" t="s">
        <v>125</v>
      </c>
      <c r="Q5" s="57" t="s">
        <v>108</v>
      </c>
      <c r="R5" s="58"/>
      <c r="S5" s="58">
        <v>2640</v>
      </c>
      <c r="T5" s="58">
        <v>2</v>
      </c>
      <c r="U5" s="58">
        <v>47</v>
      </c>
      <c r="V5" s="59">
        <v>47</v>
      </c>
      <c r="W5" s="230" t="s">
        <v>113</v>
      </c>
      <c r="X5" s="151" t="s">
        <v>124</v>
      </c>
      <c r="Y5" s="151" t="s">
        <v>123</v>
      </c>
      <c r="Z5" s="151" t="s">
        <v>122</v>
      </c>
      <c r="AA5" s="231" t="s">
        <v>121</v>
      </c>
      <c r="AB5" s="150" t="s">
        <v>113</v>
      </c>
      <c r="AC5" s="151" t="s">
        <v>124</v>
      </c>
      <c r="AD5" s="151" t="s">
        <v>123</v>
      </c>
      <c r="AE5" s="151" t="s">
        <v>122</v>
      </c>
      <c r="AF5" s="152" t="s">
        <v>121</v>
      </c>
    </row>
    <row r="6" spans="2:32" x14ac:dyDescent="0.2">
      <c r="B6" s="75">
        <f t="shared" ref="B6:B24" si="0">B5+1</f>
        <v>2028</v>
      </c>
      <c r="C6" s="166">
        <f>SUM($J$24:$J$25)*(1+Assumptions!$J$26)^(B6-$B$5)</f>
        <v>36378.603224548919</v>
      </c>
      <c r="D6" s="166">
        <f>SUM($K$24:$K$25)*(1+Assumptions!$J$26)^(B6-$B$5)</f>
        <v>20113.170052034257</v>
      </c>
      <c r="E6" s="232">
        <f t="shared" ref="E6:E24" si="1">C6-D6</f>
        <v>16265.433172514662</v>
      </c>
      <c r="F6" s="81">
        <f t="shared" ref="F6:F24" si="2">E6*(1.07)^-(B6-2021)</f>
        <v>10129.294309824572</v>
      </c>
      <c r="I6" s="150" t="str">
        <v>ShoulderClosed</v>
      </c>
      <c r="J6" s="151">
        <f>COUNTIF(W$5:W$54,I6)</f>
        <v>39</v>
      </c>
      <c r="K6" s="151">
        <f>COUNTIF(AB$5:AB$54,I6)</f>
        <v>21</v>
      </c>
      <c r="L6" s="233">
        <f>J6/Assumptions!$J$21</f>
        <v>2.7295864262990457</v>
      </c>
      <c r="M6" s="233">
        <f>K6/Assumptions!$J$21</f>
        <v>1.469777306468717</v>
      </c>
      <c r="N6" s="67">
        <f>L6/Assumptions!$J$21</f>
        <v>0.19104210406758965</v>
      </c>
      <c r="Q6" s="73" t="s">
        <v>110</v>
      </c>
      <c r="R6" s="153"/>
      <c r="S6" s="153">
        <v>1000</v>
      </c>
      <c r="T6" s="153">
        <v>2</v>
      </c>
      <c r="U6" s="153">
        <v>47</v>
      </c>
      <c r="V6" s="74">
        <v>47</v>
      </c>
      <c r="W6" s="234" t="s">
        <v>106</v>
      </c>
      <c r="X6" s="153">
        <v>6</v>
      </c>
      <c r="Y6" s="153">
        <v>13</v>
      </c>
      <c r="Z6" s="153">
        <v>62</v>
      </c>
      <c r="AA6" s="235">
        <v>2</v>
      </c>
      <c r="AB6" s="73" t="s">
        <v>106</v>
      </c>
      <c r="AC6" s="153">
        <v>6</v>
      </c>
      <c r="AD6" s="153">
        <v>13</v>
      </c>
      <c r="AE6" s="153">
        <v>62</v>
      </c>
      <c r="AF6" s="74">
        <v>2</v>
      </c>
    </row>
    <row r="7" spans="2:32" x14ac:dyDescent="0.2">
      <c r="B7" s="75">
        <f t="shared" si="0"/>
        <v>2029</v>
      </c>
      <c r="C7" s="166">
        <f>SUM($J$24:$J$25)*(1+Assumptions!$J$26)^(B7-$B$5)</f>
        <v>36924.282272917146</v>
      </c>
      <c r="D7" s="166">
        <f>SUM($K$24:$K$25)*(1+Assumptions!$J$26)^(B7-$B$5)</f>
        <v>20414.867602814767</v>
      </c>
      <c r="E7" s="232">
        <f t="shared" si="1"/>
        <v>16509.414670102378</v>
      </c>
      <c r="F7" s="81">
        <f t="shared" si="2"/>
        <v>9608.6296490391942</v>
      </c>
      <c r="I7" s="73" t="str">
        <v>OneLaneClosed</v>
      </c>
      <c r="J7" s="153">
        <f>COUNTIF(W$5:W$54,I7)</f>
        <v>7</v>
      </c>
      <c r="K7" s="153">
        <f>COUNTIF(AB$5:AB$54,I7)</f>
        <v>4</v>
      </c>
      <c r="L7" s="236">
        <f>J7/Assumptions!$J$21</f>
        <v>0.48992576882290567</v>
      </c>
      <c r="M7" s="236">
        <f>K7/Assumptions!$J$21</f>
        <v>0.27995758218451749</v>
      </c>
      <c r="N7" s="237">
        <f>L7/Assumptions!$J$21</f>
        <v>3.4289608422387888E-2</v>
      </c>
      <c r="Q7" s="73" t="s">
        <v>108</v>
      </c>
      <c r="R7" s="153"/>
      <c r="S7" s="153">
        <v>2640</v>
      </c>
      <c r="T7" s="153">
        <v>2</v>
      </c>
      <c r="U7" s="153">
        <v>47</v>
      </c>
      <c r="V7" s="74">
        <v>47</v>
      </c>
      <c r="W7" s="234" t="s">
        <v>106</v>
      </c>
      <c r="X7" s="153">
        <v>3</v>
      </c>
      <c r="Y7" s="153">
        <v>1</v>
      </c>
      <c r="Z7" s="153">
        <v>78</v>
      </c>
      <c r="AA7" s="235">
        <v>2</v>
      </c>
      <c r="AB7" s="73" t="s">
        <v>106</v>
      </c>
      <c r="AC7" s="153">
        <v>3</v>
      </c>
      <c r="AD7" s="153">
        <v>1</v>
      </c>
      <c r="AE7" s="153">
        <v>78</v>
      </c>
      <c r="AF7" s="74">
        <v>2</v>
      </c>
    </row>
    <row r="8" spans="2:32" ht="12.75" thickBot="1" x14ac:dyDescent="0.25">
      <c r="B8" s="75">
        <f t="shared" si="0"/>
        <v>2030</v>
      </c>
      <c r="C8" s="166">
        <f>SUM($J$24:$J$25)*(1+Assumptions!$J$26)^(B8-$B$5)</f>
        <v>37478.146507010897</v>
      </c>
      <c r="D8" s="166">
        <f>SUM($K$24:$K$25)*(1+Assumptions!$J$26)^(B8-$B$5)</f>
        <v>20721.090616856985</v>
      </c>
      <c r="E8" s="232">
        <f t="shared" si="1"/>
        <v>16757.055890153912</v>
      </c>
      <c r="F8" s="81">
        <f t="shared" si="2"/>
        <v>9114.728125023159</v>
      </c>
      <c r="I8" s="79" t="s">
        <v>5</v>
      </c>
      <c r="J8" s="154">
        <f>SUM(J6:J7)</f>
        <v>46</v>
      </c>
      <c r="K8" s="154">
        <f>SUM(K6:K7)</f>
        <v>25</v>
      </c>
      <c r="L8" s="238">
        <f>J8/Assumptions!$J$21</f>
        <v>3.2195121951219514</v>
      </c>
      <c r="M8" s="238">
        <f>K8/Assumptions!$J$21</f>
        <v>1.7497348886532345</v>
      </c>
      <c r="N8" s="72">
        <f>L8/Assumptions!$J$21</f>
        <v>0.22533171248997752</v>
      </c>
      <c r="Q8" s="73" t="s">
        <v>109</v>
      </c>
      <c r="R8" s="153"/>
      <c r="S8" s="153">
        <v>1000</v>
      </c>
      <c r="T8" s="153">
        <v>2</v>
      </c>
      <c r="U8" s="153">
        <v>47</v>
      </c>
      <c r="V8" s="74">
        <v>47</v>
      </c>
      <c r="W8" s="234" t="s">
        <v>107</v>
      </c>
      <c r="X8" s="153">
        <v>8</v>
      </c>
      <c r="Y8" s="153">
        <v>26</v>
      </c>
      <c r="Z8" s="153">
        <v>63</v>
      </c>
      <c r="AA8" s="235">
        <v>2</v>
      </c>
      <c r="AB8" s="73" t="s">
        <v>107</v>
      </c>
      <c r="AC8" s="153">
        <v>11</v>
      </c>
      <c r="AD8" s="153">
        <v>25</v>
      </c>
      <c r="AE8" s="153">
        <v>16</v>
      </c>
      <c r="AF8" s="74">
        <v>2</v>
      </c>
    </row>
    <row r="9" spans="2:32" x14ac:dyDescent="0.2">
      <c r="B9" s="75">
        <f t="shared" si="0"/>
        <v>2031</v>
      </c>
      <c r="C9" s="166">
        <f>SUM($J$24:$J$25)*(1+Assumptions!$J$26)^(B9-$B$5)</f>
        <v>38040.318704616053</v>
      </c>
      <c r="D9" s="166">
        <f>SUM($K$24:$K$25)*(1+Assumptions!$J$26)^(B9-$B$5)</f>
        <v>21031.906976109836</v>
      </c>
      <c r="E9" s="232">
        <f t="shared" si="1"/>
        <v>17008.411728506217</v>
      </c>
      <c r="F9" s="81">
        <f t="shared" si="2"/>
        <v>8646.2140625219672</v>
      </c>
      <c r="Q9" s="73" t="s">
        <v>108</v>
      </c>
      <c r="R9" s="153"/>
      <c r="S9" s="153">
        <v>2640</v>
      </c>
      <c r="T9" s="153">
        <v>2</v>
      </c>
      <c r="U9" s="153">
        <v>47</v>
      </c>
      <c r="V9" s="74">
        <v>47</v>
      </c>
      <c r="W9" s="234" t="s">
        <v>106</v>
      </c>
      <c r="X9" s="153">
        <v>11</v>
      </c>
      <c r="Y9" s="153">
        <v>25</v>
      </c>
      <c r="Z9" s="153">
        <v>16</v>
      </c>
      <c r="AA9" s="235">
        <v>2</v>
      </c>
      <c r="AB9" s="73" t="s">
        <v>106</v>
      </c>
      <c r="AC9" s="153">
        <v>15</v>
      </c>
      <c r="AD9" s="153">
        <v>9</v>
      </c>
      <c r="AE9" s="153">
        <v>49</v>
      </c>
      <c r="AF9" s="74">
        <v>2</v>
      </c>
    </row>
    <row r="10" spans="2:32" x14ac:dyDescent="0.2">
      <c r="B10" s="75">
        <f t="shared" si="0"/>
        <v>2032</v>
      </c>
      <c r="C10" s="166">
        <f>SUM($J$24:$J$25)*(1+Assumptions!$J$26)^(B10-$B$5)</f>
        <v>38610.923485185289</v>
      </c>
      <c r="D10" s="166">
        <f>SUM($K$24:$K$25)*(1+Assumptions!$J$26)^(B10-$B$5)</f>
        <v>21347.385580751481</v>
      </c>
      <c r="E10" s="232">
        <f t="shared" si="1"/>
        <v>17263.537904433808</v>
      </c>
      <c r="F10" s="81">
        <f t="shared" si="2"/>
        <v>8201.7824985605548</v>
      </c>
      <c r="L10" s="78"/>
      <c r="M10" s="78"/>
      <c r="N10" s="78"/>
      <c r="Q10" s="73" t="s">
        <v>110</v>
      </c>
      <c r="R10" s="153"/>
      <c r="S10" s="153">
        <v>1000</v>
      </c>
      <c r="T10" s="153">
        <v>2</v>
      </c>
      <c r="U10" s="153">
        <v>47</v>
      </c>
      <c r="V10" s="74">
        <v>47</v>
      </c>
      <c r="W10" s="234" t="s">
        <v>106</v>
      </c>
      <c r="X10" s="153">
        <v>15</v>
      </c>
      <c r="Y10" s="153">
        <v>9</v>
      </c>
      <c r="Z10" s="153">
        <v>49</v>
      </c>
      <c r="AA10" s="235">
        <v>2</v>
      </c>
      <c r="AB10" s="73" t="s">
        <v>106</v>
      </c>
      <c r="AC10" s="153">
        <v>25</v>
      </c>
      <c r="AD10" s="153">
        <v>37</v>
      </c>
      <c r="AE10" s="153">
        <v>66</v>
      </c>
      <c r="AF10" s="74">
        <v>2</v>
      </c>
    </row>
    <row r="11" spans="2:32" ht="12.75" thickBot="1" x14ac:dyDescent="0.25">
      <c r="B11" s="75">
        <f t="shared" si="0"/>
        <v>2033</v>
      </c>
      <c r="C11" s="166">
        <f>SUM($J$24:$J$25)*(1+Assumptions!$J$26)^(B11-$B$5)</f>
        <v>39190.087337463061</v>
      </c>
      <c r="D11" s="166">
        <f>SUM($K$24:$K$25)*(1+Assumptions!$J$26)^(B11-$B$5)</f>
        <v>21667.596364462752</v>
      </c>
      <c r="E11" s="232">
        <f t="shared" si="1"/>
        <v>17522.490973000309</v>
      </c>
      <c r="F11" s="81">
        <f t="shared" si="2"/>
        <v>7780.1955476999647</v>
      </c>
      <c r="I11" s="64" t="s">
        <v>217</v>
      </c>
      <c r="Q11" s="73" t="s">
        <v>108</v>
      </c>
      <c r="R11" s="153"/>
      <c r="S11" s="153">
        <v>2640</v>
      </c>
      <c r="T11" s="153">
        <v>2</v>
      </c>
      <c r="U11" s="153">
        <v>47</v>
      </c>
      <c r="V11" s="74">
        <v>47</v>
      </c>
      <c r="W11" s="234" t="s">
        <v>106</v>
      </c>
      <c r="X11" s="153">
        <v>14</v>
      </c>
      <c r="Y11" s="153">
        <v>21</v>
      </c>
      <c r="Z11" s="153">
        <v>10</v>
      </c>
      <c r="AA11" s="235">
        <v>2</v>
      </c>
      <c r="AB11" s="73" t="s">
        <v>106</v>
      </c>
      <c r="AC11" s="153">
        <v>27</v>
      </c>
      <c r="AD11" s="153">
        <v>18</v>
      </c>
      <c r="AE11" s="153">
        <v>20</v>
      </c>
      <c r="AF11" s="74">
        <v>2</v>
      </c>
    </row>
    <row r="12" spans="2:32" ht="12.75" thickBot="1" x14ac:dyDescent="0.25">
      <c r="B12" s="75">
        <f t="shared" si="0"/>
        <v>2034</v>
      </c>
      <c r="C12" s="166">
        <f>SUM($J$24:$J$25)*(1+Assumptions!$J$26)^(B12-$B$5)</f>
        <v>39777.938647524999</v>
      </c>
      <c r="D12" s="166">
        <f>SUM($K$24:$K$25)*(1+Assumptions!$J$26)^(B12-$B$5)</f>
        <v>21992.610309929689</v>
      </c>
      <c r="E12" s="232">
        <f t="shared" si="1"/>
        <v>17785.328337595311</v>
      </c>
      <c r="F12" s="81">
        <f t="shared" si="2"/>
        <v>7380.2789541266002</v>
      </c>
      <c r="I12" s="46" t="s">
        <v>113</v>
      </c>
      <c r="J12" s="47" t="s">
        <v>116</v>
      </c>
      <c r="K12" s="60" t="s">
        <v>115</v>
      </c>
      <c r="Q12" s="73" t="s">
        <v>109</v>
      </c>
      <c r="R12" s="153"/>
      <c r="S12" s="153">
        <v>1000</v>
      </c>
      <c r="T12" s="153">
        <v>2</v>
      </c>
      <c r="U12" s="153">
        <v>47</v>
      </c>
      <c r="V12" s="74">
        <v>47</v>
      </c>
      <c r="W12" s="234" t="s">
        <v>106</v>
      </c>
      <c r="X12" s="153">
        <v>25</v>
      </c>
      <c r="Y12" s="153">
        <v>37</v>
      </c>
      <c r="Z12" s="153">
        <v>66</v>
      </c>
      <c r="AA12" s="235">
        <v>2</v>
      </c>
      <c r="AB12" s="73" t="s">
        <v>106</v>
      </c>
      <c r="AC12" s="153">
        <v>29</v>
      </c>
      <c r="AD12" s="153">
        <v>8</v>
      </c>
      <c r="AE12" s="153">
        <v>20</v>
      </c>
      <c r="AF12" s="74">
        <v>2</v>
      </c>
    </row>
    <row r="13" spans="2:32" x14ac:dyDescent="0.2">
      <c r="B13" s="75">
        <f t="shared" si="0"/>
        <v>2035</v>
      </c>
      <c r="C13" s="166">
        <f>SUM($J$24:$J$25)*(1+Assumptions!$J$26)^(B13-$B$5)</f>
        <v>40374.607727237875</v>
      </c>
      <c r="D13" s="166">
        <f>SUM($K$24:$K$25)*(1+Assumptions!$J$26)^(B13-$B$5)</f>
        <v>22322.499464578632</v>
      </c>
      <c r="E13" s="232">
        <f t="shared" si="1"/>
        <v>18052.108262659243</v>
      </c>
      <c r="F13" s="81">
        <f t="shared" si="2"/>
        <v>7000.9188209705617</v>
      </c>
      <c r="I13" s="150" t="s">
        <v>106</v>
      </c>
      <c r="J13" s="239">
        <f>Assumptions!$J$6*L6*Assumptions!$J$24</f>
        <v>621.11865500176737</v>
      </c>
      <c r="K13" s="240">
        <f>Assumptions!$J$6*M6*Assumptions!$J$24</f>
        <v>334.44850653941324</v>
      </c>
      <c r="Q13" s="73" t="s">
        <v>108</v>
      </c>
      <c r="R13" s="153"/>
      <c r="S13" s="153">
        <v>2640</v>
      </c>
      <c r="T13" s="153">
        <v>2</v>
      </c>
      <c r="U13" s="153">
        <v>47</v>
      </c>
      <c r="V13" s="74">
        <v>47</v>
      </c>
      <c r="W13" s="234" t="s">
        <v>106</v>
      </c>
      <c r="X13" s="153">
        <v>27</v>
      </c>
      <c r="Y13" s="153">
        <v>18</v>
      </c>
      <c r="Z13" s="153">
        <v>20</v>
      </c>
      <c r="AA13" s="235">
        <v>2</v>
      </c>
      <c r="AB13" s="73" t="s">
        <v>106</v>
      </c>
      <c r="AC13" s="153">
        <v>29</v>
      </c>
      <c r="AD13" s="153">
        <v>27</v>
      </c>
      <c r="AE13" s="153">
        <v>87</v>
      </c>
      <c r="AF13" s="74">
        <v>2</v>
      </c>
    </row>
    <row r="14" spans="2:32" x14ac:dyDescent="0.2">
      <c r="B14" s="75">
        <f t="shared" si="0"/>
        <v>2036</v>
      </c>
      <c r="C14" s="166">
        <f>SUM($J$24:$J$25)*(1+Assumptions!$J$26)^(B14-$B$5)</f>
        <v>40980.226843146433</v>
      </c>
      <c r="D14" s="166">
        <f>SUM($K$24:$K$25)*(1+Assumptions!$J$26)^(B14-$B$5)</f>
        <v>22657.336956547308</v>
      </c>
      <c r="E14" s="232">
        <f t="shared" si="1"/>
        <v>18322.889886599125</v>
      </c>
      <c r="F14" s="81">
        <f t="shared" si="2"/>
        <v>6641.0585077430997</v>
      </c>
      <c r="I14" s="73" t="s">
        <v>107</v>
      </c>
      <c r="J14" s="241">
        <f>L7*Assumptions!$J$24*Assumptions!$J$6</f>
        <v>111.48283551313776</v>
      </c>
      <c r="K14" s="92">
        <f>Assumptions!$J$6*M7*Assumptions!$J$24</f>
        <v>63.704477436078704</v>
      </c>
      <c r="Q14" s="73" t="s">
        <v>110</v>
      </c>
      <c r="R14" s="153"/>
      <c r="S14" s="153">
        <v>1000</v>
      </c>
      <c r="T14" s="153">
        <v>2</v>
      </c>
      <c r="U14" s="153">
        <v>47</v>
      </c>
      <c r="V14" s="74">
        <v>47</v>
      </c>
      <c r="W14" s="234" t="s">
        <v>107</v>
      </c>
      <c r="X14" s="153">
        <v>20</v>
      </c>
      <c r="Y14" s="153">
        <v>15</v>
      </c>
      <c r="Z14" s="153">
        <v>54</v>
      </c>
      <c r="AA14" s="235">
        <v>2</v>
      </c>
      <c r="AB14" s="73" t="s">
        <v>107</v>
      </c>
      <c r="AC14" s="153">
        <v>43</v>
      </c>
      <c r="AD14" s="153">
        <v>20</v>
      </c>
      <c r="AE14" s="153">
        <v>70</v>
      </c>
      <c r="AF14" s="74">
        <v>2</v>
      </c>
    </row>
    <row r="15" spans="2:32" ht="12.75" thickBot="1" x14ac:dyDescent="0.25">
      <c r="B15" s="75">
        <f t="shared" si="0"/>
        <v>2037</v>
      </c>
      <c r="C15" s="166">
        <f>SUM($J$24:$J$25)*(1+Assumptions!$J$26)^(B15-$B$5)</f>
        <v>41594.930245793628</v>
      </c>
      <c r="D15" s="166">
        <f>SUM($K$24:$K$25)*(1+Assumptions!$J$26)^(B15-$B$5)</f>
        <v>22997.197010895514</v>
      </c>
      <c r="E15" s="232">
        <f t="shared" si="1"/>
        <v>18597.733234898114</v>
      </c>
      <c r="F15" s="81">
        <f t="shared" si="2"/>
        <v>6299.6956872516339</v>
      </c>
      <c r="I15" s="79" t="s">
        <v>5</v>
      </c>
      <c r="J15" s="242">
        <f>SUM(J13:J14)</f>
        <v>732.60149051490509</v>
      </c>
      <c r="K15" s="243">
        <f>SUM(K13:K14)</f>
        <v>398.15298397549196</v>
      </c>
      <c r="Q15" s="73" t="s">
        <v>108</v>
      </c>
      <c r="R15" s="153"/>
      <c r="S15" s="153">
        <v>2640</v>
      </c>
      <c r="T15" s="153">
        <v>2</v>
      </c>
      <c r="U15" s="153">
        <v>47</v>
      </c>
      <c r="V15" s="74">
        <v>47</v>
      </c>
      <c r="W15" s="234" t="s">
        <v>106</v>
      </c>
      <c r="X15" s="153">
        <v>22</v>
      </c>
      <c r="Y15" s="153">
        <v>3</v>
      </c>
      <c r="Z15" s="153">
        <v>3</v>
      </c>
      <c r="AA15" s="235">
        <v>2</v>
      </c>
      <c r="AB15" s="73" t="s">
        <v>106</v>
      </c>
      <c r="AC15" s="153">
        <v>41</v>
      </c>
      <c r="AD15" s="153">
        <v>36</v>
      </c>
      <c r="AE15" s="153">
        <v>58</v>
      </c>
      <c r="AF15" s="74">
        <v>2</v>
      </c>
    </row>
    <row r="16" spans="2:32" x14ac:dyDescent="0.2">
      <c r="B16" s="75">
        <f t="shared" si="0"/>
        <v>2038</v>
      </c>
      <c r="C16" s="166">
        <f>SUM($J$24:$J$25)*(1+Assumptions!$J$26)^(B16-$B$5)</f>
        <v>42218.854199480527</v>
      </c>
      <c r="D16" s="166">
        <f>SUM($K$24:$K$25)*(1+Assumptions!$J$26)^(B16-$B$5)</f>
        <v>23342.154966058944</v>
      </c>
      <c r="E16" s="232">
        <f t="shared" si="1"/>
        <v>18876.699233421583</v>
      </c>
      <c r="F16" s="81">
        <f t="shared" si="2"/>
        <v>5975.8795537947735</v>
      </c>
      <c r="J16" s="188"/>
      <c r="K16" s="188"/>
      <c r="Q16" s="73" t="s">
        <v>109</v>
      </c>
      <c r="R16" s="153"/>
      <c r="S16" s="153">
        <v>1000</v>
      </c>
      <c r="T16" s="153">
        <v>2</v>
      </c>
      <c r="U16" s="153">
        <v>47</v>
      </c>
      <c r="V16" s="74">
        <v>47</v>
      </c>
      <c r="W16" s="234" t="s">
        <v>106</v>
      </c>
      <c r="X16" s="153">
        <v>29</v>
      </c>
      <c r="Y16" s="153">
        <v>8</v>
      </c>
      <c r="Z16" s="153">
        <v>20</v>
      </c>
      <c r="AA16" s="235">
        <v>2</v>
      </c>
      <c r="AB16" s="73" t="s">
        <v>106</v>
      </c>
      <c r="AC16" s="153">
        <v>48</v>
      </c>
      <c r="AD16" s="153">
        <v>32</v>
      </c>
      <c r="AE16" s="153">
        <v>25</v>
      </c>
      <c r="AF16" s="74">
        <v>2</v>
      </c>
    </row>
    <row r="17" spans="2:32" ht="12.75" thickBot="1" x14ac:dyDescent="0.25">
      <c r="B17" s="75">
        <f t="shared" si="0"/>
        <v>2039</v>
      </c>
      <c r="C17" s="166">
        <f>SUM($J$24:$J$25)*(1+Assumptions!$J$26)^(B17-$B$5)</f>
        <v>42852.137012472725</v>
      </c>
      <c r="D17" s="166">
        <f>SUM($K$24:$K$25)*(1+Assumptions!$J$26)^(B17-$B$5)</f>
        <v>23692.287290549826</v>
      </c>
      <c r="E17" s="232">
        <f t="shared" si="1"/>
        <v>19159.849721922899</v>
      </c>
      <c r="F17" s="81">
        <f t="shared" si="2"/>
        <v>5668.7081748613946</v>
      </c>
      <c r="I17" s="64" t="s">
        <v>215</v>
      </c>
      <c r="Q17" s="73" t="s">
        <v>108</v>
      </c>
      <c r="R17" s="153"/>
      <c r="S17" s="153">
        <v>2640</v>
      </c>
      <c r="T17" s="153">
        <v>2</v>
      </c>
      <c r="U17" s="153">
        <v>47</v>
      </c>
      <c r="V17" s="74">
        <v>47</v>
      </c>
      <c r="W17" s="234" t="s">
        <v>106</v>
      </c>
      <c r="X17" s="153">
        <v>29</v>
      </c>
      <c r="Y17" s="153">
        <v>27</v>
      </c>
      <c r="Z17" s="153">
        <v>87</v>
      </c>
      <c r="AA17" s="235">
        <v>2</v>
      </c>
      <c r="AB17" s="73" t="s">
        <v>106</v>
      </c>
      <c r="AC17" s="153">
        <v>52</v>
      </c>
      <c r="AD17" s="153">
        <v>3</v>
      </c>
      <c r="AE17" s="153">
        <v>29</v>
      </c>
      <c r="AF17" s="74">
        <v>2</v>
      </c>
    </row>
    <row r="18" spans="2:32" ht="12.75" thickBot="1" x14ac:dyDescent="0.25">
      <c r="B18" s="75">
        <f t="shared" si="0"/>
        <v>2040</v>
      </c>
      <c r="C18" s="166">
        <f>SUM($J$24:$J$25)*(1+Assumptions!$J$26)^(B18-$B$5)</f>
        <v>43494.919067659815</v>
      </c>
      <c r="D18" s="166">
        <f>SUM($K$24:$K$25)*(1+Assumptions!$J$26)^(B18-$B$5)</f>
        <v>24047.67159990807</v>
      </c>
      <c r="E18" s="232">
        <f t="shared" si="1"/>
        <v>19447.247467751746</v>
      </c>
      <c r="F18" s="81">
        <f t="shared" si="2"/>
        <v>5377.3259789573049</v>
      </c>
      <c r="I18" s="46" t="s">
        <v>113</v>
      </c>
      <c r="J18" s="47" t="s">
        <v>114</v>
      </c>
      <c r="K18" s="47" t="s">
        <v>82</v>
      </c>
      <c r="L18" s="60" t="s">
        <v>128</v>
      </c>
      <c r="Q18" s="73" t="s">
        <v>110</v>
      </c>
      <c r="R18" s="153"/>
      <c r="S18" s="153">
        <v>1000</v>
      </c>
      <c r="T18" s="153">
        <v>2</v>
      </c>
      <c r="U18" s="153">
        <v>47</v>
      </c>
      <c r="V18" s="74">
        <v>47</v>
      </c>
      <c r="W18" s="234" t="s">
        <v>107</v>
      </c>
      <c r="X18" s="153">
        <v>36</v>
      </c>
      <c r="Y18" s="153">
        <v>10</v>
      </c>
      <c r="Z18" s="153">
        <v>1</v>
      </c>
      <c r="AA18" s="235">
        <v>2</v>
      </c>
      <c r="AB18" s="73" t="s">
        <v>107</v>
      </c>
      <c r="AC18" s="153">
        <v>61</v>
      </c>
      <c r="AD18" s="153">
        <v>3</v>
      </c>
      <c r="AE18" s="153">
        <v>75</v>
      </c>
      <c r="AF18" s="74">
        <v>2</v>
      </c>
    </row>
    <row r="19" spans="2:32" x14ac:dyDescent="0.2">
      <c r="B19" s="75">
        <f t="shared" si="0"/>
        <v>2041</v>
      </c>
      <c r="C19" s="166">
        <f>SUM($J$24:$J$25)*(1+Assumptions!$J$26)^(B19-$B$5)</f>
        <v>44147.342853674701</v>
      </c>
      <c r="D19" s="166">
        <f>SUM($K$24:$K$25)*(1+Assumptions!$J$26)^(B19-$B$5)</f>
        <v>24408.386673906683</v>
      </c>
      <c r="E19" s="232">
        <f t="shared" si="1"/>
        <v>19738.956179768018</v>
      </c>
      <c r="F19" s="81">
        <f t="shared" si="2"/>
        <v>5100.9213725623022</v>
      </c>
      <c r="I19" s="150" t="s">
        <v>106</v>
      </c>
      <c r="J19" s="244">
        <f>(1/L19*60)-1/K19*60</f>
        <v>0.12307692307692308</v>
      </c>
      <c r="K19" s="151">
        <v>75</v>
      </c>
      <c r="L19" s="152">
        <v>65</v>
      </c>
      <c r="Q19" s="73" t="s">
        <v>108</v>
      </c>
      <c r="R19" s="153"/>
      <c r="S19" s="153">
        <v>2640</v>
      </c>
      <c r="T19" s="153">
        <v>2</v>
      </c>
      <c r="U19" s="153">
        <v>47</v>
      </c>
      <c r="V19" s="74">
        <v>47</v>
      </c>
      <c r="W19" s="234" t="s">
        <v>106</v>
      </c>
      <c r="X19" s="153">
        <v>33</v>
      </c>
      <c r="Y19" s="153">
        <v>23</v>
      </c>
      <c r="Z19" s="153">
        <v>46</v>
      </c>
      <c r="AA19" s="235">
        <v>2</v>
      </c>
      <c r="AB19" s="73" t="s">
        <v>106</v>
      </c>
      <c r="AC19" s="153">
        <v>55</v>
      </c>
      <c r="AD19" s="153">
        <v>12</v>
      </c>
      <c r="AE19" s="153">
        <v>95</v>
      </c>
      <c r="AF19" s="74">
        <v>2</v>
      </c>
    </row>
    <row r="20" spans="2:32" ht="12.75" thickBot="1" x14ac:dyDescent="0.25">
      <c r="B20" s="75">
        <f t="shared" si="0"/>
        <v>2042</v>
      </c>
      <c r="C20" s="166">
        <f>SUM($J$24:$J$25)*(1+Assumptions!$J$26)^(B20-$B$5)</f>
        <v>44809.552996479812</v>
      </c>
      <c r="D20" s="166">
        <f>SUM($K$24:$K$25)*(1+Assumptions!$J$26)^(B20-$B$5)</f>
        <v>24774.512474015282</v>
      </c>
      <c r="E20" s="232">
        <f t="shared" si="1"/>
        <v>20035.040522464529</v>
      </c>
      <c r="F20" s="81">
        <f t="shared" si="2"/>
        <v>4838.7244795801262</v>
      </c>
      <c r="I20" s="79" t="s">
        <v>107</v>
      </c>
      <c r="J20" s="245">
        <f>(1/L20*60)-1/K20*60</f>
        <v>0.53333333333333344</v>
      </c>
      <c r="K20" s="154">
        <v>75</v>
      </c>
      <c r="L20" s="155">
        <v>45</v>
      </c>
      <c r="Q20" s="73" t="s">
        <v>109</v>
      </c>
      <c r="R20" s="153"/>
      <c r="S20" s="153">
        <v>1000</v>
      </c>
      <c r="T20" s="153">
        <v>2</v>
      </c>
      <c r="U20" s="153">
        <v>47</v>
      </c>
      <c r="V20" s="74">
        <v>47</v>
      </c>
      <c r="W20" s="234" t="s">
        <v>106</v>
      </c>
      <c r="X20" s="153">
        <v>43</v>
      </c>
      <c r="Y20" s="153">
        <v>20</v>
      </c>
      <c r="Z20" s="153">
        <v>70</v>
      </c>
      <c r="AA20" s="235">
        <v>2</v>
      </c>
      <c r="AB20" s="73" t="s">
        <v>106</v>
      </c>
      <c r="AC20" s="153">
        <v>63</v>
      </c>
      <c r="AD20" s="153">
        <v>36</v>
      </c>
      <c r="AE20" s="153">
        <v>35</v>
      </c>
      <c r="AF20" s="74">
        <v>2</v>
      </c>
    </row>
    <row r="21" spans="2:32" x14ac:dyDescent="0.2">
      <c r="B21" s="75">
        <f t="shared" si="0"/>
        <v>2043</v>
      </c>
      <c r="C21" s="166">
        <f>SUM($J$24:$J$25)*(1+Assumptions!$J$26)^(B21-$B$5)</f>
        <v>45481.696291427004</v>
      </c>
      <c r="D21" s="166">
        <f>SUM($K$24:$K$25)*(1+Assumptions!$J$26)^(B21-$B$5)</f>
        <v>25146.130161125508</v>
      </c>
      <c r="E21" s="232">
        <f t="shared" si="1"/>
        <v>20335.566130301497</v>
      </c>
      <c r="F21" s="81">
        <f t="shared" si="2"/>
        <v>4590.004996984886</v>
      </c>
      <c r="J21" s="127"/>
      <c r="Q21" s="73" t="s">
        <v>108</v>
      </c>
      <c r="R21" s="153"/>
      <c r="S21" s="153">
        <v>2640</v>
      </c>
      <c r="T21" s="153">
        <v>2</v>
      </c>
      <c r="U21" s="153">
        <v>47</v>
      </c>
      <c r="V21" s="74">
        <v>47</v>
      </c>
      <c r="W21" s="234" t="s">
        <v>106</v>
      </c>
      <c r="X21" s="153">
        <v>41</v>
      </c>
      <c r="Y21" s="153">
        <v>36</v>
      </c>
      <c r="Z21" s="153">
        <v>58</v>
      </c>
      <c r="AA21" s="235">
        <v>2</v>
      </c>
      <c r="AB21" s="73" t="s">
        <v>106</v>
      </c>
      <c r="AC21" s="153">
        <v>66</v>
      </c>
      <c r="AD21" s="153">
        <v>15</v>
      </c>
      <c r="AE21" s="153">
        <v>29</v>
      </c>
      <c r="AF21" s="74">
        <v>2</v>
      </c>
    </row>
    <row r="22" spans="2:32" ht="12.75" thickBot="1" x14ac:dyDescent="0.25">
      <c r="B22" s="75">
        <f t="shared" si="0"/>
        <v>2044</v>
      </c>
      <c r="C22" s="166">
        <f>SUM($J$24:$J$25)*(1+Assumptions!$J$26)^(B22-$B$5)</f>
        <v>46163.921735798402</v>
      </c>
      <c r="D22" s="166">
        <f>SUM($K$24:$K$25)*(1+Assumptions!$J$26)^(B22-$B$5)</f>
        <v>25523.322113542388</v>
      </c>
      <c r="E22" s="232">
        <f t="shared" si="1"/>
        <v>20640.599622256013</v>
      </c>
      <c r="F22" s="81">
        <f t="shared" si="2"/>
        <v>4354.070160691268</v>
      </c>
      <c r="I22" s="64" t="s">
        <v>216</v>
      </c>
      <c r="Q22" s="73" t="s">
        <v>110</v>
      </c>
      <c r="R22" s="153"/>
      <c r="S22" s="153">
        <v>1000</v>
      </c>
      <c r="T22" s="153">
        <v>2</v>
      </c>
      <c r="U22" s="153">
        <v>47</v>
      </c>
      <c r="V22" s="74">
        <v>47</v>
      </c>
      <c r="W22" s="234" t="s">
        <v>106</v>
      </c>
      <c r="X22" s="153">
        <v>42</v>
      </c>
      <c r="Y22" s="153">
        <v>5</v>
      </c>
      <c r="Z22" s="153">
        <v>44</v>
      </c>
      <c r="AA22" s="235">
        <v>2</v>
      </c>
      <c r="AB22" s="73" t="s">
        <v>106</v>
      </c>
      <c r="AC22" s="153">
        <v>67</v>
      </c>
      <c r="AD22" s="153">
        <v>21</v>
      </c>
      <c r="AE22" s="153">
        <v>67</v>
      </c>
      <c r="AF22" s="74">
        <v>2</v>
      </c>
    </row>
    <row r="23" spans="2:32" ht="12.75" thickBot="1" x14ac:dyDescent="0.25">
      <c r="B23" s="75">
        <f t="shared" si="0"/>
        <v>2045</v>
      </c>
      <c r="C23" s="166">
        <f>SUM($J$24:$J$25)*(1+Assumptions!$J$26)^(B23-$B$5)</f>
        <v>46856.38056183538</v>
      </c>
      <c r="D23" s="166">
        <f>SUM($K$24:$K$25)*(1+Assumptions!$J$26)^(B23-$B$5)</f>
        <v>25906.171945245522</v>
      </c>
      <c r="E23" s="232">
        <f t="shared" si="1"/>
        <v>20950.208616589858</v>
      </c>
      <c r="F23" s="81">
        <f t="shared" si="2"/>
        <v>4130.26281598284</v>
      </c>
      <c r="I23" s="246" t="s">
        <v>113</v>
      </c>
      <c r="J23" s="247" t="s">
        <v>178</v>
      </c>
      <c r="K23" s="247" t="s">
        <v>179</v>
      </c>
      <c r="L23" s="248" t="s">
        <v>80</v>
      </c>
      <c r="Q23" s="73" t="s">
        <v>108</v>
      </c>
      <c r="R23" s="153"/>
      <c r="S23" s="153">
        <v>2640</v>
      </c>
      <c r="T23" s="153">
        <v>2</v>
      </c>
      <c r="U23" s="153">
        <v>47</v>
      </c>
      <c r="V23" s="74">
        <v>47</v>
      </c>
      <c r="W23" s="234" t="s">
        <v>106</v>
      </c>
      <c r="X23" s="153">
        <v>44</v>
      </c>
      <c r="Y23" s="153">
        <v>3</v>
      </c>
      <c r="Z23" s="153">
        <v>89</v>
      </c>
      <c r="AA23" s="235">
        <v>2</v>
      </c>
      <c r="AB23" s="73" t="s">
        <v>106</v>
      </c>
      <c r="AC23" s="153">
        <v>80</v>
      </c>
      <c r="AD23" s="153">
        <v>27</v>
      </c>
      <c r="AE23" s="153">
        <v>79</v>
      </c>
      <c r="AF23" s="74">
        <v>2</v>
      </c>
    </row>
    <row r="24" spans="2:32" ht="12.75" thickBot="1" x14ac:dyDescent="0.25">
      <c r="B24" s="93">
        <f t="shared" si="0"/>
        <v>2046</v>
      </c>
      <c r="C24" s="171">
        <f>SUM($J$24:$J$25)*(1+Assumptions!$J$26)^(B24-$B$5)</f>
        <v>47559.226270262901</v>
      </c>
      <c r="D24" s="171">
        <f>SUM($K$24:$K$25)*(1+Assumptions!$J$26)^(B24-$B$5)</f>
        <v>26294.764524424201</v>
      </c>
      <c r="E24" s="251">
        <f t="shared" si="1"/>
        <v>21264.4617458387</v>
      </c>
      <c r="F24" s="82">
        <f t="shared" si="2"/>
        <v>3917.9595871239071</v>
      </c>
      <c r="I24" s="57" t="s">
        <v>106</v>
      </c>
      <c r="J24" s="249">
        <f>Assumptions!$J$25*$J19*J13/60*Assumptions!$M$16</f>
        <v>20160.555974195828</v>
      </c>
      <c r="K24" s="249">
        <f>Assumptions!$J$25*$J19*K13/60*Assumptions!$M$16</f>
        <v>10855.683986105447</v>
      </c>
      <c r="L24" s="250">
        <f>J24-K24</f>
        <v>9304.8719880903809</v>
      </c>
      <c r="Q24" s="73" t="s">
        <v>109</v>
      </c>
      <c r="R24" s="153"/>
      <c r="S24" s="153">
        <v>1000</v>
      </c>
      <c r="T24" s="153">
        <v>2</v>
      </c>
      <c r="U24" s="153">
        <v>47</v>
      </c>
      <c r="V24" s="74">
        <v>47</v>
      </c>
      <c r="W24" s="234" t="s">
        <v>106</v>
      </c>
      <c r="X24" s="153">
        <v>48</v>
      </c>
      <c r="Y24" s="153">
        <v>32</v>
      </c>
      <c r="Z24" s="153">
        <v>25</v>
      </c>
      <c r="AA24" s="235">
        <v>2</v>
      </c>
      <c r="AB24" s="73" t="s">
        <v>106</v>
      </c>
      <c r="AC24" s="153">
        <v>78</v>
      </c>
      <c r="AD24" s="153">
        <v>30</v>
      </c>
      <c r="AE24" s="153">
        <v>39</v>
      </c>
      <c r="AF24" s="74">
        <v>2</v>
      </c>
    </row>
    <row r="25" spans="2:32" ht="12.75" thickBot="1" x14ac:dyDescent="0.25">
      <c r="B25" s="293" t="s">
        <v>5</v>
      </c>
      <c r="C25" s="294"/>
      <c r="D25" s="294"/>
      <c r="E25" s="294"/>
      <c r="F25" s="295">
        <f>SUM(F5:F24)</f>
        <v>135434.82560991321</v>
      </c>
      <c r="I25" s="73" t="s">
        <v>107</v>
      </c>
      <c r="J25" s="252">
        <f>Assumptions!$J$25*$J20*J14/60*Assumptions!$M$16</f>
        <v>15680.432424374538</v>
      </c>
      <c r="K25" s="252">
        <f>Assumptions!$J$25*$J20*K14/60*Assumptions!$M$16</f>
        <v>8960.2470996425927</v>
      </c>
      <c r="L25" s="81">
        <f>J25-K25</f>
        <v>6720.185324731945</v>
      </c>
      <c r="Q25" s="73" t="s">
        <v>108</v>
      </c>
      <c r="R25" s="153"/>
      <c r="S25" s="153">
        <v>2640</v>
      </c>
      <c r="T25" s="153">
        <v>2</v>
      </c>
      <c r="U25" s="153">
        <v>47</v>
      </c>
      <c r="V25" s="74">
        <v>47</v>
      </c>
      <c r="W25" s="234" t="s">
        <v>106</v>
      </c>
      <c r="X25" s="153">
        <v>52</v>
      </c>
      <c r="Y25" s="153">
        <v>3</v>
      </c>
      <c r="Z25" s="153">
        <v>29</v>
      </c>
      <c r="AA25" s="235">
        <v>2</v>
      </c>
      <c r="AB25" s="73" t="s">
        <v>106</v>
      </c>
      <c r="AC25" s="153">
        <v>85</v>
      </c>
      <c r="AD25" s="153">
        <v>39</v>
      </c>
      <c r="AE25" s="153">
        <v>33</v>
      </c>
      <c r="AF25" s="74">
        <v>2</v>
      </c>
    </row>
    <row r="26" spans="2:32" ht="12.75" thickBot="1" x14ac:dyDescent="0.25">
      <c r="I26" s="79" t="s">
        <v>5</v>
      </c>
      <c r="J26" s="251">
        <f>SUM(J24:J25)</f>
        <v>35840.988398570364</v>
      </c>
      <c r="K26" s="251">
        <f t="shared" ref="K26:L26" si="3">SUM(K24:K25)</f>
        <v>19815.931085748038</v>
      </c>
      <c r="L26" s="183">
        <f t="shared" si="3"/>
        <v>16025.057312822326</v>
      </c>
      <c r="Q26" s="73" t="s">
        <v>110</v>
      </c>
      <c r="R26" s="153"/>
      <c r="S26" s="153">
        <v>1000</v>
      </c>
      <c r="T26" s="153">
        <v>2</v>
      </c>
      <c r="U26" s="153">
        <v>47</v>
      </c>
      <c r="V26" s="74">
        <v>47</v>
      </c>
      <c r="W26" s="234" t="s">
        <v>106</v>
      </c>
      <c r="X26" s="153">
        <v>48</v>
      </c>
      <c r="Y26" s="153">
        <v>41</v>
      </c>
      <c r="Z26" s="153">
        <v>88</v>
      </c>
      <c r="AA26" s="235">
        <v>2</v>
      </c>
      <c r="AB26" s="73" t="s">
        <v>106</v>
      </c>
      <c r="AC26" s="153">
        <v>90</v>
      </c>
      <c r="AD26" s="153">
        <v>38</v>
      </c>
      <c r="AE26" s="153">
        <v>10</v>
      </c>
      <c r="AF26" s="74">
        <v>2</v>
      </c>
    </row>
    <row r="27" spans="2:32" x14ac:dyDescent="0.2">
      <c r="J27" s="253"/>
      <c r="K27" s="253"/>
      <c r="L27" s="253"/>
      <c r="Q27" s="73" t="s">
        <v>108</v>
      </c>
      <c r="R27" s="153"/>
      <c r="S27" s="153">
        <v>2640</v>
      </c>
      <c r="T27" s="153">
        <v>2</v>
      </c>
      <c r="U27" s="153">
        <v>47</v>
      </c>
      <c r="V27" s="74">
        <v>47</v>
      </c>
      <c r="W27" s="234" t="s">
        <v>106</v>
      </c>
      <c r="X27" s="153">
        <v>46</v>
      </c>
      <c r="Y27" s="153">
        <v>23</v>
      </c>
      <c r="Z27" s="153">
        <v>36</v>
      </c>
      <c r="AA27" s="235">
        <v>2</v>
      </c>
      <c r="AB27" s="73" t="s">
        <v>106</v>
      </c>
      <c r="AC27" s="153">
        <v>98</v>
      </c>
      <c r="AD27" s="153">
        <v>10</v>
      </c>
      <c r="AE27" s="153">
        <v>83</v>
      </c>
      <c r="AF27" s="74">
        <v>2</v>
      </c>
    </row>
    <row r="28" spans="2:32" ht="12.75" thickBot="1" x14ac:dyDescent="0.25">
      <c r="I28" s="64" t="s">
        <v>218</v>
      </c>
      <c r="Q28" s="73" t="s">
        <v>109</v>
      </c>
      <c r="R28" s="153"/>
      <c r="S28" s="153">
        <v>1000</v>
      </c>
      <c r="T28" s="153">
        <v>2</v>
      </c>
      <c r="U28" s="153">
        <v>47</v>
      </c>
      <c r="V28" s="74">
        <v>47</v>
      </c>
      <c r="W28" s="234" t="s">
        <v>106</v>
      </c>
      <c r="X28" s="153">
        <v>61</v>
      </c>
      <c r="Y28" s="153">
        <v>3</v>
      </c>
      <c r="Z28" s="153">
        <v>75</v>
      </c>
      <c r="AA28" s="235">
        <v>2</v>
      </c>
      <c r="AB28" s="73" t="s">
        <v>106</v>
      </c>
      <c r="AC28" s="153">
        <v>93</v>
      </c>
      <c r="AD28" s="153">
        <v>6</v>
      </c>
      <c r="AE28" s="153">
        <v>77</v>
      </c>
      <c r="AF28" s="74">
        <v>2</v>
      </c>
    </row>
    <row r="29" spans="2:32" ht="12.75" thickBot="1" x14ac:dyDescent="0.25">
      <c r="I29" s="246" t="s">
        <v>113</v>
      </c>
      <c r="J29" s="247" t="s">
        <v>112</v>
      </c>
      <c r="K29" s="247" t="s">
        <v>111</v>
      </c>
      <c r="L29" s="248" t="s">
        <v>80</v>
      </c>
      <c r="Q29" s="73" t="s">
        <v>108</v>
      </c>
      <c r="R29" s="153"/>
      <c r="S29" s="153">
        <v>2640</v>
      </c>
      <c r="T29" s="153">
        <v>2</v>
      </c>
      <c r="U29" s="153">
        <v>47</v>
      </c>
      <c r="V29" s="74">
        <v>47</v>
      </c>
      <c r="W29" s="234" t="s">
        <v>106</v>
      </c>
      <c r="X29" s="153">
        <v>55</v>
      </c>
      <c r="Y29" s="153">
        <v>12</v>
      </c>
      <c r="Z29" s="153">
        <v>95</v>
      </c>
      <c r="AA29" s="235">
        <v>2</v>
      </c>
      <c r="AB29" s="73" t="s">
        <v>106</v>
      </c>
      <c r="AC29" s="153">
        <v>103</v>
      </c>
      <c r="AD29" s="153">
        <v>22</v>
      </c>
      <c r="AE29" s="153">
        <v>38</v>
      </c>
      <c r="AF29" s="74">
        <v>2</v>
      </c>
    </row>
    <row r="30" spans="2:32" ht="12.75" thickBot="1" x14ac:dyDescent="0.25">
      <c r="I30" s="57" t="s">
        <v>106</v>
      </c>
      <c r="J30" s="254">
        <f>J13*J19*Assumptions!J25</f>
        <v>38222.686461647223</v>
      </c>
      <c r="K30" s="254">
        <f>K13*J19*Assumptions!J25</f>
        <v>20581.446556271585</v>
      </c>
      <c r="L30" s="96">
        <f>J30-K30</f>
        <v>17641.239905375638</v>
      </c>
      <c r="Q30" s="156" t="s">
        <v>110</v>
      </c>
      <c r="R30" s="157"/>
      <c r="S30" s="157">
        <v>1000</v>
      </c>
      <c r="T30" s="157">
        <v>2</v>
      </c>
      <c r="U30" s="157">
        <v>47</v>
      </c>
      <c r="V30" s="158">
        <v>47</v>
      </c>
      <c r="W30" s="255" t="s">
        <v>107</v>
      </c>
      <c r="X30" s="157">
        <v>63</v>
      </c>
      <c r="Y30" s="157">
        <v>36</v>
      </c>
      <c r="Z30" s="157">
        <v>35</v>
      </c>
      <c r="AA30" s="256">
        <v>2</v>
      </c>
      <c r="AB30" s="79" t="s">
        <v>107</v>
      </c>
      <c r="AC30" s="154">
        <v>104</v>
      </c>
      <c r="AD30" s="154">
        <v>15</v>
      </c>
      <c r="AE30" s="154">
        <v>48</v>
      </c>
      <c r="AF30" s="155">
        <v>2</v>
      </c>
    </row>
    <row r="31" spans="2:32" x14ac:dyDescent="0.2">
      <c r="I31" s="73" t="s">
        <v>107</v>
      </c>
      <c r="J31" s="257">
        <f>J14*J20*Assumptions!J25</f>
        <v>29728.756136836739</v>
      </c>
      <c r="K31" s="257">
        <f>K14*Assumptions!J25*J20</f>
        <v>16987.86064962099</v>
      </c>
      <c r="L31" s="90">
        <f>J31-K31</f>
        <v>12740.895487215748</v>
      </c>
      <c r="M31" s="258"/>
      <c r="Q31" s="73" t="s">
        <v>108</v>
      </c>
      <c r="R31" s="153"/>
      <c r="S31" s="153">
        <v>2640</v>
      </c>
      <c r="T31" s="153">
        <v>2</v>
      </c>
      <c r="U31" s="153">
        <v>47</v>
      </c>
      <c r="V31" s="74">
        <v>47</v>
      </c>
      <c r="W31" s="234" t="s">
        <v>106</v>
      </c>
      <c r="X31" s="153">
        <v>57</v>
      </c>
      <c r="Y31" s="153">
        <v>3</v>
      </c>
      <c r="Z31" s="153">
        <v>79</v>
      </c>
      <c r="AA31" s="74">
        <v>2</v>
      </c>
    </row>
    <row r="32" spans="2:32" ht="12.75" thickBot="1" x14ac:dyDescent="0.25">
      <c r="I32" s="79" t="s">
        <v>5</v>
      </c>
      <c r="J32" s="220">
        <f>SUM(J30:J31)</f>
        <v>67951.442598483962</v>
      </c>
      <c r="K32" s="220">
        <f>SUM(K30:K31)</f>
        <v>37569.307205892575</v>
      </c>
      <c r="L32" s="243">
        <f>J32-K32</f>
        <v>30382.135392591386</v>
      </c>
      <c r="Q32" s="73" t="s">
        <v>109</v>
      </c>
      <c r="R32" s="153"/>
      <c r="S32" s="153">
        <v>1000</v>
      </c>
      <c r="T32" s="153">
        <v>2</v>
      </c>
      <c r="U32" s="153">
        <v>47</v>
      </c>
      <c r="V32" s="74">
        <v>47</v>
      </c>
      <c r="W32" s="234" t="s">
        <v>106</v>
      </c>
      <c r="X32" s="153">
        <v>66</v>
      </c>
      <c r="Y32" s="153">
        <v>15</v>
      </c>
      <c r="Z32" s="153">
        <v>29</v>
      </c>
      <c r="AA32" s="74">
        <v>2</v>
      </c>
    </row>
    <row r="33" spans="2:27" x14ac:dyDescent="0.2">
      <c r="J33" s="86"/>
      <c r="K33" s="86"/>
      <c r="L33" s="188"/>
      <c r="Q33" s="73" t="s">
        <v>108</v>
      </c>
      <c r="R33" s="153"/>
      <c r="S33" s="153">
        <v>2640</v>
      </c>
      <c r="T33" s="153">
        <v>2</v>
      </c>
      <c r="U33" s="153">
        <v>47</v>
      </c>
      <c r="V33" s="74">
        <v>47</v>
      </c>
      <c r="W33" s="234" t="s">
        <v>106</v>
      </c>
      <c r="X33" s="153">
        <v>67</v>
      </c>
      <c r="Y33" s="153">
        <v>21</v>
      </c>
      <c r="Z33" s="153">
        <v>67</v>
      </c>
      <c r="AA33" s="74">
        <v>2</v>
      </c>
    </row>
    <row r="34" spans="2:27" ht="12.75" thickBot="1" x14ac:dyDescent="0.25">
      <c r="B34" s="64" t="s">
        <v>159</v>
      </c>
      <c r="I34" s="64" t="s">
        <v>219</v>
      </c>
      <c r="M34" s="259"/>
      <c r="Q34" s="73" t="s">
        <v>110</v>
      </c>
      <c r="R34" s="153"/>
      <c r="S34" s="153">
        <v>1000</v>
      </c>
      <c r="T34" s="153">
        <v>2</v>
      </c>
      <c r="U34" s="153">
        <v>47</v>
      </c>
      <c r="V34" s="74">
        <v>47</v>
      </c>
      <c r="W34" s="234" t="s">
        <v>107</v>
      </c>
      <c r="X34" s="153">
        <v>70</v>
      </c>
      <c r="Y34" s="153">
        <v>31</v>
      </c>
      <c r="Z34" s="153">
        <v>78</v>
      </c>
      <c r="AA34" s="74">
        <v>2</v>
      </c>
    </row>
    <row r="35" spans="2:27" ht="12.75" customHeight="1" thickBot="1" x14ac:dyDescent="0.25">
      <c r="B35" s="189" t="s">
        <v>160</v>
      </c>
      <c r="C35" s="316" t="s">
        <v>281</v>
      </c>
      <c r="D35" s="316"/>
      <c r="E35" s="316"/>
      <c r="F35" s="316"/>
      <c r="G35" s="316"/>
      <c r="I35" s="246" t="s">
        <v>180</v>
      </c>
      <c r="J35" s="247" t="s">
        <v>36</v>
      </c>
      <c r="K35" s="247" t="s">
        <v>21</v>
      </c>
      <c r="L35" s="248" t="s">
        <v>80</v>
      </c>
      <c r="Q35" s="73" t="s">
        <v>108</v>
      </c>
      <c r="R35" s="153"/>
      <c r="S35" s="153">
        <v>2640</v>
      </c>
      <c r="T35" s="153">
        <v>2</v>
      </c>
      <c r="U35" s="153">
        <v>47</v>
      </c>
      <c r="V35" s="74">
        <v>47</v>
      </c>
      <c r="W35" s="234" t="s">
        <v>107</v>
      </c>
      <c r="X35" s="153">
        <v>68</v>
      </c>
      <c r="Y35" s="153">
        <v>23</v>
      </c>
      <c r="Z35" s="153">
        <v>26</v>
      </c>
      <c r="AA35" s="74">
        <v>2</v>
      </c>
    </row>
    <row r="36" spans="2:27" x14ac:dyDescent="0.2">
      <c r="C36" s="316"/>
      <c r="D36" s="316"/>
      <c r="E36" s="316"/>
      <c r="F36" s="316"/>
      <c r="G36" s="316"/>
      <c r="I36" s="57" t="s">
        <v>106</v>
      </c>
      <c r="J36" s="260">
        <f>J24/Assumptions!$J$6</f>
        <v>299.42902085542596</v>
      </c>
      <c r="K36" s="260">
        <f>K24/Assumptions!$J$6</f>
        <v>161.23101122984474</v>
      </c>
      <c r="L36" s="261">
        <f>J36-K36</f>
        <v>138.19800962558122</v>
      </c>
      <c r="Q36" s="73" t="s">
        <v>109</v>
      </c>
      <c r="R36" s="153"/>
      <c r="S36" s="153">
        <v>1000</v>
      </c>
      <c r="T36" s="153">
        <v>2</v>
      </c>
      <c r="U36" s="153">
        <v>47</v>
      </c>
      <c r="V36" s="74">
        <v>47</v>
      </c>
      <c r="W36" s="234" t="s">
        <v>106</v>
      </c>
      <c r="X36" s="153">
        <v>80</v>
      </c>
      <c r="Y36" s="153">
        <v>27</v>
      </c>
      <c r="Z36" s="153">
        <v>79</v>
      </c>
      <c r="AA36" s="74">
        <v>2</v>
      </c>
    </row>
    <row r="37" spans="2:27" x14ac:dyDescent="0.2">
      <c r="C37" s="316"/>
      <c r="D37" s="316"/>
      <c r="E37" s="316"/>
      <c r="F37" s="316"/>
      <c r="G37" s="316"/>
      <c r="I37" s="73" t="s">
        <v>107</v>
      </c>
      <c r="J37" s="262">
        <f>J25/Assumptions!$J$6</f>
        <v>232.88923844310915</v>
      </c>
      <c r="K37" s="262">
        <f>K25/Assumptions!$J$6</f>
        <v>133.07956482463379</v>
      </c>
      <c r="L37" s="263">
        <f>J37-K37</f>
        <v>99.809673618475358</v>
      </c>
      <c r="Q37" s="73" t="s">
        <v>108</v>
      </c>
      <c r="R37" s="153"/>
      <c r="S37" s="153">
        <v>2640</v>
      </c>
      <c r="T37" s="153">
        <v>2</v>
      </c>
      <c r="U37" s="153">
        <v>47</v>
      </c>
      <c r="V37" s="74">
        <v>47</v>
      </c>
      <c r="W37" s="234" t="s">
        <v>106</v>
      </c>
      <c r="X37" s="153">
        <v>78</v>
      </c>
      <c r="Y37" s="153">
        <v>30</v>
      </c>
      <c r="Z37" s="153">
        <v>39</v>
      </c>
      <c r="AA37" s="74">
        <v>2</v>
      </c>
    </row>
    <row r="38" spans="2:27" ht="12.75" thickBot="1" x14ac:dyDescent="0.25">
      <c r="C38" s="316"/>
      <c r="D38" s="316"/>
      <c r="E38" s="316"/>
      <c r="F38" s="316"/>
      <c r="G38" s="316"/>
      <c r="I38" s="79" t="s">
        <v>5</v>
      </c>
      <c r="J38" s="264">
        <f>SUM(J36:J37)</f>
        <v>532.31825929853517</v>
      </c>
      <c r="K38" s="264">
        <f>SUM(K36:K37)</f>
        <v>294.31057605447853</v>
      </c>
      <c r="L38" s="265">
        <f>SUM(L36:L37)</f>
        <v>238.00768324405658</v>
      </c>
      <c r="Q38" s="73" t="s">
        <v>110</v>
      </c>
      <c r="R38" s="153"/>
      <c r="S38" s="153">
        <v>1000</v>
      </c>
      <c r="T38" s="153">
        <v>2</v>
      </c>
      <c r="U38" s="153">
        <v>47</v>
      </c>
      <c r="V38" s="74">
        <v>47</v>
      </c>
      <c r="W38" s="234" t="s">
        <v>106</v>
      </c>
      <c r="X38" s="153">
        <v>76</v>
      </c>
      <c r="Y38" s="153">
        <v>25</v>
      </c>
      <c r="Z38" s="153">
        <v>26</v>
      </c>
      <c r="AA38" s="74">
        <v>2</v>
      </c>
    </row>
    <row r="39" spans="2:27" x14ac:dyDescent="0.2">
      <c r="C39" s="316"/>
      <c r="D39" s="316"/>
      <c r="E39" s="316"/>
      <c r="F39" s="316"/>
      <c r="G39" s="316"/>
      <c r="Q39" s="73" t="s">
        <v>108</v>
      </c>
      <c r="R39" s="153"/>
      <c r="S39" s="153">
        <v>2640</v>
      </c>
      <c r="T39" s="153">
        <v>2</v>
      </c>
      <c r="U39" s="153">
        <v>47</v>
      </c>
      <c r="V39" s="74">
        <v>47</v>
      </c>
      <c r="W39" s="234" t="s">
        <v>106</v>
      </c>
      <c r="X39" s="153">
        <v>79</v>
      </c>
      <c r="Y39" s="153">
        <v>3</v>
      </c>
      <c r="Z39" s="153">
        <v>69</v>
      </c>
      <c r="AA39" s="74">
        <v>2</v>
      </c>
    </row>
    <row r="40" spans="2:27" x14ac:dyDescent="0.2">
      <c r="C40" s="316"/>
      <c r="D40" s="316"/>
      <c r="E40" s="316"/>
      <c r="F40" s="316"/>
      <c r="G40" s="316"/>
      <c r="Q40" s="73" t="s">
        <v>109</v>
      </c>
      <c r="R40" s="153"/>
      <c r="S40" s="153">
        <v>1000</v>
      </c>
      <c r="T40" s="153">
        <v>2</v>
      </c>
      <c r="U40" s="153">
        <v>47</v>
      </c>
      <c r="V40" s="74">
        <v>47</v>
      </c>
      <c r="W40" s="234" t="s">
        <v>106</v>
      </c>
      <c r="X40" s="153">
        <v>85</v>
      </c>
      <c r="Y40" s="153">
        <v>39</v>
      </c>
      <c r="Z40" s="153">
        <v>33</v>
      </c>
      <c r="AA40" s="74">
        <v>2</v>
      </c>
    </row>
    <row r="41" spans="2:27" x14ac:dyDescent="0.2">
      <c r="C41" s="316"/>
      <c r="D41" s="316"/>
      <c r="E41" s="316"/>
      <c r="F41" s="316"/>
      <c r="G41" s="316"/>
      <c r="J41" s="311"/>
      <c r="K41" s="311"/>
      <c r="L41" s="311"/>
      <c r="M41" s="311"/>
      <c r="Q41" s="73" t="s">
        <v>108</v>
      </c>
      <c r="R41" s="153"/>
      <c r="S41" s="153">
        <v>2640</v>
      </c>
      <c r="T41" s="153">
        <v>2</v>
      </c>
      <c r="U41" s="153">
        <v>47</v>
      </c>
      <c r="V41" s="74">
        <v>47</v>
      </c>
      <c r="W41" s="234" t="s">
        <v>106</v>
      </c>
      <c r="X41" s="153">
        <v>90</v>
      </c>
      <c r="Y41" s="153">
        <v>38</v>
      </c>
      <c r="Z41" s="153">
        <v>10</v>
      </c>
      <c r="AA41" s="74">
        <v>2</v>
      </c>
    </row>
    <row r="42" spans="2:27" x14ac:dyDescent="0.2">
      <c r="C42" s="316"/>
      <c r="D42" s="316"/>
      <c r="E42" s="316"/>
      <c r="F42" s="316"/>
      <c r="G42" s="316"/>
      <c r="Q42" s="73" t="s">
        <v>110</v>
      </c>
      <c r="R42" s="153"/>
      <c r="S42" s="153">
        <v>1000</v>
      </c>
      <c r="T42" s="153">
        <v>2</v>
      </c>
      <c r="U42" s="153">
        <v>47</v>
      </c>
      <c r="V42" s="74">
        <v>47</v>
      </c>
      <c r="W42" s="234" t="s">
        <v>106</v>
      </c>
      <c r="X42" s="153">
        <v>82</v>
      </c>
      <c r="Y42" s="153">
        <v>20</v>
      </c>
      <c r="Z42" s="153">
        <v>69</v>
      </c>
      <c r="AA42" s="74">
        <v>2</v>
      </c>
    </row>
    <row r="43" spans="2:27" x14ac:dyDescent="0.2">
      <c r="C43" s="316"/>
      <c r="D43" s="316"/>
      <c r="E43" s="316"/>
      <c r="F43" s="316"/>
      <c r="G43" s="316"/>
      <c r="J43" s="312"/>
      <c r="K43" s="312"/>
      <c r="Q43" s="73" t="s">
        <v>108</v>
      </c>
      <c r="R43" s="153"/>
      <c r="S43" s="153">
        <v>2640</v>
      </c>
      <c r="T43" s="153">
        <v>2</v>
      </c>
      <c r="U43" s="153">
        <v>47</v>
      </c>
      <c r="V43" s="74">
        <v>47</v>
      </c>
      <c r="W43" s="234" t="s">
        <v>106</v>
      </c>
      <c r="X43" s="153">
        <v>90</v>
      </c>
      <c r="Y43" s="153">
        <v>24</v>
      </c>
      <c r="Z43" s="153">
        <v>16</v>
      </c>
      <c r="AA43" s="74">
        <v>2</v>
      </c>
    </row>
    <row r="44" spans="2:27" x14ac:dyDescent="0.2">
      <c r="C44" s="316"/>
      <c r="D44" s="316"/>
      <c r="E44" s="316"/>
      <c r="F44" s="316"/>
      <c r="G44" s="316"/>
      <c r="Q44" s="73" t="s">
        <v>109</v>
      </c>
      <c r="R44" s="153"/>
      <c r="S44" s="153">
        <v>1000</v>
      </c>
      <c r="T44" s="153">
        <v>2</v>
      </c>
      <c r="U44" s="153">
        <v>47</v>
      </c>
      <c r="V44" s="74">
        <v>47</v>
      </c>
      <c r="W44" s="234" t="s">
        <v>106</v>
      </c>
      <c r="X44" s="153">
        <v>98</v>
      </c>
      <c r="Y44" s="153">
        <v>10</v>
      </c>
      <c r="Z44" s="153">
        <v>83</v>
      </c>
      <c r="AA44" s="74">
        <v>2</v>
      </c>
    </row>
    <row r="45" spans="2:27" ht="12.75" thickBot="1" x14ac:dyDescent="0.25">
      <c r="C45" s="316"/>
      <c r="D45" s="316"/>
      <c r="E45" s="316"/>
      <c r="F45" s="316"/>
      <c r="G45" s="316"/>
      <c r="J45" s="78"/>
      <c r="Q45" s="79" t="s">
        <v>108</v>
      </c>
      <c r="R45" s="154"/>
      <c r="S45" s="154">
        <v>2640</v>
      </c>
      <c r="T45" s="154">
        <v>2</v>
      </c>
      <c r="U45" s="154">
        <v>47</v>
      </c>
      <c r="V45" s="155">
        <v>47</v>
      </c>
      <c r="W45" s="255" t="s">
        <v>106</v>
      </c>
      <c r="X45" s="157">
        <v>93</v>
      </c>
      <c r="Y45" s="157">
        <v>6</v>
      </c>
      <c r="Z45" s="157">
        <v>77</v>
      </c>
      <c r="AA45" s="158">
        <v>2</v>
      </c>
    </row>
    <row r="46" spans="2:27" x14ac:dyDescent="0.2">
      <c r="C46" s="191"/>
      <c r="D46" s="191"/>
      <c r="E46" s="191"/>
      <c r="F46" s="191"/>
      <c r="G46" s="191"/>
      <c r="K46" s="78"/>
      <c r="W46" s="73" t="s">
        <v>107</v>
      </c>
      <c r="X46" s="153">
        <v>98</v>
      </c>
      <c r="Y46" s="153">
        <v>15</v>
      </c>
      <c r="Z46" s="153">
        <v>16</v>
      </c>
      <c r="AA46" s="74">
        <v>2</v>
      </c>
    </row>
    <row r="47" spans="2:27" x14ac:dyDescent="0.2">
      <c r="C47" s="191"/>
      <c r="D47" s="191"/>
      <c r="E47" s="191"/>
      <c r="F47" s="191"/>
      <c r="G47" s="191"/>
      <c r="W47" s="73" t="s">
        <v>106</v>
      </c>
      <c r="X47" s="153">
        <v>92</v>
      </c>
      <c r="Y47" s="153">
        <v>3</v>
      </c>
      <c r="Z47" s="153">
        <v>59</v>
      </c>
      <c r="AA47" s="74">
        <v>2</v>
      </c>
    </row>
    <row r="48" spans="2:27" x14ac:dyDescent="0.2">
      <c r="C48" s="191"/>
      <c r="D48" s="191"/>
      <c r="E48" s="191"/>
      <c r="F48" s="191"/>
      <c r="G48" s="191"/>
      <c r="W48" s="73" t="s">
        <v>106</v>
      </c>
      <c r="X48" s="153">
        <v>103</v>
      </c>
      <c r="Y48" s="153">
        <v>22</v>
      </c>
      <c r="Z48" s="153">
        <v>38</v>
      </c>
      <c r="AA48" s="74">
        <v>2</v>
      </c>
    </row>
    <row r="49" spans="3:27" x14ac:dyDescent="0.2">
      <c r="C49" s="191"/>
      <c r="D49" s="191"/>
      <c r="E49" s="191"/>
      <c r="F49" s="191"/>
      <c r="G49" s="191"/>
      <c r="W49" s="73" t="s">
        <v>106</v>
      </c>
      <c r="X49" s="153">
        <v>104</v>
      </c>
      <c r="Y49" s="153">
        <v>15</v>
      </c>
      <c r="Z49" s="153">
        <v>48</v>
      </c>
      <c r="AA49" s="74">
        <v>2</v>
      </c>
    </row>
    <row r="50" spans="3:27" x14ac:dyDescent="0.2">
      <c r="W50" s="73" t="s">
        <v>106</v>
      </c>
      <c r="X50" s="153">
        <v>104</v>
      </c>
      <c r="Y50" s="153">
        <v>10</v>
      </c>
      <c r="Z50" s="153">
        <v>60</v>
      </c>
      <c r="AA50" s="74">
        <v>2</v>
      </c>
    </row>
    <row r="51" spans="3:27" ht="12.75" thickBot="1" x14ac:dyDescent="0.25">
      <c r="W51" s="79" t="s">
        <v>106</v>
      </c>
      <c r="X51" s="154">
        <v>103</v>
      </c>
      <c r="Y51" s="154">
        <v>24</v>
      </c>
      <c r="Z51" s="154">
        <v>6</v>
      </c>
      <c r="AA51" s="155">
        <v>2</v>
      </c>
    </row>
  </sheetData>
  <mergeCells count="10">
    <mergeCell ref="B3:B4"/>
    <mergeCell ref="C3:C4"/>
    <mergeCell ref="D3:D4"/>
    <mergeCell ref="E3:E4"/>
    <mergeCell ref="C35:G45"/>
    <mergeCell ref="Q3:AF3"/>
    <mergeCell ref="Q4:V4"/>
    <mergeCell ref="W4:AA4"/>
    <mergeCell ref="AB4:AF4"/>
    <mergeCell ref="F3:F4"/>
  </mergeCells>
  <pageMargins left="0.7" right="0.7" top="0.75" bottom="0.75" header="0.3" footer="0.3"/>
  <pageSetup scale="2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C2D19-9D30-4E27-ACC3-E0CA1B0B95F2}">
  <sheetPr>
    <pageSetUpPr fitToPage="1"/>
  </sheetPr>
  <dimension ref="A2:AL69"/>
  <sheetViews>
    <sheetView view="pageBreakPreview" zoomScaleNormal="85" zoomScaleSheetLayoutView="100" workbookViewId="0"/>
  </sheetViews>
  <sheetFormatPr defaultRowHeight="12" x14ac:dyDescent="0.2"/>
  <cols>
    <col min="1" max="1" width="9.140625" style="35"/>
    <col min="2" max="9" width="11.42578125" style="35" customWidth="1"/>
    <col min="10" max="12" width="6.42578125" style="35" customWidth="1"/>
    <col min="13" max="14" width="8.5703125" style="35" customWidth="1"/>
    <col min="15" max="16" width="11" style="35" customWidth="1"/>
    <col min="17" max="19" width="10.85546875" style="35" customWidth="1"/>
    <col min="20" max="20" width="6" style="35" customWidth="1"/>
    <col min="21" max="25" width="10.85546875" style="35" customWidth="1"/>
    <col min="26" max="26" width="7.28515625" style="35" customWidth="1"/>
    <col min="27" max="27" width="13.5703125" style="35" customWidth="1"/>
    <col min="28" max="28" width="17" style="35" customWidth="1"/>
    <col min="29" max="33" width="8.28515625" style="35" customWidth="1"/>
    <col min="34" max="35" width="9.140625" style="35"/>
    <col min="36" max="36" width="26.5703125" style="35" customWidth="1"/>
    <col min="37" max="37" width="16.42578125" style="35" customWidth="1"/>
    <col min="38" max="16384" width="9.140625" style="35"/>
  </cols>
  <sheetData>
    <row r="2" spans="2:38" ht="12.75" thickBot="1" x14ac:dyDescent="0.25">
      <c r="B2" s="64" t="s">
        <v>134</v>
      </c>
      <c r="C2" s="64"/>
      <c r="D2" s="64"/>
      <c r="E2" s="64"/>
    </row>
    <row r="3" spans="2:38" ht="12.75" thickBot="1" x14ac:dyDescent="0.25">
      <c r="B3" s="320" t="s">
        <v>28</v>
      </c>
      <c r="C3" s="331" t="s">
        <v>135</v>
      </c>
      <c r="D3" s="370"/>
      <c r="E3" s="332"/>
      <c r="F3" s="371" t="s">
        <v>136</v>
      </c>
      <c r="G3" s="372"/>
      <c r="H3" s="372"/>
      <c r="I3" s="372"/>
      <c r="J3" s="372"/>
      <c r="K3" s="372"/>
      <c r="L3" s="372"/>
      <c r="M3" s="372"/>
      <c r="N3" s="372"/>
      <c r="O3" s="373" t="s">
        <v>137</v>
      </c>
      <c r="P3" s="374"/>
      <c r="Q3" s="112"/>
      <c r="R3" s="112"/>
    </row>
    <row r="4" spans="2:38" x14ac:dyDescent="0.2">
      <c r="B4" s="321"/>
      <c r="C4" s="320" t="s">
        <v>138</v>
      </c>
      <c r="D4" s="326" t="s">
        <v>184</v>
      </c>
      <c r="E4" s="341" t="s">
        <v>139</v>
      </c>
      <c r="F4" s="320" t="s">
        <v>140</v>
      </c>
      <c r="G4" s="326" t="s">
        <v>185</v>
      </c>
      <c r="H4" s="355" t="s">
        <v>186</v>
      </c>
      <c r="I4" s="328" t="s">
        <v>187</v>
      </c>
      <c r="J4" s="326" t="s">
        <v>188</v>
      </c>
      <c r="K4" s="355" t="s">
        <v>189</v>
      </c>
      <c r="L4" s="328" t="s">
        <v>190</v>
      </c>
      <c r="M4" s="320" t="s">
        <v>191</v>
      </c>
      <c r="N4" s="364" t="s">
        <v>29</v>
      </c>
      <c r="O4" s="366" t="s">
        <v>95</v>
      </c>
      <c r="P4" s="368" t="s">
        <v>141</v>
      </c>
      <c r="Q4" s="364" t="s">
        <v>275</v>
      </c>
      <c r="R4" s="326" t="s">
        <v>279</v>
      </c>
      <c r="S4" s="368" t="s">
        <v>276</v>
      </c>
      <c r="U4" s="192"/>
    </row>
    <row r="5" spans="2:38" ht="12.75" thickBot="1" x14ac:dyDescent="0.25">
      <c r="B5" s="354"/>
      <c r="C5" s="321"/>
      <c r="D5" s="375"/>
      <c r="E5" s="376"/>
      <c r="F5" s="321"/>
      <c r="G5" s="375"/>
      <c r="H5" s="377"/>
      <c r="I5" s="378"/>
      <c r="J5" s="375"/>
      <c r="K5" s="377"/>
      <c r="L5" s="378"/>
      <c r="M5" s="321"/>
      <c r="N5" s="365"/>
      <c r="O5" s="367"/>
      <c r="P5" s="369"/>
      <c r="Q5" s="365" t="s">
        <v>36</v>
      </c>
      <c r="R5" s="335" t="s">
        <v>21</v>
      </c>
      <c r="S5" s="369" t="s">
        <v>80</v>
      </c>
    </row>
    <row r="6" spans="2:38" ht="15" thickBot="1" x14ac:dyDescent="0.25">
      <c r="B6" s="140">
        <f>Assumptions!J8+1</f>
        <v>2027</v>
      </c>
      <c r="C6" s="1">
        <v>-80.82868720264959</v>
      </c>
      <c r="D6" s="2">
        <f t="shared" ref="D6:D25" si="0">-C6*_xlfn.XLOOKUP($B6,$U$14:$U$52,$Y$14:$Y$52)</f>
        <v>4930.5499193616251</v>
      </c>
      <c r="E6" s="3">
        <v>4129.257934258223</v>
      </c>
      <c r="F6" s="4">
        <f>-S6</f>
        <v>-222484.67077987106</v>
      </c>
      <c r="G6" s="5">
        <v>-7.1526277131893037E-2</v>
      </c>
      <c r="H6" s="6">
        <v>-4.9073345081232023E-4</v>
      </c>
      <c r="I6" s="7">
        <v>-1.591306559327151E-3</v>
      </c>
      <c r="J6" s="8">
        <f t="shared" ref="J6:J25" si="1">-G6*_xlfn.XLOOKUP($B6,$U$14:$U$52,$V$14:$V$52)</f>
        <v>1280.3203606608854</v>
      </c>
      <c r="K6" s="9">
        <f t="shared" ref="K6:K25" si="2">-H6*_xlfn.XLOOKUP($B6,$U$14:$U$52,$W$14:$W$52)</f>
        <v>23.898719054559994</v>
      </c>
      <c r="L6" s="3">
        <f t="shared" ref="L6:L25" si="3">-I6*_xlfn.XLOOKUP($B6,$U$14:$U$52,$X$14:$X$52)</f>
        <v>1377.434957753582</v>
      </c>
      <c r="M6" s="10">
        <f t="shared" ref="M6:M15" si="4">SUM(J6:L6)</f>
        <v>2681.6540374690276</v>
      </c>
      <c r="N6" s="11">
        <v>1786.8993148336413</v>
      </c>
      <c r="O6" s="2">
        <f t="shared" ref="O6:P21" si="5">M6+D6</f>
        <v>7612.2039568306527</v>
      </c>
      <c r="P6" s="3">
        <f t="shared" si="5"/>
        <v>5916.1572490918643</v>
      </c>
      <c r="Q6" s="4" cm="1">
        <f t="array" ref="Q6">TREND($AB$32:$AB$33,$AA$32:$AA$33,B6)*$AK$17</f>
        <v>497600.1238947651</v>
      </c>
      <c r="R6" s="4" cm="1">
        <f t="array" ref="R6">TREND($AC$32:$AC$33,$AA$32:$AA$33,B6)*$AK$17</f>
        <v>275115.45311489404</v>
      </c>
      <c r="S6" s="4">
        <f>Q6-R6</f>
        <v>222484.67077987106</v>
      </c>
      <c r="U6" s="193" t="s">
        <v>221</v>
      </c>
      <c r="V6" s="193"/>
      <c r="W6" s="193"/>
      <c r="X6" s="193"/>
      <c r="Y6" s="193"/>
      <c r="AA6" s="64" t="s">
        <v>210</v>
      </c>
      <c r="AJ6" s="64" t="s">
        <v>211</v>
      </c>
    </row>
    <row r="7" spans="2:38" ht="12.75" thickBot="1" x14ac:dyDescent="0.25">
      <c r="B7" s="145">
        <f>B6+1</f>
        <v>2028</v>
      </c>
      <c r="C7" s="14">
        <v>-82.140472660057952</v>
      </c>
      <c r="D7" s="12">
        <f t="shared" si="0"/>
        <v>5092.7093049235928</v>
      </c>
      <c r="E7" s="13">
        <v>4140.8387055726844</v>
      </c>
      <c r="F7" s="15">
        <f t="shared" ref="F7:F25" si="6">-S7</f>
        <v>-226095.42044964613</v>
      </c>
      <c r="G7" s="16">
        <v>-7.2687091855122912E-2</v>
      </c>
      <c r="H7" s="17">
        <v>-4.9869766533216597E-4</v>
      </c>
      <c r="I7" s="18">
        <v>-1.6171322021162062E-3</v>
      </c>
      <c r="J7" s="19">
        <f t="shared" si="1"/>
        <v>1322.9050717632369</v>
      </c>
      <c r="K7" s="20">
        <f t="shared" si="2"/>
        <v>24.685534433942216</v>
      </c>
      <c r="L7" s="21">
        <f t="shared" si="3"/>
        <v>1422.1060585409919</v>
      </c>
      <c r="M7" s="22">
        <f t="shared" si="4"/>
        <v>2769.696664738171</v>
      </c>
      <c r="N7" s="23">
        <v>1724.8278830643087</v>
      </c>
      <c r="O7" s="24">
        <f t="shared" si="5"/>
        <v>7862.4059696617642</v>
      </c>
      <c r="P7" s="21">
        <f t="shared" si="5"/>
        <v>5865.6665886369929</v>
      </c>
      <c r="Q7" s="15" cm="1">
        <f t="array" ref="Q7">TREND($AB$32:$AB$33,$AA$32:$AA$33,B7)*$AK$17</f>
        <v>505675.77907017659</v>
      </c>
      <c r="R7" s="15" cm="1">
        <f t="array" ref="R7">TREND($AC$32:$AC$33,$AA$32:$AA$33,B7)*$AK$17</f>
        <v>279580.35862053046</v>
      </c>
      <c r="S7" s="15">
        <f t="shared" ref="S7:S25" si="7">Q7-R7</f>
        <v>226095.42044964613</v>
      </c>
      <c r="U7" s="46" t="s">
        <v>142</v>
      </c>
      <c r="V7" s="50" t="s">
        <v>143</v>
      </c>
      <c r="W7" s="50" t="s">
        <v>144</v>
      </c>
      <c r="X7" s="50" t="s">
        <v>145</v>
      </c>
      <c r="Y7" s="51" t="s">
        <v>146</v>
      </c>
      <c r="AA7" s="46" t="s">
        <v>147</v>
      </c>
      <c r="AB7" s="47" t="s">
        <v>148</v>
      </c>
      <c r="AC7" s="47" t="s">
        <v>149</v>
      </c>
      <c r="AD7" s="48" t="s">
        <v>143</v>
      </c>
      <c r="AE7" s="48" t="s">
        <v>144</v>
      </c>
      <c r="AF7" s="48" t="s">
        <v>145</v>
      </c>
      <c r="AG7" s="45" t="s">
        <v>146</v>
      </c>
      <c r="AJ7" s="44" t="s">
        <v>162</v>
      </c>
      <c r="AK7" s="160">
        <v>0.27500000000000002</v>
      </c>
    </row>
    <row r="8" spans="2:38" x14ac:dyDescent="0.2">
      <c r="B8" s="145">
        <f t="shared" ref="B8:B25" si="8">B7+1</f>
        <v>2029</v>
      </c>
      <c r="C8" s="14">
        <v>-83.452258117466272</v>
      </c>
      <c r="D8" s="12">
        <f t="shared" si="0"/>
        <v>5257.4922614003754</v>
      </c>
      <c r="E8" s="13">
        <v>4150.3129404835126</v>
      </c>
      <c r="F8" s="15">
        <f t="shared" si="6"/>
        <v>-229706.17011942115</v>
      </c>
      <c r="G8" s="16">
        <v>-7.3847906578352746E-2</v>
      </c>
      <c r="H8" s="17">
        <v>-5.0666187985201172E-4</v>
      </c>
      <c r="I8" s="18">
        <v>-1.6429578449052606E-3</v>
      </c>
      <c r="J8" s="19">
        <f t="shared" si="1"/>
        <v>1373.5710623573611</v>
      </c>
      <c r="K8" s="20">
        <f t="shared" si="2"/>
        <v>25.53575874454139</v>
      </c>
      <c r="L8" s="21">
        <f t="shared" si="3"/>
        <v>1467.8185386383598</v>
      </c>
      <c r="M8" s="22">
        <f t="shared" si="4"/>
        <v>2866.9253597402621</v>
      </c>
      <c r="N8" s="23">
        <v>1668.5766614772306</v>
      </c>
      <c r="O8" s="24">
        <f t="shared" si="5"/>
        <v>8124.4176211406375</v>
      </c>
      <c r="P8" s="21">
        <f t="shared" si="5"/>
        <v>5818.8896019607437</v>
      </c>
      <c r="Q8" s="15" cm="1">
        <f t="array" ref="Q8">TREND($AB$32:$AB$33,$AA$32:$AA$33,B8)*$AK$17</f>
        <v>513751.43424558808</v>
      </c>
      <c r="R8" s="15" cm="1">
        <f t="array" ref="R8">TREND($AC$32:$AC$33,$AA$32:$AA$33,B8)*$AK$17</f>
        <v>284045.26412616693</v>
      </c>
      <c r="S8" s="15">
        <f t="shared" si="7"/>
        <v>229706.17011942115</v>
      </c>
      <c r="U8" s="194" t="s">
        <v>150</v>
      </c>
      <c r="V8" s="195">
        <f t="shared" ref="V8:Y9" si="9">AB26</f>
        <v>0.22790983982547491</v>
      </c>
      <c r="W8" s="195">
        <f t="shared" si="9"/>
        <v>2.0699004398994176E-3</v>
      </c>
      <c r="X8" s="195">
        <f t="shared" si="9"/>
        <v>5.8180715878192544E-3</v>
      </c>
      <c r="Y8" s="196">
        <f t="shared" si="9"/>
        <v>317.22468262036</v>
      </c>
      <c r="AA8" s="197">
        <v>11</v>
      </c>
      <c r="AB8" s="151" t="s">
        <v>151</v>
      </c>
      <c r="AC8" s="151" t="s">
        <v>101</v>
      </c>
      <c r="AD8" s="198">
        <v>0.73690802096518104</v>
      </c>
      <c r="AE8" s="198">
        <v>2.4081927794970298E-3</v>
      </c>
      <c r="AF8" s="198">
        <v>1.78605259703664E-2</v>
      </c>
      <c r="AG8" s="199">
        <v>362.51238716242</v>
      </c>
      <c r="AJ8" s="379" t="s">
        <v>165</v>
      </c>
      <c r="AK8" s="379"/>
    </row>
    <row r="9" spans="2:38" ht="12.75" thickBot="1" x14ac:dyDescent="0.25">
      <c r="B9" s="145">
        <f t="shared" si="8"/>
        <v>2030</v>
      </c>
      <c r="C9" s="14">
        <v>-84.764043574875203</v>
      </c>
      <c r="D9" s="12">
        <f t="shared" si="0"/>
        <v>5509.6628323668883</v>
      </c>
      <c r="E9" s="13">
        <v>4222.6977842977631</v>
      </c>
      <c r="F9" s="15">
        <f t="shared" si="6"/>
        <v>-233316.9197891978</v>
      </c>
      <c r="G9" s="16">
        <v>-7.5008721301583106E-2</v>
      </c>
      <c r="H9" s="17">
        <v>-5.1462609437186104E-4</v>
      </c>
      <c r="I9" s="18">
        <v>-1.6687834876943264E-3</v>
      </c>
      <c r="J9" s="19">
        <f t="shared" si="1"/>
        <v>1417.6648325999206</v>
      </c>
      <c r="K9" s="20">
        <f t="shared" si="2"/>
        <v>26.400318641276471</v>
      </c>
      <c r="L9" s="21">
        <f t="shared" si="3"/>
        <v>1514.5878934313707</v>
      </c>
      <c r="M9" s="22">
        <f t="shared" si="4"/>
        <v>2958.6530446725678</v>
      </c>
      <c r="N9" s="23">
        <v>1609.3112235967344</v>
      </c>
      <c r="O9" s="24">
        <f t="shared" si="5"/>
        <v>8468.3158770394566</v>
      </c>
      <c r="P9" s="21">
        <f t="shared" si="5"/>
        <v>5832.0090078944977</v>
      </c>
      <c r="Q9" s="15" cm="1">
        <f t="array" ref="Q9">TREND($AB$32:$AB$33,$AA$32:$AA$33,B9)*$AK$17</f>
        <v>521827.08942099957</v>
      </c>
      <c r="R9" s="15" cm="1">
        <f t="array" ref="R9">TREND($AC$32:$AC$33,$AA$32:$AA$33,B9)*$AK$17</f>
        <v>288510.16963180178</v>
      </c>
      <c r="S9" s="15">
        <f t="shared" si="7"/>
        <v>233316.9197891978</v>
      </c>
      <c r="U9" s="200" t="s">
        <v>152</v>
      </c>
      <c r="V9" s="201">
        <f t="shared" si="9"/>
        <v>2.099484306313415</v>
      </c>
      <c r="W9" s="201">
        <f t="shared" si="9"/>
        <v>4.7858028693373951E-3</v>
      </c>
      <c r="X9" s="201">
        <f t="shared" si="9"/>
        <v>3.2505287070740692E-2</v>
      </c>
      <c r="Y9" s="202">
        <f t="shared" si="9"/>
        <v>1238.7315972924489</v>
      </c>
      <c r="AA9" s="203">
        <v>21</v>
      </c>
      <c r="AB9" s="153" t="s">
        <v>153</v>
      </c>
      <c r="AC9" s="153" t="s">
        <v>101</v>
      </c>
      <c r="AD9" s="204">
        <v>3.7528759722247264E-2</v>
      </c>
      <c r="AE9" s="204">
        <v>1.6122938930079201E-3</v>
      </c>
      <c r="AF9" s="204">
        <v>1.1798384221972261E-3</v>
      </c>
      <c r="AG9" s="205">
        <v>243.79125643460799</v>
      </c>
      <c r="AJ9" s="316"/>
      <c r="AK9" s="316"/>
      <c r="AL9" s="86"/>
    </row>
    <row r="10" spans="2:38" x14ac:dyDescent="0.2">
      <c r="B10" s="145">
        <f t="shared" si="8"/>
        <v>2031</v>
      </c>
      <c r="C10" s="14">
        <v>-86.075829032283565</v>
      </c>
      <c r="D10" s="12">
        <f t="shared" si="0"/>
        <v>5681.0047161307157</v>
      </c>
      <c r="E10" s="13">
        <v>4227.2010397724634</v>
      </c>
      <c r="F10" s="15">
        <f t="shared" si="6"/>
        <v>-236927.66945897287</v>
      </c>
      <c r="G10" s="16">
        <v>-7.6169536024812981E-2</v>
      </c>
      <c r="H10" s="17">
        <v>-5.2259030889170689E-4</v>
      </c>
      <c r="I10" s="18">
        <v>-1.6946091304833814E-3</v>
      </c>
      <c r="J10" s="19">
        <f t="shared" si="1"/>
        <v>1439.6042308689653</v>
      </c>
      <c r="K10" s="20">
        <f t="shared" si="2"/>
        <v>26.808882846144563</v>
      </c>
      <c r="L10" s="21">
        <f t="shared" si="3"/>
        <v>1538.0272468267169</v>
      </c>
      <c r="M10" s="22">
        <f t="shared" si="4"/>
        <v>3004.4403605418265</v>
      </c>
      <c r="N10" s="23">
        <v>1527.3051305424137</v>
      </c>
      <c r="O10" s="24">
        <f t="shared" si="5"/>
        <v>8685.4450766725422</v>
      </c>
      <c r="P10" s="21">
        <f t="shared" si="5"/>
        <v>5754.5061703148767</v>
      </c>
      <c r="Q10" s="15" cm="1">
        <f t="array" ref="Q10">TREND($AB$32:$AB$33,$AA$32:$AA$33,B10)*$AK$17</f>
        <v>529902.74459641112</v>
      </c>
      <c r="R10" s="15" cm="1">
        <f t="array" ref="R10">TREND($AC$32:$AC$33,$AA$32:$AA$33,B10)*$AK$17</f>
        <v>292975.07513743825</v>
      </c>
      <c r="S10" s="15">
        <f>Q10-R10</f>
        <v>236927.66945897287</v>
      </c>
      <c r="U10" s="64"/>
      <c r="V10" s="206"/>
      <c r="W10" s="207"/>
      <c r="X10" s="206"/>
      <c r="Y10" s="208"/>
      <c r="AA10" s="203">
        <v>31</v>
      </c>
      <c r="AB10" s="153" t="s">
        <v>153</v>
      </c>
      <c r="AC10" s="153" t="s">
        <v>101</v>
      </c>
      <c r="AD10" s="204">
        <v>5.602001301010253E-2</v>
      </c>
      <c r="AE10" s="204">
        <v>2.0534055761767299E-3</v>
      </c>
      <c r="AF10" s="204">
        <v>1.6834690354423085E-3</v>
      </c>
      <c r="AG10" s="205">
        <v>318.590574637288</v>
      </c>
      <c r="AL10" s="86"/>
    </row>
    <row r="11" spans="2:38" ht="12.75" thickBot="1" x14ac:dyDescent="0.25">
      <c r="B11" s="145">
        <f t="shared" si="8"/>
        <v>2032</v>
      </c>
      <c r="C11" s="14">
        <v>-87.387614489691899</v>
      </c>
      <c r="D11" s="12">
        <f t="shared" si="0"/>
        <v>5854.9701708093571</v>
      </c>
      <c r="E11" s="13">
        <v>4229.7550252437695</v>
      </c>
      <c r="F11" s="15">
        <f t="shared" si="6"/>
        <v>-240538.41912874789</v>
      </c>
      <c r="G11" s="16">
        <v>-7.7330350748042828E-2</v>
      </c>
      <c r="H11" s="17">
        <v>-5.3055452341155252E-4</v>
      </c>
      <c r="I11" s="18">
        <v>-1.720434773272436E-3</v>
      </c>
      <c r="J11" s="19">
        <f t="shared" si="1"/>
        <v>1461.5436291380095</v>
      </c>
      <c r="K11" s="20">
        <f t="shared" si="2"/>
        <v>27.217447051012645</v>
      </c>
      <c r="L11" s="21">
        <f t="shared" si="3"/>
        <v>1561.4666002220629</v>
      </c>
      <c r="M11" s="22">
        <f t="shared" si="4"/>
        <v>3050.2276764110848</v>
      </c>
      <c r="N11" s="23">
        <v>1449.141196404953</v>
      </c>
      <c r="O11" s="24">
        <f t="shared" si="5"/>
        <v>8905.1978472204428</v>
      </c>
      <c r="P11" s="21">
        <f t="shared" si="5"/>
        <v>5678.8962216487225</v>
      </c>
      <c r="Q11" s="15" cm="1">
        <f t="array" ref="Q11">TREND($AB$32:$AB$33,$AA$32:$AA$33,B11)*$AK$17</f>
        <v>537978.39977182262</v>
      </c>
      <c r="R11" s="15" cm="1">
        <f t="array" ref="R11">TREND($AC$32:$AC$33,$AA$32:$AA$33,B11)*$AK$17</f>
        <v>297439.98064307473</v>
      </c>
      <c r="S11" s="15">
        <f t="shared" si="7"/>
        <v>240538.41912874789</v>
      </c>
      <c r="V11" s="209"/>
      <c r="W11" s="209"/>
      <c r="X11" s="209"/>
      <c r="Y11" s="209"/>
      <c r="AA11" s="203">
        <v>32</v>
      </c>
      <c r="AB11" s="153" t="s">
        <v>153</v>
      </c>
      <c r="AC11" s="153" t="s">
        <v>101</v>
      </c>
      <c r="AD11" s="204">
        <v>8.1182565604368817E-2</v>
      </c>
      <c r="AE11" s="204">
        <v>2.2057095109159902E-3</v>
      </c>
      <c r="AF11" s="204">
        <v>2.5484529232710825E-3</v>
      </c>
      <c r="AG11" s="205">
        <v>344.00451224712401</v>
      </c>
      <c r="AJ11" s="64" t="s">
        <v>212</v>
      </c>
      <c r="AK11" s="64"/>
    </row>
    <row r="12" spans="2:38" ht="15" thickBot="1" x14ac:dyDescent="0.25">
      <c r="B12" s="145">
        <f t="shared" si="8"/>
        <v>2033</v>
      </c>
      <c r="C12" s="14">
        <v>-88.699399947100233</v>
      </c>
      <c r="D12" s="12">
        <f t="shared" si="0"/>
        <v>6031.5591964028154</v>
      </c>
      <c r="E12" s="13">
        <v>4230.414266549833</v>
      </c>
      <c r="F12" s="15">
        <f t="shared" si="6"/>
        <v>-244149.16879852297</v>
      </c>
      <c r="G12" s="16">
        <v>-7.8491165471272689E-2</v>
      </c>
      <c r="H12" s="17">
        <v>-5.3851873793139837E-4</v>
      </c>
      <c r="I12" s="18">
        <v>-1.7462604160614907E-3</v>
      </c>
      <c r="J12" s="19">
        <f t="shared" si="1"/>
        <v>1483.4830274070539</v>
      </c>
      <c r="K12" s="20">
        <f t="shared" si="2"/>
        <v>27.626011255880737</v>
      </c>
      <c r="L12" s="21">
        <f t="shared" si="3"/>
        <v>1584.9059536174091</v>
      </c>
      <c r="M12" s="22">
        <f t="shared" si="4"/>
        <v>3096.0149922803439</v>
      </c>
      <c r="N12" s="23">
        <v>1374.6676825610855</v>
      </c>
      <c r="O12" s="24">
        <f t="shared" si="5"/>
        <v>9127.5741886831602</v>
      </c>
      <c r="P12" s="21">
        <f t="shared" si="5"/>
        <v>5605.0819491109187</v>
      </c>
      <c r="Q12" s="15" cm="1">
        <f t="array" ref="Q12">TREND($AB$32:$AB$33,$AA$32:$AA$33,B12)*$AK$17</f>
        <v>546054.05494723411</v>
      </c>
      <c r="R12" s="15" cm="1">
        <f t="array" ref="R12">TREND($AC$32:$AC$33,$AA$32:$AA$33,B12)*$AK$17</f>
        <v>301904.88614871114</v>
      </c>
      <c r="S12" s="15">
        <f t="shared" si="7"/>
        <v>244149.16879852297</v>
      </c>
      <c r="U12" s="64" t="s">
        <v>222</v>
      </c>
      <c r="AA12" s="203">
        <v>41</v>
      </c>
      <c r="AB12" s="153" t="s">
        <v>154</v>
      </c>
      <c r="AC12" s="153" t="s">
        <v>102</v>
      </c>
      <c r="AD12" s="204">
        <v>2.237602310868759</v>
      </c>
      <c r="AE12" s="204">
        <v>5.5717265564873301E-3</v>
      </c>
      <c r="AF12" s="204">
        <v>1.658066855283262E-2</v>
      </c>
      <c r="AG12" s="205">
        <v>1406.7823013201701</v>
      </c>
      <c r="AJ12" s="44" t="s">
        <v>9</v>
      </c>
      <c r="AK12" s="45" t="s">
        <v>166</v>
      </c>
    </row>
    <row r="13" spans="2:38" ht="12.75" thickBot="1" x14ac:dyDescent="0.25">
      <c r="B13" s="145">
        <f t="shared" si="8"/>
        <v>2034</v>
      </c>
      <c r="C13" s="14">
        <v>-90.011185404508581</v>
      </c>
      <c r="D13" s="12">
        <f t="shared" si="0"/>
        <v>6210.7717929110922</v>
      </c>
      <c r="E13" s="13">
        <v>4229.2333747746407</v>
      </c>
      <c r="F13" s="15">
        <f t="shared" si="6"/>
        <v>-247759.91846829798</v>
      </c>
      <c r="G13" s="16">
        <v>-7.9651980194502522E-2</v>
      </c>
      <c r="H13" s="17">
        <v>-5.46482952451244E-4</v>
      </c>
      <c r="I13" s="18">
        <v>-1.7720860588505453E-3</v>
      </c>
      <c r="J13" s="19">
        <f t="shared" si="1"/>
        <v>1505.4224256760976</v>
      </c>
      <c r="K13" s="20">
        <f t="shared" si="2"/>
        <v>28.034575460748819</v>
      </c>
      <c r="L13" s="21">
        <f t="shared" si="3"/>
        <v>1608.3453070127548</v>
      </c>
      <c r="M13" s="22">
        <f t="shared" si="4"/>
        <v>3141.8023081496012</v>
      </c>
      <c r="N13" s="23">
        <v>1303.7362601762322</v>
      </c>
      <c r="O13" s="24">
        <f t="shared" si="5"/>
        <v>9352.5741010606944</v>
      </c>
      <c r="P13" s="21">
        <f t="shared" si="5"/>
        <v>5532.9696349508731</v>
      </c>
      <c r="Q13" s="15" cm="1">
        <f t="array" ref="Q13">TREND($AB$32:$AB$33,$AA$32:$AA$33,B13)*$AK$17</f>
        <v>554129.7101226456</v>
      </c>
      <c r="R13" s="15" cm="1">
        <f t="array" ref="R13">TREND($AC$32:$AC$33,$AA$32:$AA$33,B13)*$AK$17</f>
        <v>306369.79165434762</v>
      </c>
      <c r="S13" s="15">
        <f t="shared" si="7"/>
        <v>247759.91846829798</v>
      </c>
      <c r="U13" s="49" t="s">
        <v>37</v>
      </c>
      <c r="V13" s="48" t="s">
        <v>143</v>
      </c>
      <c r="W13" s="48" t="s">
        <v>144</v>
      </c>
      <c r="X13" s="48" t="s">
        <v>145</v>
      </c>
      <c r="Y13" s="45" t="s">
        <v>146</v>
      </c>
      <c r="AA13" s="203">
        <v>42</v>
      </c>
      <c r="AB13" s="153" t="s">
        <v>154</v>
      </c>
      <c r="AC13" s="153" t="s">
        <v>102</v>
      </c>
      <c r="AD13" s="204">
        <v>1.9658170115512426</v>
      </c>
      <c r="AE13" s="204">
        <v>5.4889920561794897E-3</v>
      </c>
      <c r="AF13" s="204">
        <v>1.2308421676718551E-2</v>
      </c>
      <c r="AG13" s="205">
        <v>1391.9649569298599</v>
      </c>
      <c r="AJ13" s="210" t="s">
        <v>150</v>
      </c>
      <c r="AK13" s="211">
        <v>24.9</v>
      </c>
    </row>
    <row r="14" spans="2:38" x14ac:dyDescent="0.2">
      <c r="B14" s="145">
        <f t="shared" si="8"/>
        <v>2035</v>
      </c>
      <c r="C14" s="14">
        <v>-91.3229708619169</v>
      </c>
      <c r="D14" s="12">
        <f t="shared" si="0"/>
        <v>6392.6079603341832</v>
      </c>
      <c r="E14" s="13">
        <v>4226.2669481947742</v>
      </c>
      <c r="F14" s="15">
        <f t="shared" si="6"/>
        <v>-251370.668138073</v>
      </c>
      <c r="G14" s="16">
        <v>-8.081279491773237E-2</v>
      </c>
      <c r="H14" s="17">
        <v>-5.5444716697108985E-4</v>
      </c>
      <c r="I14" s="18">
        <v>-1.7979117016395996E-3</v>
      </c>
      <c r="J14" s="19">
        <f t="shared" si="1"/>
        <v>1527.3618239451419</v>
      </c>
      <c r="K14" s="20">
        <f t="shared" si="2"/>
        <v>28.443139665616908</v>
      </c>
      <c r="L14" s="21">
        <f t="shared" si="3"/>
        <v>1631.7846604081005</v>
      </c>
      <c r="M14" s="22">
        <f t="shared" si="4"/>
        <v>3187.5896240188595</v>
      </c>
      <c r="N14" s="23">
        <v>1236.202213482446</v>
      </c>
      <c r="O14" s="24">
        <f t="shared" si="5"/>
        <v>9580.1975843530417</v>
      </c>
      <c r="P14" s="21">
        <f t="shared" si="5"/>
        <v>5462.4691616772197</v>
      </c>
      <c r="Q14" s="15" cm="1">
        <f t="array" ref="Q14">TREND($AB$32:$AB$33,$AA$32:$AA$33,B14)*$AK$17</f>
        <v>562205.36529805709</v>
      </c>
      <c r="R14" s="15" cm="1">
        <f t="array" ref="R14">TREND($AC$32:$AC$33,$AA$32:$AA$33,B14)*$AK$17</f>
        <v>310834.69715998409</v>
      </c>
      <c r="S14" s="15">
        <f t="shared" si="7"/>
        <v>251370.668138073</v>
      </c>
      <c r="U14" s="68">
        <v>2022</v>
      </c>
      <c r="V14" s="212">
        <v>16600</v>
      </c>
      <c r="W14" s="212">
        <v>44300</v>
      </c>
      <c r="X14" s="212">
        <v>796700</v>
      </c>
      <c r="Y14" s="213">
        <v>56</v>
      </c>
      <c r="AA14" s="203">
        <v>43</v>
      </c>
      <c r="AB14" s="153" t="s">
        <v>154</v>
      </c>
      <c r="AC14" s="153" t="s">
        <v>102</v>
      </c>
      <c r="AD14" s="204">
        <v>1.9469017025302577</v>
      </c>
      <c r="AE14" s="204">
        <v>3.66910948950592E-3</v>
      </c>
      <c r="AF14" s="204">
        <v>5.5096995199883071E-2</v>
      </c>
      <c r="AG14" s="205">
        <v>1071.1129065416801</v>
      </c>
    </row>
    <row r="15" spans="2:38" ht="12.75" thickBot="1" x14ac:dyDescent="0.25">
      <c r="B15" s="145">
        <f t="shared" si="8"/>
        <v>2036</v>
      </c>
      <c r="C15" s="14">
        <v>-92.634756319326399</v>
      </c>
      <c r="D15" s="12">
        <f t="shared" si="0"/>
        <v>6669.7024549915004</v>
      </c>
      <c r="E15" s="13">
        <v>4281.0282063175127</v>
      </c>
      <c r="F15" s="15">
        <f t="shared" si="6"/>
        <v>-254981.41780785122</v>
      </c>
      <c r="G15" s="16">
        <v>-8.1973609640963244E-2</v>
      </c>
      <c r="H15" s="17">
        <v>-5.6241138149094253E-4</v>
      </c>
      <c r="I15" s="18">
        <v>-1.823737344428677E-3</v>
      </c>
      <c r="J15" s="19">
        <f t="shared" si="1"/>
        <v>1549.3012222142054</v>
      </c>
      <c r="K15" s="20">
        <f t="shared" si="2"/>
        <v>28.851703870485352</v>
      </c>
      <c r="L15" s="21">
        <f t="shared" si="3"/>
        <v>1655.2240138034672</v>
      </c>
      <c r="M15" s="22">
        <f t="shared" si="4"/>
        <v>3233.3769398881577</v>
      </c>
      <c r="N15" s="23">
        <v>1171.9246018658559</v>
      </c>
      <c r="O15" s="24">
        <f t="shared" si="5"/>
        <v>9903.0793948796581</v>
      </c>
      <c r="P15" s="21">
        <f t="shared" si="5"/>
        <v>5452.9528081833687</v>
      </c>
      <c r="Q15" s="15" cm="1">
        <f t="array" ref="Q15">TREND($AB$32:$AB$33,$AA$32:$AA$33,B15)*$AK$17</f>
        <v>570281.02047347173</v>
      </c>
      <c r="R15" s="15" cm="1">
        <f t="array" ref="R15">TREND($AC$32:$AC$33,$AA$32:$AA$33,B15)*$AK$17</f>
        <v>315299.60266562051</v>
      </c>
      <c r="S15" s="15">
        <f t="shared" si="7"/>
        <v>254981.41780785122</v>
      </c>
      <c r="U15" s="75">
        <v>2023</v>
      </c>
      <c r="V15" s="214">
        <v>16800</v>
      </c>
      <c r="W15" s="214">
        <v>45100</v>
      </c>
      <c r="X15" s="214">
        <v>810500</v>
      </c>
      <c r="Y15" s="215">
        <v>57</v>
      </c>
      <c r="AA15" s="203">
        <v>51</v>
      </c>
      <c r="AB15" s="153" t="s">
        <v>155</v>
      </c>
      <c r="AC15" s="153" t="s">
        <v>102</v>
      </c>
      <c r="AD15" s="204">
        <v>2.48942987946789</v>
      </c>
      <c r="AE15" s="204">
        <v>5.2833773025508703E-3</v>
      </c>
      <c r="AF15" s="204">
        <v>3.4321389281753531E-2</v>
      </c>
      <c r="AG15" s="205">
        <v>1427.83446247497</v>
      </c>
      <c r="AJ15" s="64" t="s">
        <v>213</v>
      </c>
    </row>
    <row r="16" spans="2:38" ht="12.75" thickBot="1" x14ac:dyDescent="0.25">
      <c r="B16" s="145">
        <f t="shared" si="8"/>
        <v>2037</v>
      </c>
      <c r="C16" s="14">
        <v>-93.946541776734733</v>
      </c>
      <c r="D16" s="12">
        <f t="shared" si="0"/>
        <v>6858.0975497016352</v>
      </c>
      <c r="E16" s="13">
        <v>4273.7396589205337</v>
      </c>
      <c r="F16" s="15">
        <f t="shared" si="6"/>
        <v>-258592.16747762624</v>
      </c>
      <c r="G16" s="16">
        <v>-8.3134424364193091E-2</v>
      </c>
      <c r="H16" s="17">
        <v>-5.7037559601078828E-4</v>
      </c>
      <c r="I16" s="18">
        <v>-1.8495629872177315E-3</v>
      </c>
      <c r="J16" s="19">
        <f t="shared" si="1"/>
        <v>1571.2406204832494</v>
      </c>
      <c r="K16" s="20">
        <f t="shared" si="2"/>
        <v>29.260268075353437</v>
      </c>
      <c r="L16" s="21">
        <f t="shared" si="3"/>
        <v>1678.6633671988131</v>
      </c>
      <c r="M16" s="22">
        <f t="shared" ref="M16:M25" si="10">SUM(J16:L16)</f>
        <v>3279.164255757416</v>
      </c>
      <c r="N16" s="23">
        <v>1110.7663852829685</v>
      </c>
      <c r="O16" s="24">
        <f t="shared" si="5"/>
        <v>10137.261805459051</v>
      </c>
      <c r="P16" s="21">
        <f t="shared" si="5"/>
        <v>5384.5060442035019</v>
      </c>
      <c r="Q16" s="15" cm="1">
        <f t="array" ref="Q16">TREND($AB$32:$AB$33,$AA$32:$AA$33,B16)*$AK$17</f>
        <v>578356.67564888322</v>
      </c>
      <c r="R16" s="15" cm="1">
        <f t="array" ref="R16">TREND($AC$32:$AC$33,$AA$32:$AA$33,B16)*$AK$17</f>
        <v>319764.50817125698</v>
      </c>
      <c r="S16" s="15">
        <f t="shared" si="7"/>
        <v>258592.16747762624</v>
      </c>
      <c r="U16" s="75">
        <v>2024</v>
      </c>
      <c r="V16" s="214">
        <v>17000</v>
      </c>
      <c r="W16" s="214">
        <v>46000</v>
      </c>
      <c r="X16" s="214">
        <v>824500</v>
      </c>
      <c r="Y16" s="215">
        <v>58</v>
      </c>
      <c r="AA16" s="203">
        <v>52</v>
      </c>
      <c r="AB16" s="153" t="s">
        <v>155</v>
      </c>
      <c r="AC16" s="153" t="s">
        <v>102</v>
      </c>
      <c r="AD16" s="204">
        <v>0.95074648895471525</v>
      </c>
      <c r="AE16" s="204">
        <v>3.5321878667988801E-3</v>
      </c>
      <c r="AF16" s="204">
        <v>1.5158170819293781E-2</v>
      </c>
      <c r="AG16" s="205">
        <v>862.616489254057</v>
      </c>
      <c r="AJ16" s="44" t="s">
        <v>192</v>
      </c>
      <c r="AK16" s="45" t="s">
        <v>8</v>
      </c>
    </row>
    <row r="17" spans="2:37" ht="12.75" thickBot="1" x14ac:dyDescent="0.25">
      <c r="B17" s="145">
        <f t="shared" si="8"/>
        <v>2038</v>
      </c>
      <c r="C17" s="14">
        <v>-95.258327234143664</v>
      </c>
      <c r="D17" s="12">
        <f t="shared" si="0"/>
        <v>7049.1162153266314</v>
      </c>
      <c r="E17" s="13">
        <v>4264.8312389436633</v>
      </c>
      <c r="F17" s="15">
        <f t="shared" si="6"/>
        <v>-262202.91714740288</v>
      </c>
      <c r="G17" s="16">
        <v>-8.4295239087423451E-2</v>
      </c>
      <c r="H17" s="17">
        <v>-5.783398105306376E-4</v>
      </c>
      <c r="I17" s="18">
        <v>-1.8753886300067976E-3</v>
      </c>
      <c r="J17" s="19">
        <f t="shared" si="1"/>
        <v>1593.1800187523033</v>
      </c>
      <c r="K17" s="20">
        <f t="shared" si="2"/>
        <v>29.668832280221707</v>
      </c>
      <c r="L17" s="21">
        <f t="shared" si="3"/>
        <v>1702.1027205941696</v>
      </c>
      <c r="M17" s="22">
        <f t="shared" si="10"/>
        <v>3324.9515716266947</v>
      </c>
      <c r="N17" s="23">
        <v>1052.5945171104061</v>
      </c>
      <c r="O17" s="24">
        <f t="shared" si="5"/>
        <v>10374.067786953327</v>
      </c>
      <c r="P17" s="21">
        <f t="shared" si="5"/>
        <v>5317.4257560540691</v>
      </c>
      <c r="Q17" s="15" cm="1">
        <f t="array" ref="Q17">TREND($AB$32:$AB$33,$AA$32:$AA$33,B17)*$AK$17</f>
        <v>586432.33082429471</v>
      </c>
      <c r="R17" s="15" cm="1">
        <f t="array" ref="R17">TREND($AC$32:$AC$33,$AA$32:$AA$33,B17)*$AK$17</f>
        <v>324229.41367689183</v>
      </c>
      <c r="S17" s="15">
        <f t="shared" si="7"/>
        <v>262202.91714740288</v>
      </c>
      <c r="U17" s="75">
        <v>2025</v>
      </c>
      <c r="V17" s="214">
        <v>17200</v>
      </c>
      <c r="W17" s="214">
        <v>46900</v>
      </c>
      <c r="X17" s="214">
        <v>838800</v>
      </c>
      <c r="Y17" s="215">
        <v>59</v>
      </c>
      <c r="AA17" s="203">
        <v>53</v>
      </c>
      <c r="AB17" s="153" t="s">
        <v>155</v>
      </c>
      <c r="AC17" s="153" t="s">
        <v>102</v>
      </c>
      <c r="AD17" s="204">
        <v>0.89067775827536644</v>
      </c>
      <c r="AE17" s="204">
        <v>3.4020765235606102E-3</v>
      </c>
      <c r="AF17" s="204">
        <v>1.349939126139434E-2</v>
      </c>
      <c r="AG17" s="205">
        <v>829.46088804247995</v>
      </c>
      <c r="AJ17" s="210" t="s">
        <v>167</v>
      </c>
      <c r="AK17" s="211">
        <v>6.8475000000000001</v>
      </c>
    </row>
    <row r="18" spans="2:37" x14ac:dyDescent="0.2">
      <c r="B18" s="145">
        <f t="shared" si="8"/>
        <v>2039</v>
      </c>
      <c r="C18" s="14">
        <v>-96.570112691551984</v>
      </c>
      <c r="D18" s="12">
        <f t="shared" si="0"/>
        <v>7242.7584518663989</v>
      </c>
      <c r="E18" s="13">
        <v>4254.3572588935785</v>
      </c>
      <c r="F18" s="15">
        <f t="shared" si="6"/>
        <v>-265813.6668171779</v>
      </c>
      <c r="G18" s="16">
        <v>-8.5456053810653312E-2</v>
      </c>
      <c r="H18" s="17">
        <v>-5.8630402505048323E-4</v>
      </c>
      <c r="I18" s="18">
        <v>-1.9012142727958519E-3</v>
      </c>
      <c r="J18" s="19">
        <f t="shared" si="1"/>
        <v>1615.1194170213475</v>
      </c>
      <c r="K18" s="20">
        <f t="shared" si="2"/>
        <v>30.077396485089789</v>
      </c>
      <c r="L18" s="21">
        <f t="shared" si="3"/>
        <v>1725.5420739895153</v>
      </c>
      <c r="M18" s="22">
        <f t="shared" si="10"/>
        <v>3370.7388874959524</v>
      </c>
      <c r="N18" s="23">
        <v>997.28000815205962</v>
      </c>
      <c r="O18" s="24">
        <f t="shared" si="5"/>
        <v>10613.497339362351</v>
      </c>
      <c r="P18" s="21">
        <f t="shared" si="5"/>
        <v>5251.6372670456385</v>
      </c>
      <c r="Q18" s="15" cm="1">
        <f t="array" ref="Q18">TREND($AB$32:$AB$33,$AA$32:$AA$33,B18)*$AK$17</f>
        <v>594507.9859997062</v>
      </c>
      <c r="R18" s="15" cm="1">
        <f t="array" ref="R18">TREND($AC$32:$AC$33,$AA$32:$AA$33,B18)*$AK$17</f>
        <v>328694.3191825283</v>
      </c>
      <c r="S18" s="15">
        <f t="shared" si="7"/>
        <v>265813.6668171779</v>
      </c>
      <c r="U18" s="75">
        <v>2026</v>
      </c>
      <c r="V18" s="214">
        <v>17500</v>
      </c>
      <c r="W18" s="214">
        <v>47800</v>
      </c>
      <c r="X18" s="214">
        <v>852100</v>
      </c>
      <c r="Y18" s="215">
        <v>60</v>
      </c>
      <c r="AA18" s="203">
        <v>54</v>
      </c>
      <c r="AB18" s="153" t="s">
        <v>155</v>
      </c>
      <c r="AC18" s="153" t="s">
        <v>102</v>
      </c>
      <c r="AD18" s="204">
        <v>1.6481032166429217</v>
      </c>
      <c r="AE18" s="204">
        <v>6.0326542026046303E-3</v>
      </c>
      <c r="AF18" s="204">
        <v>4.2864875162321965E-2</v>
      </c>
      <c r="AG18" s="205">
        <v>1166.1048437433201</v>
      </c>
    </row>
    <row r="19" spans="2:37" x14ac:dyDescent="0.2">
      <c r="B19" s="145">
        <f t="shared" si="8"/>
        <v>2040</v>
      </c>
      <c r="C19" s="14">
        <v>-97.881898148960346</v>
      </c>
      <c r="D19" s="12">
        <f t="shared" si="0"/>
        <v>7439.0242593209859</v>
      </c>
      <c r="E19" s="13">
        <v>4242.3715882056877</v>
      </c>
      <c r="F19" s="15">
        <f t="shared" si="6"/>
        <v>-269424.41648695298</v>
      </c>
      <c r="G19" s="16">
        <v>-8.6616868533883173E-2</v>
      </c>
      <c r="H19" s="17">
        <v>-5.9426823957032908E-4</v>
      </c>
      <c r="I19" s="18">
        <v>-1.9270399155849069E-3</v>
      </c>
      <c r="J19" s="19">
        <f t="shared" si="1"/>
        <v>1637.058815290392</v>
      </c>
      <c r="K19" s="20">
        <f t="shared" si="2"/>
        <v>30.485960689957881</v>
      </c>
      <c r="L19" s="21">
        <f t="shared" si="3"/>
        <v>1748.9814273848615</v>
      </c>
      <c r="M19" s="22">
        <f t="shared" si="10"/>
        <v>3416.5262033652116</v>
      </c>
      <c r="N19" s="23">
        <v>944.69796518036708</v>
      </c>
      <c r="O19" s="24">
        <f t="shared" si="5"/>
        <v>10855.550462686198</v>
      </c>
      <c r="P19" s="21">
        <f t="shared" si="5"/>
        <v>5187.0695533860544</v>
      </c>
      <c r="Q19" s="15" cm="1">
        <f t="array" ref="Q19">TREND($AB$32:$AB$33,$AA$32:$AA$33,B19)*$AK$17</f>
        <v>602583.64117511769</v>
      </c>
      <c r="R19" s="15" cm="1">
        <f t="array" ref="R19">TREND($AC$32:$AC$33,$AA$32:$AA$33,B19)*$AK$17</f>
        <v>333159.22468816472</v>
      </c>
      <c r="S19" s="15">
        <f t="shared" si="7"/>
        <v>269424.41648695298</v>
      </c>
      <c r="U19" s="75">
        <v>2027</v>
      </c>
      <c r="V19" s="214">
        <v>17900</v>
      </c>
      <c r="W19" s="214">
        <v>48700</v>
      </c>
      <c r="X19" s="214">
        <v>865600</v>
      </c>
      <c r="Y19" s="215">
        <v>61</v>
      </c>
      <c r="AA19" s="203">
        <v>61</v>
      </c>
      <c r="AB19" s="153" t="s">
        <v>156</v>
      </c>
      <c r="AC19" s="153" t="s">
        <v>102</v>
      </c>
      <c r="AD19" s="204">
        <v>3.0234078113615883</v>
      </c>
      <c r="AE19" s="204">
        <v>4.9760807160904204E-3</v>
      </c>
      <c r="AF19" s="204">
        <v>4.3407648080982714E-2</v>
      </c>
      <c r="AG19" s="205">
        <v>1463.90880302132</v>
      </c>
    </row>
    <row r="20" spans="2:37" ht="12.75" thickBot="1" x14ac:dyDescent="0.25">
      <c r="B20" s="145">
        <f t="shared" si="8"/>
        <v>2041</v>
      </c>
      <c r="C20" s="14">
        <v>-99.193683606368694</v>
      </c>
      <c r="D20" s="12">
        <f t="shared" si="0"/>
        <v>7737.1073212967585</v>
      </c>
      <c r="E20" s="13">
        <v>4283.8487313395963</v>
      </c>
      <c r="F20" s="15">
        <f t="shared" si="6"/>
        <v>-273035.166156728</v>
      </c>
      <c r="G20" s="16">
        <v>-8.7777683257113021E-2</v>
      </c>
      <c r="H20" s="17">
        <v>-6.0223245409017493E-4</v>
      </c>
      <c r="I20" s="18">
        <v>-1.9528655583739615E-3</v>
      </c>
      <c r="J20" s="19">
        <f t="shared" si="1"/>
        <v>1658.9982135594362</v>
      </c>
      <c r="K20" s="20">
        <f t="shared" si="2"/>
        <v>30.894524894825974</v>
      </c>
      <c r="L20" s="21">
        <f t="shared" si="3"/>
        <v>1772.4207807802075</v>
      </c>
      <c r="M20" s="22">
        <f t="shared" si="10"/>
        <v>3462.3135192344698</v>
      </c>
      <c r="N20" s="23">
        <v>894.72760706954807</v>
      </c>
      <c r="O20" s="24">
        <f t="shared" si="5"/>
        <v>11199.420840531227</v>
      </c>
      <c r="P20" s="21">
        <f t="shared" si="5"/>
        <v>5178.5763384091442</v>
      </c>
      <c r="Q20" s="15" cm="1">
        <f t="array" ref="Q20">TREND($AB$32:$AB$33,$AA$32:$AA$33,B20)*$AK$17</f>
        <v>610659.29635052918</v>
      </c>
      <c r="R20" s="15" cm="1">
        <f t="array" ref="R20">TREND($AC$32:$AC$33,$AA$32:$AA$33,B20)*$AK$17</f>
        <v>337624.13019380119</v>
      </c>
      <c r="S20" s="15">
        <f t="shared" si="7"/>
        <v>273035.166156728</v>
      </c>
      <c r="U20" s="75">
        <v>2028</v>
      </c>
      <c r="V20" s="214">
        <v>18200</v>
      </c>
      <c r="W20" s="214">
        <v>49500</v>
      </c>
      <c r="X20" s="214">
        <v>879400</v>
      </c>
      <c r="Y20" s="215">
        <v>62</v>
      </c>
      <c r="AA20" s="97">
        <v>62</v>
      </c>
      <c r="AB20" s="154" t="s">
        <v>156</v>
      </c>
      <c r="AC20" s="154" t="s">
        <v>102</v>
      </c>
      <c r="AD20" s="216">
        <v>3.7426725771679936</v>
      </c>
      <c r="AE20" s="216">
        <v>5.1160211102583997E-3</v>
      </c>
      <c r="AF20" s="216">
        <v>5.9310023601485649E-2</v>
      </c>
      <c r="AG20" s="217">
        <v>1528.79872430418</v>
      </c>
    </row>
    <row r="21" spans="2:37" x14ac:dyDescent="0.2">
      <c r="B21" s="145">
        <f t="shared" si="8"/>
        <v>2042</v>
      </c>
      <c r="C21" s="14">
        <v>-100.505469063777</v>
      </c>
      <c r="D21" s="12">
        <f t="shared" si="0"/>
        <v>7939.9320560383831</v>
      </c>
      <c r="E21" s="13">
        <v>4268.1047274905914</v>
      </c>
      <c r="F21" s="15">
        <f t="shared" si="6"/>
        <v>-276645.91582650301</v>
      </c>
      <c r="G21" s="16">
        <v>-8.8938497980342854E-2</v>
      </c>
      <c r="H21" s="17">
        <v>-6.1019666861002045E-4</v>
      </c>
      <c r="I21" s="18">
        <v>-1.9786912011630158E-3</v>
      </c>
      <c r="J21" s="19">
        <f t="shared" si="1"/>
        <v>1680.9376118284799</v>
      </c>
      <c r="K21" s="20">
        <f t="shared" si="2"/>
        <v>31.303089099694049</v>
      </c>
      <c r="L21" s="21">
        <f t="shared" si="3"/>
        <v>1795.8601341755532</v>
      </c>
      <c r="M21" s="22">
        <f t="shared" si="10"/>
        <v>3508.1008351037271</v>
      </c>
      <c r="N21" s="23">
        <v>847.25226128785528</v>
      </c>
      <c r="O21" s="24">
        <f t="shared" si="5"/>
        <v>11448.032891142109</v>
      </c>
      <c r="P21" s="21">
        <f t="shared" si="5"/>
        <v>5115.356988778447</v>
      </c>
      <c r="Q21" s="15" cm="1">
        <f t="array" ref="Q21">TREND($AB$32:$AB$33,$AA$32:$AA$33,B21)*$AK$17</f>
        <v>618734.95152594068</v>
      </c>
      <c r="R21" s="15" cm="1">
        <f t="array" ref="R21">TREND($AC$32:$AC$33,$AA$32:$AA$33,B21)*$AK$17</f>
        <v>342089.03569943766</v>
      </c>
      <c r="S21" s="15">
        <f t="shared" si="7"/>
        <v>276645.91582650301</v>
      </c>
      <c r="U21" s="75">
        <v>2029</v>
      </c>
      <c r="V21" s="214">
        <v>18600</v>
      </c>
      <c r="W21" s="214">
        <v>50400</v>
      </c>
      <c r="X21" s="214">
        <v>893400</v>
      </c>
      <c r="Y21" s="215">
        <v>63</v>
      </c>
    </row>
    <row r="22" spans="2:37" x14ac:dyDescent="0.2">
      <c r="B22" s="145">
        <f t="shared" si="8"/>
        <v>2043</v>
      </c>
      <c r="C22" s="14">
        <v>-101.81725452118536</v>
      </c>
      <c r="D22" s="12">
        <f t="shared" si="0"/>
        <v>8145.3803616948289</v>
      </c>
      <c r="E22" s="13">
        <v>4251.0129276048137</v>
      </c>
      <c r="F22" s="15">
        <f t="shared" si="6"/>
        <v>-280256.66549627809</v>
      </c>
      <c r="G22" s="16">
        <v>-9.0099312703572743E-2</v>
      </c>
      <c r="H22" s="17">
        <v>-6.181608831298663E-4</v>
      </c>
      <c r="I22" s="18">
        <v>-2.0045168439520706E-3</v>
      </c>
      <c r="J22" s="19">
        <f t="shared" si="1"/>
        <v>1702.8770100975248</v>
      </c>
      <c r="K22" s="20">
        <f t="shared" si="2"/>
        <v>31.711653304562141</v>
      </c>
      <c r="L22" s="21">
        <f t="shared" si="3"/>
        <v>1819.2994875708991</v>
      </c>
      <c r="M22" s="22">
        <f t="shared" si="10"/>
        <v>3553.8881509729863</v>
      </c>
      <c r="N22" s="23">
        <v>802.1593432495963</v>
      </c>
      <c r="O22" s="24">
        <f t="shared" ref="O22:P25" si="11">M22+D22</f>
        <v>11699.268512667815</v>
      </c>
      <c r="P22" s="21">
        <f t="shared" si="11"/>
        <v>5053.1722708544103</v>
      </c>
      <c r="Q22" s="15" cm="1">
        <f t="array" ref="Q22">TREND($AB$32:$AB$33,$AA$32:$AA$33,B22)*$AK$17</f>
        <v>626810.60670135217</v>
      </c>
      <c r="R22" s="15" cm="1">
        <f t="array" ref="R22">TREND($AC$32:$AC$33,$AA$32:$AA$33,B22)*$AK$17</f>
        <v>346553.94120507408</v>
      </c>
      <c r="S22" s="15">
        <f t="shared" si="7"/>
        <v>280256.66549627809</v>
      </c>
      <c r="U22" s="75">
        <v>2030</v>
      </c>
      <c r="V22" s="214">
        <v>18900</v>
      </c>
      <c r="W22" s="214">
        <v>51300</v>
      </c>
      <c r="X22" s="214">
        <v>907600</v>
      </c>
      <c r="Y22" s="215">
        <v>65</v>
      </c>
    </row>
    <row r="23" spans="2:37" x14ac:dyDescent="0.2">
      <c r="B23" s="145">
        <f t="shared" si="8"/>
        <v>2044</v>
      </c>
      <c r="C23" s="14">
        <v>-103.1290399785937</v>
      </c>
      <c r="D23" s="12">
        <f t="shared" si="0"/>
        <v>8353.4522382660889</v>
      </c>
      <c r="E23" s="13">
        <v>4232.6253200309911</v>
      </c>
      <c r="F23" s="15">
        <f t="shared" si="6"/>
        <v>-283867.41516605311</v>
      </c>
      <c r="G23" s="16">
        <v>-9.1260127426802576E-2</v>
      </c>
      <c r="H23" s="17">
        <v>-6.2612509764971205E-4</v>
      </c>
      <c r="I23" s="18">
        <v>-2.0303424867411249E-3</v>
      </c>
      <c r="J23" s="19">
        <f t="shared" si="1"/>
        <v>1724.8164083665688</v>
      </c>
      <c r="K23" s="20">
        <f t="shared" si="2"/>
        <v>32.120217509430226</v>
      </c>
      <c r="L23" s="21">
        <f t="shared" si="3"/>
        <v>1842.7388409662449</v>
      </c>
      <c r="M23" s="22">
        <f t="shared" si="10"/>
        <v>3599.6754668422436</v>
      </c>
      <c r="N23" s="23">
        <v>759.34032078459268</v>
      </c>
      <c r="O23" s="24">
        <f t="shared" si="11"/>
        <v>11953.127705108333</v>
      </c>
      <c r="P23" s="21">
        <f t="shared" si="11"/>
        <v>4991.9656408155843</v>
      </c>
      <c r="Q23" s="15" cm="1">
        <f t="array" ref="Q23">TREND($AB$32:$AB$33,$AA$32:$AA$33,B23)*$AK$17</f>
        <v>634886.26187676366</v>
      </c>
      <c r="R23" s="15" cm="1">
        <f t="array" ref="R23">TREND($AC$32:$AC$33,$AA$32:$AA$33,B23)*$AK$17</f>
        <v>351018.84671071055</v>
      </c>
      <c r="S23" s="15">
        <f t="shared" si="7"/>
        <v>283867.41516605311</v>
      </c>
      <c r="U23" s="75">
        <v>2031</v>
      </c>
      <c r="V23" s="214">
        <v>18900</v>
      </c>
      <c r="W23" s="214">
        <v>51300</v>
      </c>
      <c r="X23" s="214">
        <v>907600</v>
      </c>
      <c r="Y23" s="215">
        <v>66</v>
      </c>
    </row>
    <row r="24" spans="2:37" ht="12.75" thickBot="1" x14ac:dyDescent="0.25">
      <c r="B24" s="145">
        <f t="shared" si="8"/>
        <v>2045</v>
      </c>
      <c r="C24" s="14">
        <v>-104.44082543600261</v>
      </c>
      <c r="D24" s="12">
        <f t="shared" si="0"/>
        <v>8564.1476857522139</v>
      </c>
      <c r="E24" s="13">
        <v>4212.993169615449</v>
      </c>
      <c r="F24" s="15">
        <f t="shared" si="6"/>
        <v>-287478.16483582975</v>
      </c>
      <c r="G24" s="16">
        <v>-9.2420942150032936E-2</v>
      </c>
      <c r="H24" s="17">
        <v>-6.3408931216956137E-4</v>
      </c>
      <c r="I24" s="18">
        <v>-2.0561681295301914E-3</v>
      </c>
      <c r="J24" s="19">
        <f t="shared" si="1"/>
        <v>1746.7558066356225</v>
      </c>
      <c r="K24" s="20">
        <f t="shared" si="2"/>
        <v>32.528781714298496</v>
      </c>
      <c r="L24" s="21">
        <f t="shared" si="3"/>
        <v>1866.1781943616018</v>
      </c>
      <c r="M24" s="22">
        <f t="shared" si="10"/>
        <v>3645.4627827115228</v>
      </c>
      <c r="N24" s="23">
        <v>718.6906657607102</v>
      </c>
      <c r="O24" s="24">
        <f t="shared" si="11"/>
        <v>12209.610468463736</v>
      </c>
      <c r="P24" s="21">
        <f t="shared" si="11"/>
        <v>4931.6838353761595</v>
      </c>
      <c r="Q24" s="15" cm="1">
        <f t="array" ref="Q24">TREND($AB$32:$AB$33,$AA$32:$AA$33,B24)*$AK$17</f>
        <v>642961.91705217515</v>
      </c>
      <c r="R24" s="15" cm="1">
        <f t="array" ref="R24">TREND($AC$32:$AC$33,$AA$32:$AA$33,B24)*$AK$17</f>
        <v>355483.7522163454</v>
      </c>
      <c r="S24" s="15">
        <f t="shared" si="7"/>
        <v>287478.16483582975</v>
      </c>
      <c r="U24" s="75">
        <v>2032</v>
      </c>
      <c r="V24" s="214">
        <v>18900</v>
      </c>
      <c r="W24" s="214">
        <v>51300</v>
      </c>
      <c r="X24" s="214">
        <v>907600</v>
      </c>
      <c r="Y24" s="215">
        <v>67</v>
      </c>
      <c r="AA24" s="218" t="s">
        <v>277</v>
      </c>
    </row>
    <row r="25" spans="2:37" ht="12.75" thickBot="1" x14ac:dyDescent="0.25">
      <c r="B25" s="186">
        <f t="shared" si="8"/>
        <v>2046</v>
      </c>
      <c r="C25" s="54">
        <v>-105.75261089341095</v>
      </c>
      <c r="D25" s="55">
        <f t="shared" si="0"/>
        <v>8883.2193150465191</v>
      </c>
      <c r="E25" s="56">
        <v>4242.675017838963</v>
      </c>
      <c r="F25" s="27">
        <f t="shared" si="6"/>
        <v>-291088.91450560477</v>
      </c>
      <c r="G25" s="28">
        <v>-9.3581756873262797E-2</v>
      </c>
      <c r="H25" s="29">
        <v>-6.42053526689407E-4</v>
      </c>
      <c r="I25" s="30">
        <v>-2.0819937723192457E-3</v>
      </c>
      <c r="J25" s="31">
        <f t="shared" si="1"/>
        <v>1768.695204904667</v>
      </c>
      <c r="K25" s="32">
        <f t="shared" si="2"/>
        <v>32.937345919166582</v>
      </c>
      <c r="L25" s="26">
        <f t="shared" si="3"/>
        <v>1889.6175477569475</v>
      </c>
      <c r="M25" s="33">
        <f t="shared" si="10"/>
        <v>3691.250098580781</v>
      </c>
      <c r="N25" s="34">
        <v>680.10979469239464</v>
      </c>
      <c r="O25" s="25">
        <f t="shared" si="11"/>
        <v>12574.469413627299</v>
      </c>
      <c r="P25" s="26">
        <f t="shared" si="11"/>
        <v>4922.7848125313576</v>
      </c>
      <c r="Q25" s="27" cm="1">
        <f t="array" ref="Q25">TREND($AB$32:$AB$33,$AA$32:$AA$33,B25)*$AK$17</f>
        <v>651037.57222758664</v>
      </c>
      <c r="R25" s="27" cm="1">
        <f t="array" ref="R25">TREND($AC$32:$AC$33,$AA$32:$AA$33,B25)*$AK$17</f>
        <v>359948.65772198187</v>
      </c>
      <c r="S25" s="27">
        <f t="shared" si="7"/>
        <v>291088.91450560477</v>
      </c>
      <c r="U25" s="75">
        <v>2033</v>
      </c>
      <c r="V25" s="214">
        <v>18900</v>
      </c>
      <c r="W25" s="214">
        <v>51300</v>
      </c>
      <c r="X25" s="214">
        <v>907600</v>
      </c>
      <c r="Y25" s="215">
        <v>68</v>
      </c>
      <c r="AA25" s="46" t="s">
        <v>142</v>
      </c>
      <c r="AB25" s="50" t="s">
        <v>143</v>
      </c>
      <c r="AC25" s="50" t="s">
        <v>144</v>
      </c>
      <c r="AD25" s="50" t="s">
        <v>145</v>
      </c>
      <c r="AE25" s="51" t="s">
        <v>146</v>
      </c>
    </row>
    <row r="26" spans="2:37" x14ac:dyDescent="0.2">
      <c r="C26" s="36">
        <f>SUM(C11:C25)</f>
        <v>-1448.551690373273</v>
      </c>
      <c r="D26" s="37" t="s">
        <v>158</v>
      </c>
      <c r="E26" s="38">
        <f>SUM(E6:E25)</f>
        <v>84593.565864349031</v>
      </c>
      <c r="F26" s="39"/>
      <c r="G26" s="40">
        <f>SUM(G11:G25)</f>
        <v>-1.2818408071597938</v>
      </c>
      <c r="H26" s="40">
        <f>SUM(H11:H25)</f>
        <v>-8.7945603757572082E-3</v>
      </c>
      <c r="I26" s="40">
        <f>SUM(I11:I25)</f>
        <v>-2.8518214091937645E-2</v>
      </c>
      <c r="M26" s="37" t="s">
        <v>158</v>
      </c>
      <c r="N26" s="38">
        <f>SUM(N6:N25)</f>
        <v>23660.211036575398</v>
      </c>
      <c r="O26" s="38">
        <f>SUM(O6:O25)</f>
        <v>200685.71884354349</v>
      </c>
      <c r="P26" s="38">
        <f>SUM(P6:P25)</f>
        <v>108253.77690092445</v>
      </c>
      <c r="Q26" s="38"/>
      <c r="R26" s="38"/>
      <c r="S26" s="187"/>
      <c r="U26" s="75">
        <v>2034</v>
      </c>
      <c r="V26" s="214">
        <v>18900</v>
      </c>
      <c r="W26" s="214">
        <v>51300</v>
      </c>
      <c r="X26" s="214">
        <v>907600</v>
      </c>
      <c r="Y26" s="215">
        <v>69</v>
      </c>
      <c r="AA26" s="194" t="s">
        <v>150</v>
      </c>
      <c r="AB26" s="195">
        <f>AVERAGE(AD8:AD11)</f>
        <v>0.22790983982547491</v>
      </c>
      <c r="AC26" s="195">
        <f>AVERAGE(AE8:AE11)</f>
        <v>2.0699004398994176E-3</v>
      </c>
      <c r="AD26" s="195">
        <f>AVERAGE(AF8:AF11)</f>
        <v>5.8180715878192544E-3</v>
      </c>
      <c r="AE26" s="196">
        <f>AVERAGE(AG8:AG11)</f>
        <v>317.22468262036</v>
      </c>
    </row>
    <row r="27" spans="2:37" ht="12.75" thickBot="1" x14ac:dyDescent="0.25">
      <c r="G27" s="188">
        <f>G26*1000</f>
        <v>-1281.8408071597937</v>
      </c>
      <c r="H27" s="188">
        <f>H26*1000</f>
        <v>-8.7945603757572091</v>
      </c>
      <c r="I27" s="188">
        <f>I26*1000</f>
        <v>-28.518214091937644</v>
      </c>
      <c r="S27" s="187"/>
      <c r="U27" s="75">
        <v>2035</v>
      </c>
      <c r="V27" s="214">
        <v>18900</v>
      </c>
      <c r="W27" s="214">
        <v>51300</v>
      </c>
      <c r="X27" s="214">
        <v>907600</v>
      </c>
      <c r="Y27" s="215">
        <v>70</v>
      </c>
      <c r="AA27" s="200" t="s">
        <v>152</v>
      </c>
      <c r="AB27" s="201">
        <f>AVERAGE(AD12:AD20)</f>
        <v>2.099484306313415</v>
      </c>
      <c r="AC27" s="201">
        <f>AVERAGE(AE12:AE20)</f>
        <v>4.7858028693373951E-3</v>
      </c>
      <c r="AD27" s="201">
        <f>AVERAGE(AF12:AF20)</f>
        <v>3.2505287070740692E-2</v>
      </c>
      <c r="AE27" s="202">
        <f>AVERAGE(AG12:AG20)</f>
        <v>1238.7315972924489</v>
      </c>
    </row>
    <row r="28" spans="2:37" x14ac:dyDescent="0.2">
      <c r="B28" s="64" t="s">
        <v>159</v>
      </c>
      <c r="D28" s="64"/>
      <c r="E28" s="64"/>
      <c r="F28" s="64"/>
      <c r="U28" s="75">
        <v>2036</v>
      </c>
      <c r="V28" s="214">
        <v>18900</v>
      </c>
      <c r="W28" s="214">
        <v>51300</v>
      </c>
      <c r="X28" s="214">
        <v>907600</v>
      </c>
      <c r="Y28" s="215">
        <v>72</v>
      </c>
    </row>
    <row r="29" spans="2:37" ht="12.75" customHeight="1" thickBot="1" x14ac:dyDescent="0.25">
      <c r="B29" s="189" t="s">
        <v>160</v>
      </c>
      <c r="C29" s="316" t="s">
        <v>161</v>
      </c>
      <c r="D29" s="316"/>
      <c r="E29" s="316"/>
      <c r="F29" s="316"/>
      <c r="G29" s="316"/>
      <c r="H29" s="190"/>
      <c r="I29" s="191"/>
      <c r="J29" s="191"/>
      <c r="K29" s="191"/>
      <c r="L29" s="191"/>
      <c r="M29" s="191"/>
      <c r="U29" s="75">
        <v>2037</v>
      </c>
      <c r="V29" s="214">
        <v>18900</v>
      </c>
      <c r="W29" s="214">
        <v>51300</v>
      </c>
      <c r="X29" s="214">
        <v>907600</v>
      </c>
      <c r="Y29" s="215">
        <v>73</v>
      </c>
      <c r="AA29" s="64" t="s">
        <v>280</v>
      </c>
    </row>
    <row r="30" spans="2:37" ht="12.75" thickBot="1" x14ac:dyDescent="0.25">
      <c r="C30" s="316"/>
      <c r="D30" s="316"/>
      <c r="E30" s="316"/>
      <c r="F30" s="316"/>
      <c r="G30" s="316"/>
      <c r="H30" s="190"/>
      <c r="I30" s="191"/>
      <c r="J30" s="191"/>
      <c r="K30" s="191"/>
      <c r="L30" s="191"/>
      <c r="M30" s="191"/>
      <c r="U30" s="75">
        <v>2038</v>
      </c>
      <c r="V30" s="214">
        <v>18900</v>
      </c>
      <c r="W30" s="214">
        <v>51300</v>
      </c>
      <c r="X30" s="214">
        <v>907600</v>
      </c>
      <c r="Y30" s="215">
        <v>74</v>
      </c>
      <c r="AA30" s="360" t="s">
        <v>157</v>
      </c>
      <c r="AB30" s="361"/>
      <c r="AC30" s="362"/>
    </row>
    <row r="31" spans="2:37" x14ac:dyDescent="0.2">
      <c r="C31" s="316"/>
      <c r="D31" s="316"/>
      <c r="E31" s="316"/>
      <c r="F31" s="316"/>
      <c r="G31" s="316"/>
      <c r="H31" s="190"/>
      <c r="I31" s="191"/>
      <c r="J31" s="191"/>
      <c r="K31" s="191"/>
      <c r="L31" s="191"/>
      <c r="M31" s="191"/>
      <c r="U31" s="75">
        <v>2039</v>
      </c>
      <c r="V31" s="214">
        <v>18900</v>
      </c>
      <c r="W31" s="214">
        <v>51300</v>
      </c>
      <c r="X31" s="214">
        <v>907600</v>
      </c>
      <c r="Y31" s="215">
        <v>75</v>
      </c>
      <c r="AA31" s="150" t="s">
        <v>37</v>
      </c>
      <c r="AB31" s="151" t="s">
        <v>36</v>
      </c>
      <c r="AC31" s="152" t="s">
        <v>21</v>
      </c>
    </row>
    <row r="32" spans="2:37" x14ac:dyDescent="0.2">
      <c r="C32" s="316"/>
      <c r="D32" s="316"/>
      <c r="E32" s="316"/>
      <c r="F32" s="316"/>
      <c r="G32" s="316"/>
      <c r="U32" s="75">
        <v>2040</v>
      </c>
      <c r="V32" s="214">
        <v>18900</v>
      </c>
      <c r="W32" s="214">
        <v>51300</v>
      </c>
      <c r="X32" s="214">
        <v>907600</v>
      </c>
      <c r="Y32" s="215">
        <v>76</v>
      </c>
      <c r="AA32" s="73">
        <v>2023</v>
      </c>
      <c r="AB32" s="219">
        <f>'Travel Time'!J32</f>
        <v>67951.442598483962</v>
      </c>
      <c r="AC32" s="90">
        <f>'Travel Time'!K32</f>
        <v>37569.307205892575</v>
      </c>
    </row>
    <row r="33" spans="1:30" ht="12.75" customHeight="1" thickBot="1" x14ac:dyDescent="0.25">
      <c r="B33" s="189" t="s">
        <v>163</v>
      </c>
      <c r="C33" s="316" t="s">
        <v>164</v>
      </c>
      <c r="D33" s="316"/>
      <c r="E33" s="316"/>
      <c r="F33" s="316"/>
      <c r="G33" s="316"/>
      <c r="H33" s="190"/>
      <c r="I33" s="191"/>
      <c r="J33" s="191"/>
      <c r="K33" s="191"/>
      <c r="L33" s="191"/>
      <c r="M33" s="191"/>
      <c r="U33" s="75">
        <v>2041</v>
      </c>
      <c r="V33" s="214">
        <v>18900</v>
      </c>
      <c r="W33" s="214">
        <v>51300</v>
      </c>
      <c r="X33" s="214">
        <v>907600</v>
      </c>
      <c r="Y33" s="215">
        <v>78</v>
      </c>
      <c r="AA33" s="79">
        <v>2042</v>
      </c>
      <c r="AB33" s="220">
        <f>'Air Quality'!AB32*EXP(Safety!$L$25*('Air Quality'!AA33-'Air Quality'!AA32))</f>
        <v>90359.248123539932</v>
      </c>
      <c r="AC33" s="98">
        <f>'Air Quality'!AC32*EXP(Safety!$L$25*('Air Quality'!AA33-'Air Quality'!AA32))</f>
        <v>49958.238145226409</v>
      </c>
    </row>
    <row r="34" spans="1:30" x14ac:dyDescent="0.2">
      <c r="C34" s="316"/>
      <c r="D34" s="316"/>
      <c r="E34" s="316"/>
      <c r="F34" s="316"/>
      <c r="G34" s="316"/>
      <c r="H34" s="190"/>
      <c r="I34" s="191"/>
      <c r="J34" s="191"/>
      <c r="K34" s="191"/>
      <c r="L34" s="191"/>
      <c r="M34" s="191"/>
      <c r="U34" s="75">
        <v>2042</v>
      </c>
      <c r="V34" s="214">
        <v>18900</v>
      </c>
      <c r="W34" s="214">
        <v>51300</v>
      </c>
      <c r="X34" s="214">
        <v>907600</v>
      </c>
      <c r="Y34" s="215">
        <v>79</v>
      </c>
    </row>
    <row r="35" spans="1:30" ht="12.75" thickBot="1" x14ac:dyDescent="0.25">
      <c r="A35" s="189"/>
      <c r="B35" s="221"/>
      <c r="C35" s="316"/>
      <c r="D35" s="316"/>
      <c r="E35" s="316"/>
      <c r="F35" s="316"/>
      <c r="G35" s="316"/>
      <c r="H35" s="187"/>
      <c r="I35" s="191"/>
      <c r="U35" s="75">
        <v>2043</v>
      </c>
      <c r="V35" s="214">
        <v>18900</v>
      </c>
      <c r="W35" s="214">
        <v>51300</v>
      </c>
      <c r="X35" s="214">
        <v>907600</v>
      </c>
      <c r="Y35" s="215">
        <v>80</v>
      </c>
      <c r="AA35" s="64" t="s">
        <v>278</v>
      </c>
    </row>
    <row r="36" spans="1:30" ht="12.75" thickBot="1" x14ac:dyDescent="0.25">
      <c r="A36" s="189"/>
      <c r="T36" s="187"/>
      <c r="U36" s="75">
        <v>2044</v>
      </c>
      <c r="V36" s="214">
        <v>18900</v>
      </c>
      <c r="W36" s="214">
        <v>51300</v>
      </c>
      <c r="X36" s="214">
        <v>907600</v>
      </c>
      <c r="Y36" s="215">
        <v>81</v>
      </c>
      <c r="AA36" s="46" t="s">
        <v>168</v>
      </c>
      <c r="AB36" s="51" t="s">
        <v>169</v>
      </c>
      <c r="AD36" s="86"/>
    </row>
    <row r="37" spans="1:30" x14ac:dyDescent="0.2">
      <c r="T37" s="187"/>
      <c r="U37" s="75">
        <v>2045</v>
      </c>
      <c r="V37" s="214">
        <v>18900</v>
      </c>
      <c r="W37" s="214">
        <v>51300</v>
      </c>
      <c r="X37" s="214">
        <v>907600</v>
      </c>
      <c r="Y37" s="215">
        <v>82</v>
      </c>
      <c r="AA37" s="150" t="s">
        <v>170</v>
      </c>
      <c r="AB37" s="196">
        <f>C26</f>
        <v>-1448.551690373273</v>
      </c>
      <c r="AD37" s="86"/>
    </row>
    <row r="38" spans="1:30" x14ac:dyDescent="0.2">
      <c r="A38" s="189"/>
      <c r="U38" s="75">
        <v>2046</v>
      </c>
      <c r="V38" s="214">
        <v>18900</v>
      </c>
      <c r="W38" s="214">
        <v>51300</v>
      </c>
      <c r="X38" s="214">
        <v>907600</v>
      </c>
      <c r="Y38" s="215">
        <v>84</v>
      </c>
      <c r="AA38" s="73" t="s">
        <v>171</v>
      </c>
      <c r="AB38" s="222">
        <f>G27</f>
        <v>-1281.8408071597937</v>
      </c>
    </row>
    <row r="39" spans="1:30" x14ac:dyDescent="0.2">
      <c r="B39" s="190"/>
      <c r="C39" s="190"/>
      <c r="D39" s="190"/>
      <c r="E39" s="190"/>
      <c r="F39" s="190"/>
      <c r="G39" s="190"/>
      <c r="H39" s="190"/>
      <c r="I39" s="190"/>
      <c r="U39" s="75">
        <v>2047</v>
      </c>
      <c r="V39" s="214">
        <v>18900</v>
      </c>
      <c r="W39" s="214">
        <v>51300</v>
      </c>
      <c r="X39" s="214">
        <v>907600</v>
      </c>
      <c r="Y39" s="215">
        <v>85</v>
      </c>
      <c r="AA39" s="52" t="s">
        <v>172</v>
      </c>
      <c r="AB39" s="53">
        <f>H27</f>
        <v>-8.7945603757572091</v>
      </c>
    </row>
    <row r="40" spans="1:30" ht="12.75" thickBot="1" x14ac:dyDescent="0.25">
      <c r="B40" s="190"/>
      <c r="C40" s="190"/>
      <c r="D40" s="190"/>
      <c r="E40" s="190"/>
      <c r="F40" s="190"/>
      <c r="G40" s="190"/>
      <c r="H40" s="190"/>
      <c r="I40" s="190"/>
      <c r="U40" s="75">
        <v>2048</v>
      </c>
      <c r="V40" s="214">
        <v>18900</v>
      </c>
      <c r="W40" s="214">
        <v>51300</v>
      </c>
      <c r="X40" s="214">
        <v>907600</v>
      </c>
      <c r="Y40" s="215">
        <v>86</v>
      </c>
      <c r="AA40" s="79" t="s">
        <v>173</v>
      </c>
      <c r="AB40" s="202">
        <f>I27</f>
        <v>-28.518214091937644</v>
      </c>
    </row>
    <row r="41" spans="1:30" x14ac:dyDescent="0.2">
      <c r="B41" s="190"/>
      <c r="C41" s="190"/>
      <c r="D41" s="190"/>
      <c r="E41" s="190"/>
      <c r="F41" s="190"/>
      <c r="G41" s="190"/>
      <c r="H41" s="190"/>
      <c r="I41" s="190"/>
      <c r="U41" s="75">
        <v>2049</v>
      </c>
      <c r="V41" s="214">
        <v>18900</v>
      </c>
      <c r="W41" s="214">
        <v>51300</v>
      </c>
      <c r="X41" s="214">
        <v>907600</v>
      </c>
      <c r="Y41" s="215">
        <v>87</v>
      </c>
    </row>
    <row r="42" spans="1:30" x14ac:dyDescent="0.2">
      <c r="B42" s="190"/>
      <c r="C42" s="190"/>
      <c r="D42" s="190"/>
      <c r="E42" s="190"/>
      <c r="F42" s="190"/>
      <c r="G42" s="190"/>
      <c r="H42" s="190"/>
      <c r="I42" s="190"/>
      <c r="U42" s="75">
        <v>2050</v>
      </c>
      <c r="V42" s="214">
        <v>18900</v>
      </c>
      <c r="W42" s="214">
        <v>51300</v>
      </c>
      <c r="X42" s="214">
        <v>907600</v>
      </c>
      <c r="Y42" s="215">
        <v>88</v>
      </c>
    </row>
    <row r="43" spans="1:30" x14ac:dyDescent="0.2">
      <c r="B43" s="190"/>
      <c r="C43" s="190"/>
      <c r="D43" s="190"/>
      <c r="E43" s="190"/>
      <c r="F43" s="190"/>
      <c r="G43" s="190"/>
      <c r="H43" s="190"/>
      <c r="I43" s="190"/>
      <c r="U43" s="75">
        <v>2051</v>
      </c>
      <c r="V43" s="214">
        <v>18900</v>
      </c>
      <c r="W43" s="214">
        <v>51300</v>
      </c>
      <c r="X43" s="214">
        <v>907600</v>
      </c>
      <c r="Y43" s="215">
        <v>89</v>
      </c>
    </row>
    <row r="44" spans="1:30" x14ac:dyDescent="0.2">
      <c r="B44" s="221"/>
      <c r="C44" s="221"/>
      <c r="F44" s="191"/>
      <c r="G44" s="191"/>
      <c r="H44" s="191"/>
      <c r="I44" s="191"/>
      <c r="N44" s="223"/>
      <c r="O44" s="223"/>
      <c r="P44" s="223"/>
      <c r="Q44" s="223"/>
      <c r="R44" s="223"/>
      <c r="U44" s="75">
        <v>2052</v>
      </c>
      <c r="V44" s="214">
        <v>18900</v>
      </c>
      <c r="W44" s="214">
        <v>51300</v>
      </c>
      <c r="X44" s="214">
        <v>907600</v>
      </c>
      <c r="Y44" s="215">
        <v>90</v>
      </c>
    </row>
    <row r="45" spans="1:30" x14ac:dyDescent="0.2">
      <c r="B45" s="221"/>
      <c r="C45" s="221"/>
      <c r="F45" s="191"/>
      <c r="G45" s="191"/>
      <c r="H45" s="191"/>
      <c r="I45" s="191"/>
      <c r="N45" s="223"/>
      <c r="O45" s="223"/>
      <c r="P45" s="223"/>
      <c r="Q45" s="223"/>
      <c r="R45" s="223"/>
      <c r="U45" s="75">
        <v>2053</v>
      </c>
      <c r="V45" s="214">
        <v>18900</v>
      </c>
      <c r="W45" s="214">
        <v>51300</v>
      </c>
      <c r="X45" s="214">
        <v>907600</v>
      </c>
      <c r="Y45" s="215">
        <v>91</v>
      </c>
    </row>
    <row r="46" spans="1:30" x14ac:dyDescent="0.2">
      <c r="B46" s="221"/>
      <c r="C46" s="221"/>
      <c r="F46" s="191"/>
      <c r="G46" s="191"/>
      <c r="H46" s="191"/>
      <c r="I46" s="191"/>
      <c r="J46" s="39"/>
      <c r="L46" s="187"/>
      <c r="M46" s="187"/>
      <c r="N46" s="223"/>
      <c r="O46" s="223"/>
      <c r="P46" s="223"/>
      <c r="Q46" s="223"/>
      <c r="R46" s="223"/>
      <c r="U46" s="224">
        <v>2054</v>
      </c>
      <c r="V46" s="225">
        <f t="shared" ref="V46:Y52" si="12">V45</f>
        <v>18900</v>
      </c>
      <c r="W46" s="225">
        <f t="shared" si="12"/>
        <v>51300</v>
      </c>
      <c r="X46" s="225">
        <f t="shared" si="12"/>
        <v>907600</v>
      </c>
      <c r="Y46" s="226">
        <f t="shared" si="12"/>
        <v>91</v>
      </c>
    </row>
    <row r="47" spans="1:30" x14ac:dyDescent="0.2">
      <c r="B47" s="221"/>
      <c r="C47" s="221"/>
      <c r="F47" s="191"/>
      <c r="G47" s="191"/>
      <c r="H47" s="191"/>
      <c r="I47" s="191"/>
      <c r="J47" s="39"/>
      <c r="L47" s="187"/>
      <c r="M47" s="187"/>
      <c r="U47" s="224">
        <v>2055</v>
      </c>
      <c r="V47" s="225">
        <f t="shared" si="12"/>
        <v>18900</v>
      </c>
      <c r="W47" s="225">
        <f t="shared" si="12"/>
        <v>51300</v>
      </c>
      <c r="X47" s="225">
        <f t="shared" si="12"/>
        <v>907600</v>
      </c>
      <c r="Y47" s="226">
        <f t="shared" si="12"/>
        <v>91</v>
      </c>
    </row>
    <row r="48" spans="1:30" x14ac:dyDescent="0.2">
      <c r="A48" s="189"/>
      <c r="B48" s="221"/>
      <c r="C48" s="221"/>
      <c r="F48" s="191"/>
      <c r="G48" s="191"/>
      <c r="H48" s="191"/>
      <c r="I48" s="191"/>
      <c r="L48" s="187"/>
      <c r="M48" s="187"/>
      <c r="U48" s="224">
        <v>2056</v>
      </c>
      <c r="V48" s="225">
        <f t="shared" si="12"/>
        <v>18900</v>
      </c>
      <c r="W48" s="225">
        <f t="shared" si="12"/>
        <v>51300</v>
      </c>
      <c r="X48" s="225">
        <f t="shared" si="12"/>
        <v>907600</v>
      </c>
      <c r="Y48" s="226">
        <f t="shared" si="12"/>
        <v>91</v>
      </c>
    </row>
    <row r="49" spans="1:25" x14ac:dyDescent="0.2">
      <c r="B49" s="221"/>
      <c r="C49" s="221"/>
      <c r="D49" s="221"/>
      <c r="E49" s="221"/>
      <c r="F49" s="191"/>
      <c r="G49" s="191"/>
      <c r="H49" s="191"/>
      <c r="I49" s="191"/>
      <c r="L49" s="187"/>
      <c r="M49" s="187"/>
      <c r="U49" s="224">
        <v>2057</v>
      </c>
      <c r="V49" s="225">
        <f t="shared" si="12"/>
        <v>18900</v>
      </c>
      <c r="W49" s="225">
        <f t="shared" si="12"/>
        <v>51300</v>
      </c>
      <c r="X49" s="225">
        <f t="shared" si="12"/>
        <v>907600</v>
      </c>
      <c r="Y49" s="226">
        <f t="shared" si="12"/>
        <v>91</v>
      </c>
    </row>
    <row r="50" spans="1:25" x14ac:dyDescent="0.2">
      <c r="B50" s="221"/>
      <c r="C50" s="221"/>
      <c r="D50" s="221"/>
      <c r="E50" s="221"/>
      <c r="F50" s="191"/>
      <c r="G50" s="191"/>
      <c r="H50" s="191"/>
      <c r="I50" s="191"/>
      <c r="J50" s="187"/>
      <c r="K50" s="187"/>
      <c r="L50" s="187"/>
      <c r="M50" s="187"/>
      <c r="U50" s="224">
        <v>2058</v>
      </c>
      <c r="V50" s="225">
        <f t="shared" si="12"/>
        <v>18900</v>
      </c>
      <c r="W50" s="225">
        <f t="shared" si="12"/>
        <v>51300</v>
      </c>
      <c r="X50" s="225">
        <f t="shared" si="12"/>
        <v>907600</v>
      </c>
      <c r="Y50" s="226">
        <f t="shared" si="12"/>
        <v>91</v>
      </c>
    </row>
    <row r="51" spans="1:25" x14ac:dyDescent="0.2">
      <c r="B51" s="221"/>
      <c r="C51" s="221"/>
      <c r="D51" s="221"/>
      <c r="E51" s="221"/>
      <c r="F51" s="191"/>
      <c r="G51" s="191"/>
      <c r="H51" s="191"/>
      <c r="I51" s="191"/>
      <c r="K51" s="187"/>
      <c r="L51" s="187"/>
      <c r="M51" s="187"/>
      <c r="U51" s="224">
        <v>2059</v>
      </c>
      <c r="V51" s="225">
        <f t="shared" si="12"/>
        <v>18900</v>
      </c>
      <c r="W51" s="225">
        <f t="shared" si="12"/>
        <v>51300</v>
      </c>
      <c r="X51" s="225">
        <f t="shared" si="12"/>
        <v>907600</v>
      </c>
      <c r="Y51" s="226">
        <f t="shared" si="12"/>
        <v>91</v>
      </c>
    </row>
    <row r="52" spans="1:25" ht="12.75" thickBot="1" x14ac:dyDescent="0.25">
      <c r="B52" s="221"/>
      <c r="C52" s="221"/>
      <c r="D52" s="221"/>
      <c r="E52" s="221"/>
      <c r="F52" s="191"/>
      <c r="G52" s="191"/>
      <c r="H52" s="191"/>
      <c r="I52" s="191"/>
      <c r="J52" s="191"/>
      <c r="L52" s="187"/>
      <c r="M52" s="187"/>
      <c r="U52" s="227">
        <v>2060</v>
      </c>
      <c r="V52" s="228">
        <f t="shared" si="12"/>
        <v>18900</v>
      </c>
      <c r="W52" s="228">
        <f t="shared" si="12"/>
        <v>51300</v>
      </c>
      <c r="X52" s="228">
        <f t="shared" si="12"/>
        <v>907600</v>
      </c>
      <c r="Y52" s="229">
        <f t="shared" si="12"/>
        <v>91</v>
      </c>
    </row>
    <row r="53" spans="1:25" x14ac:dyDescent="0.2">
      <c r="B53" s="221"/>
      <c r="C53" s="221"/>
      <c r="D53" s="221"/>
      <c r="E53" s="221"/>
      <c r="F53" s="191"/>
      <c r="G53" s="191"/>
      <c r="H53" s="191"/>
      <c r="I53" s="191"/>
      <c r="J53" s="191"/>
      <c r="K53" s="191"/>
    </row>
    <row r="54" spans="1:25" x14ac:dyDescent="0.2">
      <c r="B54" s="221"/>
      <c r="C54" s="221"/>
      <c r="D54" s="221"/>
      <c r="E54" s="221"/>
      <c r="F54" s="191"/>
      <c r="G54" s="191"/>
      <c r="H54" s="191"/>
      <c r="I54" s="191"/>
      <c r="J54" s="191"/>
      <c r="K54" s="191"/>
    </row>
    <row r="55" spans="1:25" x14ac:dyDescent="0.2">
      <c r="A55" s="189"/>
      <c r="B55" s="221"/>
      <c r="C55" s="221"/>
      <c r="D55" s="221"/>
      <c r="E55" s="221"/>
      <c r="F55" s="191"/>
      <c r="G55" s="191"/>
      <c r="H55" s="191"/>
      <c r="I55" s="191"/>
      <c r="J55" s="191"/>
      <c r="K55" s="191"/>
    </row>
    <row r="56" spans="1:25" x14ac:dyDescent="0.2">
      <c r="J56" s="191"/>
      <c r="K56" s="191"/>
    </row>
    <row r="57" spans="1:25" x14ac:dyDescent="0.2">
      <c r="F57" s="187"/>
      <c r="I57" s="187"/>
      <c r="J57" s="191"/>
      <c r="K57" s="191"/>
    </row>
    <row r="58" spans="1:25" x14ac:dyDescent="0.2">
      <c r="B58" s="187"/>
      <c r="C58" s="187"/>
      <c r="D58" s="187"/>
      <c r="E58" s="187"/>
      <c r="F58" s="187"/>
      <c r="I58" s="187"/>
      <c r="J58" s="191"/>
      <c r="K58" s="191"/>
    </row>
    <row r="59" spans="1:25" x14ac:dyDescent="0.2">
      <c r="J59" s="191"/>
      <c r="K59" s="191"/>
    </row>
    <row r="60" spans="1:25" x14ac:dyDescent="0.2">
      <c r="A60" s="189"/>
      <c r="B60" s="191"/>
      <c r="C60" s="191"/>
      <c r="D60" s="191"/>
      <c r="E60" s="191"/>
      <c r="F60" s="191"/>
      <c r="G60" s="191"/>
      <c r="H60" s="191"/>
      <c r="I60" s="191"/>
      <c r="J60" s="191"/>
      <c r="K60" s="191"/>
    </row>
    <row r="61" spans="1:25" x14ac:dyDescent="0.2">
      <c r="B61" s="191"/>
      <c r="C61" s="191"/>
      <c r="D61" s="191"/>
      <c r="E61" s="191"/>
      <c r="F61" s="191"/>
      <c r="G61" s="191"/>
      <c r="H61" s="191"/>
      <c r="J61" s="191"/>
      <c r="K61" s="191"/>
    </row>
    <row r="62" spans="1:25" x14ac:dyDescent="0.2">
      <c r="J62" s="191"/>
      <c r="K62" s="191"/>
    </row>
    <row r="63" spans="1:25" x14ac:dyDescent="0.2">
      <c r="A63" s="189"/>
      <c r="J63" s="191"/>
      <c r="K63" s="191"/>
    </row>
    <row r="64" spans="1:25" x14ac:dyDescent="0.2">
      <c r="J64" s="191"/>
      <c r="K64" s="191"/>
    </row>
    <row r="66" spans="10:12" x14ac:dyDescent="0.2">
      <c r="J66" s="187"/>
    </row>
    <row r="67" spans="10:12" x14ac:dyDescent="0.2">
      <c r="J67" s="187"/>
      <c r="L67" s="191"/>
    </row>
    <row r="69" spans="10:12" x14ac:dyDescent="0.2">
      <c r="J69" s="191"/>
      <c r="K69" s="191"/>
    </row>
  </sheetData>
  <mergeCells count="25">
    <mergeCell ref="AJ8:AK9"/>
    <mergeCell ref="Q4:Q5"/>
    <mergeCell ref="R4:R5"/>
    <mergeCell ref="S4:S5"/>
    <mergeCell ref="AA30:AC30"/>
    <mergeCell ref="P4:P5"/>
    <mergeCell ref="C3:E3"/>
    <mergeCell ref="F3:N3"/>
    <mergeCell ref="O3:P3"/>
    <mergeCell ref="C4:C5"/>
    <mergeCell ref="D4:D5"/>
    <mergeCell ref="E4:E5"/>
    <mergeCell ref="F4:F5"/>
    <mergeCell ref="G4:G5"/>
    <mergeCell ref="H4:H5"/>
    <mergeCell ref="I4:I5"/>
    <mergeCell ref="J4:J5"/>
    <mergeCell ref="K4:K5"/>
    <mergeCell ref="L4:L5"/>
    <mergeCell ref="M4:M5"/>
    <mergeCell ref="C29:G32"/>
    <mergeCell ref="C33:G35"/>
    <mergeCell ref="N4:N5"/>
    <mergeCell ref="B3:B5"/>
    <mergeCell ref="O4:O5"/>
  </mergeCells>
  <pageMargins left="0.25" right="0.25" top="0.75" bottom="0.75" header="0.3" footer="0.3"/>
  <pageSetup paperSize="3"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B29B8-8864-4036-AD9A-D346840703D6}">
  <sheetPr>
    <pageSetUpPr fitToPage="1"/>
  </sheetPr>
  <dimension ref="B2:J36"/>
  <sheetViews>
    <sheetView view="pageBreakPreview" zoomScaleNormal="100" zoomScaleSheetLayoutView="100" workbookViewId="0">
      <selection sqref="A1:XFD1048576"/>
    </sheetView>
  </sheetViews>
  <sheetFormatPr defaultRowHeight="12" x14ac:dyDescent="0.2"/>
  <cols>
    <col min="1" max="1" width="9.140625" style="35"/>
    <col min="2" max="2" width="12.5703125" style="35" bestFit="1" customWidth="1"/>
    <col min="3" max="3" width="7.5703125" style="35" customWidth="1"/>
    <col min="4" max="4" width="10.140625" style="35" customWidth="1"/>
    <col min="5" max="5" width="11.85546875" style="35" customWidth="1"/>
    <col min="6" max="6" width="10.28515625" style="35" customWidth="1"/>
    <col min="7" max="8" width="9.140625" style="35"/>
    <col min="9" max="9" width="31.5703125" style="35" bestFit="1" customWidth="1"/>
    <col min="10" max="10" width="13.42578125" style="35" bestFit="1" customWidth="1"/>
    <col min="11" max="16384" width="9.140625" style="35"/>
  </cols>
  <sheetData>
    <row r="2" spans="2:10" ht="12.75" thickBot="1" x14ac:dyDescent="0.25">
      <c r="B2" s="64" t="s">
        <v>287</v>
      </c>
    </row>
    <row r="3" spans="2:10" ht="12.75" thickBot="1" x14ac:dyDescent="0.25">
      <c r="B3" s="343" t="s">
        <v>28</v>
      </c>
      <c r="C3" s="350" t="s">
        <v>30</v>
      </c>
      <c r="D3" s="350" t="s">
        <v>31</v>
      </c>
      <c r="E3" s="350" t="s">
        <v>223</v>
      </c>
      <c r="F3" s="341" t="s">
        <v>29</v>
      </c>
      <c r="I3" s="64" t="s">
        <v>224</v>
      </c>
    </row>
    <row r="4" spans="2:10" ht="12.75" thickBot="1" x14ac:dyDescent="0.25">
      <c r="B4" s="347"/>
      <c r="C4" s="382"/>
      <c r="D4" s="382"/>
      <c r="E4" s="382"/>
      <c r="F4" s="342"/>
      <c r="G4" s="85"/>
      <c r="H4" s="85"/>
      <c r="I4" s="380" t="s">
        <v>98</v>
      </c>
      <c r="J4" s="381"/>
    </row>
    <row r="5" spans="2:10" x14ac:dyDescent="0.2">
      <c r="B5" s="57">
        <f>Assumptions!J8+1</f>
        <v>2027</v>
      </c>
      <c r="C5" s="260">
        <v>0</v>
      </c>
      <c r="D5" s="266">
        <f>$J$7</f>
        <v>-244632.96000000002</v>
      </c>
      <c r="E5" s="266">
        <f>D5-C5</f>
        <v>-244632.96000000002</v>
      </c>
      <c r="F5" s="250">
        <f>E5*(1+Assumptions!$J$10)^-(B5-Assumptions!$J$9)</f>
        <v>-163009.27058521597</v>
      </c>
      <c r="G5" s="85"/>
      <c r="H5" s="85"/>
      <c r="I5" s="57" t="s">
        <v>38</v>
      </c>
      <c r="J5" s="59">
        <f>Assumptions!J6</f>
        <v>67.33</v>
      </c>
    </row>
    <row r="6" spans="2:10" x14ac:dyDescent="0.2">
      <c r="B6" s="73">
        <f>B5+1</f>
        <v>2028</v>
      </c>
      <c r="C6" s="267">
        <v>0</v>
      </c>
      <c r="D6" s="232">
        <f t="shared" ref="D6:D24" si="0">$J$7</f>
        <v>-244632.96000000002</v>
      </c>
      <c r="E6" s="232">
        <f t="shared" ref="E6:E24" si="1">D6-C6</f>
        <v>-244632.96000000002</v>
      </c>
      <c r="F6" s="81">
        <f>E6*(1+Assumptions!$J$10)^-(B6-Assumptions!$J$9)</f>
        <v>-152345.1126964635</v>
      </c>
      <c r="I6" s="73" t="s">
        <v>42</v>
      </c>
      <c r="J6" s="81">
        <v>-235224</v>
      </c>
    </row>
    <row r="7" spans="2:10" ht="12.75" thickBot="1" x14ac:dyDescent="0.25">
      <c r="B7" s="73">
        <f t="shared" ref="B7:B24" si="2">B6+1</f>
        <v>2029</v>
      </c>
      <c r="C7" s="267">
        <v>0</v>
      </c>
      <c r="D7" s="232">
        <f t="shared" si="0"/>
        <v>-244632.96000000002</v>
      </c>
      <c r="E7" s="232">
        <f t="shared" si="1"/>
        <v>-244632.96000000002</v>
      </c>
      <c r="F7" s="81">
        <f>E7*(1+Assumptions!$J$10)^-(B7-Assumptions!$J$9)</f>
        <v>-142378.60999669487</v>
      </c>
      <c r="I7" s="79" t="s">
        <v>39</v>
      </c>
      <c r="J7" s="82">
        <f>J6*Assumptions!C24</f>
        <v>-244632.96000000002</v>
      </c>
    </row>
    <row r="8" spans="2:10" x14ac:dyDescent="0.2">
      <c r="B8" s="73">
        <f t="shared" si="2"/>
        <v>2030</v>
      </c>
      <c r="C8" s="267">
        <v>0</v>
      </c>
      <c r="D8" s="232">
        <f t="shared" si="0"/>
        <v>-244632.96000000002</v>
      </c>
      <c r="E8" s="232">
        <f t="shared" si="1"/>
        <v>-244632.96000000002</v>
      </c>
      <c r="F8" s="81">
        <f>E8*(1+Assumptions!$J$10)^-(B8-Assumptions!$J$9)</f>
        <v>-133064.12149223819</v>
      </c>
    </row>
    <row r="9" spans="2:10" x14ac:dyDescent="0.2">
      <c r="B9" s="73">
        <f t="shared" si="2"/>
        <v>2031</v>
      </c>
      <c r="C9" s="267">
        <v>0</v>
      </c>
      <c r="D9" s="232">
        <f t="shared" si="0"/>
        <v>-244632.96000000002</v>
      </c>
      <c r="E9" s="232">
        <f t="shared" si="1"/>
        <v>-244632.96000000002</v>
      </c>
      <c r="F9" s="81">
        <f>E9*(1+Assumptions!$J$10)^-(B9-Assumptions!$J$9)</f>
        <v>-124358.99204882074</v>
      </c>
    </row>
    <row r="10" spans="2:10" x14ac:dyDescent="0.2">
      <c r="B10" s="73">
        <f t="shared" si="2"/>
        <v>2032</v>
      </c>
      <c r="C10" s="267">
        <v>0</v>
      </c>
      <c r="D10" s="232">
        <f t="shared" si="0"/>
        <v>-244632.96000000002</v>
      </c>
      <c r="E10" s="232">
        <f t="shared" si="1"/>
        <v>-244632.96000000002</v>
      </c>
      <c r="F10" s="81">
        <f>E10*(1+Assumptions!$J$10)^-(B10-Assumptions!$J$9)</f>
        <v>-116223.35705497264</v>
      </c>
    </row>
    <row r="11" spans="2:10" x14ac:dyDescent="0.2">
      <c r="B11" s="73">
        <f t="shared" si="2"/>
        <v>2033</v>
      </c>
      <c r="C11" s="267">
        <v>0</v>
      </c>
      <c r="D11" s="232">
        <f t="shared" si="0"/>
        <v>-244632.96000000002</v>
      </c>
      <c r="E11" s="232">
        <f t="shared" si="1"/>
        <v>-244632.96000000002</v>
      </c>
      <c r="F11" s="81">
        <f>E11*(1+Assumptions!$J$10)^-(B11-Assumptions!$J$9)</f>
        <v>-108619.95986446043</v>
      </c>
    </row>
    <row r="12" spans="2:10" x14ac:dyDescent="0.2">
      <c r="B12" s="73">
        <f t="shared" si="2"/>
        <v>2034</v>
      </c>
      <c r="C12" s="267">
        <v>0</v>
      </c>
      <c r="D12" s="232">
        <f t="shared" si="0"/>
        <v>-244632.96000000002</v>
      </c>
      <c r="E12" s="232">
        <f t="shared" si="1"/>
        <v>-244632.96000000002</v>
      </c>
      <c r="F12" s="81">
        <f>E12*(1+Assumptions!$J$10)^-(B12-Assumptions!$J$9)</f>
        <v>-101513.98118173871</v>
      </c>
    </row>
    <row r="13" spans="2:10" x14ac:dyDescent="0.2">
      <c r="B13" s="73">
        <f t="shared" si="2"/>
        <v>2035</v>
      </c>
      <c r="C13" s="267">
        <v>0</v>
      </c>
      <c r="D13" s="232">
        <f t="shared" si="0"/>
        <v>-244632.96000000002</v>
      </c>
      <c r="E13" s="232">
        <f t="shared" si="1"/>
        <v>-244632.96000000002</v>
      </c>
      <c r="F13" s="81">
        <f>E13*(1+Assumptions!$J$10)^-(B13-Assumptions!$J$9)</f>
        <v>-94872.879609101612</v>
      </c>
    </row>
    <row r="14" spans="2:10" x14ac:dyDescent="0.2">
      <c r="B14" s="73">
        <f t="shared" si="2"/>
        <v>2036</v>
      </c>
      <c r="C14" s="267">
        <v>0</v>
      </c>
      <c r="D14" s="232">
        <f t="shared" si="0"/>
        <v>-244632.96000000002</v>
      </c>
      <c r="E14" s="232">
        <f t="shared" si="1"/>
        <v>-244632.96000000002</v>
      </c>
      <c r="F14" s="81">
        <f>E14*(1+Assumptions!$J$10)^-(B14-Assumptions!$J$9)</f>
        <v>-88666.242625328596</v>
      </c>
    </row>
    <row r="15" spans="2:10" x14ac:dyDescent="0.2">
      <c r="B15" s="73">
        <f t="shared" si="2"/>
        <v>2037</v>
      </c>
      <c r="C15" s="267">
        <v>0</v>
      </c>
      <c r="D15" s="232">
        <f t="shared" si="0"/>
        <v>-244632.96000000002</v>
      </c>
      <c r="E15" s="232">
        <f t="shared" si="1"/>
        <v>-244632.96000000002</v>
      </c>
      <c r="F15" s="81">
        <f>E15*(1+Assumptions!$J$10)^-(B15-Assumptions!$J$9)</f>
        <v>-82865.647313391222</v>
      </c>
    </row>
    <row r="16" spans="2:10" x14ac:dyDescent="0.2">
      <c r="B16" s="73">
        <f t="shared" si="2"/>
        <v>2038</v>
      </c>
      <c r="C16" s="267">
        <v>0</v>
      </c>
      <c r="D16" s="232">
        <f t="shared" si="0"/>
        <v>-244632.96000000002</v>
      </c>
      <c r="E16" s="232">
        <f t="shared" si="1"/>
        <v>-244632.96000000002</v>
      </c>
      <c r="F16" s="81">
        <f>E16*(1+Assumptions!$J$10)^-(B16-Assumptions!$J$9)</f>
        <v>-77444.530199431058</v>
      </c>
    </row>
    <row r="17" spans="2:7" x14ac:dyDescent="0.2">
      <c r="B17" s="73">
        <f t="shared" si="2"/>
        <v>2039</v>
      </c>
      <c r="C17" s="267">
        <v>0</v>
      </c>
      <c r="D17" s="232">
        <f t="shared" si="0"/>
        <v>-244632.96000000002</v>
      </c>
      <c r="E17" s="232">
        <f t="shared" si="1"/>
        <v>-244632.96000000002</v>
      </c>
      <c r="F17" s="81">
        <f>E17*(1+Assumptions!$J$10)^-(B17-Assumptions!$J$9)</f>
        <v>-72378.065606944903</v>
      </c>
    </row>
    <row r="18" spans="2:7" x14ac:dyDescent="0.2">
      <c r="B18" s="73">
        <f t="shared" si="2"/>
        <v>2040</v>
      </c>
      <c r="C18" s="267">
        <v>0</v>
      </c>
      <c r="D18" s="232">
        <f t="shared" si="0"/>
        <v>-244632.96000000002</v>
      </c>
      <c r="E18" s="232">
        <f t="shared" si="1"/>
        <v>-244632.96000000002</v>
      </c>
      <c r="F18" s="81">
        <f>E18*(1+Assumptions!$J$10)^-(B18-Assumptions!$J$9)</f>
        <v>-67643.051969107386</v>
      </c>
    </row>
    <row r="19" spans="2:7" x14ac:dyDescent="0.2">
      <c r="B19" s="73">
        <f t="shared" si="2"/>
        <v>2041</v>
      </c>
      <c r="C19" s="267">
        <v>0</v>
      </c>
      <c r="D19" s="232">
        <f t="shared" si="0"/>
        <v>-244632.96000000002</v>
      </c>
      <c r="E19" s="232">
        <f t="shared" si="1"/>
        <v>-244632.96000000002</v>
      </c>
      <c r="F19" s="81">
        <f>E19*(1+Assumptions!$J$10)^-(B19-Assumptions!$J$9)</f>
        <v>-63217.805578605032</v>
      </c>
    </row>
    <row r="20" spans="2:7" x14ac:dyDescent="0.2">
      <c r="B20" s="73">
        <f t="shared" si="2"/>
        <v>2042</v>
      </c>
      <c r="C20" s="267">
        <v>0</v>
      </c>
      <c r="D20" s="232">
        <f t="shared" si="0"/>
        <v>-244632.96000000002</v>
      </c>
      <c r="E20" s="232">
        <f t="shared" si="1"/>
        <v>-244632.96000000002</v>
      </c>
      <c r="F20" s="81">
        <f>E20*(1+Assumptions!$J$10)^-(B20-Assumptions!$J$9)</f>
        <v>-59082.06128841592</v>
      </c>
    </row>
    <row r="21" spans="2:7" x14ac:dyDescent="0.2">
      <c r="B21" s="73">
        <f t="shared" si="2"/>
        <v>2043</v>
      </c>
      <c r="C21" s="267">
        <v>0</v>
      </c>
      <c r="D21" s="232">
        <f t="shared" si="0"/>
        <v>-244632.96000000002</v>
      </c>
      <c r="E21" s="232">
        <f t="shared" si="1"/>
        <v>-244632.96000000002</v>
      </c>
      <c r="F21" s="81">
        <f>E21*(1+Assumptions!$J$10)^-(B21-Assumptions!$J$9)</f>
        <v>-55216.879708799926</v>
      </c>
    </row>
    <row r="22" spans="2:7" x14ac:dyDescent="0.2">
      <c r="B22" s="73">
        <f t="shared" si="2"/>
        <v>2044</v>
      </c>
      <c r="C22" s="267">
        <v>0</v>
      </c>
      <c r="D22" s="232">
        <f t="shared" si="0"/>
        <v>-244632.96000000002</v>
      </c>
      <c r="E22" s="232">
        <f t="shared" si="1"/>
        <v>-244632.96000000002</v>
      </c>
      <c r="F22" s="81">
        <f>E22*(1+Assumptions!$J$10)^-(B22-Assumptions!$J$9)</f>
        <v>-51604.560475513943</v>
      </c>
    </row>
    <row r="23" spans="2:7" x14ac:dyDescent="0.2">
      <c r="B23" s="73">
        <f t="shared" si="2"/>
        <v>2045</v>
      </c>
      <c r="C23" s="267">
        <v>0</v>
      </c>
      <c r="D23" s="232">
        <f t="shared" si="0"/>
        <v>-244632.96000000002</v>
      </c>
      <c r="E23" s="232">
        <f t="shared" si="1"/>
        <v>-244632.96000000002</v>
      </c>
      <c r="F23" s="81">
        <f>E23*(1+Assumptions!$J$10)^-(B23-Assumptions!$J$9)</f>
        <v>-48228.561192069108</v>
      </c>
    </row>
    <row r="24" spans="2:7" ht="12.75" thickBot="1" x14ac:dyDescent="0.25">
      <c r="B24" s="73">
        <f t="shared" si="2"/>
        <v>2046</v>
      </c>
      <c r="C24" s="267">
        <v>0</v>
      </c>
      <c r="D24" s="232">
        <f t="shared" si="0"/>
        <v>-244632.96000000002</v>
      </c>
      <c r="E24" s="232">
        <f t="shared" si="1"/>
        <v>-244632.96000000002</v>
      </c>
      <c r="F24" s="81">
        <f>E24*(1+Assumptions!$J$10)^-(B24-Assumptions!$J$9)</f>
        <v>-45073.421674830934</v>
      </c>
    </row>
    <row r="25" spans="2:7" ht="12.75" thickBot="1" x14ac:dyDescent="0.25">
      <c r="B25" s="110" t="s">
        <v>5</v>
      </c>
      <c r="C25" s="268">
        <f>SUM(C5:C24)</f>
        <v>0</v>
      </c>
      <c r="D25" s="269">
        <f>SUM(D5:D24)</f>
        <v>-4892659.2</v>
      </c>
      <c r="E25" s="269">
        <f>SUM(E5:E24)</f>
        <v>-4892659.2</v>
      </c>
      <c r="F25" s="270">
        <f>SUM(F5:F24)</f>
        <v>-1847807.1121621451</v>
      </c>
    </row>
    <row r="29" spans="2:7" x14ac:dyDescent="0.2">
      <c r="B29" s="64" t="s">
        <v>159</v>
      </c>
    </row>
    <row r="30" spans="2:7" ht="12" customHeight="1" x14ac:dyDescent="0.2">
      <c r="B30" s="189" t="s">
        <v>160</v>
      </c>
      <c r="C30" s="316" t="s">
        <v>282</v>
      </c>
      <c r="D30" s="316"/>
      <c r="E30" s="316"/>
      <c r="F30" s="316"/>
      <c r="G30" s="316"/>
    </row>
    <row r="31" spans="2:7" x14ac:dyDescent="0.2">
      <c r="C31" s="316"/>
      <c r="D31" s="316"/>
      <c r="E31" s="316"/>
      <c r="F31" s="316"/>
      <c r="G31" s="316"/>
    </row>
    <row r="32" spans="2:7" x14ac:dyDescent="0.2">
      <c r="C32" s="316"/>
      <c r="D32" s="316"/>
      <c r="E32" s="316"/>
      <c r="F32" s="316"/>
      <c r="G32" s="316"/>
    </row>
    <row r="33" spans="3:7" x14ac:dyDescent="0.2">
      <c r="C33" s="316"/>
      <c r="D33" s="316"/>
      <c r="E33" s="316"/>
      <c r="F33" s="316"/>
      <c r="G33" s="316"/>
    </row>
    <row r="34" spans="3:7" x14ac:dyDescent="0.2">
      <c r="C34" s="316"/>
      <c r="D34" s="316"/>
      <c r="E34" s="316"/>
      <c r="F34" s="316"/>
      <c r="G34" s="316"/>
    </row>
    <row r="35" spans="3:7" x14ac:dyDescent="0.2">
      <c r="C35" s="191"/>
      <c r="D35" s="191"/>
      <c r="E35" s="191"/>
      <c r="F35" s="191"/>
      <c r="G35" s="191"/>
    </row>
    <row r="36" spans="3:7" x14ac:dyDescent="0.2">
      <c r="C36" s="191"/>
      <c r="D36" s="191"/>
      <c r="E36" s="191"/>
      <c r="F36" s="191"/>
      <c r="G36" s="191"/>
    </row>
  </sheetData>
  <mergeCells count="7">
    <mergeCell ref="C30:G34"/>
    <mergeCell ref="I4:J4"/>
    <mergeCell ref="B3:B4"/>
    <mergeCell ref="C3:C4"/>
    <mergeCell ref="D3:D4"/>
    <mergeCell ref="E3:E4"/>
    <mergeCell ref="F3:F4"/>
  </mergeCells>
  <pageMargins left="0.7" right="0.7" top="0.75" bottom="0.75" header="0.3" footer="0.3"/>
  <pageSetup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C797A-C7E8-40F1-94A7-4668C0045FFE}">
  <sheetPr>
    <pageSetUpPr fitToPage="1"/>
  </sheetPr>
  <dimension ref="B2:K44"/>
  <sheetViews>
    <sheetView view="pageBreakPreview" zoomScaleNormal="100" zoomScaleSheetLayoutView="100" workbookViewId="0">
      <selection activeCell="H29" sqref="H29"/>
    </sheetView>
  </sheetViews>
  <sheetFormatPr defaultRowHeight="12" x14ac:dyDescent="0.2"/>
  <cols>
    <col min="1" max="2" width="9.140625" style="35"/>
    <col min="3" max="3" width="10.7109375" style="35" customWidth="1"/>
    <col min="4" max="4" width="11" style="35" customWidth="1"/>
    <col min="5" max="5" width="9.5703125" style="35" customWidth="1"/>
    <col min="6" max="6" width="11.5703125" style="35" customWidth="1"/>
    <col min="7" max="7" width="12.5703125" style="35" bestFit="1" customWidth="1"/>
    <col min="8" max="8" width="22" style="35" customWidth="1"/>
    <col min="9" max="9" width="12.28515625" style="35" customWidth="1"/>
    <col min="10" max="10" width="10.85546875" style="35" customWidth="1"/>
    <col min="11" max="11" width="12.28515625" style="35" customWidth="1"/>
    <col min="12" max="16384" width="9.140625" style="35"/>
  </cols>
  <sheetData>
    <row r="2" spans="2:11" ht="12.75" thickBot="1" x14ac:dyDescent="0.25">
      <c r="B2" s="64" t="s">
        <v>288</v>
      </c>
    </row>
    <row r="3" spans="2:11" x14ac:dyDescent="0.2">
      <c r="B3" s="343" t="s">
        <v>28</v>
      </c>
      <c r="C3" s="350" t="s">
        <v>59</v>
      </c>
      <c r="D3" s="350" t="s">
        <v>60</v>
      </c>
      <c r="E3" s="350" t="s">
        <v>61</v>
      </c>
      <c r="F3" s="341" t="s">
        <v>29</v>
      </c>
    </row>
    <row r="4" spans="2:11" ht="12.75" thickBot="1" x14ac:dyDescent="0.25">
      <c r="B4" s="347"/>
      <c r="C4" s="382"/>
      <c r="D4" s="382"/>
      <c r="E4" s="382"/>
      <c r="F4" s="342"/>
      <c r="H4" s="64" t="s">
        <v>225</v>
      </c>
    </row>
    <row r="5" spans="2:11" x14ac:dyDescent="0.2">
      <c r="B5" s="73">
        <f>Assumptions!J8</f>
        <v>2026</v>
      </c>
      <c r="C5" s="232">
        <f>'BCA Summary'!M6</f>
        <v>24000000</v>
      </c>
      <c r="D5" s="267">
        <v>0</v>
      </c>
      <c r="E5" s="267">
        <v>0</v>
      </c>
      <c r="F5" s="149">
        <f>I28</f>
        <v>16117041.604118839</v>
      </c>
      <c r="H5" s="343" t="s">
        <v>43</v>
      </c>
      <c r="I5" s="350" t="s">
        <v>75</v>
      </c>
      <c r="J5" s="350" t="s">
        <v>76</v>
      </c>
    </row>
    <row r="6" spans="2:11" ht="12.75" thickBot="1" x14ac:dyDescent="0.25">
      <c r="B6" s="73">
        <f>B5+1</f>
        <v>2027</v>
      </c>
      <c r="C6" s="267">
        <v>0</v>
      </c>
      <c r="D6" s="267">
        <v>0</v>
      </c>
      <c r="E6" s="267">
        <v>0</v>
      </c>
      <c r="F6" s="149">
        <f>C6*(1+Assumptions!$J$10)^-(B6-Assumptions!$J$9)</f>
        <v>0</v>
      </c>
      <c r="H6" s="347"/>
      <c r="I6" s="382"/>
      <c r="J6" s="382"/>
    </row>
    <row r="7" spans="2:11" x14ac:dyDescent="0.2">
      <c r="B7" s="73">
        <f t="shared" ref="B7:B30" si="0">B6+1</f>
        <v>2028</v>
      </c>
      <c r="C7" s="267">
        <v>0</v>
      </c>
      <c r="D7" s="267">
        <v>0</v>
      </c>
      <c r="E7" s="267">
        <v>0</v>
      </c>
      <c r="F7" s="149">
        <f>C7*(1+Assumptions!$J$10)^-(B7-Assumptions!$J$9)</f>
        <v>0</v>
      </c>
      <c r="H7" s="75" t="s">
        <v>44</v>
      </c>
      <c r="I7" s="271">
        <f>$I$28*J7</f>
        <v>1202764.2988148381</v>
      </c>
      <c r="J7" s="272">
        <v>7.4626865671641743E-2</v>
      </c>
    </row>
    <row r="8" spans="2:11" x14ac:dyDescent="0.2">
      <c r="B8" s="73">
        <f t="shared" si="0"/>
        <v>2029</v>
      </c>
      <c r="C8" s="267">
        <v>0</v>
      </c>
      <c r="D8" s="267">
        <v>0</v>
      </c>
      <c r="E8" s="267">
        <v>0</v>
      </c>
      <c r="F8" s="149">
        <f>C8*(1+Assumptions!$J$10)^-(B8-Assumptions!$J$9)</f>
        <v>0</v>
      </c>
      <c r="H8" s="75" t="s">
        <v>45</v>
      </c>
      <c r="I8" s="271">
        <f>$I$28*J8</f>
        <v>0</v>
      </c>
      <c r="J8" s="272">
        <v>0</v>
      </c>
    </row>
    <row r="9" spans="2:11" x14ac:dyDescent="0.2">
      <c r="B9" s="73">
        <f t="shared" si="0"/>
        <v>2030</v>
      </c>
      <c r="C9" s="267">
        <v>0</v>
      </c>
      <c r="D9" s="267">
        <v>0</v>
      </c>
      <c r="E9" s="267">
        <v>0</v>
      </c>
      <c r="F9" s="149">
        <f>C9*(1+Assumptions!$J$10)^-(B9-Assumptions!$J$9)</f>
        <v>0</v>
      </c>
      <c r="H9" s="75" t="s">
        <v>46</v>
      </c>
      <c r="I9" s="271">
        <f>$I$28*J9</f>
        <v>8294.9261987230257</v>
      </c>
      <c r="J9" s="272">
        <v>5.1466803911477102E-4</v>
      </c>
    </row>
    <row r="10" spans="2:11" x14ac:dyDescent="0.2">
      <c r="B10" s="73">
        <f t="shared" si="0"/>
        <v>2031</v>
      </c>
      <c r="C10" s="267">
        <v>0</v>
      </c>
      <c r="D10" s="267">
        <v>0</v>
      </c>
      <c r="E10" s="267">
        <v>0</v>
      </c>
      <c r="F10" s="149">
        <f>C10*(1+Assumptions!$J$10)^-(B10-Assumptions!$J$9)</f>
        <v>0</v>
      </c>
      <c r="H10" s="75" t="s">
        <v>47</v>
      </c>
      <c r="I10" s="271">
        <f>$I$28*J10</f>
        <v>13549761.945614062</v>
      </c>
      <c r="J10" s="272">
        <v>0.84071024189397836</v>
      </c>
    </row>
    <row r="11" spans="2:11" x14ac:dyDescent="0.2">
      <c r="B11" s="73">
        <f t="shared" si="0"/>
        <v>2032</v>
      </c>
      <c r="C11" s="267">
        <v>0</v>
      </c>
      <c r="D11" s="267">
        <v>0</v>
      </c>
      <c r="E11" s="267">
        <v>0</v>
      </c>
      <c r="F11" s="149">
        <f>C11*(1+Assumptions!$J$10)^-(B11-Assumptions!$J$9)</f>
        <v>0</v>
      </c>
      <c r="H11" s="75" t="s">
        <v>48</v>
      </c>
      <c r="I11" s="271">
        <f>$I$28*J11</f>
        <v>1356220.4334912149</v>
      </c>
      <c r="J11" s="272">
        <v>8.4148224395265064E-2</v>
      </c>
    </row>
    <row r="12" spans="2:11" ht="12.75" thickBot="1" x14ac:dyDescent="0.25">
      <c r="B12" s="73">
        <f t="shared" si="0"/>
        <v>2033</v>
      </c>
      <c r="C12" s="267">
        <v>0</v>
      </c>
      <c r="D12" s="267">
        <v>0</v>
      </c>
      <c r="E12" s="267">
        <v>0</v>
      </c>
      <c r="F12" s="149">
        <f>C12*(1+Assumptions!$J$10)^-(B12-Assumptions!$J$9)</f>
        <v>0</v>
      </c>
      <c r="H12" s="93" t="s">
        <v>5</v>
      </c>
      <c r="I12" s="273">
        <f>SUM(I7:I11)</f>
        <v>16117041.604118839</v>
      </c>
      <c r="J12" s="94"/>
    </row>
    <row r="13" spans="2:11" x14ac:dyDescent="0.2">
      <c r="B13" s="73">
        <f t="shared" si="0"/>
        <v>2034</v>
      </c>
      <c r="C13" s="267">
        <v>0</v>
      </c>
      <c r="D13" s="267">
        <v>0</v>
      </c>
      <c r="E13" s="267">
        <v>0</v>
      </c>
      <c r="F13" s="149">
        <f>C13*(1+Assumptions!$J$10)^-(B13-Assumptions!$J$9)</f>
        <v>0</v>
      </c>
      <c r="H13" s="85"/>
      <c r="I13" s="274"/>
      <c r="J13" s="85"/>
    </row>
    <row r="14" spans="2:11" ht="12.75" thickBot="1" x14ac:dyDescent="0.25">
      <c r="B14" s="73">
        <f t="shared" si="0"/>
        <v>2035</v>
      </c>
      <c r="C14" s="267">
        <v>0</v>
      </c>
      <c r="D14" s="267">
        <v>0</v>
      </c>
      <c r="E14" s="267">
        <v>0</v>
      </c>
      <c r="F14" s="149">
        <f>C14*(1+Assumptions!$J$10)^-(B14-Assumptions!$J$9)</f>
        <v>0</v>
      </c>
      <c r="H14" s="109" t="s">
        <v>226</v>
      </c>
      <c r="I14" s="85"/>
      <c r="J14" s="85"/>
      <c r="K14" s="85"/>
    </row>
    <row r="15" spans="2:11" x14ac:dyDescent="0.2">
      <c r="B15" s="73">
        <f t="shared" si="0"/>
        <v>2036</v>
      </c>
      <c r="C15" s="267">
        <v>0</v>
      </c>
      <c r="D15" s="267">
        <v>0</v>
      </c>
      <c r="E15" s="267">
        <v>0</v>
      </c>
      <c r="F15" s="149">
        <f>C15*(1+Assumptions!$J$10)^-(B15-Assumptions!$J$9)</f>
        <v>0</v>
      </c>
      <c r="H15" s="343" t="s">
        <v>49</v>
      </c>
      <c r="I15" s="350" t="s">
        <v>50</v>
      </c>
      <c r="J15" s="350" t="s">
        <v>58</v>
      </c>
      <c r="K15" s="350" t="s">
        <v>51</v>
      </c>
    </row>
    <row r="16" spans="2:11" ht="12.75" thickBot="1" x14ac:dyDescent="0.25">
      <c r="B16" s="73">
        <f t="shared" si="0"/>
        <v>2037</v>
      </c>
      <c r="C16" s="267">
        <v>0</v>
      </c>
      <c r="D16" s="267">
        <v>0</v>
      </c>
      <c r="E16" s="267">
        <v>0</v>
      </c>
      <c r="F16" s="149">
        <f>C16*(1+Assumptions!$J$10)^-(B16-Assumptions!$J$9)</f>
        <v>0</v>
      </c>
      <c r="H16" s="347"/>
      <c r="I16" s="382"/>
      <c r="J16" s="382"/>
      <c r="K16" s="382"/>
    </row>
    <row r="17" spans="2:11" x14ac:dyDescent="0.2">
      <c r="B17" s="73">
        <f t="shared" si="0"/>
        <v>2038</v>
      </c>
      <c r="C17" s="267">
        <v>0</v>
      </c>
      <c r="D17" s="267">
        <v>0</v>
      </c>
      <c r="E17" s="267">
        <v>0</v>
      </c>
      <c r="F17" s="149">
        <f>C17*(1+Assumptions!$J$10)^-(B17-Assumptions!$J$9)</f>
        <v>0</v>
      </c>
      <c r="H17" s="75" t="s">
        <v>52</v>
      </c>
      <c r="I17" s="275">
        <v>100</v>
      </c>
      <c r="J17" s="276">
        <f>I8</f>
        <v>0</v>
      </c>
      <c r="K17" s="277">
        <f>(I17-20)/I17*J17</f>
        <v>0</v>
      </c>
    </row>
    <row r="18" spans="2:11" x14ac:dyDescent="0.2">
      <c r="B18" s="73">
        <f t="shared" si="0"/>
        <v>2039</v>
      </c>
      <c r="C18" s="267">
        <v>0</v>
      </c>
      <c r="D18" s="267">
        <v>0</v>
      </c>
      <c r="E18" s="267">
        <v>0</v>
      </c>
      <c r="F18" s="149">
        <f>C18*(1+Assumptions!$J$10)^-(B18-Assumptions!$J$9)</f>
        <v>0</v>
      </c>
      <c r="H18" s="75" t="s">
        <v>53</v>
      </c>
      <c r="I18" s="275">
        <v>60</v>
      </c>
      <c r="J18" s="276">
        <v>0</v>
      </c>
      <c r="K18" s="277">
        <f t="shared" ref="K18:K20" si="1">(I18-20)/I18*J18</f>
        <v>0</v>
      </c>
    </row>
    <row r="19" spans="2:11" x14ac:dyDescent="0.2">
      <c r="B19" s="73">
        <f t="shared" si="0"/>
        <v>2040</v>
      </c>
      <c r="C19" s="267">
        <v>0</v>
      </c>
      <c r="D19" s="267">
        <v>0</v>
      </c>
      <c r="E19" s="267">
        <v>0</v>
      </c>
      <c r="F19" s="149">
        <f>C19*(1+Assumptions!$J$10)^-(B19-Assumptions!$J$9)</f>
        <v>0</v>
      </c>
      <c r="H19" s="75" t="s">
        <v>54</v>
      </c>
      <c r="I19" s="275">
        <v>50</v>
      </c>
      <c r="J19" s="276">
        <v>0</v>
      </c>
      <c r="K19" s="277">
        <f t="shared" si="1"/>
        <v>0</v>
      </c>
    </row>
    <row r="20" spans="2:11" x14ac:dyDescent="0.2">
      <c r="B20" s="73">
        <f t="shared" si="0"/>
        <v>2041</v>
      </c>
      <c r="C20" s="267">
        <v>0</v>
      </c>
      <c r="D20" s="267">
        <v>0</v>
      </c>
      <c r="E20" s="267">
        <v>0</v>
      </c>
      <c r="F20" s="149">
        <f>C20*(1+Assumptions!$J$10)^-(B20-Assumptions!$J$9)</f>
        <v>0</v>
      </c>
      <c r="H20" s="75" t="s">
        <v>55</v>
      </c>
      <c r="I20" s="275">
        <v>40</v>
      </c>
      <c r="J20" s="276">
        <v>0</v>
      </c>
      <c r="K20" s="277">
        <f t="shared" si="1"/>
        <v>0</v>
      </c>
    </row>
    <row r="21" spans="2:11" x14ac:dyDescent="0.2">
      <c r="B21" s="73">
        <f t="shared" si="0"/>
        <v>2042</v>
      </c>
      <c r="C21" s="267">
        <v>0</v>
      </c>
      <c r="D21" s="267">
        <v>0</v>
      </c>
      <c r="E21" s="267">
        <v>0</v>
      </c>
      <c r="F21" s="149">
        <f>C21*(1+Assumptions!$J$10)^-(B21-Assumptions!$J$9)</f>
        <v>0</v>
      </c>
      <c r="H21" s="75" t="s">
        <v>56</v>
      </c>
      <c r="I21" s="275">
        <v>25</v>
      </c>
      <c r="J21" s="276">
        <f>SUM(I10)</f>
        <v>13549761.945614062</v>
      </c>
      <c r="K21" s="277">
        <f>(I21-20)/I21*J21</f>
        <v>2709952.3891228125</v>
      </c>
    </row>
    <row r="22" spans="2:11" ht="12.75" thickBot="1" x14ac:dyDescent="0.25">
      <c r="B22" s="73">
        <f t="shared" si="0"/>
        <v>2043</v>
      </c>
      <c r="C22" s="267">
        <v>0</v>
      </c>
      <c r="D22" s="267">
        <v>0</v>
      </c>
      <c r="E22" s="267">
        <v>0</v>
      </c>
      <c r="F22" s="149">
        <f>C22*(1+Assumptions!$J$10)^-(B22-Assumptions!$J$9)</f>
        <v>0</v>
      </c>
      <c r="H22" s="93" t="s">
        <v>57</v>
      </c>
      <c r="I22" s="278">
        <v>0</v>
      </c>
      <c r="J22" s="279">
        <f>I12-J21</f>
        <v>2567279.6585047767</v>
      </c>
      <c r="K22" s="280">
        <f>IFERROR((I22-20)/I22*J22,0)</f>
        <v>0</v>
      </c>
    </row>
    <row r="23" spans="2:11" ht="12.75" thickBot="1" x14ac:dyDescent="0.25">
      <c r="B23" s="73">
        <f t="shared" si="0"/>
        <v>2044</v>
      </c>
      <c r="C23" s="267">
        <v>0</v>
      </c>
      <c r="D23" s="267">
        <v>0</v>
      </c>
      <c r="E23" s="267">
        <v>0</v>
      </c>
      <c r="F23" s="149">
        <f>C23*(1+Assumptions!$J$10)^-(B23-Assumptions!$J$9)</f>
        <v>0</v>
      </c>
      <c r="H23" s="383" t="s">
        <v>5</v>
      </c>
      <c r="I23" s="384"/>
      <c r="J23" s="281">
        <f>SUM(J21:J22)</f>
        <v>16117041.604118839</v>
      </c>
      <c r="K23" s="282">
        <f>SUM(K17:K22)</f>
        <v>2709952.3891228125</v>
      </c>
    </row>
    <row r="24" spans="2:11" x14ac:dyDescent="0.2">
      <c r="B24" s="73">
        <f t="shared" si="0"/>
        <v>2045</v>
      </c>
      <c r="C24" s="267">
        <v>0</v>
      </c>
      <c r="D24" s="267">
        <v>0</v>
      </c>
      <c r="E24" s="267">
        <v>0</v>
      </c>
      <c r="F24" s="149">
        <f>C24*(1+Assumptions!$J$10)^-(B24-Assumptions!$J$9)</f>
        <v>0</v>
      </c>
      <c r="H24" s="85"/>
      <c r="I24" s="85"/>
      <c r="J24" s="283"/>
      <c r="K24" s="283"/>
    </row>
    <row r="25" spans="2:11" ht="12.75" thickBot="1" x14ac:dyDescent="0.25">
      <c r="B25" s="73">
        <f t="shared" si="0"/>
        <v>2046</v>
      </c>
      <c r="C25" s="267">
        <v>0</v>
      </c>
      <c r="D25" s="232">
        <f>K23</f>
        <v>2709952.3891228125</v>
      </c>
      <c r="E25" s="267">
        <v>0</v>
      </c>
      <c r="F25" s="284">
        <f>D25*(1+Assumptions!$J$10)^-(B25-Assumptions!$J$9)+SUM(E26:E30)</f>
        <v>314496.5708397798</v>
      </c>
      <c r="H25" s="64" t="s">
        <v>227</v>
      </c>
      <c r="I25" s="285"/>
    </row>
    <row r="26" spans="2:11" ht="12.75" thickBot="1" x14ac:dyDescent="0.25">
      <c r="B26" s="73">
        <f t="shared" si="0"/>
        <v>2047</v>
      </c>
      <c r="C26" s="267"/>
      <c r="D26" s="267"/>
      <c r="E26" s="166">
        <f>'Operation and Maintenance'!$J$7*(1+Assumptions!$J$10)^-('Capital Value'!B26-Assumptions!$J$9)</f>
        <v>-42124.693154047614</v>
      </c>
      <c r="F26" s="286"/>
      <c r="G26" s="287"/>
      <c r="H26" s="380" t="s">
        <v>97</v>
      </c>
      <c r="I26" s="381"/>
      <c r="J26" s="253"/>
    </row>
    <row r="27" spans="2:11" x14ac:dyDescent="0.2">
      <c r="B27" s="73">
        <f t="shared" si="0"/>
        <v>2048</v>
      </c>
      <c r="C27" s="267"/>
      <c r="D27" s="267"/>
      <c r="E27" s="166">
        <f>'Operation and Maintenance'!$J$7*(1+Assumptions!$J$10)^-('Capital Value'!B27-Assumptions!$J$9)</f>
        <v>-39368.872106586547</v>
      </c>
      <c r="F27" s="286"/>
      <c r="H27" s="57" t="s">
        <v>73</v>
      </c>
      <c r="I27" s="250">
        <f>C5*(1.08)^-2</f>
        <v>20576131.687242799</v>
      </c>
    </row>
    <row r="28" spans="2:11" ht="12.75" thickBot="1" x14ac:dyDescent="0.25">
      <c r="B28" s="73">
        <f t="shared" si="0"/>
        <v>2049</v>
      </c>
      <c r="C28" s="267"/>
      <c r="D28" s="267"/>
      <c r="E28" s="166">
        <f>'Operation and Maintenance'!$J$7*(1+Assumptions!$J$10)^-('Capital Value'!B28-Assumptions!$J$9)</f>
        <v>-36793.338417370607</v>
      </c>
      <c r="F28" s="286"/>
      <c r="H28" s="79" t="s">
        <v>74</v>
      </c>
      <c r="I28" s="82">
        <f>I27*Assumptions!F6/Assumptions!F7</f>
        <v>16117041.604118839</v>
      </c>
    </row>
    <row r="29" spans="2:11" x14ac:dyDescent="0.2">
      <c r="B29" s="73">
        <f t="shared" si="0"/>
        <v>2050</v>
      </c>
      <c r="C29" s="267"/>
      <c r="D29" s="267"/>
      <c r="E29" s="166">
        <f>'Operation and Maintenance'!$J$7*(1+Assumptions!$J$10)^-('Capital Value'!B29-Assumptions!$J$9)</f>
        <v>-34386.297586327673</v>
      </c>
      <c r="F29" s="286"/>
    </row>
    <row r="30" spans="2:11" ht="12.75" thickBot="1" x14ac:dyDescent="0.25">
      <c r="B30" s="79">
        <f t="shared" si="0"/>
        <v>2051</v>
      </c>
      <c r="C30" s="288"/>
      <c r="D30" s="288"/>
      <c r="E30" s="171">
        <f>'Operation and Maintenance'!$J$7*(1+Assumptions!$J$10)^-('Capital Value'!B30-Assumptions!$J$9)</f>
        <v>-32136.726716194087</v>
      </c>
      <c r="F30" s="289"/>
    </row>
    <row r="31" spans="2:11" x14ac:dyDescent="0.2">
      <c r="E31" s="290"/>
      <c r="F31" s="290"/>
    </row>
    <row r="32" spans="2:11" x14ac:dyDescent="0.2">
      <c r="B32" s="64" t="s">
        <v>159</v>
      </c>
      <c r="C32" s="253"/>
      <c r="E32" s="290"/>
      <c r="F32" s="290"/>
    </row>
    <row r="33" spans="2:6" ht="12" customHeight="1" x14ac:dyDescent="0.2">
      <c r="B33" s="189" t="s">
        <v>160</v>
      </c>
      <c r="C33" s="316" t="s">
        <v>270</v>
      </c>
      <c r="D33" s="316"/>
      <c r="E33" s="316"/>
      <c r="F33" s="316"/>
    </row>
    <row r="34" spans="2:6" x14ac:dyDescent="0.2">
      <c r="C34" s="316"/>
      <c r="D34" s="316"/>
      <c r="E34" s="316"/>
      <c r="F34" s="316"/>
    </row>
    <row r="35" spans="2:6" x14ac:dyDescent="0.2">
      <c r="C35" s="316"/>
      <c r="D35" s="316"/>
      <c r="E35" s="316"/>
      <c r="F35" s="316"/>
    </row>
    <row r="36" spans="2:6" x14ac:dyDescent="0.2">
      <c r="C36" s="316"/>
      <c r="D36" s="316"/>
      <c r="E36" s="316"/>
      <c r="F36" s="316"/>
    </row>
    <row r="37" spans="2:6" x14ac:dyDescent="0.2">
      <c r="C37" s="316"/>
      <c r="D37" s="316"/>
      <c r="E37" s="316"/>
      <c r="F37" s="316"/>
    </row>
    <row r="38" spans="2:6" x14ac:dyDescent="0.2">
      <c r="C38" s="316"/>
      <c r="D38" s="316"/>
      <c r="E38" s="316"/>
      <c r="F38" s="316"/>
    </row>
    <row r="39" spans="2:6" x14ac:dyDescent="0.2">
      <c r="C39" s="316"/>
      <c r="D39" s="316"/>
      <c r="E39" s="316"/>
      <c r="F39" s="316"/>
    </row>
    <row r="40" spans="2:6" x14ac:dyDescent="0.2">
      <c r="E40" s="290"/>
      <c r="F40" s="290"/>
    </row>
    <row r="41" spans="2:6" x14ac:dyDescent="0.2">
      <c r="E41" s="290"/>
      <c r="F41" s="290"/>
    </row>
    <row r="42" spans="2:6" x14ac:dyDescent="0.2">
      <c r="E42" s="290"/>
      <c r="F42" s="290"/>
    </row>
    <row r="43" spans="2:6" x14ac:dyDescent="0.2">
      <c r="E43" s="290"/>
      <c r="F43" s="290"/>
    </row>
    <row r="44" spans="2:6" x14ac:dyDescent="0.2">
      <c r="E44" s="290"/>
      <c r="F44" s="290"/>
    </row>
  </sheetData>
  <mergeCells count="15">
    <mergeCell ref="C33:F39"/>
    <mergeCell ref="J15:J16"/>
    <mergeCell ref="K15:K16"/>
    <mergeCell ref="H26:I26"/>
    <mergeCell ref="H5:H6"/>
    <mergeCell ref="I5:I6"/>
    <mergeCell ref="J5:J6"/>
    <mergeCell ref="H23:I23"/>
    <mergeCell ref="H15:H16"/>
    <mergeCell ref="I15:I16"/>
    <mergeCell ref="B3:B4"/>
    <mergeCell ref="C3:C4"/>
    <mergeCell ref="D3:D4"/>
    <mergeCell ref="E3:E4"/>
    <mergeCell ref="F3:F4"/>
  </mergeCells>
  <pageMargins left="0.7" right="0.7" top="0.75" bottom="0.75" header="0.3" footer="0.3"/>
  <pageSetup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40AAB-98EB-4751-B77A-1F47CC17CEA2}">
  <sheetPr>
    <pageSetUpPr fitToPage="1"/>
  </sheetPr>
  <dimension ref="B2:L35"/>
  <sheetViews>
    <sheetView view="pageBreakPreview" zoomScaleNormal="100" zoomScaleSheetLayoutView="100" workbookViewId="0">
      <selection activeCell="G18" sqref="G18"/>
    </sheetView>
  </sheetViews>
  <sheetFormatPr defaultRowHeight="12" x14ac:dyDescent="0.2"/>
  <cols>
    <col min="1" max="10" width="9.140625" style="35"/>
    <col min="11" max="11" width="10.5703125" style="35" bestFit="1" customWidth="1"/>
    <col min="12" max="12" width="15.28515625" style="35" bestFit="1" customWidth="1"/>
    <col min="13" max="16384" width="9.140625" style="35"/>
  </cols>
  <sheetData>
    <row r="2" spans="2:12" ht="12.75" thickBot="1" x14ac:dyDescent="0.25">
      <c r="B2" s="64" t="s">
        <v>266</v>
      </c>
    </row>
    <row r="3" spans="2:12" ht="12.75" thickBot="1" x14ac:dyDescent="0.25">
      <c r="B3" s="46" t="s">
        <v>265</v>
      </c>
      <c r="C3" s="47" t="s">
        <v>264</v>
      </c>
      <c r="D3" s="47" t="s">
        <v>263</v>
      </c>
      <c r="E3" s="47" t="s">
        <v>262</v>
      </c>
      <c r="F3" s="47" t="s">
        <v>261</v>
      </c>
      <c r="G3" s="47" t="s">
        <v>260</v>
      </c>
      <c r="H3" s="47" t="s">
        <v>259</v>
      </c>
      <c r="I3" s="47" t="s">
        <v>7</v>
      </c>
      <c r="J3" s="47" t="s">
        <v>258</v>
      </c>
      <c r="K3" s="60" t="s">
        <v>257</v>
      </c>
      <c r="L3" s="309" t="s">
        <v>8</v>
      </c>
    </row>
    <row r="4" spans="2:12" ht="12.75" thickBot="1" x14ac:dyDescent="0.25">
      <c r="B4" s="150">
        <v>893</v>
      </c>
      <c r="C4" s="151" t="s">
        <v>229</v>
      </c>
      <c r="D4" s="151">
        <v>14</v>
      </c>
      <c r="E4" s="151">
        <v>69.241399999999999</v>
      </c>
      <c r="F4" s="151">
        <v>74.5548</v>
      </c>
      <c r="G4" s="151">
        <v>5.3120830000000003</v>
      </c>
      <c r="H4" s="151" t="s">
        <v>256</v>
      </c>
      <c r="I4" s="151">
        <v>7118</v>
      </c>
      <c r="J4" s="151">
        <v>1626</v>
      </c>
      <c r="K4" s="308">
        <f t="shared" ref="K4:K35" si="0">I4*G4</f>
        <v>37811.406794000002</v>
      </c>
      <c r="L4" s="310">
        <f>SUM(K4:K35)*Assumptions!J7</f>
        <v>303191224.36783499</v>
      </c>
    </row>
    <row r="5" spans="2:12" x14ac:dyDescent="0.2">
      <c r="B5" s="73">
        <v>1063</v>
      </c>
      <c r="C5" s="153" t="s">
        <v>229</v>
      </c>
      <c r="D5" s="153">
        <v>13</v>
      </c>
      <c r="E5" s="153">
        <v>69.247500000000002</v>
      </c>
      <c r="F5" s="153">
        <v>74.566199999999995</v>
      </c>
      <c r="G5" s="153">
        <v>5.3187480000000003</v>
      </c>
      <c r="H5" s="153" t="s">
        <v>255</v>
      </c>
      <c r="I5" s="153">
        <v>7112</v>
      </c>
      <c r="J5" s="153">
        <v>1457</v>
      </c>
      <c r="K5" s="306">
        <f t="shared" si="0"/>
        <v>37826.935775999998</v>
      </c>
    </row>
    <row r="6" spans="2:12" x14ac:dyDescent="0.2">
      <c r="B6" s="73">
        <v>1271</v>
      </c>
      <c r="C6" s="153" t="s">
        <v>229</v>
      </c>
      <c r="D6" s="153">
        <v>14</v>
      </c>
      <c r="E6" s="153">
        <v>74.5548</v>
      </c>
      <c r="F6" s="153">
        <v>75.256100000000004</v>
      </c>
      <c r="G6" s="153">
        <v>0.70130400000000004</v>
      </c>
      <c r="H6" s="153" t="s">
        <v>254</v>
      </c>
      <c r="I6" s="153">
        <v>6170</v>
      </c>
      <c r="J6" s="153">
        <v>1590</v>
      </c>
      <c r="K6" s="306">
        <f t="shared" si="0"/>
        <v>4327.0456800000002</v>
      </c>
    </row>
    <row r="7" spans="2:12" x14ac:dyDescent="0.2">
      <c r="B7" s="73">
        <v>1311</v>
      </c>
      <c r="C7" s="153" t="s">
        <v>229</v>
      </c>
      <c r="D7" s="153">
        <v>13</v>
      </c>
      <c r="E7" s="153">
        <v>74.566199999999995</v>
      </c>
      <c r="F7" s="153">
        <v>75.0154</v>
      </c>
      <c r="G7" s="153">
        <v>0.44919700000000001</v>
      </c>
      <c r="H7" s="153" t="s">
        <v>253</v>
      </c>
      <c r="I7" s="153">
        <v>6240</v>
      </c>
      <c r="J7" s="153">
        <v>1415</v>
      </c>
      <c r="K7" s="306">
        <f t="shared" si="0"/>
        <v>2802.9892800000002</v>
      </c>
    </row>
    <row r="8" spans="2:12" x14ac:dyDescent="0.2">
      <c r="B8" s="73">
        <v>2116</v>
      </c>
      <c r="C8" s="153" t="s">
        <v>229</v>
      </c>
      <c r="D8" s="153">
        <v>13</v>
      </c>
      <c r="E8" s="153">
        <v>75.0154</v>
      </c>
      <c r="F8" s="153">
        <v>75.256799999999998</v>
      </c>
      <c r="G8" s="153">
        <v>0.241396</v>
      </c>
      <c r="H8" s="153" t="s">
        <v>252</v>
      </c>
      <c r="I8" s="153">
        <v>6240</v>
      </c>
      <c r="J8" s="153">
        <v>1415</v>
      </c>
      <c r="K8" s="306">
        <f t="shared" si="0"/>
        <v>1506.31104</v>
      </c>
    </row>
    <row r="9" spans="2:12" x14ac:dyDescent="0.2">
      <c r="B9" s="73">
        <v>1987</v>
      </c>
      <c r="C9" s="153" t="s">
        <v>229</v>
      </c>
      <c r="D9" s="153">
        <v>14</v>
      </c>
      <c r="E9" s="153">
        <v>75.256100000000004</v>
      </c>
      <c r="F9" s="153">
        <v>78.742199999999997</v>
      </c>
      <c r="G9" s="153">
        <v>3.4861179999999998</v>
      </c>
      <c r="H9" s="153" t="s">
        <v>251</v>
      </c>
      <c r="I9" s="153">
        <v>6161</v>
      </c>
      <c r="J9" s="153">
        <v>1590</v>
      </c>
      <c r="K9" s="306">
        <f t="shared" si="0"/>
        <v>21477.972997999997</v>
      </c>
    </row>
    <row r="10" spans="2:12" x14ac:dyDescent="0.2">
      <c r="B10" s="73">
        <v>723</v>
      </c>
      <c r="C10" s="153" t="s">
        <v>229</v>
      </c>
      <c r="D10" s="153">
        <v>13</v>
      </c>
      <c r="E10" s="153">
        <v>75.256799999999998</v>
      </c>
      <c r="F10" s="153">
        <v>78.758300000000006</v>
      </c>
      <c r="G10" s="153">
        <v>3.5015160000000001</v>
      </c>
      <c r="H10" s="153" t="s">
        <v>251</v>
      </c>
      <c r="I10" s="153">
        <v>6225</v>
      </c>
      <c r="J10" s="153">
        <v>1415</v>
      </c>
      <c r="K10" s="306">
        <f t="shared" si="0"/>
        <v>21796.937099999999</v>
      </c>
    </row>
    <row r="11" spans="2:12" x14ac:dyDescent="0.2">
      <c r="B11" s="73">
        <v>691</v>
      </c>
      <c r="C11" s="153" t="s">
        <v>229</v>
      </c>
      <c r="D11" s="153">
        <v>14</v>
      </c>
      <c r="E11" s="153">
        <v>78.742199999999997</v>
      </c>
      <c r="F11" s="153">
        <v>79.171000000000006</v>
      </c>
      <c r="G11" s="153">
        <v>0.42879899999999999</v>
      </c>
      <c r="H11" s="153" t="s">
        <v>250</v>
      </c>
      <c r="I11" s="153">
        <v>5988</v>
      </c>
      <c r="J11" s="153">
        <v>1585</v>
      </c>
      <c r="K11" s="306">
        <f t="shared" si="0"/>
        <v>2567.648412</v>
      </c>
    </row>
    <row r="12" spans="2:12" x14ac:dyDescent="0.2">
      <c r="B12" s="73">
        <v>718</v>
      </c>
      <c r="C12" s="153" t="s">
        <v>229</v>
      </c>
      <c r="D12" s="153">
        <v>13</v>
      </c>
      <c r="E12" s="153">
        <v>78.758300000000006</v>
      </c>
      <c r="F12" s="153">
        <v>79.169799999999995</v>
      </c>
      <c r="G12" s="153">
        <v>0.41151500000000002</v>
      </c>
      <c r="H12" s="153" t="s">
        <v>249</v>
      </c>
      <c r="I12" s="153">
        <v>5975</v>
      </c>
      <c r="J12" s="153">
        <v>1410</v>
      </c>
      <c r="K12" s="306">
        <f t="shared" si="0"/>
        <v>2458.8021250000002</v>
      </c>
    </row>
    <row r="13" spans="2:12" x14ac:dyDescent="0.2">
      <c r="B13" s="73">
        <v>1190</v>
      </c>
      <c r="C13" s="153" t="s">
        <v>229</v>
      </c>
      <c r="D13" s="153">
        <v>13</v>
      </c>
      <c r="E13" s="153">
        <v>79.169799999999995</v>
      </c>
      <c r="F13" s="153">
        <v>85.728200000000001</v>
      </c>
      <c r="G13" s="153">
        <v>6.5584870000000004</v>
      </c>
      <c r="H13" s="153" t="s">
        <v>248</v>
      </c>
      <c r="I13" s="153">
        <v>5975</v>
      </c>
      <c r="J13" s="153">
        <v>1410</v>
      </c>
      <c r="K13" s="306">
        <f t="shared" si="0"/>
        <v>39186.959825000005</v>
      </c>
    </row>
    <row r="14" spans="2:12" ht="11.25" customHeight="1" x14ac:dyDescent="0.2">
      <c r="B14" s="73">
        <v>690</v>
      </c>
      <c r="C14" s="153" t="s">
        <v>229</v>
      </c>
      <c r="D14" s="153">
        <v>14</v>
      </c>
      <c r="E14" s="153">
        <v>79.171000000000006</v>
      </c>
      <c r="F14" s="153">
        <v>85.724199999999996</v>
      </c>
      <c r="G14" s="153">
        <v>6.5532079999999997</v>
      </c>
      <c r="H14" s="153" t="s">
        <v>247</v>
      </c>
      <c r="I14" s="153">
        <v>5926</v>
      </c>
      <c r="J14" s="153">
        <v>1585</v>
      </c>
      <c r="K14" s="306">
        <f t="shared" si="0"/>
        <v>38834.310608</v>
      </c>
    </row>
    <row r="15" spans="2:12" x14ac:dyDescent="0.2">
      <c r="B15" s="73">
        <v>1098</v>
      </c>
      <c r="C15" s="153" t="s">
        <v>229</v>
      </c>
      <c r="D15" s="153">
        <v>14</v>
      </c>
      <c r="E15" s="153">
        <v>85.724199999999996</v>
      </c>
      <c r="F15" s="153">
        <v>88.0137</v>
      </c>
      <c r="G15" s="153">
        <v>2.289488</v>
      </c>
      <c r="H15" s="153" t="s">
        <v>246</v>
      </c>
      <c r="I15" s="153">
        <v>6482</v>
      </c>
      <c r="J15" s="153">
        <v>1594</v>
      </c>
      <c r="K15" s="306">
        <f t="shared" si="0"/>
        <v>14840.461216</v>
      </c>
    </row>
    <row r="16" spans="2:12" x14ac:dyDescent="0.2">
      <c r="B16" s="73">
        <v>967</v>
      </c>
      <c r="C16" s="153" t="s">
        <v>229</v>
      </c>
      <c r="D16" s="153">
        <v>13</v>
      </c>
      <c r="E16" s="153">
        <v>85.728200000000001</v>
      </c>
      <c r="F16" s="153">
        <v>88.017499999999998</v>
      </c>
      <c r="G16" s="153">
        <v>2.2893279999999998</v>
      </c>
      <c r="H16" s="153" t="s">
        <v>246</v>
      </c>
      <c r="I16" s="153">
        <v>6668</v>
      </c>
      <c r="J16" s="153">
        <v>1424</v>
      </c>
      <c r="K16" s="306">
        <f t="shared" si="0"/>
        <v>15265.239103999998</v>
      </c>
    </row>
    <row r="17" spans="2:11" x14ac:dyDescent="0.2">
      <c r="B17" s="73">
        <v>689</v>
      </c>
      <c r="C17" s="153" t="s">
        <v>229</v>
      </c>
      <c r="D17" s="153">
        <v>14</v>
      </c>
      <c r="E17" s="153">
        <v>88.0137</v>
      </c>
      <c r="F17" s="153">
        <v>92.158000000000001</v>
      </c>
      <c r="G17" s="153">
        <v>4.1443760000000003</v>
      </c>
      <c r="H17" s="153" t="s">
        <v>245</v>
      </c>
      <c r="I17" s="153">
        <v>6515</v>
      </c>
      <c r="J17" s="153">
        <v>1595</v>
      </c>
      <c r="K17" s="306">
        <f t="shared" si="0"/>
        <v>27000.609640000002</v>
      </c>
    </row>
    <row r="18" spans="2:11" x14ac:dyDescent="0.2">
      <c r="B18" s="73">
        <v>1542</v>
      </c>
      <c r="C18" s="153" t="s">
        <v>229</v>
      </c>
      <c r="D18" s="153">
        <v>13</v>
      </c>
      <c r="E18" s="153">
        <v>88.017499999999998</v>
      </c>
      <c r="F18" s="153">
        <v>99.405699999999996</v>
      </c>
      <c r="G18" s="153">
        <v>11.38804</v>
      </c>
      <c r="H18" s="153" t="s">
        <v>244</v>
      </c>
      <c r="I18" s="153">
        <v>6641</v>
      </c>
      <c r="J18" s="153">
        <v>1492</v>
      </c>
      <c r="K18" s="306">
        <f t="shared" si="0"/>
        <v>75627.973639999997</v>
      </c>
    </row>
    <row r="19" spans="2:11" x14ac:dyDescent="0.2">
      <c r="B19" s="73">
        <v>1848</v>
      </c>
      <c r="C19" s="153" t="s">
        <v>229</v>
      </c>
      <c r="D19" s="153">
        <v>14</v>
      </c>
      <c r="E19" s="153">
        <v>92.158000000000001</v>
      </c>
      <c r="F19" s="153">
        <v>99.407700000000006</v>
      </c>
      <c r="G19" s="153">
        <v>7.2498050000000003</v>
      </c>
      <c r="H19" s="153" t="s">
        <v>243</v>
      </c>
      <c r="I19" s="153">
        <v>6523</v>
      </c>
      <c r="J19" s="153">
        <v>1857</v>
      </c>
      <c r="K19" s="306">
        <f t="shared" si="0"/>
        <v>47290.478015000001</v>
      </c>
    </row>
    <row r="20" spans="2:11" x14ac:dyDescent="0.2">
      <c r="B20" s="73">
        <v>717</v>
      </c>
      <c r="C20" s="153" t="s">
        <v>229</v>
      </c>
      <c r="D20" s="153">
        <v>13</v>
      </c>
      <c r="E20" s="153">
        <v>99.405699999999996</v>
      </c>
      <c r="F20" s="153">
        <v>100.258</v>
      </c>
      <c r="G20" s="153">
        <v>0.85252300000000003</v>
      </c>
      <c r="H20" s="153" t="s">
        <v>242</v>
      </c>
      <c r="I20" s="153">
        <v>5765</v>
      </c>
      <c r="J20" s="153">
        <v>1508</v>
      </c>
      <c r="K20" s="306">
        <f t="shared" si="0"/>
        <v>4914.7950950000004</v>
      </c>
    </row>
    <row r="21" spans="2:11" x14ac:dyDescent="0.2">
      <c r="B21" s="73">
        <v>1661</v>
      </c>
      <c r="C21" s="153" t="s">
        <v>229</v>
      </c>
      <c r="D21" s="153">
        <v>14</v>
      </c>
      <c r="E21" s="153">
        <v>99.407700000000006</v>
      </c>
      <c r="F21" s="153">
        <v>100.2627</v>
      </c>
      <c r="G21" s="153">
        <v>0.85486899999999999</v>
      </c>
      <c r="H21" s="153" t="s">
        <v>241</v>
      </c>
      <c r="I21" s="153">
        <v>5956</v>
      </c>
      <c r="J21" s="153">
        <v>1843</v>
      </c>
      <c r="K21" s="306">
        <f t="shared" si="0"/>
        <v>5091.5997639999996</v>
      </c>
    </row>
    <row r="22" spans="2:11" x14ac:dyDescent="0.2">
      <c r="B22" s="73">
        <v>1250</v>
      </c>
      <c r="C22" s="153" t="s">
        <v>229</v>
      </c>
      <c r="D22" s="153">
        <v>13</v>
      </c>
      <c r="E22" s="153">
        <v>100.258</v>
      </c>
      <c r="F22" s="153">
        <v>101.5428</v>
      </c>
      <c r="G22" s="153">
        <v>1.284699</v>
      </c>
      <c r="H22" s="153" t="s">
        <v>240</v>
      </c>
      <c r="I22" s="153">
        <v>5465</v>
      </c>
      <c r="J22" s="153">
        <v>1673</v>
      </c>
      <c r="K22" s="306">
        <f t="shared" si="0"/>
        <v>7020.8800350000001</v>
      </c>
    </row>
    <row r="23" spans="2:11" x14ac:dyDescent="0.2">
      <c r="B23" s="73">
        <v>688</v>
      </c>
      <c r="C23" s="153" t="s">
        <v>229</v>
      </c>
      <c r="D23" s="153">
        <v>14</v>
      </c>
      <c r="E23" s="153">
        <v>100.2627</v>
      </c>
      <c r="F23" s="153">
        <v>101.5459</v>
      </c>
      <c r="G23" s="153">
        <v>1.2831840000000001</v>
      </c>
      <c r="H23" s="153" t="s">
        <v>239</v>
      </c>
      <c r="I23" s="153">
        <v>5876</v>
      </c>
      <c r="J23" s="153">
        <v>1716</v>
      </c>
      <c r="K23" s="306">
        <f t="shared" si="0"/>
        <v>7539.9891840000009</v>
      </c>
    </row>
    <row r="24" spans="2:11" x14ac:dyDescent="0.2">
      <c r="B24" s="73">
        <v>1465</v>
      </c>
      <c r="C24" s="153" t="s">
        <v>229</v>
      </c>
      <c r="D24" s="153">
        <v>13</v>
      </c>
      <c r="E24" s="153">
        <v>101.5428</v>
      </c>
      <c r="F24" s="153">
        <v>110.94710000000001</v>
      </c>
      <c r="G24" s="153">
        <v>9.4044059999999998</v>
      </c>
      <c r="H24" s="153" t="s">
        <v>238</v>
      </c>
      <c r="I24" s="153">
        <v>5358</v>
      </c>
      <c r="J24" s="153">
        <v>1687</v>
      </c>
      <c r="K24" s="306">
        <f t="shared" si="0"/>
        <v>50388.807348000002</v>
      </c>
    </row>
    <row r="25" spans="2:11" x14ac:dyDescent="0.2">
      <c r="B25" s="73">
        <v>687</v>
      </c>
      <c r="C25" s="153" t="s">
        <v>229</v>
      </c>
      <c r="D25" s="153">
        <v>14</v>
      </c>
      <c r="E25" s="153">
        <v>101.5459</v>
      </c>
      <c r="F25" s="153">
        <v>110.8126</v>
      </c>
      <c r="G25" s="153">
        <v>9.2666839999999997</v>
      </c>
      <c r="H25" s="153" t="s">
        <v>237</v>
      </c>
      <c r="I25" s="153">
        <v>5481</v>
      </c>
      <c r="J25" s="153">
        <v>1689</v>
      </c>
      <c r="K25" s="306">
        <f t="shared" si="0"/>
        <v>50790.695004000001</v>
      </c>
    </row>
    <row r="26" spans="2:11" x14ac:dyDescent="0.2">
      <c r="B26" s="73">
        <v>1280</v>
      </c>
      <c r="C26" s="153" t="s">
        <v>229</v>
      </c>
      <c r="D26" s="153">
        <v>14</v>
      </c>
      <c r="E26" s="153">
        <v>110.8126</v>
      </c>
      <c r="F26" s="153">
        <v>118.029</v>
      </c>
      <c r="G26" s="153">
        <v>7.2166170000000003</v>
      </c>
      <c r="H26" s="153" t="s">
        <v>236</v>
      </c>
      <c r="I26" s="153">
        <v>5146</v>
      </c>
      <c r="J26" s="153">
        <v>1440</v>
      </c>
      <c r="K26" s="306">
        <f t="shared" si="0"/>
        <v>37136.711082000002</v>
      </c>
    </row>
    <row r="27" spans="2:11" x14ac:dyDescent="0.2">
      <c r="B27" s="73">
        <v>913</v>
      </c>
      <c r="C27" s="153" t="s">
        <v>229</v>
      </c>
      <c r="D27" s="153">
        <v>13</v>
      </c>
      <c r="E27" s="153">
        <v>110.94710000000001</v>
      </c>
      <c r="F27" s="153">
        <v>118.0244</v>
      </c>
      <c r="G27" s="153">
        <v>7.0772240000000002</v>
      </c>
      <c r="H27" s="153" t="s">
        <v>235</v>
      </c>
      <c r="I27" s="153">
        <v>5136</v>
      </c>
      <c r="J27" s="153">
        <v>1390</v>
      </c>
      <c r="K27" s="306">
        <f t="shared" si="0"/>
        <v>36348.622464</v>
      </c>
    </row>
    <row r="28" spans="2:11" x14ac:dyDescent="0.2">
      <c r="B28" s="73">
        <v>2055</v>
      </c>
      <c r="C28" s="153" t="s">
        <v>229</v>
      </c>
      <c r="D28" s="153">
        <v>13</v>
      </c>
      <c r="E28" s="153">
        <v>118.0244</v>
      </c>
      <c r="F28" s="153">
        <v>119.2561</v>
      </c>
      <c r="G28" s="153">
        <v>1.2317480000000001</v>
      </c>
      <c r="H28" s="153" t="s">
        <v>234</v>
      </c>
      <c r="I28" s="153">
        <v>5500</v>
      </c>
      <c r="J28" s="153">
        <v>1395</v>
      </c>
      <c r="K28" s="306">
        <f t="shared" si="0"/>
        <v>6774.6140000000005</v>
      </c>
    </row>
    <row r="29" spans="2:11" x14ac:dyDescent="0.2">
      <c r="B29" s="73">
        <v>1516</v>
      </c>
      <c r="C29" s="153" t="s">
        <v>229</v>
      </c>
      <c r="D29" s="153">
        <v>14</v>
      </c>
      <c r="E29" s="153">
        <v>118.029</v>
      </c>
      <c r="F29" s="153">
        <v>119.26139999999999</v>
      </c>
      <c r="G29" s="153">
        <v>1.232442</v>
      </c>
      <c r="H29" s="153" t="s">
        <v>234</v>
      </c>
      <c r="I29" s="153">
        <v>5300</v>
      </c>
      <c r="J29" s="153">
        <v>1445</v>
      </c>
      <c r="K29" s="306">
        <f t="shared" si="0"/>
        <v>6531.9426000000003</v>
      </c>
    </row>
    <row r="30" spans="2:11" x14ac:dyDescent="0.2">
      <c r="B30" s="73">
        <v>1121</v>
      </c>
      <c r="C30" s="153" t="s">
        <v>229</v>
      </c>
      <c r="D30" s="153">
        <v>13</v>
      </c>
      <c r="E30" s="153">
        <v>119.2561</v>
      </c>
      <c r="F30" s="153">
        <v>129.53049999999999</v>
      </c>
      <c r="G30" s="153">
        <v>10.27453</v>
      </c>
      <c r="H30" s="153" t="s">
        <v>233</v>
      </c>
      <c r="I30" s="153">
        <v>5341</v>
      </c>
      <c r="J30" s="153">
        <v>1392</v>
      </c>
      <c r="K30" s="306">
        <f t="shared" si="0"/>
        <v>54876.264730000003</v>
      </c>
    </row>
    <row r="31" spans="2:11" x14ac:dyDescent="0.2">
      <c r="B31" s="73">
        <v>1805</v>
      </c>
      <c r="C31" s="153" t="s">
        <v>229</v>
      </c>
      <c r="D31" s="153">
        <v>14</v>
      </c>
      <c r="E31" s="153">
        <v>119.26139999999999</v>
      </c>
      <c r="F31" s="153">
        <v>129.535</v>
      </c>
      <c r="G31" s="153">
        <v>10.273540000000001</v>
      </c>
      <c r="H31" s="153" t="s">
        <v>232</v>
      </c>
      <c r="I31" s="153">
        <v>5281</v>
      </c>
      <c r="J31" s="153">
        <v>1445</v>
      </c>
      <c r="K31" s="306">
        <f t="shared" si="0"/>
        <v>54254.564740000002</v>
      </c>
    </row>
    <row r="32" spans="2:11" x14ac:dyDescent="0.2">
      <c r="B32" s="73">
        <v>1026</v>
      </c>
      <c r="C32" s="153" t="s">
        <v>229</v>
      </c>
      <c r="D32" s="153">
        <v>13</v>
      </c>
      <c r="E32" s="153">
        <v>130.14330000000001</v>
      </c>
      <c r="F32" s="153">
        <v>136.8629</v>
      </c>
      <c r="G32" s="153">
        <v>6.7196230000000003</v>
      </c>
      <c r="H32" s="153" t="s">
        <v>231</v>
      </c>
      <c r="I32" s="153">
        <v>5925</v>
      </c>
      <c r="J32" s="153">
        <v>1630</v>
      </c>
      <c r="K32" s="306">
        <f t="shared" si="0"/>
        <v>39813.766275000002</v>
      </c>
    </row>
    <row r="33" spans="2:11" x14ac:dyDescent="0.2">
      <c r="B33" s="73">
        <v>1729</v>
      </c>
      <c r="C33" s="153" t="s">
        <v>229</v>
      </c>
      <c r="D33" s="153">
        <v>14</v>
      </c>
      <c r="E33" s="153">
        <v>130.14599999999999</v>
      </c>
      <c r="F33" s="153">
        <v>136.86709999999999</v>
      </c>
      <c r="G33" s="153">
        <v>6.721082</v>
      </c>
      <c r="H33" s="153" t="s">
        <v>231</v>
      </c>
      <c r="I33" s="153">
        <v>5925</v>
      </c>
      <c r="J33" s="153">
        <v>1630</v>
      </c>
      <c r="K33" s="306">
        <f t="shared" si="0"/>
        <v>39822.41085</v>
      </c>
    </row>
    <row r="34" spans="2:11" x14ac:dyDescent="0.2">
      <c r="B34" s="73">
        <v>1822</v>
      </c>
      <c r="C34" s="153" t="s">
        <v>229</v>
      </c>
      <c r="D34" s="153">
        <v>13</v>
      </c>
      <c r="E34" s="153">
        <v>136.8629</v>
      </c>
      <c r="F34" s="153">
        <v>140.98429999999999</v>
      </c>
      <c r="G34" s="153">
        <v>4.121346</v>
      </c>
      <c r="H34" s="153" t="s">
        <v>230</v>
      </c>
      <c r="I34" s="153">
        <v>7580</v>
      </c>
      <c r="J34" s="153">
        <v>1794</v>
      </c>
      <c r="K34" s="306">
        <f t="shared" si="0"/>
        <v>31239.802680000001</v>
      </c>
    </row>
    <row r="35" spans="2:11" ht="12.75" thickBot="1" x14ac:dyDescent="0.25">
      <c r="B35" s="79">
        <v>1603</v>
      </c>
      <c r="C35" s="154" t="s">
        <v>229</v>
      </c>
      <c r="D35" s="154">
        <v>14</v>
      </c>
      <c r="E35" s="154">
        <v>136.86709999999999</v>
      </c>
      <c r="F35" s="154">
        <v>138.1317</v>
      </c>
      <c r="G35" s="154">
        <v>1.264699</v>
      </c>
      <c r="H35" s="154" t="s">
        <v>228</v>
      </c>
      <c r="I35" s="154">
        <v>5925</v>
      </c>
      <c r="J35" s="154">
        <v>1630</v>
      </c>
      <c r="K35" s="307">
        <f t="shared" si="0"/>
        <v>7493.3415750000004</v>
      </c>
    </row>
  </sheetData>
  <pageMargins left="0.7" right="0.7" top="0.75" bottom="0.75" header="0.3" footer="0.3"/>
  <pageSetup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BCA Summary</vt:lpstr>
      <vt:lpstr>Assumptions</vt:lpstr>
      <vt:lpstr>Safety</vt:lpstr>
      <vt:lpstr>Travel Time</vt:lpstr>
      <vt:lpstr>Air Quality</vt:lpstr>
      <vt:lpstr>Operation and Maintenance</vt:lpstr>
      <vt:lpstr>Capital Value</vt:lpstr>
      <vt:lpstr>Traffic Counts-Segments</vt:lpstr>
      <vt:lpstr>'Air Quality'!Print_Area</vt:lpstr>
      <vt:lpstr>Assumptions!Print_Area</vt:lpstr>
      <vt:lpstr>'BCA Summary'!Print_Area</vt:lpstr>
      <vt:lpstr>'Capital Value'!Print_Area</vt:lpstr>
      <vt:lpstr>'Operation and Maintenance'!Print_Area</vt:lpstr>
      <vt:lpstr>Safety!Print_Area</vt:lpstr>
      <vt:lpstr>'Traffic Counts-Segments'!Print_Area</vt:lpstr>
      <vt:lpstr>'Travel Time'!Print_Area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Kappelman</dc:creator>
  <cp:lastModifiedBy>Erik Kappelman</cp:lastModifiedBy>
  <dcterms:created xsi:type="dcterms:W3CDTF">2023-07-17T16:17:49Z</dcterms:created>
  <dcterms:modified xsi:type="dcterms:W3CDTF">2023-08-14T15:28:15Z</dcterms:modified>
</cp:coreProperties>
</file>