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defaultThemeVersion="124226"/>
  <mc:AlternateContent xmlns:mc="http://schemas.openxmlformats.org/markup-compatibility/2006">
    <mc:Choice Requires="x15">
      <x15ac:absPath xmlns:x15ac="http://schemas.microsoft.com/office/spreadsheetml/2010/11/ac" url="\\srfgroup.loc\DFSMapK\Trans\Grant Applications\2023 Grants\MPDG\Meade County\BCA\Submittal Materials\"/>
    </mc:Choice>
  </mc:AlternateContent>
  <xr:revisionPtr revIDLastSave="0" documentId="13_ncr:1_{9E7AEA06-82F4-469C-9242-4A7E36D3B830}" xr6:coauthVersionLast="47" xr6:coauthVersionMax="47" xr10:uidLastSave="{00000000-0000-0000-0000-000000000000}"/>
  <bookViews>
    <workbookView xWindow="-120" yWindow="-120" windowWidth="29040" windowHeight="15840" tabRatio="945" xr2:uid="{00000000-000D-0000-FFFF-FFFF00000000}"/>
  </bookViews>
  <sheets>
    <sheet name="Assumptions" sheetId="28" r:id="rId1"/>
    <sheet name="BCA Summary " sheetId="46" r:id="rId2"/>
    <sheet name="Travel Time Benefits" sheetId="123" r:id="rId3"/>
    <sheet name="Safety Benefits" sheetId="30" r:id="rId4"/>
    <sheet name="Capital Cost + RCV" sheetId="42" r:id="rId5"/>
    <sheet name="O&amp;M + Rehab" sheetId="128" r:id="rId6"/>
    <sheet name="VOC_Roughness" sheetId="117" r:id="rId7"/>
    <sheet name="Crash Data" sheetId="127" r:id="rId8"/>
    <sheet name="Traffic Data - %HV Assumption" sheetId="122" r:id="rId9"/>
    <sheet name="Operating Cost-Roughness" sheetId="121" r:id="rId10"/>
    <sheet name="Traffic Data - Project AADT" sheetId="116"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A" localSheetId="5">#REF!</definedName>
    <definedName name="\A">#REF!</definedName>
    <definedName name="\B" localSheetId="5">#REF!</definedName>
    <definedName name="\B">#REF!</definedName>
    <definedName name="\p" localSheetId="5">#REF!</definedName>
    <definedName name="\p">#REF!</definedName>
    <definedName name="\S">#REF!</definedName>
    <definedName name="_____________________________ALL2">'[1]A-11a Balance Sheet Recons'!$B$11:$J$42</definedName>
    <definedName name="____________________________ALL2">'[1]A-11a Balance Sheet Recons'!$B$11:$J$42</definedName>
    <definedName name="___________________________ALL2">'[1]A-11a Balance Sheet Recons'!$B$11:$J$42</definedName>
    <definedName name="__________________________ALL2">'[1]A-11a Balance Sheet Recons'!$B$11:$J$42</definedName>
    <definedName name="_________________________ALL2">'[1]A-11a Balance Sheet Recons'!$B$11:$J$42</definedName>
    <definedName name="________________________ALL2">'[1]A-11a Balance Sheet Recons'!$B$11:$J$42</definedName>
    <definedName name="_______________________ALL2">'[1]A-11a Balance Sheet Recons'!$B$11:$J$42</definedName>
    <definedName name="______________________ALL2">'[1]A-11a Balance Sheet Recons'!$B$11:$J$42</definedName>
    <definedName name="_____________________ALL2">'[1]A-11a Balance Sheet Recons'!$B$11:$J$42</definedName>
    <definedName name="____________________ALL2">'[1]A-11a Balance Sheet Recons'!$B$11:$J$42</definedName>
    <definedName name="___________________ALL2">'[1]A-11a Balance Sheet Recons'!$B$11:$J$42</definedName>
    <definedName name="__________________ALL2">'[1]A-11a Balance Sheet Recons'!$B$11:$J$42</definedName>
    <definedName name="_________________ALL2">'[1]A-11a Balance Sheet Recons'!$B$11:$J$42</definedName>
    <definedName name="________________ALL2">'[1]A-11a Balance Sheet Recons'!$B$11:$J$42</definedName>
    <definedName name="_______________ALL2">'[1]A-11a Balance Sheet Recons'!$B$11:$J$42</definedName>
    <definedName name="______________ALL2">'[1]A-11a Balance Sheet Recons'!$B$11:$J$42</definedName>
    <definedName name="_____________ALL2">'[1]A-11a Balance Sheet Recons'!$B$11:$J$42</definedName>
    <definedName name="____________ALL2">'[1]A-11a Balance Sheet Recons'!$B$11:$J$42</definedName>
    <definedName name="____________RG1">#REF!</definedName>
    <definedName name="____________RG2">#REF!</definedName>
    <definedName name="____________RG3">#REF!</definedName>
    <definedName name="____________RG4">#REF!</definedName>
    <definedName name="___________ALL2">'[1]A-11a Balance Sheet Recons'!$B$11:$J$42</definedName>
    <definedName name="___________RG1">#REF!</definedName>
    <definedName name="___________RG2">#REF!</definedName>
    <definedName name="___________RG3">#REF!</definedName>
    <definedName name="___________RG4">#REF!</definedName>
    <definedName name="__________ALL2">'[1]A-11a Balance Sheet Recons'!$B$11:$J$42</definedName>
    <definedName name="__________RG1">#REF!</definedName>
    <definedName name="__________RG2">#REF!</definedName>
    <definedName name="__________RG3">#REF!</definedName>
    <definedName name="__________RG4">#REF!</definedName>
    <definedName name="_________ALL2">'[1]A-11a Balance Sheet Recons'!$B$11:$J$42</definedName>
    <definedName name="_________RG1">#REF!</definedName>
    <definedName name="_________RG2">#REF!</definedName>
    <definedName name="_________RG3">#REF!</definedName>
    <definedName name="_________RG4">#REF!</definedName>
    <definedName name="________ALL2">'[1]A-11a Balance Sheet Recons'!$B$11:$J$42</definedName>
    <definedName name="________RG1">#REF!</definedName>
    <definedName name="________RG2">#REF!</definedName>
    <definedName name="________RG3">#REF!</definedName>
    <definedName name="________RG4">#REF!</definedName>
    <definedName name="_______ALL2">'[1]A-11a Balance Sheet Recons'!$B$11:$J$42</definedName>
    <definedName name="_______RG1">#REF!</definedName>
    <definedName name="_______RG2">#REF!</definedName>
    <definedName name="_______RG3">#REF!</definedName>
    <definedName name="_______RG4">#REF!</definedName>
    <definedName name="______ALL2">'[1]A-11a Balance Sheet Recons'!$B$11:$J$42</definedName>
    <definedName name="______RG1">#REF!</definedName>
    <definedName name="______RG2">#REF!</definedName>
    <definedName name="______RG3">#REF!</definedName>
    <definedName name="______RG4">#REF!</definedName>
    <definedName name="_____ALL2">'[1]A-11a Balance Sheet Recons'!$B$11:$J$42</definedName>
    <definedName name="_____RG1">#REF!</definedName>
    <definedName name="_____RG2">#REF!</definedName>
    <definedName name="_____RG3">#REF!</definedName>
    <definedName name="_____RG4">#REF!</definedName>
    <definedName name="____ALL2">'[1]A-11a Balance Sheet Recons'!$B$11:$J$42</definedName>
    <definedName name="____RG1">#REF!</definedName>
    <definedName name="____RG2">#REF!</definedName>
    <definedName name="____RG3">#REF!</definedName>
    <definedName name="____RG4">#REF!</definedName>
    <definedName name="___ALL2">'[1]A-11a Balance Sheet Recons'!$B$11:$J$42</definedName>
    <definedName name="___RG1">#REF!</definedName>
    <definedName name="___RG2">#REF!</definedName>
    <definedName name="___RG3">#REF!</definedName>
    <definedName name="___RG4">#REF!</definedName>
    <definedName name="__123Graph_A" hidden="1">#REF!</definedName>
    <definedName name="__123Graph_X" hidden="1">#REF!</definedName>
    <definedName name="__ALL2">'[1]A-11a Balance Sheet Recons'!$B$11:$J$42</definedName>
    <definedName name="__RG1">#REF!</definedName>
    <definedName name="__RG2">#REF!</definedName>
    <definedName name="__RG3">#REF!</definedName>
    <definedName name="__RG4">#REF!</definedName>
    <definedName name="_12_MONTHS">#REF!</definedName>
    <definedName name="_12_PAGE_25MO">#REF!</definedName>
    <definedName name="_ALL2">'[1]A-11a Balance Sheet Recons'!$B$11:$J$42</definedName>
    <definedName name="_COW1">#REF!</definedName>
    <definedName name="_COW2">#REF!</definedName>
    <definedName name="_Fill" localSheetId="2" hidden="1">#REF!</definedName>
    <definedName name="_Fill" hidden="1">#REF!</definedName>
    <definedName name="_xlnm._FilterDatabase" localSheetId="4" hidden="1">'Capital Cost + RCV'!$J$1:$J$70</definedName>
    <definedName name="_xlnm._FilterDatabase" localSheetId="7" hidden="1">'Crash Data'!$U$1:$U$109</definedName>
    <definedName name="_Key1" localSheetId="5" hidden="1">'[2]Journal Entry'!#REF!</definedName>
    <definedName name="_Key1" localSheetId="2" hidden="1">#REF!</definedName>
    <definedName name="_Key1" hidden="1">'[2]Journal Entry'!#REF!</definedName>
    <definedName name="_Key2" localSheetId="5" hidden="1">'[2]Journal Entry'!#REF!</definedName>
    <definedName name="_Key2" localSheetId="2" hidden="1">#REF!</definedName>
    <definedName name="_Key2" hidden="1">'[2]Journal Entry'!#REF!</definedName>
    <definedName name="_Order1" hidden="1">255</definedName>
    <definedName name="_Order2" hidden="1">255</definedName>
    <definedName name="_ppp1" localSheetId="5">#REF!</definedName>
    <definedName name="_ppp1">#REF!</definedName>
    <definedName name="_ppp2" localSheetId="5">#REF!</definedName>
    <definedName name="_ppp2">#REF!</definedName>
    <definedName name="_ppp3" localSheetId="5">#REF!</definedName>
    <definedName name="_ppp3">#REF!</definedName>
    <definedName name="_RG1">#REF!</definedName>
    <definedName name="_RG2">#REF!</definedName>
    <definedName name="_RG3">#REF!</definedName>
    <definedName name="_RG4">#REF!</definedName>
    <definedName name="_ST1">#REF!</definedName>
    <definedName name="_ST2">#REF!</definedName>
    <definedName name="_SUB1">#REF!</definedName>
    <definedName name="_SUB2">#REF!</definedName>
    <definedName name="_SUB3">#REF!</definedName>
    <definedName name="_SUB4">#REF!</definedName>
    <definedName name="_SUB5">#REF!</definedName>
    <definedName name="_SUB6">#REF!</definedName>
    <definedName name="_SUB8">#REF!</definedName>
    <definedName name="_SW1">#REF!</definedName>
    <definedName name="_SW2">#REF!</definedName>
    <definedName name="AADTGrowth">[3]Assumptions!$C$3</definedName>
    <definedName name="ABBREV_DATE" localSheetId="5">#REF!</definedName>
    <definedName name="ABBREV_DATE">#REF!</definedName>
    <definedName name="Adds" localSheetId="5">#REF!</definedName>
    <definedName name="Adds">#REF!</definedName>
    <definedName name="ADTCurrent">[4]Assumptions!$H$4</definedName>
    <definedName name="ADTFuture">[4]Assumptions!$H$5</definedName>
    <definedName name="AnalysisPeriod">Assumptions!#REF!</definedName>
    <definedName name="ASSIGN" localSheetId="5">#REF!</definedName>
    <definedName name="ASSIGN">#REF!</definedName>
    <definedName name="AutoCost">Assumptions!#REF!</definedName>
    <definedName name="B_4" localSheetId="5">#REF!</definedName>
    <definedName name="B_4">#REF!</definedName>
    <definedName name="B_5" localSheetId="5">#REF!</definedName>
    <definedName name="B_5">#REF!</definedName>
    <definedName name="BCAnalysisPeriod" localSheetId="4">[5]Assumptions!#REF!</definedName>
    <definedName name="BCAnalysisPeriod" localSheetId="5">[5]Assumptions!#REF!</definedName>
    <definedName name="BCAnalysisPeriod" localSheetId="9">[6]Assumptions!#REF!</definedName>
    <definedName name="BCAnalysisPeriod" localSheetId="2">#REF!</definedName>
    <definedName name="BCAnalysisPeriod">Assumptions!#REF!</definedName>
    <definedName name="BEGINNING" localSheetId="5">#REF!</definedName>
    <definedName name="BEGINNING">#REF!</definedName>
    <definedName name="BEx3O85IKWARA6NCJOLRBRJFMEWW" localSheetId="5" hidden="1">'[7]Q2 09 Rail BS Leads'!#REF!</definedName>
    <definedName name="BEx3O85IKWARA6NCJOLRBRJFMEWW" localSheetId="2" hidden="1">#REF!</definedName>
    <definedName name="BEx3O85IKWARA6NCJOLRBRJFMEWW" hidden="1">'[7]Q2 09 Rail BS Leads'!#REF!</definedName>
    <definedName name="BEx5MLQZM68YQSKARVWTTPINFQ2C" localSheetId="5" hidden="1">'[7]Q2 09 Rail BS Leads'!#REF!</definedName>
    <definedName name="BEx5MLQZM68YQSKARVWTTPINFQ2C" localSheetId="2" hidden="1">#REF!</definedName>
    <definedName name="BEx5MLQZM68YQSKARVWTTPINFQ2C" hidden="1">'[7]Q2 09 Rail BS Leads'!#REF!</definedName>
    <definedName name="BExERWCEBKQRYWRQLYJ4UCMMKTHG" localSheetId="5" hidden="1">'[7]Q2 09 Rail BS Leads'!#REF!</definedName>
    <definedName name="BExERWCEBKQRYWRQLYJ4UCMMKTHG" localSheetId="2" hidden="1">#REF!</definedName>
    <definedName name="BExERWCEBKQRYWRQLYJ4UCMMKTHG" hidden="1">'[7]Q2 09 Rail BS Leads'!#REF!</definedName>
    <definedName name="BExMBYPQDG9AYDQ5E8IECVFREPO6" localSheetId="5" hidden="1">'[7]Q2 09 Rail BS Leads'!#REF!</definedName>
    <definedName name="BExMBYPQDG9AYDQ5E8IECVFREPO6" localSheetId="2" hidden="1">#REF!</definedName>
    <definedName name="BExMBYPQDG9AYDQ5E8IECVFREPO6" hidden="1">'[7]Q2 09 Rail BS Leads'!#REF!</definedName>
    <definedName name="BExQ9ZLYHWABXAA9NJDW8ZS0UQ9P" localSheetId="2" hidden="1">#REF!</definedName>
    <definedName name="BExQ9ZLYHWABXAA9NJDW8ZS0UQ9P" hidden="1">'[7]Q2 09 Rail BS Leads'!#REF!</definedName>
    <definedName name="BExTUY9WNSJ91GV8CP0SKJTEIV82" localSheetId="2" hidden="1">#REF!</definedName>
    <definedName name="BExTUY9WNSJ91GV8CP0SKJTEIV82" hidden="1">'[7]Q2 09 Rail BS Leads'!#REF!</definedName>
    <definedName name="BS_98" localSheetId="5">#REF!</definedName>
    <definedName name="BS_98">#REF!</definedName>
    <definedName name="BS_99" localSheetId="5">#REF!</definedName>
    <definedName name="BS_99">#REF!</definedName>
    <definedName name="BS_SUM_25MO" localSheetId="5">#REF!</definedName>
    <definedName name="BS_SUM_25MO">#REF!</definedName>
    <definedName name="BS_SUM_98">#REF!</definedName>
    <definedName name="BS_SUM_99">#REF!</definedName>
    <definedName name="CBS">#REF!</definedName>
    <definedName name="COLE">#REF!</definedName>
    <definedName name="CompositeCost">Assumptions!$K$51</definedName>
    <definedName name="_xlnm.Criteria" localSheetId="5">#REF!</definedName>
    <definedName name="_xlnm.Criteria">#REF!</definedName>
    <definedName name="CURRENT_DATE" localSheetId="5">#REF!</definedName>
    <definedName name="CURRENT_DATE">#REF!</definedName>
    <definedName name="DATA" localSheetId="5">#REF!</definedName>
    <definedName name="DATA">#REF!</definedName>
    <definedName name="_xlnm.Database">#REF!</definedName>
    <definedName name="Daysinyr">Assumptions!#REF!</definedName>
    <definedName name="DecComICC" localSheetId="5">#REF!</definedName>
    <definedName name="DecComICC">#REF!</definedName>
    <definedName name="DecComInstall" localSheetId="5">#REF!</definedName>
    <definedName name="DecComInstall">#REF!</definedName>
    <definedName name="Detail" localSheetId="5">#REF!</definedName>
    <definedName name="Detail">#REF!</definedName>
    <definedName name="DISC_RATE">[3]Assumptions!$C$5</definedName>
    <definedName name="DiscountRate">Assumptions!#REF!</definedName>
    <definedName name="ENDING" localSheetId="5">#REF!</definedName>
    <definedName name="ENDING">#REF!</definedName>
    <definedName name="EndYear">Assumptions!$K$42</definedName>
    <definedName name="EPR" localSheetId="5">#REF!</definedName>
    <definedName name="EPR">#REF!</definedName>
    <definedName name="_xlnm.Extract" localSheetId="5">#REF!</definedName>
    <definedName name="_xlnm.Extract">#REF!</definedName>
    <definedName name="formula" localSheetId="5">#REF!</definedName>
    <definedName name="formula">#REF!</definedName>
    <definedName name="furbase">#REF!</definedName>
    <definedName name="FURN">#REF!</definedName>
    <definedName name="furnish">#REF!</definedName>
    <definedName name="furnmat">#REF!</definedName>
    <definedName name="GENERAL">#REF!</definedName>
    <definedName name="ICCConv">'[8]ICC Conversion'!$A$1:$B$191</definedName>
    <definedName name="IMPORT" localSheetId="5">#REF!</definedName>
    <definedName name="IMPORT">#REF!</definedName>
    <definedName name="infor" localSheetId="5">#REF!</definedName>
    <definedName name="infor">#REF!</definedName>
    <definedName name="item" localSheetId="5">#REF!</definedName>
    <definedName name="item">#REF!</definedName>
    <definedName name="k7.">#REF!</definedName>
    <definedName name="LEADS">#REF!</definedName>
    <definedName name="LEADS_25MO">#REF!</definedName>
    <definedName name="LEADS_98">#REF!</definedName>
    <definedName name="LEADS_99">#REF!</definedName>
    <definedName name="LOLD">1</definedName>
    <definedName name="LOLD_Table">7</definedName>
    <definedName name="MainFolder">#REF!</definedName>
    <definedName name="mike" localSheetId="5">#REF!</definedName>
    <definedName name="mike">#REF!</definedName>
    <definedName name="mobil1" localSheetId="5">#REF!</definedName>
    <definedName name="mobil1">#REF!</definedName>
    <definedName name="NEXT" localSheetId="5">#REF!</definedName>
    <definedName name="NEXT">#REF!</definedName>
    <definedName name="Normal">#REF!</definedName>
    <definedName name="number">#REF!</definedName>
    <definedName name="OPER1">#REF!</definedName>
    <definedName name="OPER2">#REF!</definedName>
    <definedName name="PAGE_33">#REF!</definedName>
    <definedName name="PAGE1">#REF!</definedName>
    <definedName name="PAGE2">#REF!</definedName>
    <definedName name="PAGE32">#REF!</definedName>
    <definedName name="PAGE37">#REF!</definedName>
    <definedName name="PART_B">#REF!</definedName>
    <definedName name="PARTA">#REF!</definedName>
    <definedName name="PeakLngthE">Assumptions!$K$20</definedName>
    <definedName name="PercentAutoW">Assumptions!$L$43</definedName>
    <definedName name="PercentAutoWO">Assumptions!$K$43</definedName>
    <definedName name="PercentTrucksW">Assumptions!$L$45</definedName>
    <definedName name="PercentTrucksWO">Assumptions!$K$45</definedName>
    <definedName name="PercTruckW">Assumptions!$L$45</definedName>
    <definedName name="PerTruckE">Assumptions!$K$45</definedName>
    <definedName name="PerTruckN">Assumptions!$L$45</definedName>
    <definedName name="PISNU" localSheetId="5">#REF!</definedName>
    <definedName name="PISNU">#REF!</definedName>
    <definedName name="PosnPnt_0925">#REF!</definedName>
    <definedName name="ppp" localSheetId="5">#REF!</definedName>
    <definedName name="ppp">#REF!</definedName>
    <definedName name="price">#REF!</definedName>
    <definedName name="PRINT_ALL">#REF!</definedName>
    <definedName name="_xlnm.Print_Area" localSheetId="0">Assumptions!$B$2:$I$50</definedName>
    <definedName name="_xlnm.Print_Area" localSheetId="1">'BCA Summary '!$B$2:$K$131</definedName>
    <definedName name="_xlnm.Print_Area" localSheetId="4">'Capital Cost + RCV'!$A$2:$N$67</definedName>
    <definedName name="_xlnm.Print_Area" localSheetId="5">'O&amp;M + Rehab'!$A$1:$Z$81</definedName>
    <definedName name="_xlnm.Print_Area" localSheetId="9">'Operating Cost-Roughness'!$B$2:$AG$27</definedName>
    <definedName name="_xlnm.Print_Area" localSheetId="3">'Safety Benefits'!$A$2:$Q$60</definedName>
    <definedName name="_xlnm.Print_Area" localSheetId="8">'Traffic Data - %HV Assumption'!$B$2:$AB$64</definedName>
    <definedName name="_xlnm.Print_Area" localSheetId="10">'Traffic Data - Project AADT'!$B$2:$V$29</definedName>
    <definedName name="_xlnm.Print_Area" localSheetId="2">'Travel Time Benefits'!$A$2:$O$53</definedName>
    <definedName name="_xlnm.Print_Area" localSheetId="6">VOC_Roughness!$A$2:$AA$61</definedName>
    <definedName name="_xlnm.Print_Area">#REF!</definedName>
    <definedName name="PRINT_AREA_MI" localSheetId="5">#REF!</definedName>
    <definedName name="PRINT_AREA_MI">#REF!</definedName>
    <definedName name="PRINT_CF_9899" localSheetId="5">#REF!</definedName>
    <definedName name="PRINT_CF_9899">#REF!</definedName>
    <definedName name="PRINT_DIFF">#REF!</definedName>
    <definedName name="_xlnm.Print_Titles">#N/A</definedName>
    <definedName name="Print_Titles_MI">'[9]PA Run Off'!$A$1:$IV$10,'[9]PA Run Off'!$A$1:$A$16384</definedName>
    <definedName name="ProjLoc">Assumptions!$L$18</definedName>
    <definedName name="Projlocation">Assumptions!$I$21</definedName>
    <definedName name="ProjName" localSheetId="5">Assumptions!#REF!</definedName>
    <definedName name="ProjName">Assumptions!#REF!</definedName>
    <definedName name="PRT_12_PAGE_25M" localSheetId="5">#REF!</definedName>
    <definedName name="PRT_12_PAGE_25M">#REF!</definedName>
    <definedName name="PRT_98_WCRECON" localSheetId="5">#REF!</definedName>
    <definedName name="PRT_98_WCRECON">#REF!</definedName>
    <definedName name="PRT_99_WCRECON" localSheetId="5">#REF!</definedName>
    <definedName name="PRT_99_WCRECON">#REF!</definedName>
    <definedName name="PRT_BS_98">#REF!</definedName>
    <definedName name="PRT_BS_99">#REF!</definedName>
    <definedName name="PRT_BS_SUM_25MO">#REF!</definedName>
    <definedName name="PRT_BSSUM_98">#REF!</definedName>
    <definedName name="PRT_BSSUM_99">#REF!</definedName>
    <definedName name="PRT_CF_1998">#REF!</definedName>
    <definedName name="PRT_CF_1999">#REF!</definedName>
    <definedName name="PRT_CURR_MO">#REF!</definedName>
    <definedName name="PRT_LEAD_25MO">#REF!</definedName>
    <definedName name="PRT_LEAD_ACT_98">#REF!</definedName>
    <definedName name="PRT_LEAD_PLN_99">#REF!</definedName>
    <definedName name="PRT_NCA_98">#REF!</definedName>
    <definedName name="PRT_NCA_99">#REF!</definedName>
    <definedName name="PRT_QUARTER">#REF!</definedName>
    <definedName name="Q1_VS_PLAN">#REF!</definedName>
    <definedName name="Q2_VS_PLAN">#REF!</definedName>
    <definedName name="Q3_VS_PLAN">#REF!</definedName>
    <definedName name="Q4_VS_PLAN">#REF!</definedName>
    <definedName name="qty">#REF!</definedName>
    <definedName name="Rate">[10]LocoRate!$L$2:$P$4</definedName>
    <definedName name="Rates">#REF!</definedName>
    <definedName name="RETIREMENTS" localSheetId="5">#REF!</definedName>
    <definedName name="RETIREMENTS">#REF!</definedName>
    <definedName name="Retires" localSheetId="5">#REF!</definedName>
    <definedName name="Retires">#REF!</definedName>
    <definedName name="ROSNU">#REF!</definedName>
    <definedName name="SAPBEXhrIndnt" hidden="1">"Wide"</definedName>
    <definedName name="SAPsysID" hidden="1">"708C5W7SBKP804JT78WJ0JNKI"</definedName>
    <definedName name="SAPwbID" hidden="1">"ARS"</definedName>
    <definedName name="SB_5_B_">#REF!</definedName>
    <definedName name="SEC_12R1">#REF!</definedName>
    <definedName name="SEC_12R2">#REF!</definedName>
    <definedName name="SEC_12S">#REF!</definedName>
    <definedName name="SEC_13T1">#REF!</definedName>
    <definedName name="SEC_13T2">#REF!</definedName>
    <definedName name="SEC_13T2D">#REF!</definedName>
    <definedName name="SEC_5E">#REF!</definedName>
    <definedName name="SEC_5F">#REF!</definedName>
    <definedName name="SEC_5G">#REF!</definedName>
    <definedName name="SEC_6H">#REF!</definedName>
    <definedName name="SEC_6H7">#REF!</definedName>
    <definedName name="SEC_7I1">#REF!</definedName>
    <definedName name="SEC_7I2">#REF!</definedName>
    <definedName name="SEC_7I3">#REF!</definedName>
    <definedName name="SEC_7I4">#REF!</definedName>
    <definedName name="SEC_7I5">#REF!</definedName>
    <definedName name="SEC_7I6">#REF!</definedName>
    <definedName name="SEC_7I7">#REF!</definedName>
    <definedName name="SEC_7I8">#REF!</definedName>
    <definedName name="SEC_8J1">#REF!</definedName>
    <definedName name="SEC_8J2">#REF!</definedName>
    <definedName name="SEC_8K">#REF!</definedName>
    <definedName name="SEC_8L">#REF!</definedName>
    <definedName name="select">#REF!</definedName>
    <definedName name="SHEET_CHOICE">#REF!</definedName>
    <definedName name="SHEET1">#REF!</definedName>
    <definedName name="SHEET2">#REF!</definedName>
    <definedName name="SHEET3">#REF!</definedName>
    <definedName name="SHEET4">#REF!</definedName>
    <definedName name="SHEET5A">#REF!</definedName>
    <definedName name="SHEET5B">#REF!</definedName>
    <definedName name="SHEET5C">#REF!</definedName>
    <definedName name="SHEET5D">#REF!</definedName>
    <definedName name="SHEET6">#REF!</definedName>
    <definedName name="solver_typ" localSheetId="4" hidden="1">2</definedName>
    <definedName name="solver_typ" localSheetId="5" hidden="1">2</definedName>
    <definedName name="solver_ver" localSheetId="4" hidden="1">17</definedName>
    <definedName name="solver_ver" localSheetId="5" hidden="1">17</definedName>
    <definedName name="Spanner_Auto_File">"T:\139407\NDM\ROR\DRAWING\des_road.x2a"</definedName>
    <definedName name="Spanner_Auto_Select">#REF!</definedName>
    <definedName name="SRFProjectNum" localSheetId="5">Assumptions!#REF!</definedName>
    <definedName name="SRFProjectNum">Assumptions!#REF!</definedName>
    <definedName name="StartYear" localSheetId="5">Assumptions!#REF!</definedName>
    <definedName name="StartYear" localSheetId="9">[11]Assumptions!#REF!</definedName>
    <definedName name="StartYear">Assumptions!#REF!</definedName>
    <definedName name="SUB7L" localSheetId="5">#REF!</definedName>
    <definedName name="SUB7L">#REF!</definedName>
    <definedName name="supp" localSheetId="5">#REF!</definedName>
    <definedName name="supp">#REF!</definedName>
    <definedName name="suppbase" localSheetId="5">#REF!</definedName>
    <definedName name="suppbase">#REF!</definedName>
    <definedName name="SUPPL">#REF!</definedName>
    <definedName name="supplem">#REF!</definedName>
    <definedName name="TAccReductPer">Assumptions!#REF!</definedName>
    <definedName name="TAptFW">Assumptions!#REF!</definedName>
    <definedName name="TITLE" localSheetId="5">#REF!</definedName>
    <definedName name="TITLE">#REF!</definedName>
    <definedName name="TOTAL" localSheetId="5">#REF!</definedName>
    <definedName name="TOTAL">#REF!</definedName>
    <definedName name="TPerHwy">Assumptions!#REF!</definedName>
    <definedName name="TruckCost" localSheetId="4">[5]Assumptions!#REF!</definedName>
    <definedName name="TruckCost" localSheetId="5">[5]Assumptions!#REF!</definedName>
    <definedName name="TruckCost" localSheetId="9">[6]Assumptions!#REF!</definedName>
    <definedName name="TruckCost" localSheetId="2">#REF!</definedName>
    <definedName name="TruckCost">Assumptions!#REF!</definedName>
    <definedName name="TruckSpeed">Assumptions!$K$46</definedName>
    <definedName name="TVehMiBW">Assumptions!#REF!</definedName>
    <definedName name="TVehMiFW">Assumptions!#REF!</definedName>
    <definedName name="UPDATE" localSheetId="5">#REF!</definedName>
    <definedName name="UPDATE">#REF!</definedName>
    <definedName name="VEH_OCC">[3]Assumptions!$C$6</definedName>
    <definedName name="Version" localSheetId="5">#REF!</definedName>
    <definedName name="Version">#REF!</definedName>
    <definedName name="x" localSheetId="5">[6]Assumptions!#REF!</definedName>
    <definedName name="x">[6]Assumptions!#REF!</definedName>
    <definedName name="YearOfConstruction">[4]Assumptions!$D$5</definedName>
    <definedName name="YearOfFailure">'[4]Travel Time Cost Savings'!$L$26</definedName>
    <definedName name="yrofanalysis" localSheetId="5">Assumptions!#REF!</definedName>
    <definedName name="yrofanalysis" localSheetId="9">[4]Assumptions!#REF!</definedName>
    <definedName name="yrofanalysis">Assumptions!#REF!</definedName>
    <definedName name="yrofcurrentdollars" localSheetId="5">Assumptions!#REF!</definedName>
    <definedName name="yrofcurrentdollars" localSheetId="9">[4]Assumptions!#REF!</definedName>
    <definedName name="yrofcurrentdollars">Assumptions!#REF!</definedName>
    <definedName name="YTD" localSheetId="5">#REF!</definedName>
    <definedName name="YTD">#REF!</definedName>
  </definedNames>
  <calcPr calcId="191029"/>
  <pivotCaches>
    <pivotCache cacheId="0" r:id="rId2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27" i="46" l="1"/>
  <c r="J30" i="123"/>
  <c r="Q77" i="128"/>
  <c r="Q76" i="128"/>
  <c r="Q75" i="128"/>
  <c r="Q74" i="128"/>
  <c r="Q73" i="128"/>
  <c r="Q72" i="128"/>
  <c r="Q71" i="128"/>
  <c r="Q70" i="128"/>
  <c r="Q69" i="128"/>
  <c r="Q68" i="128"/>
  <c r="Q67" i="128"/>
  <c r="Q66" i="128"/>
  <c r="Q65" i="128"/>
  <c r="Q64" i="128"/>
  <c r="Q63" i="128"/>
  <c r="Q62" i="128"/>
  <c r="Q61" i="128"/>
  <c r="Q60" i="128"/>
  <c r="Q59" i="128"/>
  <c r="Q58" i="128"/>
  <c r="Q57" i="128"/>
  <c r="Q56" i="128"/>
  <c r="Q55" i="128"/>
  <c r="Q54" i="128"/>
  <c r="Q53" i="128"/>
  <c r="Q52" i="128"/>
  <c r="Q51" i="128"/>
  <c r="Q50" i="128"/>
  <c r="Q49" i="128"/>
  <c r="Q48" i="128"/>
  <c r="Q47" i="128"/>
  <c r="Q46" i="128"/>
  <c r="Q45" i="128"/>
  <c r="Q44" i="128"/>
  <c r="Q43" i="128"/>
  <c r="Q42" i="128"/>
  <c r="Q41" i="128"/>
  <c r="Q40" i="128"/>
  <c r="Q39" i="128"/>
  <c r="Q38" i="128"/>
  <c r="Q37" i="128"/>
  <c r="Q36" i="128"/>
  <c r="Q35" i="128"/>
  <c r="Q34" i="128"/>
  <c r="Q33" i="128"/>
  <c r="Q32" i="128"/>
  <c r="Q31" i="128"/>
  <c r="Q30" i="128"/>
  <c r="Q29" i="128"/>
  <c r="Q28" i="128"/>
  <c r="Q27" i="128"/>
  <c r="Q26" i="128"/>
  <c r="Q25" i="128"/>
  <c r="Q24" i="128"/>
  <c r="Q23" i="128"/>
  <c r="Q22" i="128"/>
  <c r="Q21" i="128"/>
  <c r="Q20" i="128"/>
  <c r="Q19" i="128"/>
  <c r="Q18" i="128"/>
  <c r="Q17" i="128"/>
  <c r="Q16" i="128"/>
  <c r="Q15" i="128"/>
  <c r="Q14" i="128"/>
  <c r="Q13" i="128"/>
  <c r="Q12" i="128"/>
  <c r="Q11" i="128"/>
  <c r="Q10" i="128"/>
  <c r="Q9" i="128"/>
  <c r="Q8" i="128"/>
  <c r="Q7" i="128"/>
  <c r="J24" i="30"/>
  <c r="J31" i="123" l="1"/>
  <c r="M28" i="30"/>
  <c r="L28" i="30"/>
  <c r="K28" i="30"/>
  <c r="J28" i="30"/>
  <c r="M24" i="30"/>
  <c r="L24" i="30"/>
  <c r="K24" i="30"/>
  <c r="I24" i="30"/>
  <c r="I7" i="128"/>
  <c r="K8" i="123"/>
  <c r="K7" i="123"/>
  <c r="K7" i="128"/>
  <c r="T7" i="128"/>
  <c r="B5" i="128"/>
  <c r="M17" i="30"/>
  <c r="L17" i="30"/>
  <c r="K17" i="30"/>
  <c r="I17" i="30"/>
  <c r="I28" i="30" s="1"/>
  <c r="J17" i="30"/>
  <c r="T8" i="128" l="1"/>
  <c r="K8" i="128"/>
  <c r="B6" i="128"/>
  <c r="J20" i="123"/>
  <c r="J19" i="123"/>
  <c r="K20" i="123"/>
  <c r="K19" i="123"/>
  <c r="I28" i="42"/>
  <c r="L30" i="123" l="1"/>
  <c r="K30" i="123"/>
  <c r="T9" i="128"/>
  <c r="K9" i="128"/>
  <c r="B7" i="128"/>
  <c r="L31" i="123"/>
  <c r="K31" i="123"/>
  <c r="T10" i="128" l="1"/>
  <c r="K10" i="128"/>
  <c r="B8" i="128"/>
  <c r="T11" i="128" l="1"/>
  <c r="K11" i="128"/>
  <c r="B9" i="128"/>
  <c r="T12" i="128" l="1"/>
  <c r="K12" i="128"/>
  <c r="B10" i="128"/>
  <c r="T13" i="128" l="1"/>
  <c r="K13" i="128"/>
  <c r="B11" i="128"/>
  <c r="T14" i="128" l="1"/>
  <c r="K14" i="128"/>
  <c r="B12" i="128"/>
  <c r="T15" i="128" l="1"/>
  <c r="K15" i="128"/>
  <c r="B13" i="128"/>
  <c r="T16" i="128" l="1"/>
  <c r="K16" i="128"/>
  <c r="B14" i="128"/>
  <c r="T17" i="128" l="1"/>
  <c r="K17" i="128"/>
  <c r="B15" i="128"/>
  <c r="T18" i="128" l="1"/>
  <c r="K18" i="128"/>
  <c r="B16" i="128"/>
  <c r="T19" i="128" l="1"/>
  <c r="K19" i="128"/>
  <c r="B17" i="128"/>
  <c r="T20" i="128" l="1"/>
  <c r="K20" i="128"/>
  <c r="B18" i="128"/>
  <c r="T21" i="128" l="1"/>
  <c r="K21" i="128"/>
  <c r="B19" i="128"/>
  <c r="T22" i="128" l="1"/>
  <c r="K22" i="128"/>
  <c r="B20" i="128"/>
  <c r="T23" i="128" l="1"/>
  <c r="K23" i="128"/>
  <c r="B21" i="128"/>
  <c r="T24" i="128" l="1"/>
  <c r="K24" i="128"/>
  <c r="B22" i="128"/>
  <c r="T25" i="128" l="1"/>
  <c r="K25" i="128"/>
  <c r="B23" i="128"/>
  <c r="T26" i="128" l="1"/>
  <c r="K26" i="128"/>
  <c r="B24" i="128"/>
  <c r="T27" i="128" l="1"/>
  <c r="K27" i="128"/>
  <c r="B25" i="128"/>
  <c r="T28" i="128" l="1"/>
  <c r="K28" i="128"/>
  <c r="B26" i="128"/>
  <c r="T29" i="128" l="1"/>
  <c r="K29" i="128"/>
  <c r="B27" i="128"/>
  <c r="T30" i="128" l="1"/>
  <c r="K30" i="128"/>
  <c r="B28" i="128"/>
  <c r="T31" i="128" l="1"/>
  <c r="K31" i="128"/>
  <c r="B29" i="128"/>
  <c r="T32" i="128" l="1"/>
  <c r="K32" i="128"/>
  <c r="B30" i="128"/>
  <c r="T33" i="128" l="1"/>
  <c r="K33" i="128"/>
  <c r="B31" i="128"/>
  <c r="T34" i="128" l="1"/>
  <c r="K34" i="128"/>
  <c r="B32" i="128"/>
  <c r="T35" i="128" l="1"/>
  <c r="K35" i="128"/>
  <c r="B33" i="128"/>
  <c r="T36" i="128" l="1"/>
  <c r="K36" i="128"/>
  <c r="B34" i="128"/>
  <c r="T37" i="128" l="1"/>
  <c r="K37" i="128"/>
  <c r="B35" i="128"/>
  <c r="T38" i="128" l="1"/>
  <c r="K38" i="128"/>
  <c r="B36" i="128"/>
  <c r="T39" i="128" l="1"/>
  <c r="K39" i="128"/>
  <c r="B37" i="128"/>
  <c r="T40" i="128" l="1"/>
  <c r="K40" i="128"/>
  <c r="B38" i="128"/>
  <c r="T41" i="128" l="1"/>
  <c r="K41" i="128"/>
  <c r="B39" i="128"/>
  <c r="T42" i="128" l="1"/>
  <c r="K42" i="128"/>
  <c r="B40" i="128"/>
  <c r="T43" i="128" l="1"/>
  <c r="K43" i="128"/>
  <c r="T44" i="128" l="1"/>
  <c r="K44" i="128"/>
  <c r="K33" i="117"/>
  <c r="K32" i="117"/>
  <c r="K28" i="117"/>
  <c r="K27" i="117"/>
  <c r="K18" i="117"/>
  <c r="K17" i="117"/>
  <c r="B7" i="123"/>
  <c r="B8" i="123"/>
  <c r="B9" i="123"/>
  <c r="B10" i="123"/>
  <c r="B11" i="123"/>
  <c r="B12" i="123"/>
  <c r="B13" i="123"/>
  <c r="B14" i="123"/>
  <c r="B15" i="123"/>
  <c r="K15" i="123"/>
  <c r="B16" i="123"/>
  <c r="K16" i="123"/>
  <c r="B17" i="123"/>
  <c r="B18" i="123"/>
  <c r="B19" i="123"/>
  <c r="B20" i="123"/>
  <c r="B21" i="123"/>
  <c r="B22" i="123"/>
  <c r="B23" i="123"/>
  <c r="B24" i="123"/>
  <c r="B25" i="123"/>
  <c r="B26" i="123"/>
  <c r="B27" i="123"/>
  <c r="B28" i="123"/>
  <c r="B29" i="123"/>
  <c r="B30" i="123"/>
  <c r="B31" i="123"/>
  <c r="B32" i="123"/>
  <c r="B33" i="123"/>
  <c r="B34" i="123"/>
  <c r="B35" i="123"/>
  <c r="B36" i="123"/>
  <c r="T45" i="128" l="1"/>
  <c r="K45" i="128"/>
  <c r="D10" i="122"/>
  <c r="E10" i="122"/>
  <c r="D13" i="122"/>
  <c r="D16" i="122" s="1"/>
  <c r="D20" i="28" s="1"/>
  <c r="D16" i="28"/>
  <c r="L7" i="121"/>
  <c r="M7" i="121"/>
  <c r="N7" i="121"/>
  <c r="O7" i="121"/>
  <c r="P7" i="121"/>
  <c r="L8" i="121"/>
  <c r="M8" i="121"/>
  <c r="N8" i="121"/>
  <c r="O8" i="121"/>
  <c r="P8" i="121"/>
  <c r="L9" i="121"/>
  <c r="M9" i="121"/>
  <c r="N9" i="121"/>
  <c r="O9" i="121"/>
  <c r="P9" i="121"/>
  <c r="L10" i="121"/>
  <c r="M10" i="121"/>
  <c r="N10" i="121"/>
  <c r="O10" i="121"/>
  <c r="P10" i="121"/>
  <c r="L11" i="121"/>
  <c r="M11" i="121"/>
  <c r="N11" i="121"/>
  <c r="O11" i="121"/>
  <c r="P11" i="121"/>
  <c r="E12" i="121"/>
  <c r="F12" i="121"/>
  <c r="G12" i="121"/>
  <c r="H12" i="121"/>
  <c r="I12" i="121"/>
  <c r="J12" i="121"/>
  <c r="L12" i="121"/>
  <c r="M12" i="121"/>
  <c r="N12" i="121"/>
  <c r="O12" i="121"/>
  <c r="P12" i="121"/>
  <c r="E13" i="121"/>
  <c r="F13" i="121"/>
  <c r="G13" i="121"/>
  <c r="H13" i="121"/>
  <c r="I13" i="121"/>
  <c r="J13" i="121"/>
  <c r="L13" i="121"/>
  <c r="M13" i="121"/>
  <c r="N13" i="121"/>
  <c r="O13" i="121"/>
  <c r="P13" i="121"/>
  <c r="E16" i="121"/>
  <c r="E17" i="121"/>
  <c r="P43" i="117" l="1"/>
  <c r="P42" i="117"/>
  <c r="P41" i="117"/>
  <c r="O43" i="117"/>
  <c r="O42" i="117"/>
  <c r="O41" i="117"/>
  <c r="Z7" i="128"/>
  <c r="D20" i="128" s="1" a="1"/>
  <c r="D20" i="128" s="1"/>
  <c r="Z8" i="128"/>
  <c r="D21" i="128" s="1" a="1"/>
  <c r="D21" i="128" s="1"/>
  <c r="Z9" i="128"/>
  <c r="D22" i="128" s="1" a="1"/>
  <c r="D22" i="128" s="1"/>
  <c r="Z10" i="128"/>
  <c r="D23" i="128" s="1" a="1"/>
  <c r="D23" i="128" s="1"/>
  <c r="Z11" i="128"/>
  <c r="D24" i="128" s="1" a="1"/>
  <c r="D24" i="128" s="1"/>
  <c r="Z12" i="128"/>
  <c r="D25" i="128" s="1" a="1"/>
  <c r="D25" i="128" s="1"/>
  <c r="Z13" i="128"/>
  <c r="D26" i="128" s="1" a="1"/>
  <c r="D26" i="128" s="1"/>
  <c r="Z14" i="128"/>
  <c r="D27" i="128" s="1" a="1"/>
  <c r="D27" i="128" s="1"/>
  <c r="Z15" i="128"/>
  <c r="D28" i="128" s="1" a="1"/>
  <c r="D28" i="128" s="1"/>
  <c r="Z16" i="128"/>
  <c r="D29" i="128" s="1" a="1"/>
  <c r="D29" i="128" s="1"/>
  <c r="Z17" i="128"/>
  <c r="D30" i="128" s="1" a="1"/>
  <c r="D30" i="128" s="1"/>
  <c r="Z18" i="128"/>
  <c r="D31" i="128" s="1" a="1"/>
  <c r="D31" i="128" s="1"/>
  <c r="Z19" i="128"/>
  <c r="D32" i="128" s="1" a="1"/>
  <c r="D32" i="128" s="1"/>
  <c r="Z20" i="128"/>
  <c r="D33" i="128" s="1" a="1"/>
  <c r="D33" i="128" s="1"/>
  <c r="Z21" i="128"/>
  <c r="D34" i="128" s="1" a="1"/>
  <c r="D34" i="128" s="1"/>
  <c r="Z22" i="128"/>
  <c r="D35" i="128" s="1" a="1"/>
  <c r="D35" i="128" s="1"/>
  <c r="Z23" i="128"/>
  <c r="D36" i="128" s="1" a="1"/>
  <c r="D36" i="128" s="1"/>
  <c r="Z24" i="128"/>
  <c r="D37" i="128" s="1" a="1"/>
  <c r="D37" i="128" s="1"/>
  <c r="Z25" i="128"/>
  <c r="D38" i="128" s="1" a="1"/>
  <c r="D38" i="128" s="1"/>
  <c r="Z26" i="128"/>
  <c r="D39" i="128" s="1" a="1"/>
  <c r="D39" i="128" s="1"/>
  <c r="Z27" i="128"/>
  <c r="D40" i="128" s="1" a="1"/>
  <c r="D40" i="128" s="1"/>
  <c r="Z28" i="128"/>
  <c r="Z29" i="128"/>
  <c r="Z30" i="128"/>
  <c r="Z31" i="128"/>
  <c r="Z32" i="128"/>
  <c r="Z33" i="128"/>
  <c r="Z34" i="128"/>
  <c r="Z35" i="128"/>
  <c r="Z36" i="128"/>
  <c r="Z37" i="128"/>
  <c r="Z38" i="128"/>
  <c r="Z39" i="128"/>
  <c r="Z40" i="128"/>
  <c r="Z41" i="128"/>
  <c r="Z42" i="128"/>
  <c r="Z43" i="128"/>
  <c r="Z44" i="128"/>
  <c r="T46" i="128"/>
  <c r="Z45" i="128"/>
  <c r="K12" i="123"/>
  <c r="Q13" i="121"/>
  <c r="Q12" i="121"/>
  <c r="Q11" i="121"/>
  <c r="R11" i="121" s="1"/>
  <c r="S11" i="121" s="1"/>
  <c r="Q10" i="121"/>
  <c r="R10" i="121" s="1"/>
  <c r="S10" i="121" s="1"/>
  <c r="Q9" i="121"/>
  <c r="R9" i="121" s="1"/>
  <c r="S9" i="121" s="1"/>
  <c r="Q8" i="121"/>
  <c r="R8" i="121" s="1"/>
  <c r="S8" i="121" s="1"/>
  <c r="Q7" i="121"/>
  <c r="R7" i="121" s="1"/>
  <c r="S7" i="121" s="1"/>
  <c r="K46" i="128"/>
  <c r="E36" i="123"/>
  <c r="C36" i="123"/>
  <c r="E35" i="123"/>
  <c r="C35" i="123"/>
  <c r="E34" i="123"/>
  <c r="C34" i="123"/>
  <c r="E33" i="123"/>
  <c r="C33" i="123"/>
  <c r="E32" i="123"/>
  <c r="C32" i="123"/>
  <c r="E31" i="123"/>
  <c r="C31" i="123"/>
  <c r="E30" i="123"/>
  <c r="C30" i="123"/>
  <c r="E29" i="123"/>
  <c r="C29" i="123"/>
  <c r="E28" i="123"/>
  <c r="C28" i="123"/>
  <c r="E27" i="123"/>
  <c r="C27" i="123"/>
  <c r="E26" i="123"/>
  <c r="C26" i="123"/>
  <c r="E25" i="123"/>
  <c r="C25" i="123"/>
  <c r="E24" i="123"/>
  <c r="C24" i="123"/>
  <c r="E23" i="123"/>
  <c r="C23" i="123"/>
  <c r="E22" i="123"/>
  <c r="C22" i="123"/>
  <c r="E21" i="123"/>
  <c r="C21" i="123"/>
  <c r="E20" i="123"/>
  <c r="C20" i="123"/>
  <c r="E19" i="123"/>
  <c r="C19" i="123"/>
  <c r="E18" i="123"/>
  <c r="C18" i="123"/>
  <c r="E17" i="123"/>
  <c r="C17" i="123"/>
  <c r="E16" i="123"/>
  <c r="C16" i="123"/>
  <c r="E15" i="123"/>
  <c r="C15" i="123"/>
  <c r="E14" i="123"/>
  <c r="C14" i="123"/>
  <c r="E13" i="123"/>
  <c r="C13" i="123"/>
  <c r="E12" i="123"/>
  <c r="C12" i="123"/>
  <c r="E11" i="123"/>
  <c r="C11" i="123"/>
  <c r="E10" i="123"/>
  <c r="C10" i="123"/>
  <c r="E9" i="123"/>
  <c r="C9" i="123"/>
  <c r="E8" i="123"/>
  <c r="C8" i="123"/>
  <c r="E7" i="123"/>
  <c r="C7" i="123"/>
  <c r="K34" i="42"/>
  <c r="L34" i="42" s="1"/>
  <c r="K33" i="42"/>
  <c r="L33" i="42" s="1"/>
  <c r="R13" i="121"/>
  <c r="S13" i="121" s="1"/>
  <c r="L7" i="117" s="1"/>
  <c r="R12" i="121"/>
  <c r="S12" i="121" s="1"/>
  <c r="L6" i="117" s="1"/>
  <c r="R43" i="117" l="1"/>
  <c r="R42" i="117"/>
  <c r="R41" i="117"/>
  <c r="T47" i="128"/>
  <c r="Z46" i="128"/>
  <c r="K47" i="128"/>
  <c r="L14" i="117"/>
  <c r="B6" i="117"/>
  <c r="D21" i="116"/>
  <c r="D14" i="116"/>
  <c r="T48" i="128" l="1"/>
  <c r="Z47" i="128"/>
  <c r="K48" i="128"/>
  <c r="B7" i="117"/>
  <c r="E6" i="117"/>
  <c r="D26" i="116"/>
  <c r="D25" i="116"/>
  <c r="D31" i="28" s="1"/>
  <c r="I8" i="30" l="1"/>
  <c r="T49" i="128"/>
  <c r="Z48" i="128"/>
  <c r="K49" i="128"/>
  <c r="L17" i="117"/>
  <c r="L32" i="117" s="1"/>
  <c r="D28" i="116"/>
  <c r="D32" i="28"/>
  <c r="F6" i="117"/>
  <c r="B8" i="117"/>
  <c r="F7" i="117"/>
  <c r="E7" i="117"/>
  <c r="I9" i="30" l="1"/>
  <c r="T50" i="128"/>
  <c r="Z49" i="128"/>
  <c r="I7" i="30"/>
  <c r="K50" i="128"/>
  <c r="L18" i="117"/>
  <c r="L33" i="117" s="1"/>
  <c r="B9" i="117"/>
  <c r="F8" i="117"/>
  <c r="E8" i="117"/>
  <c r="M32" i="30" l="1"/>
  <c r="M37" i="30" s="1"/>
  <c r="L32" i="30"/>
  <c r="L37" i="30" s="1"/>
  <c r="K32" i="30"/>
  <c r="K37" i="30" s="1"/>
  <c r="J32" i="30"/>
  <c r="J37" i="30" s="1"/>
  <c r="I32" i="30"/>
  <c r="I37" i="30" s="1"/>
  <c r="M33" i="30"/>
  <c r="M38" i="30" s="1"/>
  <c r="L33" i="30"/>
  <c r="L38" i="30" s="1"/>
  <c r="K33" i="30"/>
  <c r="K38" i="30" s="1"/>
  <c r="J33" i="30"/>
  <c r="J38" i="30" s="1"/>
  <c r="I33" i="30"/>
  <c r="I38" i="30" s="1"/>
  <c r="T51" i="128"/>
  <c r="Z50" i="128"/>
  <c r="K51" i="128"/>
  <c r="P40" i="117"/>
  <c r="P39" i="117"/>
  <c r="P38" i="117"/>
  <c r="P37" i="117"/>
  <c r="P36" i="117"/>
  <c r="P35" i="117"/>
  <c r="P34" i="117"/>
  <c r="P33" i="117"/>
  <c r="P32" i="117"/>
  <c r="P31" i="117"/>
  <c r="P30" i="117"/>
  <c r="P29" i="117"/>
  <c r="P28" i="117"/>
  <c r="P27" i="117"/>
  <c r="P26" i="117"/>
  <c r="P25" i="117"/>
  <c r="P24" i="117"/>
  <c r="P23" i="117"/>
  <c r="P22" i="117"/>
  <c r="P21" i="117"/>
  <c r="P20" i="117"/>
  <c r="P19" i="117"/>
  <c r="P18" i="117"/>
  <c r="P17" i="117"/>
  <c r="P16" i="117"/>
  <c r="P15" i="117"/>
  <c r="P14" i="117"/>
  <c r="P13" i="117"/>
  <c r="P12" i="117"/>
  <c r="P11" i="117"/>
  <c r="P10" i="117"/>
  <c r="P9" i="117"/>
  <c r="P8" i="117"/>
  <c r="B10" i="117"/>
  <c r="F9" i="117"/>
  <c r="E9" i="117"/>
  <c r="N38" i="30" l="1"/>
  <c r="N37" i="30"/>
  <c r="T52" i="128"/>
  <c r="Z51" i="128"/>
  <c r="K52" i="128"/>
  <c r="B11" i="117"/>
  <c r="F10" i="117"/>
  <c r="E10" i="117"/>
  <c r="T53" i="128" l="1"/>
  <c r="Z52" i="128"/>
  <c r="K53" i="128"/>
  <c r="B12" i="117"/>
  <c r="F11" i="117"/>
  <c r="E11" i="117"/>
  <c r="T54" i="128" l="1"/>
  <c r="Z53" i="128"/>
  <c r="K54" i="128"/>
  <c r="B13" i="117"/>
  <c r="F12" i="117"/>
  <c r="E12" i="117"/>
  <c r="T55" i="128" l="1"/>
  <c r="Z54" i="128"/>
  <c r="K55" i="128"/>
  <c r="B14" i="117"/>
  <c r="F13" i="117"/>
  <c r="E13" i="117"/>
  <c r="T56" i="128" l="1"/>
  <c r="Z55" i="128"/>
  <c r="K56" i="128"/>
  <c r="B15" i="117"/>
  <c r="F14" i="117"/>
  <c r="E14" i="117"/>
  <c r="T57" i="128" l="1"/>
  <c r="Z56" i="128"/>
  <c r="K57" i="128"/>
  <c r="B16" i="117"/>
  <c r="F15" i="117"/>
  <c r="E15" i="117"/>
  <c r="T58" i="128" l="1"/>
  <c r="Z57" i="128"/>
  <c r="K58" i="128"/>
  <c r="B17" i="117"/>
  <c r="F16" i="117"/>
  <c r="E16" i="117"/>
  <c r="T59" i="128" l="1"/>
  <c r="Z58" i="128"/>
  <c r="K59" i="128"/>
  <c r="B18" i="117"/>
  <c r="F17" i="117"/>
  <c r="E17" i="117"/>
  <c r="T60" i="128" l="1"/>
  <c r="Z59" i="128"/>
  <c r="K60" i="128"/>
  <c r="B19" i="117"/>
  <c r="F18" i="117"/>
  <c r="E18" i="117"/>
  <c r="T61" i="128" l="1"/>
  <c r="Z60" i="128"/>
  <c r="K61" i="128"/>
  <c r="B20" i="117"/>
  <c r="F19" i="117"/>
  <c r="E19" i="117"/>
  <c r="T62" i="128" l="1"/>
  <c r="Z61" i="128"/>
  <c r="K62" i="128"/>
  <c r="B21" i="117"/>
  <c r="F20" i="117"/>
  <c r="E20" i="117"/>
  <c r="T63" i="128" l="1"/>
  <c r="Z62" i="128"/>
  <c r="K63" i="128"/>
  <c r="B22" i="117"/>
  <c r="F21" i="117"/>
  <c r="E21" i="117"/>
  <c r="T64" i="128" l="1"/>
  <c r="Z63" i="128"/>
  <c r="K64" i="128"/>
  <c r="B23" i="117"/>
  <c r="F22" i="117"/>
  <c r="E22" i="117"/>
  <c r="T65" i="128" l="1"/>
  <c r="Z64" i="128"/>
  <c r="K65" i="128"/>
  <c r="B24" i="117"/>
  <c r="F23" i="117"/>
  <c r="E23" i="117"/>
  <c r="T66" i="128" l="1"/>
  <c r="Z65" i="128"/>
  <c r="K66" i="128"/>
  <c r="B25" i="117"/>
  <c r="F24" i="117"/>
  <c r="E24" i="117"/>
  <c r="T67" i="128" l="1"/>
  <c r="Z66" i="128"/>
  <c r="K67" i="128"/>
  <c r="B26" i="117"/>
  <c r="F25" i="117"/>
  <c r="E25" i="117"/>
  <c r="T68" i="128" l="1"/>
  <c r="Z67" i="128"/>
  <c r="K68" i="128"/>
  <c r="B27" i="117"/>
  <c r="F26" i="117"/>
  <c r="E26" i="117"/>
  <c r="T69" i="128" l="1"/>
  <c r="Z68" i="128"/>
  <c r="K69" i="128"/>
  <c r="B28" i="117"/>
  <c r="F27" i="117"/>
  <c r="E27" i="117"/>
  <c r="T70" i="128" l="1"/>
  <c r="Z69" i="128"/>
  <c r="K70" i="128"/>
  <c r="B29" i="117"/>
  <c r="F28" i="117"/>
  <c r="E28" i="117"/>
  <c r="T71" i="128" l="1"/>
  <c r="Z70" i="128"/>
  <c r="K71" i="128"/>
  <c r="B30" i="117"/>
  <c r="F29" i="117"/>
  <c r="E29" i="117"/>
  <c r="T72" i="128" l="1"/>
  <c r="Z71" i="128"/>
  <c r="C5" i="128" a="1"/>
  <c r="C5" i="128" s="1"/>
  <c r="K72" i="128"/>
  <c r="B31" i="117"/>
  <c r="F30" i="117"/>
  <c r="E30" i="117"/>
  <c r="T73" i="128" l="1"/>
  <c r="Z72" i="128"/>
  <c r="C6" i="128" a="1"/>
  <c r="C6" i="128" s="1"/>
  <c r="K73" i="128"/>
  <c r="B32" i="117"/>
  <c r="F31" i="117"/>
  <c r="E31" i="117"/>
  <c r="T74" i="128" l="1"/>
  <c r="Z73" i="128"/>
  <c r="C7" i="128" a="1"/>
  <c r="C7" i="128" s="1"/>
  <c r="K74" i="128"/>
  <c r="B33" i="117"/>
  <c r="F32" i="117"/>
  <c r="E32" i="117"/>
  <c r="T75" i="128" l="1"/>
  <c r="Z74" i="128"/>
  <c r="C8" i="128" a="1"/>
  <c r="C8" i="128" s="1"/>
  <c r="K75" i="128"/>
  <c r="B34" i="117"/>
  <c r="F33" i="117"/>
  <c r="E33" i="117"/>
  <c r="T76" i="128" l="1"/>
  <c r="Z75" i="128"/>
  <c r="C9" i="128" a="1"/>
  <c r="C9" i="128" s="1"/>
  <c r="K76" i="128"/>
  <c r="B35" i="117"/>
  <c r="F34" i="117"/>
  <c r="E34" i="117"/>
  <c r="T77" i="128" l="1"/>
  <c r="Z76" i="128"/>
  <c r="D6" i="128" a="1"/>
  <c r="D6" i="128" s="1"/>
  <c r="E6" i="128" s="1"/>
  <c r="F6" i="128" s="1"/>
  <c r="D8" i="128" a="1"/>
  <c r="D8" i="128" s="1"/>
  <c r="E8" i="128" s="1"/>
  <c r="F8" i="128" s="1"/>
  <c r="D10" i="128" a="1"/>
  <c r="D10" i="128" s="1"/>
  <c r="D12" i="128" a="1"/>
  <c r="D12" i="128" s="1"/>
  <c r="D14" i="128" a="1"/>
  <c r="D14" i="128" s="1"/>
  <c r="D16" i="128" a="1"/>
  <c r="D16" i="128" s="1"/>
  <c r="D18" i="128" a="1"/>
  <c r="D18" i="128" s="1"/>
  <c r="C10" i="128" a="1"/>
  <c r="C10" i="128" s="1"/>
  <c r="E10" i="128" s="1"/>
  <c r="K77" i="128"/>
  <c r="C34" i="128" a="1"/>
  <c r="C34" i="128" s="1"/>
  <c r="E34" i="128" s="1"/>
  <c r="C36" i="128" a="1"/>
  <c r="C36" i="128" s="1"/>
  <c r="E36" i="128" s="1"/>
  <c r="C38" i="128" a="1"/>
  <c r="C38" i="128" s="1"/>
  <c r="E38" i="128" s="1"/>
  <c r="C40" i="128" a="1"/>
  <c r="C40" i="128" s="1"/>
  <c r="E40" i="128" s="1"/>
  <c r="B36" i="117"/>
  <c r="F35" i="117"/>
  <c r="E35" i="117"/>
  <c r="Z77" i="128" l="1"/>
  <c r="D5" i="128" a="1"/>
  <c r="D5" i="128" s="1"/>
  <c r="E5" i="128" s="1"/>
  <c r="F5" i="128" s="1"/>
  <c r="D7" i="128" a="1"/>
  <c r="D7" i="128" s="1"/>
  <c r="E7" i="128" s="1"/>
  <c r="F7" i="128" s="1"/>
  <c r="D9" i="128" a="1"/>
  <c r="D9" i="128" s="1"/>
  <c r="E9" i="128" s="1"/>
  <c r="F9" i="128" s="1"/>
  <c r="D11" i="128" a="1"/>
  <c r="D11" i="128" s="1"/>
  <c r="D13" i="128" a="1"/>
  <c r="D13" i="128" s="1"/>
  <c r="D15" i="128" a="1"/>
  <c r="D15" i="128" s="1"/>
  <c r="D17" i="128" a="1"/>
  <c r="D17" i="128" s="1"/>
  <c r="D19" i="128" a="1"/>
  <c r="D19" i="128" s="1"/>
  <c r="C31" i="128" a="1"/>
  <c r="C31" i="128" s="1"/>
  <c r="E31" i="128" s="1"/>
  <c r="C30" i="128" a="1"/>
  <c r="C30" i="128" s="1"/>
  <c r="E30" i="128" s="1"/>
  <c r="C29" i="128" a="1"/>
  <c r="C29" i="128" s="1"/>
  <c r="E29" i="128" s="1"/>
  <c r="C28" i="128" a="1"/>
  <c r="C28" i="128" s="1"/>
  <c r="E28" i="128" s="1"/>
  <c r="C27" i="128" a="1"/>
  <c r="C27" i="128" s="1"/>
  <c r="E27" i="128" s="1"/>
  <c r="C26" i="128" a="1"/>
  <c r="C26" i="128" s="1"/>
  <c r="E26" i="128" s="1"/>
  <c r="C25" i="128" a="1"/>
  <c r="C25" i="128" s="1"/>
  <c r="E25" i="128" s="1"/>
  <c r="C24" i="128" a="1"/>
  <c r="C24" i="128" s="1"/>
  <c r="E24" i="128" s="1"/>
  <c r="C23" i="128" a="1"/>
  <c r="C23" i="128" s="1"/>
  <c r="E23" i="128" s="1"/>
  <c r="C22" i="128" a="1"/>
  <c r="C22" i="128" s="1"/>
  <c r="E22" i="128" s="1"/>
  <c r="C21" i="128" a="1"/>
  <c r="C21" i="128" s="1"/>
  <c r="E21" i="128" s="1"/>
  <c r="C20" i="128" a="1"/>
  <c r="C20" i="128" s="1"/>
  <c r="E20" i="128" s="1"/>
  <c r="C19" i="128" a="1"/>
  <c r="C19" i="128" s="1"/>
  <c r="E19" i="128" s="1"/>
  <c r="C18" i="128" a="1"/>
  <c r="C18" i="128" s="1"/>
  <c r="E18" i="128" s="1"/>
  <c r="C17" i="128" a="1"/>
  <c r="C17" i="128" s="1"/>
  <c r="E17" i="128" s="1"/>
  <c r="C16" i="128" a="1"/>
  <c r="C16" i="128" s="1"/>
  <c r="E16" i="128" s="1"/>
  <c r="C15" i="128" a="1"/>
  <c r="C15" i="128" s="1"/>
  <c r="E15" i="128" s="1"/>
  <c r="C14" i="128" a="1"/>
  <c r="C14" i="128" s="1"/>
  <c r="E14" i="128" s="1"/>
  <c r="C13" i="128" a="1"/>
  <c r="C13" i="128" s="1"/>
  <c r="E13" i="128" s="1"/>
  <c r="C12" i="128" a="1"/>
  <c r="C12" i="128" s="1"/>
  <c r="E12" i="128" s="1"/>
  <c r="C11" i="128" a="1"/>
  <c r="C11" i="128" s="1"/>
  <c r="E11" i="128" s="1"/>
  <c r="F10" i="128"/>
  <c r="F40" i="128"/>
  <c r="F38" i="128"/>
  <c r="F36" i="128"/>
  <c r="F34" i="128"/>
  <c r="F31" i="128"/>
  <c r="C32" i="128" a="1"/>
  <c r="C32" i="128" s="1"/>
  <c r="E32" i="128" s="1"/>
  <c r="C33" i="128" a="1"/>
  <c r="C33" i="128" s="1"/>
  <c r="E33" i="128" s="1"/>
  <c r="C35" i="128" a="1"/>
  <c r="C35" i="128" s="1"/>
  <c r="E35" i="128" s="1"/>
  <c r="C37" i="128" a="1"/>
  <c r="C37" i="128" s="1"/>
  <c r="E37" i="128" s="1"/>
  <c r="C39" i="128" a="1"/>
  <c r="C39" i="128" s="1"/>
  <c r="E39" i="128" s="1"/>
  <c r="B37" i="117"/>
  <c r="F36" i="117"/>
  <c r="E36" i="117"/>
  <c r="F11" i="128" l="1"/>
  <c r="F12" i="128"/>
  <c r="F13" i="128"/>
  <c r="F14" i="128"/>
  <c r="F15" i="128"/>
  <c r="F16" i="128"/>
  <c r="F17" i="128"/>
  <c r="F18" i="128"/>
  <c r="F19" i="128"/>
  <c r="F20" i="128"/>
  <c r="F21" i="128"/>
  <c r="F22" i="128"/>
  <c r="F23" i="128"/>
  <c r="F24" i="128"/>
  <c r="F25" i="128"/>
  <c r="F26" i="128"/>
  <c r="F27" i="128"/>
  <c r="F28" i="128"/>
  <c r="F29" i="128"/>
  <c r="F30" i="128"/>
  <c r="F39" i="128"/>
  <c r="F37" i="128"/>
  <c r="F35" i="128"/>
  <c r="F33" i="128"/>
  <c r="F32" i="128"/>
  <c r="F41" i="128"/>
  <c r="B38" i="117"/>
  <c r="F37" i="117"/>
  <c r="E37" i="117"/>
  <c r="B39" i="117" l="1"/>
  <c r="F38" i="117"/>
  <c r="E38" i="117"/>
  <c r="B40" i="117" l="1"/>
  <c r="F39" i="117"/>
  <c r="E39" i="117"/>
  <c r="B41" i="117" l="1"/>
  <c r="F40" i="117"/>
  <c r="E40" i="117"/>
  <c r="F41" i="117" l="1"/>
  <c r="E41" i="117"/>
  <c r="X43" i="117" l="1"/>
  <c r="X42" i="117"/>
  <c r="X41" i="117"/>
  <c r="X40" i="117"/>
  <c r="X39" i="117"/>
  <c r="X38" i="117"/>
  <c r="X37" i="117"/>
  <c r="X36" i="117"/>
  <c r="X35" i="117"/>
  <c r="X34" i="117"/>
  <c r="X33" i="117"/>
  <c r="X32" i="117"/>
  <c r="X31" i="117"/>
  <c r="X30" i="117"/>
  <c r="X29" i="117"/>
  <c r="X28" i="117"/>
  <c r="X27" i="117"/>
  <c r="X26" i="117"/>
  <c r="X25" i="117"/>
  <c r="X24" i="117"/>
  <c r="X23" i="117"/>
  <c r="X22" i="117"/>
  <c r="X21" i="117"/>
  <c r="X20" i="117"/>
  <c r="X19" i="117"/>
  <c r="X18" i="117"/>
  <c r="X17" i="117"/>
  <c r="X16" i="117"/>
  <c r="X15" i="117"/>
  <c r="X14" i="117"/>
  <c r="X13" i="117"/>
  <c r="X12" i="117"/>
  <c r="X11" i="117"/>
  <c r="X10" i="117"/>
  <c r="X9" i="117"/>
  <c r="X8" i="117"/>
  <c r="I24" i="42" l="1"/>
  <c r="K18" i="42" l="1"/>
  <c r="K17" i="42"/>
  <c r="K14" i="42"/>
  <c r="K13" i="42"/>
  <c r="K12" i="42"/>
  <c r="K11" i="42"/>
  <c r="K10" i="42"/>
  <c r="K9" i="42"/>
  <c r="K8" i="42"/>
  <c r="K15" i="42"/>
  <c r="K16" i="42"/>
  <c r="K19" i="42"/>
  <c r="K20" i="42"/>
  <c r="I34" i="42" l="1"/>
  <c r="I33" i="42"/>
  <c r="M34" i="42"/>
  <c r="M33" i="42"/>
  <c r="M35" i="42" s="1"/>
  <c r="B6" i="30" l="1"/>
  <c r="B6" i="42"/>
  <c r="D78" i="46"/>
  <c r="B7" i="42"/>
  <c r="C7" i="42" l="1"/>
  <c r="E7" i="42"/>
  <c r="C6" i="42"/>
  <c r="E6" i="42"/>
  <c r="D6" i="30"/>
  <c r="B8" i="42"/>
  <c r="C8" i="42" l="1"/>
  <c r="E8" i="42"/>
  <c r="B9" i="42"/>
  <c r="C9" i="42" l="1"/>
  <c r="E9" i="42"/>
  <c r="B10" i="42"/>
  <c r="C10" i="42" l="1"/>
  <c r="E10" i="42"/>
  <c r="B11" i="42"/>
  <c r="C11" i="42" l="1"/>
  <c r="E11" i="42"/>
  <c r="B12" i="42"/>
  <c r="C12" i="42" l="1"/>
  <c r="E12" i="42"/>
  <c r="B13" i="42"/>
  <c r="C13" i="42" l="1"/>
  <c r="E13" i="42"/>
  <c r="B14" i="42"/>
  <c r="C14" i="42" l="1"/>
  <c r="E14" i="42"/>
  <c r="B15" i="42"/>
  <c r="C15" i="42" l="1"/>
  <c r="E15" i="42"/>
  <c r="B16" i="42"/>
  <c r="C16" i="42" l="1"/>
  <c r="E16" i="42"/>
  <c r="B17" i="42"/>
  <c r="C17" i="42" l="1"/>
  <c r="E17" i="42"/>
  <c r="B18" i="42"/>
  <c r="C18" i="42" l="1"/>
  <c r="E18" i="42"/>
  <c r="B19" i="42"/>
  <c r="C19" i="42" l="1"/>
  <c r="E19" i="42"/>
  <c r="B20" i="42"/>
  <c r="C20" i="42" l="1"/>
  <c r="E20" i="42"/>
  <c r="B21" i="42"/>
  <c r="C21" i="42" l="1"/>
  <c r="E21" i="42"/>
  <c r="B22" i="42"/>
  <c r="C22" i="42" l="1"/>
  <c r="E22" i="42"/>
  <c r="B23" i="42"/>
  <c r="C23" i="42" l="1"/>
  <c r="E23" i="42"/>
  <c r="B24" i="42"/>
  <c r="C24" i="42" l="1"/>
  <c r="E24" i="42"/>
  <c r="B25" i="42"/>
  <c r="C25" i="42" l="1"/>
  <c r="E25" i="42"/>
  <c r="B26" i="42"/>
  <c r="C26" i="42" l="1"/>
  <c r="E26" i="42"/>
  <c r="B27" i="42"/>
  <c r="C27" i="42" l="1"/>
  <c r="E27" i="42"/>
  <c r="B28" i="42"/>
  <c r="C28" i="42" l="1"/>
  <c r="E28" i="42"/>
  <c r="B29" i="42"/>
  <c r="C29" i="42" l="1"/>
  <c r="E29" i="42"/>
  <c r="B30" i="42"/>
  <c r="C30" i="42" l="1"/>
  <c r="E30" i="42"/>
  <c r="B31" i="42"/>
  <c r="C31" i="42" l="1"/>
  <c r="E31" i="42"/>
  <c r="B32" i="42"/>
  <c r="C32" i="42" l="1"/>
  <c r="E32" i="42"/>
  <c r="B33" i="42"/>
  <c r="C33" i="42" l="1"/>
  <c r="E33" i="42"/>
  <c r="B34" i="42"/>
  <c r="C34" i="42" l="1"/>
  <c r="E34" i="42"/>
  <c r="B35" i="42"/>
  <c r="C35" i="42" l="1"/>
  <c r="E35" i="42"/>
  <c r="B36" i="42"/>
  <c r="C36" i="42" l="1"/>
  <c r="E36" i="42"/>
  <c r="B37" i="42"/>
  <c r="C37" i="42" l="1"/>
  <c r="E37" i="42"/>
  <c r="B38" i="42"/>
  <c r="C38" i="42" l="1"/>
  <c r="E38" i="42"/>
  <c r="B39" i="42"/>
  <c r="C39" i="42" l="1"/>
  <c r="E39" i="42"/>
  <c r="B40" i="42"/>
  <c r="C40" i="42" l="1"/>
  <c r="E40" i="42"/>
  <c r="B41" i="42"/>
  <c r="C41" i="42" l="1"/>
  <c r="E41" i="42"/>
  <c r="D21" i="28" l="1"/>
  <c r="K11" i="123" l="1"/>
  <c r="K23" i="123" s="1"/>
  <c r="D7" i="123"/>
  <c r="F7" i="123"/>
  <c r="D8" i="123"/>
  <c r="F8" i="123"/>
  <c r="D9" i="123"/>
  <c r="F9" i="123"/>
  <c r="D10" i="123"/>
  <c r="F10" i="123"/>
  <c r="D11" i="123"/>
  <c r="F11" i="123"/>
  <c r="D12" i="123"/>
  <c r="F12" i="123"/>
  <c r="D13" i="123"/>
  <c r="F13" i="123"/>
  <c r="D14" i="123"/>
  <c r="F14" i="123"/>
  <c r="D15" i="123"/>
  <c r="F15" i="123"/>
  <c r="D16" i="123"/>
  <c r="F16" i="123"/>
  <c r="D17" i="123"/>
  <c r="F17" i="123"/>
  <c r="D18" i="123"/>
  <c r="F18" i="123"/>
  <c r="D19" i="123"/>
  <c r="F19" i="123"/>
  <c r="D20" i="123"/>
  <c r="F20" i="123"/>
  <c r="D21" i="123"/>
  <c r="F21" i="123"/>
  <c r="D22" i="123"/>
  <c r="F22" i="123"/>
  <c r="D23" i="123"/>
  <c r="F23" i="123"/>
  <c r="D24" i="123"/>
  <c r="F24" i="123"/>
  <c r="D25" i="123"/>
  <c r="F25" i="123"/>
  <c r="D26" i="123"/>
  <c r="F26" i="123"/>
  <c r="D27" i="123"/>
  <c r="F27" i="123"/>
  <c r="D28" i="123"/>
  <c r="F28" i="123"/>
  <c r="D29" i="123"/>
  <c r="F29" i="123"/>
  <c r="D30" i="123"/>
  <c r="F30" i="123"/>
  <c r="D31" i="123"/>
  <c r="F31" i="123"/>
  <c r="D32" i="123"/>
  <c r="F32" i="123"/>
  <c r="D33" i="123"/>
  <c r="F33" i="123"/>
  <c r="D34" i="123"/>
  <c r="F34" i="123"/>
  <c r="D35" i="123"/>
  <c r="F35" i="123"/>
  <c r="D36" i="123"/>
  <c r="F36" i="123"/>
  <c r="L13" i="117"/>
  <c r="G36" i="123" l="1"/>
  <c r="H36" i="123" s="1"/>
  <c r="G35" i="123"/>
  <c r="H35" i="123" s="1"/>
  <c r="G34" i="123"/>
  <c r="H34" i="123" s="1"/>
  <c r="G33" i="123"/>
  <c r="H33" i="123" s="1"/>
  <c r="G32" i="123"/>
  <c r="H32" i="123" s="1"/>
  <c r="G31" i="123"/>
  <c r="H31" i="123" s="1"/>
  <c r="G30" i="123"/>
  <c r="H30" i="123" s="1"/>
  <c r="G29" i="123"/>
  <c r="H29" i="123" s="1"/>
  <c r="G28" i="123"/>
  <c r="H28" i="123" s="1"/>
  <c r="G27" i="123"/>
  <c r="H27" i="123" s="1"/>
  <c r="G26" i="123"/>
  <c r="H26" i="123" s="1"/>
  <c r="G25" i="123"/>
  <c r="H25" i="123" s="1"/>
  <c r="G24" i="123"/>
  <c r="H24" i="123" s="1"/>
  <c r="G23" i="123"/>
  <c r="H23" i="123" s="1"/>
  <c r="G22" i="123"/>
  <c r="H22" i="123" s="1"/>
  <c r="G21" i="123"/>
  <c r="H21" i="123" s="1"/>
  <c r="G20" i="123"/>
  <c r="H20" i="123" s="1"/>
  <c r="G19" i="123"/>
  <c r="H19" i="123" s="1"/>
  <c r="G18" i="123"/>
  <c r="H18" i="123" s="1"/>
  <c r="G17" i="123"/>
  <c r="H17" i="123" s="1"/>
  <c r="G16" i="123"/>
  <c r="H16" i="123" s="1"/>
  <c r="G15" i="123"/>
  <c r="H15" i="123" s="1"/>
  <c r="G14" i="123"/>
  <c r="H14" i="123" s="1"/>
  <c r="G13" i="123"/>
  <c r="H13" i="123" s="1"/>
  <c r="G12" i="123"/>
  <c r="H12" i="123" s="1"/>
  <c r="G11" i="123"/>
  <c r="H11" i="123" s="1"/>
  <c r="G10" i="123"/>
  <c r="H10" i="123" s="1"/>
  <c r="G9" i="123"/>
  <c r="H9" i="123" s="1"/>
  <c r="G8" i="123"/>
  <c r="H8" i="123" s="1"/>
  <c r="G7" i="123"/>
  <c r="H7" i="123" s="1"/>
  <c r="H37" i="123"/>
  <c r="L27" i="117"/>
  <c r="L28" i="117"/>
  <c r="O40" i="117" l="1"/>
  <c r="R40" i="117" s="1"/>
  <c r="O39" i="117"/>
  <c r="R39" i="117" s="1"/>
  <c r="O38" i="117"/>
  <c r="R38" i="117" s="1"/>
  <c r="O37" i="117"/>
  <c r="R37" i="117" s="1"/>
  <c r="O36" i="117"/>
  <c r="R36" i="117" s="1"/>
  <c r="O35" i="117"/>
  <c r="R35" i="117" s="1"/>
  <c r="O34" i="117"/>
  <c r="R34" i="117" s="1"/>
  <c r="O33" i="117"/>
  <c r="R33" i="117" s="1"/>
  <c r="O32" i="117"/>
  <c r="R32" i="117" s="1"/>
  <c r="O31" i="117"/>
  <c r="R31" i="117" s="1"/>
  <c r="O30" i="117"/>
  <c r="R30" i="117" s="1"/>
  <c r="O29" i="117"/>
  <c r="R29" i="117" s="1"/>
  <c r="O28" i="117"/>
  <c r="R28" i="117" s="1"/>
  <c r="O27" i="117"/>
  <c r="R27" i="117" s="1"/>
  <c r="O26" i="117"/>
  <c r="R26" i="117" s="1"/>
  <c r="O25" i="117"/>
  <c r="R25" i="117" s="1"/>
  <c r="O24" i="117"/>
  <c r="R24" i="117" s="1"/>
  <c r="O23" i="117"/>
  <c r="R23" i="117" s="1"/>
  <c r="O22" i="117"/>
  <c r="R22" i="117" s="1"/>
  <c r="O21" i="117"/>
  <c r="R21" i="117" s="1"/>
  <c r="O20" i="117"/>
  <c r="R20" i="117" s="1"/>
  <c r="O19" i="117"/>
  <c r="R19" i="117" s="1"/>
  <c r="O18" i="117"/>
  <c r="R18" i="117" s="1"/>
  <c r="O17" i="117"/>
  <c r="R17" i="117" s="1"/>
  <c r="O16" i="117"/>
  <c r="R16" i="117" s="1"/>
  <c r="O15" i="117"/>
  <c r="R15" i="117" s="1"/>
  <c r="O14" i="117"/>
  <c r="R14" i="117" s="1"/>
  <c r="O13" i="117"/>
  <c r="R13" i="117" s="1"/>
  <c r="O12" i="117"/>
  <c r="R12" i="117" s="1"/>
  <c r="O11" i="117"/>
  <c r="R11" i="117" s="1"/>
  <c r="O10" i="117"/>
  <c r="R10" i="117" s="1"/>
  <c r="O9" i="117"/>
  <c r="R9" i="117" s="1"/>
  <c r="O8" i="117"/>
  <c r="R8" i="117" s="1"/>
  <c r="Q41" i="117"/>
  <c r="C39" i="117" s="1"/>
  <c r="D39" i="117"/>
  <c r="G39" i="117" s="1"/>
  <c r="H39" i="117" s="1"/>
  <c r="W41" i="117"/>
  <c r="Y41" i="117" s="1"/>
  <c r="Q42" i="117"/>
  <c r="C40" i="117" s="1"/>
  <c r="D40" i="117"/>
  <c r="G40" i="117" s="1"/>
  <c r="H40" i="117" s="1"/>
  <c r="W42" i="117"/>
  <c r="Y42" i="117" s="1"/>
  <c r="Q43" i="117"/>
  <c r="C41" i="117" s="1"/>
  <c r="D41" i="117"/>
  <c r="G41" i="117" s="1"/>
  <c r="W43" i="117"/>
  <c r="Y43" i="117" s="1"/>
  <c r="Z9" i="117"/>
  <c r="W9" i="117"/>
  <c r="Y9" i="117" s="1"/>
  <c r="Q9" i="117"/>
  <c r="Z10" i="117"/>
  <c r="W10" i="117"/>
  <c r="Y10" i="117" s="1"/>
  <c r="Q10" i="117"/>
  <c r="Z11" i="117"/>
  <c r="W11" i="117"/>
  <c r="Y11" i="117" s="1"/>
  <c r="Q11" i="117"/>
  <c r="Z12" i="117"/>
  <c r="W12" i="117"/>
  <c r="Y12" i="117" s="1"/>
  <c r="Q12" i="117"/>
  <c r="Z13" i="117"/>
  <c r="W13" i="117"/>
  <c r="Y13" i="117" s="1"/>
  <c r="Q13" i="117"/>
  <c r="Z14" i="117"/>
  <c r="W14" i="117"/>
  <c r="Y14" i="117" s="1"/>
  <c r="Q14" i="117"/>
  <c r="Z15" i="117"/>
  <c r="W15" i="117"/>
  <c r="Y15" i="117" s="1"/>
  <c r="Q15" i="117"/>
  <c r="Z16" i="117"/>
  <c r="W16" i="117"/>
  <c r="Y16" i="117" s="1"/>
  <c r="Q16" i="117"/>
  <c r="Z17" i="117"/>
  <c r="W17" i="117"/>
  <c r="Y17" i="117" s="1"/>
  <c r="Q17" i="117"/>
  <c r="Z18" i="117"/>
  <c r="W18" i="117"/>
  <c r="Y18" i="117" s="1"/>
  <c r="Q18" i="117"/>
  <c r="Z19" i="117"/>
  <c r="W19" i="117"/>
  <c r="Y19" i="117" s="1"/>
  <c r="Q19" i="117"/>
  <c r="Z20" i="117"/>
  <c r="W20" i="117"/>
  <c r="Y20" i="117" s="1"/>
  <c r="Q20" i="117"/>
  <c r="Q21" i="117"/>
  <c r="W21" i="117"/>
  <c r="Y21" i="117" s="1"/>
  <c r="Q22" i="117"/>
  <c r="C7" i="117" s="1"/>
  <c r="W22" i="117"/>
  <c r="Y22" i="117" s="1"/>
  <c r="Q23" i="117"/>
  <c r="C8" i="117" s="1"/>
  <c r="W23" i="117"/>
  <c r="Y23" i="117" s="1"/>
  <c r="Q24" i="117"/>
  <c r="C9" i="117" s="1"/>
  <c r="W24" i="117"/>
  <c r="Y24" i="117" s="1"/>
  <c r="Q25" i="117"/>
  <c r="C10" i="117" s="1"/>
  <c r="W25" i="117"/>
  <c r="Y25" i="117" s="1"/>
  <c r="Q26" i="117"/>
  <c r="C11" i="117" s="1"/>
  <c r="W26" i="117"/>
  <c r="Y26" i="117" s="1"/>
  <c r="Q27" i="117"/>
  <c r="C12" i="117" s="1"/>
  <c r="W27" i="117"/>
  <c r="Y27" i="117" s="1"/>
  <c r="Q28" i="117"/>
  <c r="C13" i="117" s="1"/>
  <c r="W28" i="117"/>
  <c r="Y28" i="117" s="1"/>
  <c r="Q29" i="117"/>
  <c r="C14" i="117" s="1"/>
  <c r="W29" i="117"/>
  <c r="Y29" i="117" s="1"/>
  <c r="Q30" i="117"/>
  <c r="C15" i="117" s="1"/>
  <c r="W30" i="117"/>
  <c r="Y30" i="117" s="1"/>
  <c r="Q31" i="117"/>
  <c r="C16" i="117" s="1"/>
  <c r="W31" i="117"/>
  <c r="Y31" i="117" s="1"/>
  <c r="Q32" i="117"/>
  <c r="C17" i="117" s="1"/>
  <c r="W32" i="117"/>
  <c r="Y32" i="117" s="1"/>
  <c r="Q33" i="117"/>
  <c r="C18" i="117" s="1"/>
  <c r="W33" i="117"/>
  <c r="Y33" i="117" s="1"/>
  <c r="Q34" i="117"/>
  <c r="C19" i="117" s="1"/>
  <c r="W34" i="117"/>
  <c r="Y34" i="117" s="1"/>
  <c r="Q35" i="117"/>
  <c r="W35" i="117"/>
  <c r="Y35" i="117" s="1"/>
  <c r="Q36" i="117"/>
  <c r="W36" i="117"/>
  <c r="Y36" i="117" s="1"/>
  <c r="Q37" i="117"/>
  <c r="W37" i="117"/>
  <c r="Y37" i="117" s="1"/>
  <c r="Q38" i="117"/>
  <c r="D36" i="117"/>
  <c r="G36" i="117" s="1"/>
  <c r="H36" i="117" s="1"/>
  <c r="W38" i="117"/>
  <c r="Y38" i="117" s="1"/>
  <c r="Q39" i="117"/>
  <c r="D37" i="117"/>
  <c r="G37" i="117" s="1"/>
  <c r="H37" i="117" s="1"/>
  <c r="W39" i="117"/>
  <c r="Y39" i="117" s="1"/>
  <c r="Q40" i="117"/>
  <c r="C38" i="117" s="1"/>
  <c r="D38" i="117"/>
  <c r="G38" i="117" s="1"/>
  <c r="H38" i="117" s="1"/>
  <c r="W40" i="117"/>
  <c r="Y40" i="117" s="1"/>
  <c r="Z8" i="117"/>
  <c r="W8" i="117"/>
  <c r="Y8" i="117" s="1"/>
  <c r="Q8" i="117"/>
  <c r="D35" i="117" l="1"/>
  <c r="G35" i="117" s="1"/>
  <c r="H35" i="117" s="1"/>
  <c r="D34" i="117"/>
  <c r="G34" i="117" s="1"/>
  <c r="H34" i="117" s="1"/>
  <c r="D33" i="117"/>
  <c r="G33" i="117" s="1"/>
  <c r="H33" i="117" s="1"/>
  <c r="D32" i="117"/>
  <c r="G32" i="117" s="1"/>
  <c r="D31" i="117"/>
  <c r="G31" i="117" s="1"/>
  <c r="D30" i="117"/>
  <c r="G30" i="117" s="1"/>
  <c r="D29" i="117"/>
  <c r="G29" i="117" s="1"/>
  <c r="C24" i="117"/>
  <c r="C37" i="117"/>
  <c r="C23" i="117"/>
  <c r="C36" i="117"/>
  <c r="C22" i="117"/>
  <c r="C35" i="117"/>
  <c r="C21" i="117"/>
  <c r="C34" i="117"/>
  <c r="C20" i="117"/>
  <c r="C33" i="117"/>
  <c r="H32" i="117"/>
  <c r="H31" i="117"/>
  <c r="H30" i="117"/>
  <c r="H29" i="117"/>
  <c r="C6" i="117"/>
  <c r="H41" i="117"/>
  <c r="Z43" i="117"/>
  <c r="D28" i="117"/>
  <c r="G28" i="117" s="1"/>
  <c r="C32" i="117"/>
  <c r="C28" i="117"/>
  <c r="Z42" i="117"/>
  <c r="D27" i="117"/>
  <c r="G27" i="117" s="1"/>
  <c r="C31" i="117"/>
  <c r="C27" i="117"/>
  <c r="Z41" i="117"/>
  <c r="D26" i="117"/>
  <c r="G26" i="117" s="1"/>
  <c r="C30" i="117"/>
  <c r="C26" i="117"/>
  <c r="Z40" i="117"/>
  <c r="D25" i="117"/>
  <c r="G25" i="117" s="1"/>
  <c r="C29" i="117"/>
  <c r="C25" i="117"/>
  <c r="Z39" i="117"/>
  <c r="D24" i="117"/>
  <c r="G24" i="117" s="1"/>
  <c r="Z38" i="117"/>
  <c r="D23" i="117"/>
  <c r="G23" i="117" s="1"/>
  <c r="Z37" i="117"/>
  <c r="D22" i="117"/>
  <c r="G22" i="117" s="1"/>
  <c r="Z36" i="117"/>
  <c r="D21" i="117"/>
  <c r="G21" i="117" s="1"/>
  <c r="Z35" i="117"/>
  <c r="D20" i="117"/>
  <c r="G20" i="117" s="1"/>
  <c r="Z34" i="117"/>
  <c r="D19" i="117"/>
  <c r="G19" i="117" s="1"/>
  <c r="Z33" i="117"/>
  <c r="D18" i="117"/>
  <c r="G18" i="117" s="1"/>
  <c r="Z32" i="117"/>
  <c r="D17" i="117"/>
  <c r="G17" i="117" s="1"/>
  <c r="Z31" i="117"/>
  <c r="D16" i="117"/>
  <c r="G16" i="117" s="1"/>
  <c r="Z30" i="117"/>
  <c r="D15" i="117"/>
  <c r="G15" i="117" s="1"/>
  <c r="Z29" i="117"/>
  <c r="D14" i="117"/>
  <c r="G14" i="117" s="1"/>
  <c r="Z28" i="117"/>
  <c r="D13" i="117"/>
  <c r="G13" i="117" s="1"/>
  <c r="Z27" i="117"/>
  <c r="D12" i="117"/>
  <c r="G12" i="117" s="1"/>
  <c r="Z26" i="117"/>
  <c r="D11" i="117"/>
  <c r="G11" i="117" s="1"/>
  <c r="Z25" i="117"/>
  <c r="D10" i="117"/>
  <c r="G10" i="117" s="1"/>
  <c r="Z24" i="117"/>
  <c r="D9" i="117"/>
  <c r="G9" i="117" s="1"/>
  <c r="Z23" i="117"/>
  <c r="D8" i="117"/>
  <c r="G8" i="117" s="1"/>
  <c r="Z22" i="117"/>
  <c r="D7" i="117"/>
  <c r="G7" i="117" s="1"/>
  <c r="Z21" i="117"/>
  <c r="D6" i="117"/>
  <c r="G6" i="117" s="1"/>
  <c r="H26" i="117" l="1"/>
  <c r="H27" i="117"/>
  <c r="H28" i="117"/>
  <c r="H6" i="117"/>
  <c r="H7" i="117"/>
  <c r="H8" i="117"/>
  <c r="H9" i="117"/>
  <c r="H10" i="117"/>
  <c r="H11" i="117"/>
  <c r="H12" i="117"/>
  <c r="H13" i="117"/>
  <c r="H14" i="117"/>
  <c r="H15" i="117"/>
  <c r="H16" i="117"/>
  <c r="H17" i="117"/>
  <c r="H18" i="117"/>
  <c r="H19" i="117"/>
  <c r="H20" i="117"/>
  <c r="H21" i="117"/>
  <c r="H22" i="117"/>
  <c r="H23" i="117"/>
  <c r="H24" i="117"/>
  <c r="H25" i="117"/>
  <c r="H42" i="117" l="1"/>
  <c r="B7" i="30" l="1"/>
  <c r="D7" i="30" l="1"/>
  <c r="B8" i="30"/>
  <c r="D8" i="30" l="1"/>
  <c r="B9" i="30"/>
  <c r="D9" i="30" l="1"/>
  <c r="B10" i="30"/>
  <c r="D10" i="30" l="1"/>
  <c r="B11" i="30"/>
  <c r="D6" i="42"/>
  <c r="D11" i="30" l="1"/>
  <c r="B12" i="30"/>
  <c r="D7" i="42"/>
  <c r="D12" i="30" l="1"/>
  <c r="B13" i="30"/>
  <c r="D9" i="42"/>
  <c r="D8" i="42"/>
  <c r="D13" i="30" l="1"/>
  <c r="B14" i="30"/>
  <c r="D10" i="42"/>
  <c r="D14" i="30" l="1"/>
  <c r="B15" i="30"/>
  <c r="D11" i="42"/>
  <c r="D15" i="30" l="1"/>
  <c r="B16" i="30"/>
  <c r="D12" i="42"/>
  <c r="D16" i="30" l="1"/>
  <c r="B17" i="30"/>
  <c r="D13" i="42"/>
  <c r="D17" i="30" l="1"/>
  <c r="B18" i="30"/>
  <c r="D14" i="42"/>
  <c r="D18" i="30" l="1"/>
  <c r="B19" i="30"/>
  <c r="D15" i="42"/>
  <c r="D19" i="30" l="1"/>
  <c r="B20" i="30"/>
  <c r="D16" i="42"/>
  <c r="D20" i="30" l="1"/>
  <c r="B21" i="30"/>
  <c r="D17" i="42"/>
  <c r="D21" i="30" l="1"/>
  <c r="B22" i="30"/>
  <c r="D18" i="42"/>
  <c r="D22" i="30" l="1"/>
  <c r="B23" i="30"/>
  <c r="D19" i="42"/>
  <c r="D23" i="30" l="1"/>
  <c r="B24" i="30"/>
  <c r="D20" i="42"/>
  <c r="D24" i="30" l="1"/>
  <c r="B25" i="30"/>
  <c r="D21" i="42"/>
  <c r="D25" i="30" l="1"/>
  <c r="B26" i="30"/>
  <c r="D22" i="42"/>
  <c r="D26" i="30" l="1"/>
  <c r="C26" i="30"/>
  <c r="B27" i="30"/>
  <c r="D23" i="42"/>
  <c r="D27" i="30" l="1"/>
  <c r="C27" i="30"/>
  <c r="B28" i="30"/>
  <c r="D24" i="42"/>
  <c r="D28" i="30" l="1"/>
  <c r="C28" i="30"/>
  <c r="B29" i="30"/>
  <c r="D25" i="42"/>
  <c r="D29" i="30" l="1"/>
  <c r="C29" i="30"/>
  <c r="B30" i="30"/>
  <c r="D26" i="42"/>
  <c r="D30" i="30" l="1"/>
  <c r="C30" i="30"/>
  <c r="B31" i="30"/>
  <c r="D27" i="42"/>
  <c r="D31" i="30" l="1"/>
  <c r="C31" i="30"/>
  <c r="B32" i="30"/>
  <c r="D28" i="42"/>
  <c r="D32" i="30" l="1"/>
  <c r="C32" i="30"/>
  <c r="B33" i="30"/>
  <c r="D29" i="42"/>
  <c r="D33" i="30" l="1"/>
  <c r="C33" i="30"/>
  <c r="B34" i="30"/>
  <c r="D30" i="42"/>
  <c r="D34" i="30" l="1"/>
  <c r="C34" i="30"/>
  <c r="B35" i="30"/>
  <c r="D31" i="42"/>
  <c r="D35" i="30" l="1"/>
  <c r="C35" i="30"/>
  <c r="D32" i="42"/>
  <c r="D33" i="42" l="1"/>
  <c r="D34" i="42" l="1"/>
  <c r="D35" i="42" l="1"/>
  <c r="D36" i="42" l="1"/>
  <c r="D37" i="42" l="1"/>
  <c r="D38" i="42" l="1"/>
  <c r="D39" i="42" l="1"/>
  <c r="D40" i="42" l="1"/>
  <c r="D41" i="42" l="1"/>
  <c r="D42" i="42" s="1"/>
  <c r="E78" i="46"/>
  <c r="F78" i="46" s="1"/>
  <c r="C8" i="46"/>
  <c r="G8" i="46" l="1"/>
  <c r="E8" i="46"/>
  <c r="D8" i="46"/>
  <c r="F8" i="46"/>
  <c r="D79" i="46"/>
  <c r="E79" i="46" s="1"/>
  <c r="F79" i="46" s="1"/>
  <c r="D80" i="46" l="1"/>
  <c r="E80" i="46" s="1"/>
  <c r="F80" i="46" s="1"/>
  <c r="D81" i="46" l="1"/>
  <c r="E81" i="46" s="1"/>
  <c r="F81" i="46" s="1"/>
  <c r="D82" i="46" l="1"/>
  <c r="E82" i="46" s="1"/>
  <c r="F82" i="46" s="1"/>
  <c r="D83" i="46" l="1"/>
  <c r="E83" i="46" s="1"/>
  <c r="F83" i="46" s="1"/>
  <c r="D84" i="46" l="1"/>
  <c r="E84" i="46" s="1"/>
  <c r="F84" i="46" s="1"/>
  <c r="D85" i="46" l="1"/>
  <c r="E85" i="46" s="1"/>
  <c r="F85" i="46" s="1"/>
  <c r="D86" i="46" l="1"/>
  <c r="E86" i="46" s="1"/>
  <c r="F86" i="46" s="1"/>
  <c r="C9" i="46"/>
  <c r="G9" i="46" l="1"/>
  <c r="E9" i="46"/>
  <c r="D9" i="46"/>
  <c r="H9" i="46"/>
  <c r="D87" i="46"/>
  <c r="E87" i="46" s="1"/>
  <c r="F87" i="46" s="1"/>
  <c r="C10" i="46"/>
  <c r="G10" i="46" l="1"/>
  <c r="E10" i="46"/>
  <c r="D10" i="46"/>
  <c r="H10" i="46"/>
  <c r="D88" i="46"/>
  <c r="E88" i="46" s="1"/>
  <c r="F88" i="46" s="1"/>
  <c r="C11" i="46"/>
  <c r="G11" i="46" l="1"/>
  <c r="E11" i="46"/>
  <c r="D11" i="46"/>
  <c r="H11" i="46"/>
  <c r="D89" i="46"/>
  <c r="E89" i="46" s="1"/>
  <c r="F89" i="46" s="1"/>
  <c r="C12" i="46"/>
  <c r="G12" i="46" l="1"/>
  <c r="E12" i="46"/>
  <c r="D12" i="46"/>
  <c r="H12" i="46"/>
  <c r="D90" i="46"/>
  <c r="E90" i="46" s="1"/>
  <c r="F90" i="46" s="1"/>
  <c r="C13" i="46"/>
  <c r="G13" i="46" l="1"/>
  <c r="E13" i="46"/>
  <c r="D13" i="46"/>
  <c r="H13" i="46"/>
  <c r="D91" i="46"/>
  <c r="E91" i="46" s="1"/>
  <c r="F91" i="46" s="1"/>
  <c r="C14" i="46"/>
  <c r="G14" i="46" l="1"/>
  <c r="E14" i="46"/>
  <c r="D14" i="46"/>
  <c r="H14" i="46"/>
  <c r="D92" i="46"/>
  <c r="E92" i="46" s="1"/>
  <c r="F92" i="46" s="1"/>
  <c r="C15" i="46"/>
  <c r="G15" i="46" l="1"/>
  <c r="E15" i="46"/>
  <c r="D15" i="46"/>
  <c r="H15" i="46"/>
  <c r="D93" i="46"/>
  <c r="E93" i="46" s="1"/>
  <c r="F93" i="46" s="1"/>
  <c r="C16" i="46"/>
  <c r="G16" i="46" l="1"/>
  <c r="E16" i="46"/>
  <c r="D16" i="46"/>
  <c r="H16" i="46"/>
  <c r="D94" i="46"/>
  <c r="E94" i="46" s="1"/>
  <c r="F94" i="46" s="1"/>
  <c r="C17" i="46"/>
  <c r="G17" i="46" l="1"/>
  <c r="E17" i="46"/>
  <c r="D17" i="46"/>
  <c r="H17" i="46"/>
  <c r="D95" i="46"/>
  <c r="E95" i="46" s="1"/>
  <c r="F95" i="46" s="1"/>
  <c r="C18" i="46"/>
  <c r="G18" i="46" l="1"/>
  <c r="E18" i="46"/>
  <c r="D18" i="46"/>
  <c r="H18" i="46"/>
  <c r="D96" i="46"/>
  <c r="E96" i="46" s="1"/>
  <c r="F96" i="46" s="1"/>
  <c r="C19" i="46"/>
  <c r="G19" i="46" l="1"/>
  <c r="E19" i="46"/>
  <c r="D19" i="46"/>
  <c r="H19" i="46"/>
  <c r="D97" i="46"/>
  <c r="E97" i="46" s="1"/>
  <c r="F97" i="46" s="1"/>
  <c r="C20" i="46"/>
  <c r="G20" i="46" l="1"/>
  <c r="E20" i="46"/>
  <c r="D20" i="46"/>
  <c r="H20" i="46"/>
  <c r="D98" i="46"/>
  <c r="E98" i="46" s="1"/>
  <c r="F98" i="46" s="1"/>
  <c r="C21" i="46"/>
  <c r="G21" i="46" l="1"/>
  <c r="E21" i="46"/>
  <c r="D21" i="46"/>
  <c r="H21" i="46"/>
  <c r="D99" i="46"/>
  <c r="E99" i="46" s="1"/>
  <c r="F99" i="46" s="1"/>
  <c r="C22" i="46"/>
  <c r="G22" i="46" l="1"/>
  <c r="E22" i="46"/>
  <c r="D22" i="46"/>
  <c r="H22" i="46"/>
  <c r="D100" i="46"/>
  <c r="E100" i="46" s="1"/>
  <c r="F100" i="46" s="1"/>
  <c r="C23" i="46"/>
  <c r="G23" i="46" l="1"/>
  <c r="E23" i="46"/>
  <c r="D23" i="46"/>
  <c r="H23" i="46"/>
  <c r="D101" i="46"/>
  <c r="E101" i="46" s="1"/>
  <c r="F101" i="46" s="1"/>
  <c r="C24" i="46"/>
  <c r="G24" i="46" l="1"/>
  <c r="E24" i="46"/>
  <c r="D24" i="46"/>
  <c r="H24" i="46"/>
  <c r="D102" i="46"/>
  <c r="E102" i="46" s="1"/>
  <c r="F102" i="46" s="1"/>
  <c r="C25" i="46"/>
  <c r="G25" i="46" l="1"/>
  <c r="E25" i="46"/>
  <c r="D25" i="46"/>
  <c r="D103" i="46"/>
  <c r="E103" i="46" s="1"/>
  <c r="F103" i="46" s="1"/>
  <c r="C26" i="46"/>
  <c r="G26" i="46" l="1"/>
  <c r="E26" i="46"/>
  <c r="D26" i="46"/>
  <c r="D104" i="46"/>
  <c r="E104" i="46" s="1"/>
  <c r="F104" i="46" s="1"/>
  <c r="C27" i="46"/>
  <c r="G27" i="46" l="1"/>
  <c r="E27" i="46"/>
  <c r="D27" i="46"/>
  <c r="H27" i="46"/>
  <c r="D105" i="46"/>
  <c r="E105" i="46" s="1"/>
  <c r="F105" i="46" s="1"/>
  <c r="C28" i="46"/>
  <c r="G28" i="46" l="1"/>
  <c r="E28" i="46"/>
  <c r="D28" i="46"/>
  <c r="D106" i="46"/>
  <c r="E106" i="46" s="1"/>
  <c r="F106" i="46" s="1"/>
  <c r="C29" i="46"/>
  <c r="G29" i="46" l="1"/>
  <c r="E29" i="46"/>
  <c r="D29" i="46"/>
  <c r="D107" i="46"/>
  <c r="E107" i="46" s="1"/>
  <c r="F107" i="46" s="1"/>
  <c r="C30" i="46"/>
  <c r="G30" i="46" l="1"/>
  <c r="E30" i="46"/>
  <c r="D30" i="46"/>
  <c r="D108" i="46"/>
  <c r="E108" i="46" s="1"/>
  <c r="F108" i="46" s="1"/>
  <c r="C31" i="46"/>
  <c r="G31" i="46" l="1"/>
  <c r="E31" i="46"/>
  <c r="D31" i="46"/>
  <c r="D109" i="46"/>
  <c r="E109" i="46" s="1"/>
  <c r="F109" i="46" s="1"/>
  <c r="C32" i="46"/>
  <c r="G32" i="46" l="1"/>
  <c r="E32" i="46"/>
  <c r="D32" i="46"/>
  <c r="D110" i="46"/>
  <c r="E110" i="46" s="1"/>
  <c r="F110" i="46" s="1"/>
  <c r="C33" i="46"/>
  <c r="G33" i="46" l="1"/>
  <c r="E33" i="46"/>
  <c r="D33" i="46"/>
  <c r="D111" i="46"/>
  <c r="E111" i="46" s="1"/>
  <c r="F111" i="46" s="1"/>
  <c r="C34" i="46"/>
  <c r="G34" i="46" l="1"/>
  <c r="E34" i="46"/>
  <c r="D34" i="46"/>
  <c r="D112" i="46"/>
  <c r="E112" i="46" s="1"/>
  <c r="F112" i="46" s="1"/>
  <c r="C35" i="46"/>
  <c r="G35" i="46" l="1"/>
  <c r="E35" i="46"/>
  <c r="D35" i="46"/>
  <c r="D113" i="46"/>
  <c r="E113" i="46" s="1"/>
  <c r="F113" i="46" s="1"/>
  <c r="C36" i="46"/>
  <c r="G36" i="46" l="1"/>
  <c r="E36" i="46"/>
  <c r="D36" i="46"/>
  <c r="H35" i="46"/>
  <c r="H32" i="46"/>
  <c r="H30" i="46"/>
  <c r="H33" i="46"/>
  <c r="H36" i="46"/>
  <c r="F37" i="42"/>
  <c r="F38" i="42"/>
  <c r="F39" i="42"/>
  <c r="F40" i="42"/>
  <c r="F41" i="42"/>
  <c r="F114" i="46"/>
  <c r="C37" i="46"/>
  <c r="G37" i="46" l="1"/>
  <c r="E37" i="46"/>
  <c r="D37" i="46"/>
  <c r="H26" i="46"/>
  <c r="H25" i="46"/>
  <c r="H31" i="46"/>
  <c r="H34" i="46"/>
  <c r="H28" i="46"/>
  <c r="H29" i="46"/>
  <c r="H37" i="46"/>
  <c r="F27" i="42"/>
  <c r="F6" i="42"/>
  <c r="H8" i="46"/>
  <c r="J8" i="46" s="1"/>
  <c r="F36" i="42"/>
  <c r="F35" i="42"/>
  <c r="F34" i="42"/>
  <c r="F33" i="42"/>
  <c r="F32" i="42"/>
  <c r="F31" i="42"/>
  <c r="F30" i="42"/>
  <c r="F29" i="42"/>
  <c r="F28" i="42"/>
  <c r="F26" i="42"/>
  <c r="F25" i="42"/>
  <c r="F24" i="42"/>
  <c r="F23" i="42"/>
  <c r="F22" i="42"/>
  <c r="F21" i="42"/>
  <c r="F20" i="42"/>
  <c r="F19" i="42"/>
  <c r="F18" i="42"/>
  <c r="F17" i="42"/>
  <c r="F16" i="42"/>
  <c r="F15" i="42"/>
  <c r="F14" i="42"/>
  <c r="F13" i="42"/>
  <c r="F12" i="42"/>
  <c r="F11" i="42"/>
  <c r="F10" i="42"/>
  <c r="F8" i="42"/>
  <c r="F9" i="42"/>
  <c r="F7" i="42"/>
  <c r="C38" i="46"/>
  <c r="G38" i="46" l="1"/>
  <c r="E38" i="46"/>
  <c r="D38" i="46"/>
  <c r="I8" i="46"/>
  <c r="H38" i="46"/>
  <c r="F42" i="42"/>
  <c r="C39" i="46"/>
  <c r="G39" i="46" l="1"/>
  <c r="E39" i="46"/>
  <c r="D39" i="46"/>
  <c r="H39" i="46"/>
  <c r="C40" i="46"/>
  <c r="G40" i="46" l="1"/>
  <c r="E40" i="46"/>
  <c r="D40" i="46"/>
  <c r="H40" i="46"/>
  <c r="C41" i="46"/>
  <c r="G41" i="46" l="1"/>
  <c r="E41" i="46"/>
  <c r="D41" i="46"/>
  <c r="H41" i="46"/>
  <c r="C42" i="46"/>
  <c r="G42" i="46" l="1"/>
  <c r="E42" i="46"/>
  <c r="D42" i="46"/>
  <c r="H42" i="46"/>
  <c r="C43" i="46"/>
  <c r="G43" i="46" l="1"/>
  <c r="E43" i="46"/>
  <c r="D43" i="46"/>
  <c r="H43" i="46"/>
  <c r="C44" i="46"/>
  <c r="G44" i="46" l="1"/>
  <c r="E44" i="46"/>
  <c r="D44" i="46"/>
  <c r="H44" i="46"/>
  <c r="C45" i="46"/>
  <c r="G45" i="46" l="1"/>
  <c r="E45" i="46"/>
  <c r="D45" i="46"/>
  <c r="H45" i="46"/>
  <c r="C46" i="46"/>
  <c r="G46" i="46" l="1"/>
  <c r="E46" i="46"/>
  <c r="D46" i="46"/>
  <c r="H46" i="46"/>
  <c r="C47" i="46"/>
  <c r="G47" i="46" l="1"/>
  <c r="E47" i="46"/>
  <c r="D47" i="46"/>
  <c r="H47" i="46"/>
  <c r="C48" i="46"/>
  <c r="G48" i="46" l="1"/>
  <c r="E48" i="46"/>
  <c r="D48" i="46"/>
  <c r="H48" i="46"/>
  <c r="C49" i="46"/>
  <c r="G49" i="46" l="1"/>
  <c r="E49" i="46"/>
  <c r="D49" i="46"/>
  <c r="H49" i="46"/>
  <c r="C50" i="46"/>
  <c r="G50" i="46" l="1"/>
  <c r="E50" i="46"/>
  <c r="D50" i="46"/>
  <c r="H50" i="46"/>
  <c r="C51" i="46"/>
  <c r="G51" i="46" l="1"/>
  <c r="E51" i="46"/>
  <c r="D51" i="46"/>
  <c r="H51" i="46"/>
  <c r="C52" i="46"/>
  <c r="G52" i="46" l="1"/>
  <c r="E52" i="46"/>
  <c r="D52" i="46"/>
  <c r="H52" i="46"/>
  <c r="C53" i="46"/>
  <c r="G53" i="46" l="1"/>
  <c r="E53" i="46"/>
  <c r="D53" i="46"/>
  <c r="H53" i="46"/>
  <c r="C54" i="46"/>
  <c r="G54" i="46" l="1"/>
  <c r="E54" i="46"/>
  <c r="D54" i="46"/>
  <c r="H54" i="46"/>
  <c r="C55" i="46"/>
  <c r="G55" i="46" l="1"/>
  <c r="E55" i="46"/>
  <c r="D55" i="46"/>
  <c r="H55" i="46"/>
  <c r="F55" i="46"/>
  <c r="J55" i="46" s="1"/>
  <c r="C56" i="46"/>
  <c r="G56" i="46" l="1"/>
  <c r="I55" i="46"/>
  <c r="E56" i="46"/>
  <c r="D56" i="46"/>
  <c r="H56" i="46"/>
  <c r="F56" i="46"/>
  <c r="J56" i="46" s="1"/>
  <c r="C57" i="46"/>
  <c r="G57" i="46" l="1"/>
  <c r="I56" i="46"/>
  <c r="E57" i="46"/>
  <c r="D57" i="46"/>
  <c r="H57" i="46"/>
  <c r="F57" i="46"/>
  <c r="J57" i="46" s="1"/>
  <c r="C58" i="46"/>
  <c r="G58" i="46" l="1"/>
  <c r="I57" i="46"/>
  <c r="E58" i="46"/>
  <c r="D58" i="46"/>
  <c r="H58" i="46"/>
  <c r="F58" i="46"/>
  <c r="J58" i="46" s="1"/>
  <c r="C59" i="46"/>
  <c r="G59" i="46" l="1"/>
  <c r="I58" i="46"/>
  <c r="E59" i="46"/>
  <c r="D59" i="46"/>
  <c r="H59" i="46"/>
  <c r="F59" i="46"/>
  <c r="J59" i="46" s="1"/>
  <c r="C60" i="46"/>
  <c r="G60" i="46" l="1"/>
  <c r="I59" i="46"/>
  <c r="E60" i="46"/>
  <c r="D60" i="46"/>
  <c r="H60" i="46"/>
  <c r="F60" i="46"/>
  <c r="J60" i="46" s="1"/>
  <c r="C61" i="46"/>
  <c r="G61" i="46" l="1"/>
  <c r="I60" i="46"/>
  <c r="E61" i="46"/>
  <c r="D61" i="46"/>
  <c r="H61" i="46"/>
  <c r="F61" i="46"/>
  <c r="J61" i="46" s="1"/>
  <c r="C62" i="46"/>
  <c r="G62" i="46" l="1"/>
  <c r="I61" i="46"/>
  <c r="E62" i="46"/>
  <c r="D62" i="46"/>
  <c r="H62" i="46"/>
  <c r="F62" i="46"/>
  <c r="J62" i="46" s="1"/>
  <c r="C63" i="46"/>
  <c r="G63" i="46" l="1"/>
  <c r="I62" i="46"/>
  <c r="E63" i="46"/>
  <c r="D63" i="46"/>
  <c r="H63" i="46"/>
  <c r="F63" i="46"/>
  <c r="J63" i="46" s="1"/>
  <c r="C64" i="46"/>
  <c r="G64" i="46" l="1"/>
  <c r="I63" i="46"/>
  <c r="E64" i="46"/>
  <c r="D64" i="46"/>
  <c r="H64" i="46"/>
  <c r="F64" i="46"/>
  <c r="J64" i="46" s="1"/>
  <c r="C65" i="46"/>
  <c r="G65" i="46" l="1"/>
  <c r="I64" i="46"/>
  <c r="E65" i="46"/>
  <c r="D65" i="46"/>
  <c r="H65" i="46"/>
  <c r="F65" i="46"/>
  <c r="J65" i="46" s="1"/>
  <c r="C66" i="46"/>
  <c r="G66" i="46" l="1"/>
  <c r="I65" i="46"/>
  <c r="E66" i="46"/>
  <c r="D66" i="46"/>
  <c r="H66" i="46"/>
  <c r="F66" i="46"/>
  <c r="J66" i="46" s="1"/>
  <c r="C67" i="46"/>
  <c r="G67" i="46" l="1"/>
  <c r="I66" i="46"/>
  <c r="E67" i="46"/>
  <c r="D67" i="46"/>
  <c r="H67" i="46"/>
  <c r="F67" i="46"/>
  <c r="J67" i="46" s="1"/>
  <c r="C68" i="46"/>
  <c r="G68" i="46" l="1"/>
  <c r="I67" i="46"/>
  <c r="E68" i="46"/>
  <c r="D68" i="46"/>
  <c r="H68" i="46"/>
  <c r="F68" i="46"/>
  <c r="J68" i="46" s="1"/>
  <c r="I68" i="46" l="1"/>
  <c r="E119" i="46"/>
  <c r="E114" i="46"/>
  <c r="F9" i="46" l="1"/>
  <c r="J9" i="46" s="1"/>
  <c r="I9" i="46" l="1"/>
  <c r="E35" i="30"/>
  <c r="E34" i="30"/>
  <c r="E33" i="30"/>
  <c r="F33" i="30"/>
  <c r="F34" i="30"/>
  <c r="F35" i="30"/>
  <c r="E32" i="30" l="1"/>
  <c r="F32" i="30" s="1"/>
  <c r="E31" i="30"/>
  <c r="E30" i="30"/>
  <c r="E29" i="30"/>
  <c r="E28" i="30"/>
  <c r="E27" i="30"/>
  <c r="E26" i="30"/>
  <c r="F26" i="30" s="1"/>
  <c r="F45" i="46"/>
  <c r="J45" i="46" s="1"/>
  <c r="F51" i="46"/>
  <c r="J51" i="46" s="1"/>
  <c r="F52" i="46"/>
  <c r="J52" i="46" s="1"/>
  <c r="F53" i="46"/>
  <c r="J53" i="46" s="1"/>
  <c r="F54" i="46"/>
  <c r="J54" i="46" s="1"/>
  <c r="I54" i="46" l="1"/>
  <c r="I53" i="46"/>
  <c r="I52" i="46"/>
  <c r="I51" i="46"/>
  <c r="I45" i="46"/>
  <c r="F13" i="46"/>
  <c r="J13" i="46" s="1"/>
  <c r="F14" i="46"/>
  <c r="J14" i="46" s="1"/>
  <c r="F46" i="46"/>
  <c r="J46" i="46" s="1"/>
  <c r="F27" i="30"/>
  <c r="F47" i="46"/>
  <c r="J47" i="46" s="1"/>
  <c r="F28" i="30"/>
  <c r="F48" i="46"/>
  <c r="J48" i="46" s="1"/>
  <c r="F29" i="30"/>
  <c r="F49" i="46"/>
  <c r="J49" i="46" s="1"/>
  <c r="F30" i="30"/>
  <c r="F50" i="46"/>
  <c r="J50" i="46" s="1"/>
  <c r="F31" i="30"/>
  <c r="F15" i="46"/>
  <c r="J15" i="46" s="1"/>
  <c r="F16" i="46"/>
  <c r="J16" i="46" s="1"/>
  <c r="F17" i="46"/>
  <c r="J17" i="46" s="1"/>
  <c r="F18" i="46"/>
  <c r="J18" i="46" s="1"/>
  <c r="F19" i="46"/>
  <c r="J19" i="46" s="1"/>
  <c r="F20" i="46"/>
  <c r="J20" i="46" s="1"/>
  <c r="F21" i="46"/>
  <c r="J21" i="46" s="1"/>
  <c r="F22" i="46"/>
  <c r="J22" i="46" s="1"/>
  <c r="I22" i="46" l="1"/>
  <c r="I21" i="46"/>
  <c r="I20" i="46"/>
  <c r="I19" i="46"/>
  <c r="I18" i="46"/>
  <c r="I17" i="46"/>
  <c r="I16" i="46"/>
  <c r="I15" i="46"/>
  <c r="I50" i="46"/>
  <c r="I49" i="46"/>
  <c r="I48" i="46"/>
  <c r="I47" i="46"/>
  <c r="I46" i="46"/>
  <c r="I14" i="46"/>
  <c r="I13" i="46"/>
  <c r="N33" i="30" l="1"/>
  <c r="F44" i="46"/>
  <c r="J44" i="46" s="1"/>
  <c r="F43" i="46"/>
  <c r="J43" i="46" s="1"/>
  <c r="F12" i="46"/>
  <c r="J12" i="46" s="1"/>
  <c r="F11" i="46"/>
  <c r="J11" i="46" s="1"/>
  <c r="F10" i="46"/>
  <c r="J10" i="46" s="1"/>
  <c r="I10" i="46"/>
  <c r="I11" i="46"/>
  <c r="I12" i="46"/>
  <c r="I43" i="46"/>
  <c r="I44" i="46"/>
  <c r="N32" i="30"/>
  <c r="C6" i="30"/>
  <c r="C7" i="30"/>
  <c r="C8" i="30"/>
  <c r="C9" i="30"/>
  <c r="C10" i="30"/>
  <c r="C11" i="30"/>
  <c r="C12" i="30"/>
  <c r="C13" i="30"/>
  <c r="C14" i="30"/>
  <c r="C15" i="30"/>
  <c r="C16" i="30"/>
  <c r="C17" i="30"/>
  <c r="C18" i="30"/>
  <c r="C19" i="30"/>
  <c r="C20" i="30"/>
  <c r="C21" i="30"/>
  <c r="C22" i="30"/>
  <c r="C23" i="30"/>
  <c r="C24" i="30"/>
  <c r="C25" i="30"/>
  <c r="E25" i="30"/>
  <c r="E24" i="30"/>
  <c r="E23" i="30"/>
  <c r="F42" i="46"/>
  <c r="J42" i="46"/>
  <c r="E22" i="30"/>
  <c r="F41" i="46"/>
  <c r="J41" i="46"/>
  <c r="E21" i="30"/>
  <c r="F40" i="46"/>
  <c r="J40" i="46"/>
  <c r="E20" i="30"/>
  <c r="F39" i="46"/>
  <c r="J39" i="46"/>
  <c r="E19" i="30"/>
  <c r="F38" i="46"/>
  <c r="J38" i="46"/>
  <c r="E18" i="30"/>
  <c r="F37" i="46"/>
  <c r="J37" i="46"/>
  <c r="E17" i="30"/>
  <c r="F36" i="46"/>
  <c r="J36" i="46"/>
  <c r="E16" i="30"/>
  <c r="F35" i="46"/>
  <c r="J35" i="46"/>
  <c r="E15" i="30"/>
  <c r="E14" i="30"/>
  <c r="E13" i="30"/>
  <c r="E12" i="30"/>
  <c r="E11" i="30"/>
  <c r="E10" i="30"/>
  <c r="E9" i="30"/>
  <c r="E8" i="30"/>
  <c r="E7" i="30"/>
  <c r="E6" i="30"/>
  <c r="I35" i="46"/>
  <c r="I36" i="46"/>
  <c r="I37" i="46"/>
  <c r="I38" i="46"/>
  <c r="I39" i="46"/>
  <c r="I40" i="46"/>
  <c r="I41" i="46"/>
  <c r="I42" i="46"/>
  <c r="F6" i="30"/>
  <c r="F7" i="30"/>
  <c r="F8" i="30"/>
  <c r="F9" i="30"/>
  <c r="F10" i="30"/>
  <c r="F11" i="30"/>
  <c r="F12" i="30"/>
  <c r="F13" i="30"/>
  <c r="F14" i="30"/>
  <c r="F23" i="46"/>
  <c r="J23" i="46"/>
  <c r="F15" i="30"/>
  <c r="F24" i="46"/>
  <c r="J24" i="46"/>
  <c r="F16" i="30"/>
  <c r="F25" i="46"/>
  <c r="J25" i="46"/>
  <c r="F17" i="30"/>
  <c r="F26" i="46"/>
  <c r="J26" i="46"/>
  <c r="F18" i="30"/>
  <c r="F27" i="46"/>
  <c r="J27" i="46"/>
  <c r="F19" i="30"/>
  <c r="F28" i="46"/>
  <c r="J28" i="46"/>
  <c r="F20" i="30"/>
  <c r="F29" i="46"/>
  <c r="J29" i="46"/>
  <c r="F21" i="30"/>
  <c r="F30" i="46"/>
  <c r="J30" i="46"/>
  <c r="F22" i="30"/>
  <c r="F31" i="46"/>
  <c r="J31" i="46"/>
  <c r="F32" i="46"/>
  <c r="J32" i="46"/>
  <c r="F23" i="30"/>
  <c r="F33" i="46"/>
  <c r="J33" i="46"/>
  <c r="F24" i="30"/>
  <c r="F34" i="46"/>
  <c r="J34" i="46"/>
  <c r="F25" i="30"/>
  <c r="I34" i="46"/>
  <c r="I33" i="46"/>
  <c r="I32" i="46"/>
  <c r="I31" i="46"/>
  <c r="I30" i="46"/>
  <c r="I29" i="46"/>
  <c r="I28" i="46"/>
  <c r="I27" i="46"/>
  <c r="I26" i="46"/>
  <c r="I25" i="46"/>
  <c r="I24" i="46"/>
  <c r="I23" i="46"/>
  <c r="J69" i="46"/>
  <c r="E118" i="46"/>
  <c r="E126" i="46"/>
  <c r="I69" i="46"/>
  <c r="F36" i="30"/>
  <c r="E121" i="46"/>
  <c r="E120" i="46"/>
  <c r="E128" i="46"/>
  <c r="E129" i="4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<sst xmlns="http://schemas.openxmlformats.org/spreadsheetml/2006/main" count="4499" uniqueCount="626">
  <si>
    <t>Analysis Year</t>
  </si>
  <si>
    <t>7% Discount</t>
  </si>
  <si>
    <t>Total Benefit</t>
  </si>
  <si>
    <t>NOTES:</t>
  </si>
  <si>
    <t>RCV</t>
  </si>
  <si>
    <t>BENEFITS</t>
  </si>
  <si>
    <t>COSTS</t>
  </si>
  <si>
    <t>Economic Competitiveness</t>
  </si>
  <si>
    <t>Safety</t>
  </si>
  <si>
    <t>Benefits</t>
  </si>
  <si>
    <t>Costs</t>
  </si>
  <si>
    <t>B/C Ratio</t>
  </si>
  <si>
    <t>SUMMARY</t>
  </si>
  <si>
    <t>Build</t>
  </si>
  <si>
    <t>Table 1 - Analysis Timeframe Assumptions</t>
  </si>
  <si>
    <t>Table 2 - Network Assumptions</t>
  </si>
  <si>
    <t>Table 3 - Global Assumptions and Factors</t>
  </si>
  <si>
    <t>1)</t>
  </si>
  <si>
    <t>K</t>
  </si>
  <si>
    <t>A</t>
  </si>
  <si>
    <t>B</t>
  </si>
  <si>
    <t>C</t>
  </si>
  <si>
    <t>PDO</t>
  </si>
  <si>
    <t>2)</t>
  </si>
  <si>
    <t>3)</t>
  </si>
  <si>
    <t>5)</t>
  </si>
  <si>
    <t>Years of Benefit-Cost Analysis Period</t>
  </si>
  <si>
    <t>Truck Vehicle Occupancy</t>
  </si>
  <si>
    <t>Travel Time Cost Savings</t>
  </si>
  <si>
    <t>Total (7% Discount)</t>
  </si>
  <si>
    <t>Year</t>
  </si>
  <si>
    <t>NPV</t>
  </si>
  <si>
    <t xml:space="preserve">Capital Costs    </t>
  </si>
  <si>
    <t>No-Build</t>
  </si>
  <si>
    <t>Reduction in the Annual Cost of Crashes</t>
  </si>
  <si>
    <t>Motorcycle</t>
  </si>
  <si>
    <t>No Build Annual Crash Cost</t>
  </si>
  <si>
    <t>Build Annual Crash Cost</t>
  </si>
  <si>
    <t>Location</t>
  </si>
  <si>
    <t>Cost</t>
  </si>
  <si>
    <t>Operation and Maintenance Savings</t>
  </si>
  <si>
    <t>7% Discount Total (Carbon discounted at 3%)</t>
  </si>
  <si>
    <t>Remaining Capital Value</t>
  </si>
  <si>
    <t>Total Cost:</t>
  </si>
  <si>
    <t>AADT</t>
  </si>
  <si>
    <t>Truck Travel Time Cost (per hour)</t>
  </si>
  <si>
    <t>Truck Percentage</t>
  </si>
  <si>
    <t>All-Purpose Travel Time Cost (per hour)</t>
  </si>
  <si>
    <t>Auto Percentage</t>
  </si>
  <si>
    <t>Auto Vehicle Occupancy</t>
  </si>
  <si>
    <t>Table 1 - Per-hour Travel Time Cost by Mode</t>
  </si>
  <si>
    <t>Table 2 - Fleet Composition</t>
  </si>
  <si>
    <t>Table 3 - Vehicle Occupancy</t>
  </si>
  <si>
    <t>Type</t>
  </si>
  <si>
    <t>Base Year Dollars</t>
  </si>
  <si>
    <t>Current Year</t>
  </si>
  <si>
    <t>N/A</t>
  </si>
  <si>
    <t>No Build &amp; Build</t>
  </si>
  <si>
    <t>State of Good Repair</t>
  </si>
  <si>
    <t>PD</t>
  </si>
  <si>
    <t>Maintenance and Significant Rehab Cost Savings</t>
  </si>
  <si>
    <t>Total Crash Cost Impacts</t>
  </si>
  <si>
    <t>Route Description</t>
  </si>
  <si>
    <t>No Build Annual VMT</t>
  </si>
  <si>
    <t>Build Annual VMT</t>
  </si>
  <si>
    <t>No Build Vehicle Operating Cost</t>
  </si>
  <si>
    <t>Build Vehicle Operating Cost</t>
  </si>
  <si>
    <t>Vehicle Operating Cost Savings</t>
  </si>
  <si>
    <t>VMT Cars</t>
  </si>
  <si>
    <t>VMT Trucks</t>
  </si>
  <si>
    <t>Delta VMT Car</t>
  </si>
  <si>
    <t>Delta VMT Truck</t>
  </si>
  <si>
    <t>Comparison</t>
  </si>
  <si>
    <t>Operation &amp; Maintenance/Rehab Costs No-Build</t>
  </si>
  <si>
    <t>Operation &amp; Maintenance/Rehab Costs Build</t>
  </si>
  <si>
    <t>SUMMARY (ROUNDED)</t>
  </si>
  <si>
    <t>Delta VMT Total</t>
  </si>
  <si>
    <t>VMT Total</t>
  </si>
  <si>
    <t>VOC Total</t>
  </si>
  <si>
    <t>Delta VOC</t>
  </si>
  <si>
    <t>Total Cost Savings
($2021 - Undiscounted)</t>
  </si>
  <si>
    <t>Benefit-Cost First Year of Benefit</t>
  </si>
  <si>
    <t>Benefit-Cost Final Year of Benefit</t>
  </si>
  <si>
    <t>Percent Autos</t>
  </si>
  <si>
    <t>Percent Trucks</t>
  </si>
  <si>
    <t>Auto Occupancy</t>
  </si>
  <si>
    <t>Truck Occupancy</t>
  </si>
  <si>
    <t>Number of Days in a Year</t>
  </si>
  <si>
    <t>Value of Time - All-Purpose Travel</t>
  </si>
  <si>
    <t>Value of Time - Truck Travel</t>
  </si>
  <si>
    <t>Figure 1. Project Location Map</t>
  </si>
  <si>
    <t>4)</t>
  </si>
  <si>
    <t>Capital Cost</t>
  </si>
  <si>
    <t>The present value of all benefits and costs was calculated using 2021 as the year of current dollars.</t>
  </si>
  <si>
    <t>This analysis assumed a 365-day year to account for benefits incurred on weekends and recreational peaks in the project area.</t>
  </si>
  <si>
    <t>Conversion Factor</t>
  </si>
  <si>
    <t>Factor</t>
  </si>
  <si>
    <t>Route Length (mi)</t>
  </si>
  <si>
    <t>STATE OF GOOD REPAIR - CAPITAL COST AND RESIDUAL PROJECT VALUE</t>
  </si>
  <si>
    <t>STATE OF GOOD REPAIR - OPERATION MAINTENANCE/REHAB</t>
  </si>
  <si>
    <t>No Build</t>
  </si>
  <si>
    <t>Truck No Build Route</t>
  </si>
  <si>
    <t>Car No Build Route</t>
  </si>
  <si>
    <t>Table 5 - No Build Vehicle Routing Assumptions</t>
  </si>
  <si>
    <t>ECONOMIC COMPETITIVENESS - TRAVEL TIME SAVINGS</t>
  </si>
  <si>
    <t>Vehicle Hours Traveled (VMT)</t>
  </si>
  <si>
    <t>Table 6 - Annual VMT Cars: No Build</t>
  </si>
  <si>
    <t>Table 7 - Annual VMT Trucks: No Build</t>
  </si>
  <si>
    <t>Impacted Segment Length (miles)</t>
  </si>
  <si>
    <t>Table 2 - Impacted Segment Data</t>
  </si>
  <si>
    <t>Denotes Data Input Cell</t>
  </si>
  <si>
    <t>Table 1 - Workbook Color Key</t>
  </si>
  <si>
    <t>Denotes Calculation Cell</t>
  </si>
  <si>
    <t>Table 1 shows the color coding system used in this BCA Workbook. This color system is used to maintain workbook clarity.</t>
  </si>
  <si>
    <t>6)</t>
  </si>
  <si>
    <t>Cost ( Year 2021 $)</t>
  </si>
  <si>
    <t>First Year of Project Costs</t>
  </si>
  <si>
    <t>Total Benefit:</t>
  </si>
  <si>
    <t>Table 4 -  New Underwood Road Mainline Traffic Volume Data</t>
  </si>
  <si>
    <t>New Underwood Road Project Segment Length (miles)</t>
  </si>
  <si>
    <t>New Underwood Road</t>
  </si>
  <si>
    <t>Year 1</t>
  </si>
  <si>
    <t>Year 2</t>
  </si>
  <si>
    <t>Year 3</t>
  </si>
  <si>
    <t>Year 4</t>
  </si>
  <si>
    <t>Year 5</t>
  </si>
  <si>
    <t>Year 6</t>
  </si>
  <si>
    <t>Year 7</t>
  </si>
  <si>
    <t>Year 8</t>
  </si>
  <si>
    <t>Year 9</t>
  </si>
  <si>
    <t>Year 10</t>
  </si>
  <si>
    <t>Year 11</t>
  </si>
  <si>
    <t>Year 12</t>
  </si>
  <si>
    <t>Year 13</t>
  </si>
  <si>
    <t>Project Year</t>
  </si>
  <si>
    <t>Cost ( Year 2023 $)</t>
  </si>
  <si>
    <t>Convert Year 2023 $ to 2021 $</t>
  </si>
  <si>
    <t>Composite CMF</t>
  </si>
  <si>
    <t>New Underwood Road Reconstruction: BCA Assumptions</t>
  </si>
  <si>
    <t>New Underwood Road Reconstruction: BCA SUMMARY</t>
  </si>
  <si>
    <t>Existing Year 2021 and Forecast Year 2041 New Underwood Road Traffic Volume Data</t>
  </si>
  <si>
    <t>Note: AADT data used in this analysis was obtained from project scope documents. The assumed corridor wide AADT used in this analysis is the weighted average AADT of known AADT's on the project segment.</t>
  </si>
  <si>
    <t>Table 1 - New Underwood Rd - Fm I90 to Engleharts Lane</t>
  </si>
  <si>
    <t>Length</t>
  </si>
  <si>
    <t>Table 2 - New Underwood Rd - From Engleharts Lane to South of Elk Creek Road</t>
  </si>
  <si>
    <t>% of Total</t>
  </si>
  <si>
    <t>Table 3 - Analysis AADT</t>
  </si>
  <si>
    <t>Table 1  - Annual Project Cost Estimates</t>
  </si>
  <si>
    <t>Table 2 - GDP Deflator Method</t>
  </si>
  <si>
    <t>Median and Shoulder Rumble Strips</t>
  </si>
  <si>
    <t>https://www.cmfclearinghouse.org/detail.php?facid=101</t>
  </si>
  <si>
    <t>Speed</t>
  </si>
  <si>
    <t>Vehicle Class</t>
  </si>
  <si>
    <t>Baseline Cost cents/mile</t>
  </si>
  <si>
    <t>Adjustment Factors from Baseline</t>
  </si>
  <si>
    <t>Veh Op Cost (VOC) for IRI level (cents/mile)</t>
  </si>
  <si>
    <t>Average VOC with roughness</t>
  </si>
  <si>
    <t>Net increase in VOC from Baseline</t>
  </si>
  <si>
    <t>IRI</t>
  </si>
  <si>
    <t>cents/mile</t>
  </si>
  <si>
    <t>dollar/mile</t>
  </si>
  <si>
    <t>Medium Car</t>
  </si>
  <si>
    <t>Van</t>
  </si>
  <si>
    <t>SUV</t>
  </si>
  <si>
    <t>Light Truck</t>
  </si>
  <si>
    <t>Articulated Truck</t>
  </si>
  <si>
    <t>Auto VOC</t>
  </si>
  <si>
    <t>Truck VOC</t>
  </si>
  <si>
    <t>1 m/km =</t>
  </si>
  <si>
    <t>in/mi</t>
  </si>
  <si>
    <t>3 m/km =</t>
  </si>
  <si>
    <t>this is considered moderate failure per SDDOT pavement management source</t>
  </si>
  <si>
    <t>4 m/km =</t>
  </si>
  <si>
    <t>this is considered extreme failure per SDDOT pavement management source</t>
  </si>
  <si>
    <t>Note: Project roadway segments are nearing end of service life and will continue to degrade in the future. This analysis assumes existing IRI scores range from 5-6.</t>
  </si>
  <si>
    <t>Note:</t>
  </si>
  <si>
    <t>Table 3 - Fleet Composition</t>
  </si>
  <si>
    <t>Convert Year 2017 $ to 2021 $</t>
  </si>
  <si>
    <t>Table 2 - Inflation Factor Convert Year 2017 $ to 2021 $</t>
  </si>
  <si>
    <t>Table 1 - Per-mile Travel Time Cost by Mode (2017 $)</t>
  </si>
  <si>
    <t>Vehicle Operating Costs (Roughness)</t>
  </si>
  <si>
    <t>https://apps.sd.gov/hr53needsbook/</t>
  </si>
  <si>
    <t>Link to Source:</t>
  </si>
  <si>
    <t>Figure 1 - Existing Year Traffic Volume Data from SDDOT Data Needs Book</t>
  </si>
  <si>
    <t>Assumed %HV</t>
  </si>
  <si>
    <t>Percentage of Total</t>
  </si>
  <si>
    <t>Segment Length (miles)</t>
  </si>
  <si>
    <t>HV AADT</t>
  </si>
  <si>
    <t>Total AADT</t>
  </si>
  <si>
    <t>Aggregate Travel Time Cost</t>
  </si>
  <si>
    <t>Truck Travel Time Cost</t>
  </si>
  <si>
    <t>All-Purpose Travel Time Cost</t>
  </si>
  <si>
    <t>Growth Rate</t>
  </si>
  <si>
    <t>Year 70</t>
  </si>
  <si>
    <t>Year 69</t>
  </si>
  <si>
    <t>Year 68</t>
  </si>
  <si>
    <t>Year 67</t>
  </si>
  <si>
    <t>Year 66</t>
  </si>
  <si>
    <t>Year 65</t>
  </si>
  <si>
    <t>Year 64</t>
  </si>
  <si>
    <t>Year 63</t>
  </si>
  <si>
    <t>Year 62</t>
  </si>
  <si>
    <t>Year 61</t>
  </si>
  <si>
    <t>Year 60</t>
  </si>
  <si>
    <t>Year 59</t>
  </si>
  <si>
    <t>Year 58</t>
  </si>
  <si>
    <t>Year 57</t>
  </si>
  <si>
    <t>Year 56</t>
  </si>
  <si>
    <t>Year 55</t>
  </si>
  <si>
    <t>Year 54</t>
  </si>
  <si>
    <t>Fair</t>
  </si>
  <si>
    <t>Surface Treatment</t>
  </si>
  <si>
    <t>Year 53</t>
  </si>
  <si>
    <t>Year 52</t>
  </si>
  <si>
    <t>Good</t>
  </si>
  <si>
    <t>Crack Treatrrient</t>
  </si>
  <si>
    <t>Year 51</t>
  </si>
  <si>
    <t>Year 50</t>
  </si>
  <si>
    <t>Year 49</t>
  </si>
  <si>
    <t>Year 48</t>
  </si>
  <si>
    <t>Poor</t>
  </si>
  <si>
    <t>Mill &amp; Overlay (3º* Overlay)</t>
  </si>
  <si>
    <t>Year 47</t>
  </si>
  <si>
    <t>Year 46</t>
  </si>
  <si>
    <t>Year 45</t>
  </si>
  <si>
    <t>Year 44</t>
  </si>
  <si>
    <t>Year 43</t>
  </si>
  <si>
    <t>Year 42</t>
  </si>
  <si>
    <t>Year 41</t>
  </si>
  <si>
    <t>Year 40</t>
  </si>
  <si>
    <t>Year 39</t>
  </si>
  <si>
    <t>Year 38</t>
  </si>
  <si>
    <t>Year 37</t>
  </si>
  <si>
    <t>Year 36</t>
  </si>
  <si>
    <t>Mill &amp; Overlay (2º* Overlay)</t>
  </si>
  <si>
    <t>Year 35</t>
  </si>
  <si>
    <t>Year 34</t>
  </si>
  <si>
    <t>Year 33</t>
  </si>
  <si>
    <t>Year 32</t>
  </si>
  <si>
    <t>Year 31</t>
  </si>
  <si>
    <t>Year 30</t>
  </si>
  <si>
    <t>Year 29</t>
  </si>
  <si>
    <t>Year 28</t>
  </si>
  <si>
    <t>Year 27</t>
  </si>
  <si>
    <t>Year 26</t>
  </si>
  <si>
    <t>Year 25</t>
  </si>
  <si>
    <t>CrackTreatrr›ent</t>
  </si>
  <si>
    <t>Year 24</t>
  </si>
  <si>
    <t>Year 23</t>
  </si>
  <si>
    <t>Year 22</t>
  </si>
  <si>
    <t>Year 21</t>
  </si>
  <si>
    <t>Mill &amp; Overlay (1º* Overlay)</t>
  </si>
  <si>
    <t>Year 20</t>
  </si>
  <si>
    <t>Year 19</t>
  </si>
  <si>
    <t>Year 18</t>
  </si>
  <si>
    <t>Year 17</t>
  </si>
  <si>
    <t>Year 16</t>
  </si>
  <si>
    <t>Year 15</t>
  </si>
  <si>
    <t>Year 14</t>
  </si>
  <si>
    <t>Crack Treatment</t>
  </si>
  <si>
    <t>Inital Construction</t>
  </si>
  <si>
    <t>Year 0</t>
  </si>
  <si>
    <t>Typical Cost (ln-mi)</t>
  </si>
  <si>
    <t>Typical Conditoin When Applied</t>
  </si>
  <si>
    <t>Treatment</t>
  </si>
  <si>
    <t>Year Number</t>
  </si>
  <si>
    <t>Typical Pavement Age (yrs)</t>
  </si>
  <si>
    <t>CrackTreatrnent</t>
  </si>
  <si>
    <t>Mill &amp; Overlay (5º* Overlay)</t>
  </si>
  <si>
    <t>Mill &amp; Overlay (4º* Overlay)</t>
  </si>
  <si>
    <t>http://www.dot.state.mn.us/assetmanagement/pdf/guide/06chap6.pdf</t>
  </si>
  <si>
    <t>Speed Limit Reduction</t>
  </si>
  <si>
    <t>Figure 1 - Traffic Data Assumptions</t>
  </si>
  <si>
    <t>Table 2 - Calculated %Heavy Vehicle</t>
  </si>
  <si>
    <t>Table 1 - %Heavy Vehicle Calculations</t>
  </si>
  <si>
    <t>Table 3 - Assumed %HV in BCA</t>
  </si>
  <si>
    <t>Grand Total</t>
  </si>
  <si>
    <t>Wild animal hit</t>
  </si>
  <si>
    <t>Possible</t>
  </si>
  <si>
    <t>Non-incapacitating</t>
  </si>
  <si>
    <t>No injury</t>
  </si>
  <si>
    <t>Incapacitating</t>
  </si>
  <si>
    <t>Fatal injury</t>
  </si>
  <si>
    <t>Count of InjurySeverity</t>
  </si>
  <si>
    <t>Row Labels</t>
  </si>
  <si>
    <t>Wild animal hit - damage only</t>
  </si>
  <si>
    <t>Animal in roadway</t>
  </si>
  <si>
    <t>Southbound</t>
  </si>
  <si>
    <t>Passenger car</t>
  </si>
  <si>
    <t>N</t>
  </si>
  <si>
    <t>Clear</t>
  </si>
  <si>
    <t>Rural Major Collector</t>
  </si>
  <si>
    <t>County Road</t>
  </si>
  <si>
    <t>Dawn</t>
  </si>
  <si>
    <t>No collision between 2 MV in transport</t>
  </si>
  <si>
    <t>Animal  - wild</t>
  </si>
  <si>
    <t>Dry</t>
  </si>
  <si>
    <t>MEADE</t>
  </si>
  <si>
    <t>Eastbound</t>
  </si>
  <si>
    <t>SUV ( sport utility/suburban )</t>
  </si>
  <si>
    <t>Undivided highway</t>
  </si>
  <si>
    <t>Rural Principal Other Arterial</t>
  </si>
  <si>
    <t>State Road</t>
  </si>
  <si>
    <t>Not applicable</t>
  </si>
  <si>
    <t>Test not given</t>
  </si>
  <si>
    <t>None</t>
  </si>
  <si>
    <t>Unknown</t>
  </si>
  <si>
    <t>Northbound</t>
  </si>
  <si>
    <t>Single-unit truck (3 or more axles)</t>
  </si>
  <si>
    <t>Straight and level</t>
  </si>
  <si>
    <t>Non-junction</t>
  </si>
  <si>
    <t>Daylight</t>
  </si>
  <si>
    <t>Asphalt ( blacktop )</t>
  </si>
  <si>
    <t>Fire/explosion</t>
  </si>
  <si>
    <t>Straight ahead</t>
  </si>
  <si>
    <t>Lap belt and shoulder harness used</t>
  </si>
  <si>
    <t>0.00 BAC</t>
  </si>
  <si>
    <t>Weather conditions</t>
  </si>
  <si>
    <t>Disregarded traffic signs or signals; Driving too fast for conditions</t>
  </si>
  <si>
    <t>Fog, smog, smoke</t>
  </si>
  <si>
    <t>Rural Other Expressways</t>
  </si>
  <si>
    <t>Four-way intersection</t>
  </si>
  <si>
    <t>Dark - roadway not lighted</t>
  </si>
  <si>
    <t>Gravel</t>
  </si>
  <si>
    <t>Y</t>
  </si>
  <si>
    <t>Stop sign</t>
  </si>
  <si>
    <t>Approach</t>
  </si>
  <si>
    <t>Approach, Fence, Ran off road right</t>
  </si>
  <si>
    <t>OVERDRIVING ROAD CONDITIONS</t>
  </si>
  <si>
    <t>Road surface condition ( wet, icy, snow, slush, etc. )</t>
  </si>
  <si>
    <t>Light truck (2 axles, 4 tires)</t>
  </si>
  <si>
    <t>Snow</t>
  </si>
  <si>
    <t>Overturn/rollover</t>
  </si>
  <si>
    <t>Ice</t>
  </si>
  <si>
    <t>Overturn/rollover, Ran off road right</t>
  </si>
  <si>
    <t>None used</t>
  </si>
  <si>
    <t>SEAT BELT REQUIRED-DRIVER &amp; ADULT FRONT SEAT PASSENGERS</t>
  </si>
  <si>
    <t>Rural Local Road</t>
  </si>
  <si>
    <t>0.22 BAC, Not reported, Not reported</t>
  </si>
  <si>
    <t>Drinking; Over-correcting/over-steering</t>
  </si>
  <si>
    <t>Curve and level</t>
  </si>
  <si>
    <t>Overturn/rollover, Ran off road left, Ran off road right</t>
  </si>
  <si>
    <t>Lap belt and shoulder harness used, None used</t>
  </si>
  <si>
    <t>DUI</t>
  </si>
  <si>
    <t>Cloudy</t>
  </si>
  <si>
    <t>Wet</t>
  </si>
  <si>
    <t>Dusk</t>
  </si>
  <si>
    <t>Test not given, Test not given</t>
  </si>
  <si>
    <t>Failed to yield to vehicle; None</t>
  </si>
  <si>
    <t>Passenger car; Tractor/semi-trailer</t>
  </si>
  <si>
    <t>T- intersection</t>
  </si>
  <si>
    <t>Sideswipe, same direction</t>
  </si>
  <si>
    <t>Motor vehicle in transport</t>
  </si>
  <si>
    <t>Fence, Motor vehicle in transport, Ran off road left, Separation of units</t>
  </si>
  <si>
    <t>Overtaking/passing, Turning left</t>
  </si>
  <si>
    <t>Truck coupling / trailer hitch / safety chains</t>
  </si>
  <si>
    <t>Rut, holes, bumps</t>
  </si>
  <si>
    <t>All terrain vehicle / 4 wheeler</t>
  </si>
  <si>
    <t>Straight on grade</t>
  </si>
  <si>
    <t>Cargo/equipment loss or shift</t>
  </si>
  <si>
    <t>Cargo/equipment loss or shift, Overturn/rollover, Separation of units</t>
  </si>
  <si>
    <t>Driving too fast for conditions; None</t>
  </si>
  <si>
    <t>Curve and hill crest</t>
  </si>
  <si>
    <t>CARELESS DRIVING.</t>
  </si>
  <si>
    <t>PENNINGTON</t>
  </si>
  <si>
    <t>Failure to keep in proper lane; None</t>
  </si>
  <si>
    <t>Curve on grade</t>
  </si>
  <si>
    <t>Helmet and eye protection</t>
  </si>
  <si>
    <t>Single-unit truck (2 axle, 6 tires) GVWR 10,000 lbs or less</t>
  </si>
  <si>
    <t>Cloudy, Rain</t>
  </si>
  <si>
    <t>Animal - domestic</t>
  </si>
  <si>
    <t>None; Swerving or avoiding due to wind, slippery surface, vehicle, object, non-motorist, etc.</t>
  </si>
  <si>
    <t>Overturn/rollover, Ran off road left</t>
  </si>
  <si>
    <t>None; Other</t>
  </si>
  <si>
    <t>None; Tires</t>
  </si>
  <si>
    <t>Northbound; Southbound</t>
  </si>
  <si>
    <t>Light truck (2 axles, 4 tires); Passenger car</t>
  </si>
  <si>
    <t>Angle</t>
  </si>
  <si>
    <t>Equipment failure ( tires, brakes, etc. ), Motor vehicle in transport</t>
  </si>
  <si>
    <t>Mini-van/passenger van with seats for 8 or less, including driver</t>
  </si>
  <si>
    <t>0.02 BAC</t>
  </si>
  <si>
    <t>Intersection related</t>
  </si>
  <si>
    <t>Warning sign</t>
  </si>
  <si>
    <t>Eye protection only</t>
  </si>
  <si>
    <t>Fence</t>
  </si>
  <si>
    <t>Fence, Ran off road right</t>
  </si>
  <si>
    <t>0; 55</t>
  </si>
  <si>
    <t>0.00 BAC, Not reported</t>
  </si>
  <si>
    <t>None; Not reported</t>
  </si>
  <si>
    <t>None; Unknown</t>
  </si>
  <si>
    <t>None; Not Reported</t>
  </si>
  <si>
    <t>Tractor/semi-trailer; Unknown</t>
  </si>
  <si>
    <t>Sideswipe, opposite direction</t>
  </si>
  <si>
    <t>Distracted (list distraction in narrative); None</t>
  </si>
  <si>
    <t>Failure to keep in proper lane; Running off road</t>
  </si>
  <si>
    <t>Tractor/semi-trailer</t>
  </si>
  <si>
    <t>Fence, Highway traffic sign post/sign, Overturn/rollover, Ran off road right</t>
  </si>
  <si>
    <t>Snow, Blowing snow</t>
  </si>
  <si>
    <t>Fence, Ran off road left</t>
  </si>
  <si>
    <t>Over-correcting/over-steering; Running off road</t>
  </si>
  <si>
    <t>Test not given, Not reported</t>
  </si>
  <si>
    <t>Driving too fast for conditions; Exceeded posted speed limit</t>
  </si>
  <si>
    <t>Rain</t>
  </si>
  <si>
    <t>None; Running off road</t>
  </si>
  <si>
    <t>Highway traffic sign post/sign, Overturn/rollover, Ran off road right</t>
  </si>
  <si>
    <t>Exceeded posted speed limit; Over-correcting/over-steering</t>
  </si>
  <si>
    <t>Cross median/centerline, Overturn/rollover, Ran off road left, Ran off road right</t>
  </si>
  <si>
    <t>Exceeded posted speed limit; Running off road</t>
  </si>
  <si>
    <t>Highway traffic sign post/sign</t>
  </si>
  <si>
    <t>Highway traffic sign post/sign, Ran off road right</t>
  </si>
  <si>
    <t>Drinking; None</t>
  </si>
  <si>
    <t>Ditch</t>
  </si>
  <si>
    <t>Sand, mud, dirt, gravel</t>
  </si>
  <si>
    <t>Cross median/centerline, Ditch, Fence, Ran off road right</t>
  </si>
  <si>
    <t>5; 70</t>
  </si>
  <si>
    <t>0.00 BAC, 0.00 BAC, Not reported</t>
  </si>
  <si>
    <t>Exceeded posted speed limit; Failed to yield to vehicle; None</t>
  </si>
  <si>
    <t>Passenger car; Single-unit truck (3 or more axles)</t>
  </si>
  <si>
    <t>Fence, Motor vehicle in transport, Ran off road right</t>
  </si>
  <si>
    <t>Straight ahead, Turning left</t>
  </si>
  <si>
    <t>LEFT TURNING VEHICLE TO YIELD ROW, 15) - ALL MUNICIPAL / COUNTY - SPEEDING (11 - 15 OVER)</t>
  </si>
  <si>
    <t>Cross median/centerline, Fence, Highway traffic sign post/sign, Ran off road left</t>
  </si>
  <si>
    <t>Jackknife</t>
  </si>
  <si>
    <t>Frost</t>
  </si>
  <si>
    <t>Cross median/centerline, Fence, Jackknife, Ran off road left</t>
  </si>
  <si>
    <t>Sleet, hail ( freezing rain or drizzle ), Fog, smog, smoke</t>
  </si>
  <si>
    <t>Driving too fast for conditions; Over-correcting/over-steering</t>
  </si>
  <si>
    <t>Slush</t>
  </si>
  <si>
    <t>SEATBELT FOR PASSENGERS 5-17 (TICKET DRIVER)</t>
  </si>
  <si>
    <t>0.28 BAC</t>
  </si>
  <si>
    <t>Drinking; Running off road</t>
  </si>
  <si>
    <t>Embankment</t>
  </si>
  <si>
    <t>Ditch, Embankment, Ran off road right, Tree/shrubbery</t>
  </si>
  <si>
    <t>DRIVERS LICENSE REVOKED, DUI, OPEN CONTAINER IN VEHICLE</t>
  </si>
  <si>
    <t>Driving too fast for conditions; Swerving or avoiding due to wind, slippery surface, vehicle, object, non-motorist, etc.</t>
  </si>
  <si>
    <t>Cloudy, Snow</t>
  </si>
  <si>
    <t>Tree/shrubbery</t>
  </si>
  <si>
    <t>Ran off road left, Tree/shrubbery</t>
  </si>
  <si>
    <t>Exceeded posted speed limit; Swerving or avoiding due to wind, slippery surface, vehicle, object, non-motorist, etc.</t>
  </si>
  <si>
    <t>0.15 BAC</t>
  </si>
  <si>
    <t>Disregarded traffic signs or signals; Drinking</t>
  </si>
  <si>
    <t>Westbound</t>
  </si>
  <si>
    <t>Turning left</t>
  </si>
  <si>
    <t>DRIVERS LICENSE REVOKED, DUI, FAIL TO STOP FOR STOP SIGN / YIELD AFTER STOP</t>
  </si>
  <si>
    <t>None; Over-correcting/over-steering</t>
  </si>
  <si>
    <t>Distracted (list distraction in narrative); Exceeded posted speed limit</t>
  </si>
  <si>
    <t>Exceeded posted speed limit; Failure to keep in proper lane</t>
  </si>
  <si>
    <t>Cross median/centerline, Fence, Ran off road left</t>
  </si>
  <si>
    <t>DRIVERS LICENSE SUSPENDED, CARELESS DRIVING.</t>
  </si>
  <si>
    <t>Cloudy, Blowing snow</t>
  </si>
  <si>
    <t>Fence, Overturn/rollover, Ran off road left</t>
  </si>
  <si>
    <t>Delineator post</t>
  </si>
  <si>
    <t>Delineator post, Ran off road right</t>
  </si>
  <si>
    <t>Bridge pier or support</t>
  </si>
  <si>
    <t>Bridge pier or support, Cargo/equipment loss or shift, Delineator post, Separation of units</t>
  </si>
  <si>
    <t>25) - ALL MUNICPAL / COUNTY - SPEEDING (21 - 25 OVER), ADULT SEATBELT VIOLATION ---- AFTER 9/1/73</t>
  </si>
  <si>
    <t>Steering</t>
  </si>
  <si>
    <t>Equipment failure ( tires, brakes, etc. ), Overturn/rollover, Ran off road left</t>
  </si>
  <si>
    <t>IMPROPERLY EQUIPPED VEHICLES ON HIGHWAY.</t>
  </si>
  <si>
    <t>0.11 BAC, Not reported</t>
  </si>
  <si>
    <t>Concrete</t>
  </si>
  <si>
    <t>Motor vehicle in transport, Overturn/rollover, Ran off road right</t>
  </si>
  <si>
    <t>VEHICULAR BATTERY, DUI, OPEN CONTAINER IN VEHICLE</t>
  </si>
  <si>
    <t>Sleet, hail ( freezing rain or drizzle ), Snow</t>
  </si>
  <si>
    <t>0; 35</t>
  </si>
  <si>
    <t>Test not given, Not applicable</t>
  </si>
  <si>
    <t>None; Not applicable</t>
  </si>
  <si>
    <t>Not applicable; Road surface condition ( wet, icy, snow, slush, etc. )</t>
  </si>
  <si>
    <t>Driving too fast for conditions; None; Not applicable</t>
  </si>
  <si>
    <t>Not on roadway ( also use for parked motor vehicle ); Southbound</t>
  </si>
  <si>
    <t>Light truck (2 axles, 4 tires); Tractor/semi-trailer</t>
  </si>
  <si>
    <t>Not reported, Parked motor vehicle</t>
  </si>
  <si>
    <t>Parked motor vehicle</t>
  </si>
  <si>
    <t>Parked motor vehicle, Ran off road right</t>
  </si>
  <si>
    <t>Parked, Straight ahead</t>
  </si>
  <si>
    <t>Exhaust</t>
  </si>
  <si>
    <t>Running off road; Swerving or avoiding due to wind, slippery surface, vehicle, object, non-motorist, etc.</t>
  </si>
  <si>
    <t>Cargo van - GVWR 10,000 lbs or less</t>
  </si>
  <si>
    <t>10; 45</t>
  </si>
  <si>
    <t>0.00 BAC, 0.00 BAC</t>
  </si>
  <si>
    <t>Improper passing; None</t>
  </si>
  <si>
    <t>Driveway access</t>
  </si>
  <si>
    <t>Fence, Highway traffic sign post/sign, Ran off road left, Ran off road right</t>
  </si>
  <si>
    <t>Exceeded posted speed limit; None</t>
  </si>
  <si>
    <t>Helmet only</t>
  </si>
  <si>
    <t>Power train</t>
  </si>
  <si>
    <t>Test given, but unobtainable at time report filed</t>
  </si>
  <si>
    <t>Culvert, Overturn/rollover, Ran off road right, Separation of units</t>
  </si>
  <si>
    <t>Failure to keep in proper lane; Other</t>
  </si>
  <si>
    <t>Other post, pole, or support</t>
  </si>
  <si>
    <t>Fence, Other post, pole, or support, Ran off road right</t>
  </si>
  <si>
    <t>Single-unit truck (2 axle, 6 tires) GVWR 10,001 lbs or more</t>
  </si>
  <si>
    <t>Sleet, hail ( freezing rain or drizzle )</t>
  </si>
  <si>
    <t>Termination area ( after the activity area but before traffic resumes normal conditions )</t>
  </si>
  <si>
    <t>Intermittent or moving work</t>
  </si>
  <si>
    <t>0.00 BAC, 0.00 BAC, 0.00 BAC</t>
  </si>
  <si>
    <t>Work zone ( construction/maintenance/utility )</t>
  </si>
  <si>
    <t>Followed too closely; None</t>
  </si>
  <si>
    <t>Cargo van - GVWR 10,000 lbs or less; Light truck (2 axles, 4 tires); Single-unit truck (2 axle, 6 tires) GVWR 10,000 lbs or less</t>
  </si>
  <si>
    <t>Straight and hill crest</t>
  </si>
  <si>
    <t>Rear-end ( front to rear )</t>
  </si>
  <si>
    <t>Traffic control person</t>
  </si>
  <si>
    <t>Stopped in traffic lane, Straight ahead</t>
  </si>
  <si>
    <t>0.19 BAC, Not reported, Not reported</t>
  </si>
  <si>
    <t>DRIVERS LICENSE REVOKED, DUI</t>
  </si>
  <si>
    <t>Approach, Overturn/rollover, Ran off road right</t>
  </si>
  <si>
    <t>Truck pulling trailer(s) - GCWR 10,001 lbs or more</t>
  </si>
  <si>
    <t>Careless driving.</t>
  </si>
  <si>
    <t>Severe crosswinds</t>
  </si>
  <si>
    <t>Cross median/centerline, Highway traffic sign post/sign, Overturn/rollover, Ran off road left</t>
  </si>
  <si>
    <t>Ditch, Fence, Ran off road right</t>
  </si>
  <si>
    <t>WorkZoneLocation</t>
  </si>
  <si>
    <t>WorkZoneType</t>
  </si>
  <si>
    <t>EstSpeeds</t>
  </si>
  <si>
    <t>BAC</t>
  </si>
  <si>
    <t>VisionContribCirc</t>
  </si>
  <si>
    <t>VehContribCirc</t>
  </si>
  <si>
    <t>RoadContribCircum</t>
  </si>
  <si>
    <t>DriverContribCircum</t>
  </si>
  <si>
    <t>TravelDirection</t>
  </si>
  <si>
    <t>VehicleConfiguration</t>
  </si>
  <si>
    <t>Longitudevalue</t>
  </si>
  <si>
    <t>Latitudevalue</t>
  </si>
  <si>
    <t>Illness</t>
  </si>
  <si>
    <t>Distract</t>
  </si>
  <si>
    <t>Fatigue</t>
  </si>
  <si>
    <t>OverCrct</t>
  </si>
  <si>
    <t>Weather</t>
  </si>
  <si>
    <t>AlignmentDesc</t>
  </si>
  <si>
    <t>DivUndivided</t>
  </si>
  <si>
    <t>FuncClass</t>
  </si>
  <si>
    <t>HwyClassDesc</t>
  </si>
  <si>
    <t>Junction</t>
  </si>
  <si>
    <t>LightCondition</t>
  </si>
  <si>
    <t>RoadSurfaceCondition</t>
  </si>
  <si>
    <t>LocSpeedLimitNbr</t>
  </si>
  <si>
    <t>MannerOfCollision</t>
  </si>
  <si>
    <t>InjurySeverity</t>
  </si>
  <si>
    <t>AlcoholUse</t>
  </si>
  <si>
    <t>Drug</t>
  </si>
  <si>
    <t>AccYear</t>
  </si>
  <si>
    <t>Motorcyle</t>
  </si>
  <si>
    <t>TraffDevice</t>
  </si>
  <si>
    <t>MHEvnts</t>
  </si>
  <si>
    <t>FirstHarmfulEvent</t>
  </si>
  <si>
    <t>RoadCondDesc</t>
  </si>
  <si>
    <t>Evnts</t>
  </si>
  <si>
    <t>PrimaryHwyNbr</t>
  </si>
  <si>
    <t>IsWildAnimalHitInd</t>
  </si>
  <si>
    <t>VehicleManeuver</t>
  </si>
  <si>
    <t>SafetyEquip</t>
  </si>
  <si>
    <t>Citation</t>
  </si>
  <si>
    <t>PedOrCycle</t>
  </si>
  <si>
    <t>County</t>
  </si>
  <si>
    <t>AccidentDateTime</t>
  </si>
  <si>
    <t>AccidentNbr</t>
  </si>
  <si>
    <t>OID_</t>
  </si>
  <si>
    <t>Project Component</t>
  </si>
  <si>
    <t>Service Life</t>
  </si>
  <si>
    <t>End Year of Benefit</t>
  </si>
  <si>
    <t>% Life Remaining</t>
  </si>
  <si>
    <t>Roadway</t>
  </si>
  <si>
    <t>Table 3 - Assumed Distribution of Project Costs - RCV</t>
  </si>
  <si>
    <t>Bridge Structures</t>
  </si>
  <si>
    <t>Table 5 - Service Life and RCV Assumptions</t>
  </si>
  <si>
    <t>Total:</t>
  </si>
  <si>
    <t xml:space="preserve">Note: Service life is </t>
  </si>
  <si>
    <t>Posted Speed Limit</t>
  </si>
  <si>
    <t>No Build VHT</t>
  </si>
  <si>
    <t>No Build VHT Cost</t>
  </si>
  <si>
    <t>Build VHT</t>
  </si>
  <si>
    <t>Build VHT Cost</t>
  </si>
  <si>
    <t>Table 4 - AADT</t>
  </si>
  <si>
    <t>Table 5 - Aggregate per-hour Travel Time Cost by Mode</t>
  </si>
  <si>
    <t>Table 6 - Posted Speed Limit</t>
  </si>
  <si>
    <t>Table 7 - Total VHT</t>
  </si>
  <si>
    <t>Improvement</t>
  </si>
  <si>
    <t>Source 1</t>
  </si>
  <si>
    <t>https://www.cmfclearinghouse.org/detail.php?facid=6946</t>
  </si>
  <si>
    <t>K/A/B/C</t>
  </si>
  <si>
    <t>A/B/C/PD</t>
  </si>
  <si>
    <t>Table 1 - Corridor Wide AADT and Calculation of Middle Year AADT</t>
  </si>
  <si>
    <t>Table 2 - Crash Cost Assumptions</t>
  </si>
  <si>
    <t>Table 3 - Existing 10-Year Crash History on New Underwood Road (2013-2022)</t>
  </si>
  <si>
    <t>Table 5 - Annualized Crash Data</t>
  </si>
  <si>
    <t>Table 6 - No Build Crashes by Severity Crash Costs</t>
  </si>
  <si>
    <t>Total Crash Cost</t>
  </si>
  <si>
    <t>Resurface Pavement</t>
  </si>
  <si>
    <t>https://www.cmfclearinghouse.org/detail.php?facid=2976</t>
  </si>
  <si>
    <t>Figure 1 - New Underwood Road Project Area</t>
  </si>
  <si>
    <t>Severity</t>
  </si>
  <si>
    <t>Count of Severity</t>
  </si>
  <si>
    <t>Table 4 - Build CMFs: New Underwood Road</t>
  </si>
  <si>
    <t>K/A</t>
  </si>
  <si>
    <t>SAFETY - CRASH SAVINGS ON NEW UNDERWOOD ROAD</t>
  </si>
  <si>
    <t>Table 1 - Assumed Year in Pavement Life Cycle</t>
  </si>
  <si>
    <t>No Build Year</t>
  </si>
  <si>
    <t>Table 3 - Inflation Factor</t>
  </si>
  <si>
    <t>Build Year</t>
  </si>
  <si>
    <t xml:space="preserve">Cost </t>
  </si>
  <si>
    <t>Number of Lanes</t>
  </si>
  <si>
    <t>Table 2 - Corridor Wide Build O&amp;M + Rehab Costs</t>
  </si>
  <si>
    <t>Table 1 - No-Build O&amp;M + Rehab Costs</t>
  </si>
  <si>
    <t>Convert (2016 $ to 2021 $)</t>
  </si>
  <si>
    <t>Safety Improvements</t>
  </si>
  <si>
    <t>Service life assumptions of project components were obtained through coordination with SDDOT. In determining the remaining capital value of the Build Alternative, project components were assumed to have a linear depreciation from the time each phase was completed to the end of the benefit-cost analysis period. The remaining capital value quantities were discounted and attributed to other project benefits for the Build Alternative.</t>
  </si>
  <si>
    <t>Source (page 45):</t>
  </si>
  <si>
    <t>Per-mile operating costs associated with additional impacts of pavement roughness were derived using values from NCHRP Report 720 - "Estimating the Effects of Pavement Condition on Vehicle Operating Costs"; Table 7-5 (see calculations to the right). Current and future pavement roughness under the No Build scenario was assumed to fall in the bottom two categories (used an average of 5-6 in Table 7-5) based on current pavement condition and the expectation that pavement were further deteriorate if left unmaintained.</t>
  </si>
  <si>
    <t>The corridor-wide truck percentage used in the analysis was estimated at 14 percent and is based on 2022 AADT and heavy vehicle percentages obtained from the SDDOT Data Needs Book on the adjacent roadway I-90.</t>
  </si>
  <si>
    <t>This analysis assumed that the Build Alternative would be constructed and both segments completed and first year of full project benefits begin in year 2038. Initial capital costs: Capital costs were expected to be incurred in years: 2025, 2032, 2033, 2036 and 2037.</t>
  </si>
  <si>
    <t>Value of time and cost of crashes were obtained from the Benefit Cost Analysis Guidance for Discretionary Grant Programs, dated January 2023.  The analysis was completed using an assumed discount rate of seven percent.</t>
  </si>
  <si>
    <t>Due to poor pavement condition, this analysis assumes a reduction in posted speed limit along the project corridor. The No Build Alternative assumes the existing posted speed limit of 55 mph is reduced to 45 mph along the entire project segment of New Underwood Road beginning in  Year 2032. Throughout the duration of the 20-year analysis period, the No Build Alternative assumes roadway users will continue to have the same trip origins, trip destinations and travel routes as in the existing condition.
Due to the rural nature of the project area, few alternative routes for motorists in the region are  available. If New Underwood Road is not improved, additional user delay is anticipated. Additional vehicle operating costs are also anticipated are due to poor pavement condition.</t>
  </si>
  <si>
    <t>Safety analysis made use of 10-years of crash data along the New Underwood Road project segment form Years 2013-2022 and was obtained from SDDOT. Crash data was annualized to determine average annual crash costs and average annual number of crashes by severity associated with the No Build Alternative and the Build Alternative.</t>
  </si>
  <si>
    <t>Annual crash costs and crashes by severity for years 2038 to 2057 were calculated by multiplying the base year crashes by the percent change in annual AADT between the base year (year 2017 being the center of the crash analysis period). Crash cost assumptions for the KABCO scale are consistent with values and methodologies published in the Benefit Cost Analysis Guidance for Discretionary Grant Programs, dated January 2023.</t>
  </si>
  <si>
    <t>Because some components of the initial capital costs have service lives well beyond the 20-year analysis period, the remaining capital value was calculated for the Build Alternative. This value was expressed in terms of 2021 dollars and was added to other project benefits in accordance with USDOT guidance. The assumed service life of most project components in the Build Alternative was 20 years while some structures had an assumed service life of 75 years. Year 2038 was used as the first year for calculation of project components remaining service life. Beginning in year 2038, all project components are determined to be “complete” and the total service life service life of all project components begin to diminish at this time.</t>
  </si>
  <si>
    <t>Table 4 - New Underwood Road Mainline Traffic Volume Data</t>
  </si>
  <si>
    <t>Description of Data Input</t>
  </si>
  <si>
    <t>Year 2038 was assumed to be the first full year that most benefits will be accrued from the entirety of the project. The analysis primarily focused on annual benefits for the twenty-year period from 2038 to 2057 , while some user costs were quantified during the construction phases.</t>
  </si>
  <si>
    <t>ECONOMIC COMPETITIVENESS - USER BENEFIT CALCULATION OF VEHICLE OPERATING COST ASSOCIATED WITH PAVEMENT ROUGHNESS</t>
  </si>
  <si>
    <t>The original construction date of the project  is assumed to be approximately year 1980. The true date is unknown and varies across the project corridor. This analysis assumes regular crack treatments to keep this segment of New Underwood in the minimal acceptable level of condition to carry traffic.</t>
  </si>
  <si>
    <t>Source 1 (Applicable Severity)</t>
  </si>
  <si>
    <t>Place Edge-line and Centerline Markings</t>
  </si>
  <si>
    <t xml:space="preserve">Reductions in crashes along the New Underwood Road corridor were estimated using crash modification factors (CMFs). CMFs for the identified roadway improvements were obtained from the CMF Clearinghouse database. The following CMFs were used in this analysis:
  -	  Install Centerline and Shoulder Rumble Strips 
  -	  Resurface Pavement 
  -	  Place Edge-line and Centerline Markings </t>
  </si>
  <si>
    <t>Table 8 - Annual Vehicle Miles Traveled by Vehicle Type and VOC Due to Pavement Roughness</t>
  </si>
  <si>
    <r>
      <t xml:space="preserve">Note: </t>
    </r>
    <r>
      <rPr>
        <sz val="11"/>
        <color theme="1"/>
        <rFont val="Calibri"/>
        <family val="2"/>
        <scheme val="minor"/>
      </rPr>
      <t>The assumed %HV used in this analysis is estimated at 50% of the observed heavy vehicle percentage available data for an adjacent roadway (I-90)</t>
    </r>
    <r>
      <rPr>
        <b/>
        <sz val="11"/>
        <color theme="1"/>
        <rFont val="Calibri"/>
        <family val="2"/>
        <scheme val="minor"/>
      </rPr>
      <t>.</t>
    </r>
  </si>
  <si>
    <t>The most significant capital costs are incurred in years 2032 and 2036 are assumed to be associated the resurfacing, reconstruction and construction of other safety improvements along the project segment of New Underwood Road.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</si>
</sst>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_);[Red]\(&quot;$&quot;#,##0\)"/>
    <numFmt numFmtId="44" formatCode="_(&quot;$&quot;* #,##0.00_);_(&quot;$&quot;* \(#,##0.00\);_(&quot;$&quot;* &quot;-&quot;??_);_(@_)"/>
    <numFmt numFmtId="43" formatCode="_(* #,##0.00_);_(* \(#,##0.00\);_(* &quot;-&quot;??_);_(@_)"/>
    <numFmt numFmtId="164" formatCode="&quot;$&quot;#,##0"/>
    <numFmt numFmtId="165" formatCode="&quot;$&quot;#,##0\ ;\(&quot;$&quot;#,##0\)"/>
    <numFmt numFmtId="166" formatCode="0.00000"/>
    <numFmt numFmtId="167" formatCode="#,##0_);\(#,##0_)"/>
    <numFmt numFmtId="168" formatCode="_(* #,##0_);_(* \(#,##0\);_(* &quot;-&quot;??_);_(@_)"/>
    <numFmt numFmtId="169" formatCode="&quot;$&quot;#,##0.00"/>
    <numFmt numFmtId="170" formatCode="0.0%"/>
    <numFmt numFmtId="171" formatCode="0.0"/>
    <numFmt numFmtId="172" formatCode="_(&quot;$&quot;* #,##0_);_(&quot;$&quot;* \(#,##0\);_(&quot;$&quot;* &quot;-&quot;??_);_(@_)"/>
    <numFmt numFmtId="173" formatCode="0.000"/>
    <numFmt numFmtId="174" formatCode="#,##0.0_);\(#,##0.0\)"/>
    <numFmt numFmtId="175" formatCode="0.000%"/>
  </numFmts>
  <fonts count="31" x14ac:knownFonts="1">
    <font>
      <sz val="11"/>
      <color theme="1"/>
      <name val="Calibri"/>
      <family val="2"/>
      <scheme val="minor"/>
    </font>
    <font>
      <sz val="11"/>
      <color theme="1"/>
      <name val="Calibri"/>
      <family val="2"/>
      <scheme val="minor"/>
    </font>
    <font>
      <sz val="9"/>
      <color theme="1"/>
      <name val="Calibri"/>
      <family val="2"/>
      <scheme val="minor"/>
    </font>
    <font>
      <b/>
      <sz val="11"/>
      <color theme="1"/>
      <name val="Calibri"/>
      <family val="2"/>
      <scheme val="minor"/>
    </font>
    <font>
      <sz val="11"/>
      <name val="Calibri"/>
      <family val="2"/>
      <scheme val="minor"/>
    </font>
    <font>
      <sz val="10"/>
      <name val="Arial"/>
      <family val="2"/>
    </font>
    <font>
      <sz val="11"/>
      <color theme="0" tint="-0.249977111117893"/>
      <name val="Calibri"/>
      <family val="2"/>
      <scheme val="minor"/>
    </font>
    <font>
      <sz val="11"/>
      <name val="Arial Narrow"/>
      <family val="2"/>
    </font>
    <font>
      <b/>
      <sz val="11"/>
      <name val="Calibri"/>
      <family val="2"/>
      <scheme val="minor"/>
    </font>
    <font>
      <b/>
      <sz val="18"/>
      <color theme="1"/>
      <name val="Calibri"/>
      <family val="2"/>
      <scheme val="minor"/>
    </font>
    <font>
      <b/>
      <sz val="11"/>
      <color rgb="FFFF0000"/>
      <name val="Calibri"/>
      <family val="2"/>
      <scheme val="minor"/>
    </font>
    <font>
      <u/>
      <sz val="11"/>
      <color theme="10"/>
      <name val="Calibri"/>
      <family val="2"/>
      <scheme val="minor"/>
    </font>
    <font>
      <sz val="11"/>
      <color theme="0" tint="-0.499984740745262"/>
      <name val="Calibri"/>
      <family val="2"/>
      <scheme val="minor"/>
    </font>
    <font>
      <sz val="10"/>
      <name val="Arial"/>
      <family val="2"/>
    </font>
    <font>
      <sz val="8"/>
      <name val="Calibri"/>
      <family val="2"/>
      <scheme val="minor"/>
    </font>
    <font>
      <u/>
      <sz val="10"/>
      <color indexed="12"/>
      <name val="Arial"/>
      <family val="2"/>
    </font>
    <font>
      <sz val="9"/>
      <color theme="0" tint="-0.34998626667073579"/>
      <name val="Calibri"/>
      <family val="2"/>
      <scheme val="minor"/>
    </font>
    <font>
      <sz val="9"/>
      <color theme="0" tint="-0.499984740745262"/>
      <name val="Calibri"/>
      <family val="2"/>
      <scheme val="minor"/>
    </font>
    <font>
      <sz val="11"/>
      <color theme="0" tint="-0.34998626667073579"/>
      <name val="Calibri"/>
      <family val="2"/>
      <scheme val="minor"/>
    </font>
    <font>
      <sz val="11"/>
      <color rgb="FFFF0000"/>
      <name val="Calibri"/>
      <family val="2"/>
      <scheme val="minor"/>
    </font>
    <font>
      <sz val="11"/>
      <color theme="0" tint="-0.14999847407452621"/>
      <name val="Calibri"/>
      <family val="2"/>
      <scheme val="minor"/>
    </font>
    <font>
      <b/>
      <u/>
      <sz val="11"/>
      <color theme="1"/>
      <name val="Calibri"/>
      <family val="2"/>
      <scheme val="minor"/>
    </font>
    <font>
      <sz val="11"/>
      <name val="Arial"/>
      <family val="2"/>
    </font>
    <font>
      <sz val="11"/>
      <color theme="0"/>
      <name val="Calibri"/>
      <family val="2"/>
      <scheme val="minor"/>
    </font>
    <font>
      <b/>
      <i/>
      <sz val="11"/>
      <name val="Calibri"/>
      <family val="2"/>
      <scheme val="minor"/>
    </font>
    <font>
      <i/>
      <sz val="11"/>
      <name val="Calibri"/>
      <family val="2"/>
      <scheme val="minor"/>
    </font>
    <font>
      <b/>
      <sz val="9"/>
      <color theme="1"/>
      <name val="Calibri"/>
      <family val="2"/>
      <scheme val="minor"/>
    </font>
    <font>
      <sz val="11"/>
      <color theme="5"/>
      <name val="Calibri"/>
      <family val="2"/>
      <scheme val="minor"/>
    </font>
    <font>
      <sz val="10"/>
      <color rgb="FF000000"/>
      <name val="Times New Roman"/>
      <family val="1"/>
    </font>
    <font>
      <sz val="10"/>
      <color rgb="FF000000"/>
      <name val="Times New Roman"/>
      <family val="1"/>
    </font>
    <font>
      <u/>
      <sz val="10"/>
      <color theme="10"/>
      <name val="Times New Roman"/>
      <family val="1"/>
    </font>
  </fonts>
  <fills count="8">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rgb="FFFFC000"/>
        <bgColor indexed="64"/>
      </patternFill>
    </fill>
    <fill>
      <patternFill patternType="solid">
        <fgColor theme="9" tint="0.79998168889431442"/>
        <bgColor indexed="64"/>
      </patternFill>
    </fill>
    <fill>
      <patternFill patternType="solid">
        <fgColor theme="0" tint="-4.9989318521683403E-2"/>
        <bgColor indexed="64"/>
      </patternFill>
    </fill>
  </fills>
  <borders count="66">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diagonal/>
    </border>
    <border>
      <left/>
      <right style="medium">
        <color indexed="64"/>
      </right>
      <top/>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s>
  <cellStyleXfs count="145">
    <xf numFmtId="0" fontId="0" fillId="0" borderId="0"/>
    <xf numFmtId="44"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3" fontId="5" fillId="0" borderId="0" applyFont="0" applyFill="0" applyBorder="0" applyAlignment="0" applyProtection="0"/>
    <xf numFmtId="165" fontId="5" fillId="0" borderId="0" applyFont="0" applyFill="0" applyBorder="0" applyAlignment="0" applyProtection="0"/>
    <xf numFmtId="0" fontId="5" fillId="0" borderId="0" applyFont="0" applyFill="0" applyBorder="0" applyAlignment="0" applyProtection="0"/>
    <xf numFmtId="2" fontId="5" fillId="0" borderId="0" applyFont="0" applyFill="0" applyBorder="0" applyAlignment="0" applyProtection="0"/>
    <xf numFmtId="0" fontId="1" fillId="0" borderId="0"/>
    <xf numFmtId="0" fontId="7" fillId="0" borderId="0"/>
    <xf numFmtId="9" fontId="1"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xf numFmtId="0" fontId="13" fillId="0" borderId="0"/>
    <xf numFmtId="0" fontId="15" fillId="0" borderId="0" applyNumberFormat="0" applyFill="0" applyBorder="0" applyAlignment="0" applyProtection="0">
      <alignment vertical="top"/>
      <protection locked="0"/>
    </xf>
    <xf numFmtId="0" fontId="28" fillId="0" borderId="0"/>
    <xf numFmtId="44" fontId="29" fillId="0" borderId="0" applyFont="0" applyFill="0" applyBorder="0" applyAlignment="0" applyProtection="0"/>
    <xf numFmtId="0" fontId="30" fillId="0" borderId="0" applyNumberFormat="0" applyFill="0" applyBorder="0" applyAlignment="0" applyProtection="0"/>
    <xf numFmtId="0" fontId="5" fillId="0" borderId="0"/>
  </cellStyleXfs>
  <cellXfs count="360">
    <xf numFmtId="0" fontId="0" fillId="0" borderId="0" xfId="0"/>
    <xf numFmtId="0" fontId="3" fillId="0" borderId="0" xfId="0" applyFont="1"/>
    <xf numFmtId="0" fontId="0" fillId="0" borderId="0" xfId="0" applyAlignment="1">
      <alignment horizontal="right"/>
    </xf>
    <xf numFmtId="0" fontId="0" fillId="0" borderId="0" xfId="0" applyAlignment="1">
      <alignment horizontal="center"/>
    </xf>
    <xf numFmtId="0" fontId="3" fillId="2" borderId="33" xfId="0" applyFont="1" applyFill="1" applyBorder="1"/>
    <xf numFmtId="0" fontId="3" fillId="2" borderId="32" xfId="0" applyFont="1" applyFill="1" applyBorder="1"/>
    <xf numFmtId="9" fontId="3" fillId="2" borderId="28" xfId="0" applyNumberFormat="1" applyFont="1" applyFill="1" applyBorder="1" applyAlignment="1">
      <alignment horizontal="center"/>
    </xf>
    <xf numFmtId="0" fontId="0" fillId="0" borderId="0" xfId="0" applyAlignment="1">
      <alignment vertical="top" wrapText="1"/>
    </xf>
    <xf numFmtId="0" fontId="9" fillId="0" borderId="0" xfId="0" applyFont="1"/>
    <xf numFmtId="0" fontId="10" fillId="0" borderId="0" xfId="0" applyFont="1" applyAlignment="1">
      <alignment horizontal="center"/>
    </xf>
    <xf numFmtId="0" fontId="4" fillId="0" borderId="0" xfId="0" applyFont="1" applyAlignment="1">
      <alignment horizontal="right"/>
    </xf>
    <xf numFmtId="0" fontId="8" fillId="0" borderId="0" xfId="0" applyFont="1" applyAlignment="1">
      <alignment horizontal="right"/>
    </xf>
    <xf numFmtId="0" fontId="4" fillId="0" borderId="0" xfId="2" applyFont="1" applyAlignment="1">
      <alignment horizontal="right"/>
    </xf>
    <xf numFmtId="0" fontId="4" fillId="0" borderId="0" xfId="2" applyFont="1" applyAlignment="1">
      <alignment vertical="top" wrapText="1"/>
    </xf>
    <xf numFmtId="0" fontId="0" fillId="0" borderId="0" xfId="0" applyAlignment="1">
      <alignment horizontal="left"/>
    </xf>
    <xf numFmtId="1" fontId="0" fillId="0" borderId="0" xfId="0" applyNumberFormat="1"/>
    <xf numFmtId="0" fontId="3" fillId="0" borderId="0" xfId="0" applyFont="1" applyAlignment="1">
      <alignment horizontal="right"/>
    </xf>
    <xf numFmtId="0" fontId="0" fillId="0" borderId="0" xfId="0" applyAlignment="1">
      <alignment wrapText="1"/>
    </xf>
    <xf numFmtId="0" fontId="3" fillId="0" borderId="23" xfId="0" applyFont="1" applyBorder="1" applyAlignment="1">
      <alignment horizontal="left"/>
    </xf>
    <xf numFmtId="6" fontId="0" fillId="0" borderId="0" xfId="0" applyNumberFormat="1"/>
    <xf numFmtId="0" fontId="3" fillId="2" borderId="45" xfId="0" applyFont="1" applyFill="1" applyBorder="1"/>
    <xf numFmtId="0" fontId="3" fillId="2" borderId="26" xfId="0" applyFont="1" applyFill="1" applyBorder="1"/>
    <xf numFmtId="0" fontId="0" fillId="0" borderId="22" xfId="0" applyBorder="1"/>
    <xf numFmtId="0" fontId="0" fillId="0" borderId="22" xfId="0" applyBorder="1" applyAlignment="1">
      <alignment horizontal="center"/>
    </xf>
    <xf numFmtId="0" fontId="0" fillId="0" borderId="22" xfId="0" applyBorder="1" applyAlignment="1">
      <alignment horizontal="left"/>
    </xf>
    <xf numFmtId="168" fontId="0" fillId="0" borderId="0" xfId="136" applyNumberFormat="1" applyFont="1" applyBorder="1"/>
    <xf numFmtId="168" fontId="0" fillId="0" borderId="0" xfId="0" applyNumberFormat="1"/>
    <xf numFmtId="0" fontId="0" fillId="0" borderId="22" xfId="0" applyBorder="1" applyAlignment="1">
      <alignment horizontal="center" vertical="center"/>
    </xf>
    <xf numFmtId="0" fontId="3" fillId="0" borderId="0" xfId="0" applyFont="1" applyAlignment="1">
      <alignment horizontal="left"/>
    </xf>
    <xf numFmtId="0" fontId="3" fillId="0" borderId="22" xfId="0" applyFont="1" applyBorder="1" applyAlignment="1">
      <alignment horizontal="center"/>
    </xf>
    <xf numFmtId="0" fontId="8" fillId="0" borderId="0" xfId="2" applyFont="1" applyAlignment="1">
      <alignment horizontal="left"/>
    </xf>
    <xf numFmtId="0" fontId="3" fillId="0" borderId="30" xfId="0" applyFont="1" applyBorder="1" applyAlignment="1">
      <alignment horizontal="right"/>
    </xf>
    <xf numFmtId="0" fontId="4" fillId="0" borderId="0" xfId="0" applyFont="1" applyAlignment="1">
      <alignment horizontal="left" vertical="top" wrapText="1"/>
    </xf>
    <xf numFmtId="0" fontId="4" fillId="0" borderId="0" xfId="0" applyFont="1" applyAlignment="1">
      <alignment vertical="top" wrapText="1"/>
    </xf>
    <xf numFmtId="164" fontId="16" fillId="0" borderId="0" xfId="0" applyNumberFormat="1" applyFont="1" applyAlignment="1">
      <alignment horizontal="center"/>
    </xf>
    <xf numFmtId="0" fontId="0" fillId="4" borderId="22" xfId="0" applyFill="1" applyBorder="1" applyAlignment="1">
      <alignment horizontal="center"/>
    </xf>
    <xf numFmtId="0" fontId="12" fillId="0" borderId="0" xfId="0" applyFont="1" applyAlignment="1">
      <alignment horizontal="center" vertical="top"/>
    </xf>
    <xf numFmtId="43" fontId="17" fillId="0" borderId="0" xfId="136" applyFont="1" applyAlignment="1">
      <alignment horizontal="right" vertical="center"/>
    </xf>
    <xf numFmtId="164" fontId="18" fillId="0" borderId="0" xfId="0" applyNumberFormat="1" applyFont="1" applyAlignment="1">
      <alignment horizontal="center"/>
    </xf>
    <xf numFmtId="0" fontId="18" fillId="0" borderId="0" xfId="0" applyFont="1" applyAlignment="1">
      <alignment horizontal="center"/>
    </xf>
    <xf numFmtId="2" fontId="3" fillId="0" borderId="46" xfId="0" applyNumberFormat="1" applyFont="1" applyBorder="1" applyAlignment="1">
      <alignment horizontal="center"/>
    </xf>
    <xf numFmtId="0" fontId="19" fillId="0" borderId="0" xfId="0" applyFont="1"/>
    <xf numFmtId="164" fontId="20" fillId="0" borderId="0" xfId="0" applyNumberFormat="1" applyFont="1"/>
    <xf numFmtId="169" fontId="0" fillId="0" borderId="0" xfId="0" applyNumberFormat="1" applyAlignment="1">
      <alignment horizontal="left"/>
    </xf>
    <xf numFmtId="0" fontId="3" fillId="0" borderId="22" xfId="0" applyFont="1" applyBorder="1"/>
    <xf numFmtId="0" fontId="0" fillId="0" borderId="7" xfId="0" applyBorder="1"/>
    <xf numFmtId="0" fontId="0" fillId="0" borderId="9" xfId="0" applyBorder="1"/>
    <xf numFmtId="0" fontId="0" fillId="0" borderId="5" xfId="0" applyBorder="1"/>
    <xf numFmtId="2" fontId="0" fillId="0" borderId="22" xfId="0" applyNumberFormat="1" applyBorder="1"/>
    <xf numFmtId="164" fontId="0" fillId="0" borderId="0" xfId="0" applyNumberFormat="1"/>
    <xf numFmtId="0" fontId="20" fillId="0" borderId="0" xfId="0" applyFont="1" applyAlignment="1">
      <alignment horizontal="right"/>
    </xf>
    <xf numFmtId="0" fontId="0" fillId="3" borderId="22" xfId="0" applyFill="1" applyBorder="1" applyAlignment="1">
      <alignment horizontal="center"/>
    </xf>
    <xf numFmtId="0" fontId="11" fillId="0" borderId="0" xfId="138"/>
    <xf numFmtId="0" fontId="0" fillId="0" borderId="48" xfId="0" applyBorder="1" applyAlignment="1">
      <alignment horizontal="center" vertical="center"/>
    </xf>
    <xf numFmtId="0" fontId="0" fillId="0" borderId="43" xfId="0" applyBorder="1" applyAlignment="1">
      <alignment horizontal="center" vertical="center"/>
    </xf>
    <xf numFmtId="0" fontId="0" fillId="0" borderId="1" xfId="0" applyBorder="1" applyAlignment="1">
      <alignment horizontal="center" vertical="center"/>
    </xf>
    <xf numFmtId="0" fontId="0" fillId="0" borderId="29" xfId="0" applyBorder="1" applyAlignment="1">
      <alignment horizontal="center" vertical="center"/>
    </xf>
    <xf numFmtId="0" fontId="0" fillId="0" borderId="16" xfId="0" applyBorder="1" applyAlignment="1">
      <alignment horizontal="center" vertical="center"/>
    </xf>
    <xf numFmtId="0" fontId="3" fillId="0" borderId="0" xfId="0" applyFont="1" applyAlignment="1">
      <alignment horizontal="center"/>
    </xf>
    <xf numFmtId="0" fontId="0" fillId="0" borderId="14" xfId="0" applyBorder="1" applyAlignment="1">
      <alignment horizontal="center"/>
    </xf>
    <xf numFmtId="0" fontId="0" fillId="0" borderId="15" xfId="0" applyBorder="1" applyAlignment="1">
      <alignment horizontal="center"/>
    </xf>
    <xf numFmtId="0" fontId="21" fillId="0" borderId="0" xfId="0" applyFont="1"/>
    <xf numFmtId="0" fontId="0" fillId="0" borderId="9" xfId="0" applyBorder="1" applyAlignment="1">
      <alignment horizontal="center"/>
    </xf>
    <xf numFmtId="0" fontId="0" fillId="0" borderId="5" xfId="0" applyBorder="1" applyAlignment="1">
      <alignment horizontal="center"/>
    </xf>
    <xf numFmtId="0" fontId="4" fillId="0" borderId="0" xfId="2" applyFont="1" applyAlignment="1">
      <alignment horizontal="left"/>
    </xf>
    <xf numFmtId="0" fontId="4" fillId="0" borderId="0" xfId="2" applyFont="1"/>
    <xf numFmtId="6" fontId="3" fillId="0" borderId="0" xfId="0" applyNumberFormat="1" applyFont="1"/>
    <xf numFmtId="0" fontId="0" fillId="0" borderId="7" xfId="0" applyBorder="1" applyAlignment="1">
      <alignment horizontal="center"/>
    </xf>
    <xf numFmtId="6" fontId="2" fillId="0" borderId="0" xfId="0" applyNumberFormat="1" applyFont="1"/>
    <xf numFmtId="2" fontId="0" fillId="4" borderId="22" xfId="137" applyNumberFormat="1" applyFont="1" applyFill="1" applyBorder="1" applyAlignment="1">
      <alignment horizontal="center"/>
    </xf>
    <xf numFmtId="0" fontId="4" fillId="0" borderId="22" xfId="0" applyFont="1" applyBorder="1" applyAlignment="1">
      <alignment horizontal="center"/>
    </xf>
    <xf numFmtId="44" fontId="0" fillId="0" borderId="0" xfId="1" applyFont="1" applyAlignment="1"/>
    <xf numFmtId="0" fontId="0" fillId="0" borderId="13" xfId="0" applyBorder="1" applyAlignment="1">
      <alignment horizontal="center" vertical="center" wrapText="1"/>
    </xf>
    <xf numFmtId="0" fontId="22" fillId="0" borderId="0" xfId="0" applyFont="1" applyAlignment="1">
      <alignment horizontal="right"/>
    </xf>
    <xf numFmtId="0" fontId="0" fillId="0" borderId="36" xfId="0" applyBorder="1" applyAlignment="1">
      <alignment horizontal="center"/>
    </xf>
    <xf numFmtId="0" fontId="0" fillId="0" borderId="22" xfId="0" applyBorder="1" applyAlignment="1">
      <alignment horizontal="right"/>
    </xf>
    <xf numFmtId="164" fontId="0" fillId="0" borderId="0" xfId="0" applyNumberFormat="1" applyAlignment="1">
      <alignment horizontal="center"/>
    </xf>
    <xf numFmtId="6" fontId="12" fillId="0" borderId="0" xfId="136" applyNumberFormat="1" applyFont="1" applyAlignment="1">
      <alignment horizontal="right" vertical="center"/>
    </xf>
    <xf numFmtId="0" fontId="0" fillId="0" borderId="0" xfId="0" applyAlignment="1">
      <alignment horizontal="center" vertical="center" wrapText="1"/>
    </xf>
    <xf numFmtId="0" fontId="3" fillId="0" borderId="0" xfId="0" applyFont="1" applyAlignment="1">
      <alignment horizontal="center" vertical="center" wrapText="1"/>
    </xf>
    <xf numFmtId="164" fontId="0" fillId="0" borderId="0" xfId="0" applyNumberFormat="1" applyAlignment="1">
      <alignment horizontal="center" vertical="center"/>
    </xf>
    <xf numFmtId="164" fontId="12" fillId="0" borderId="0" xfId="136" applyNumberFormat="1" applyFont="1" applyAlignment="1">
      <alignment horizontal="right" vertical="center"/>
    </xf>
    <xf numFmtId="164" fontId="0" fillId="0" borderId="22" xfId="0" applyNumberFormat="1" applyBorder="1" applyAlignment="1">
      <alignment horizontal="left"/>
    </xf>
    <xf numFmtId="6" fontId="0" fillId="0" borderId="44" xfId="0" applyNumberFormat="1" applyBorder="1" applyAlignment="1">
      <alignment horizontal="right"/>
    </xf>
    <xf numFmtId="6" fontId="0" fillId="0" borderId="19" xfId="0" applyNumberFormat="1" applyBorder="1" applyAlignment="1">
      <alignment horizontal="right"/>
    </xf>
    <xf numFmtId="6" fontId="0" fillId="0" borderId="42" xfId="0" applyNumberFormat="1" applyBorder="1" applyAlignment="1">
      <alignment horizontal="right"/>
    </xf>
    <xf numFmtId="6" fontId="0" fillId="0" borderId="49" xfId="0" applyNumberFormat="1" applyBorder="1" applyAlignment="1">
      <alignment horizontal="right"/>
    </xf>
    <xf numFmtId="6" fontId="0" fillId="0" borderId="20" xfId="0" applyNumberFormat="1" applyBorder="1" applyAlignment="1">
      <alignment horizontal="right"/>
    </xf>
    <xf numFmtId="6" fontId="0" fillId="0" borderId="26" xfId="0" applyNumberFormat="1" applyBorder="1" applyAlignment="1">
      <alignment horizontal="right"/>
    </xf>
    <xf numFmtId="6" fontId="0" fillId="0" borderId="0" xfId="0" applyNumberFormat="1" applyAlignment="1">
      <alignment horizontal="right"/>
    </xf>
    <xf numFmtId="164" fontId="0" fillId="0" borderId="35" xfId="0" applyNumberFormat="1" applyBorder="1" applyAlignment="1">
      <alignment horizontal="right"/>
    </xf>
    <xf numFmtId="164" fontId="0" fillId="0" borderId="44" xfId="0" applyNumberFormat="1" applyBorder="1" applyAlignment="1">
      <alignment horizontal="right"/>
    </xf>
    <xf numFmtId="164" fontId="0" fillId="0" borderId="19" xfId="0" applyNumberFormat="1" applyBorder="1" applyAlignment="1">
      <alignment horizontal="right"/>
    </xf>
    <xf numFmtId="164" fontId="0" fillId="0" borderId="17" xfId="0" applyNumberFormat="1" applyBorder="1" applyAlignment="1">
      <alignment horizontal="right"/>
    </xf>
    <xf numFmtId="164" fontId="0" fillId="0" borderId="49" xfId="0" applyNumberFormat="1" applyBorder="1" applyAlignment="1">
      <alignment horizontal="right"/>
    </xf>
    <xf numFmtId="164" fontId="0" fillId="0" borderId="20" xfId="0" applyNumberFormat="1" applyBorder="1" applyAlignment="1">
      <alignment horizontal="right"/>
    </xf>
    <xf numFmtId="6" fontId="0" fillId="0" borderId="50" xfId="0" applyNumberFormat="1" applyBorder="1" applyAlignment="1">
      <alignment horizontal="right"/>
    </xf>
    <xf numFmtId="6" fontId="0" fillId="0" borderId="18" xfId="0" applyNumberFormat="1" applyBorder="1" applyAlignment="1">
      <alignment horizontal="right"/>
    </xf>
    <xf numFmtId="6" fontId="0" fillId="0" borderId="25" xfId="0" applyNumberFormat="1" applyBorder="1" applyAlignment="1">
      <alignment horizontal="right"/>
    </xf>
    <xf numFmtId="164" fontId="0" fillId="0" borderId="13" xfId="0" applyNumberFormat="1" applyBorder="1"/>
    <xf numFmtId="6" fontId="0" fillId="0" borderId="33" xfId="0" applyNumberFormat="1" applyBorder="1"/>
    <xf numFmtId="6" fontId="0" fillId="0" borderId="36" xfId="0" applyNumberFormat="1" applyBorder="1"/>
    <xf numFmtId="164" fontId="0" fillId="0" borderId="14" xfId="0" applyNumberFormat="1" applyBorder="1"/>
    <xf numFmtId="6" fontId="0" fillId="0" borderId="7" xfId="0" applyNumberFormat="1" applyBorder="1"/>
    <xf numFmtId="6" fontId="0" fillId="0" borderId="14" xfId="0" applyNumberFormat="1" applyBorder="1"/>
    <xf numFmtId="164" fontId="0" fillId="0" borderId="15" xfId="0" applyNumberFormat="1" applyBorder="1"/>
    <xf numFmtId="6" fontId="0" fillId="0" borderId="9" xfId="0" applyNumberFormat="1" applyBorder="1"/>
    <xf numFmtId="6" fontId="0" fillId="0" borderId="15" xfId="0" applyNumberFormat="1" applyBorder="1"/>
    <xf numFmtId="6" fontId="0" fillId="0" borderId="37" xfId="0" applyNumberFormat="1" applyBorder="1"/>
    <xf numFmtId="37" fontId="0" fillId="0" borderId="34" xfId="136" applyNumberFormat="1" applyFont="1" applyFill="1" applyBorder="1" applyAlignment="1"/>
    <xf numFmtId="6" fontId="0" fillId="0" borderId="35" xfId="136" applyNumberFormat="1" applyFont="1" applyFill="1" applyBorder="1" applyAlignment="1"/>
    <xf numFmtId="6" fontId="0" fillId="0" borderId="6" xfId="136" applyNumberFormat="1" applyFont="1" applyFill="1" applyBorder="1" applyAlignment="1"/>
    <xf numFmtId="6" fontId="0" fillId="0" borderId="13" xfId="136" applyNumberFormat="1" applyFont="1" applyFill="1" applyBorder="1" applyAlignment="1"/>
    <xf numFmtId="37" fontId="0" fillId="0" borderId="42" xfId="136" applyNumberFormat="1" applyFont="1" applyFill="1" applyBorder="1" applyAlignment="1"/>
    <xf numFmtId="6" fontId="0" fillId="0" borderId="19" xfId="136" applyNumberFormat="1" applyFont="1" applyFill="1" applyBorder="1" applyAlignment="1"/>
    <xf numFmtId="6" fontId="0" fillId="0" borderId="8" xfId="136" applyNumberFormat="1" applyFont="1" applyFill="1" applyBorder="1" applyAlignment="1"/>
    <xf numFmtId="6" fontId="0" fillId="0" borderId="14" xfId="136" applyNumberFormat="1" applyFont="1" applyFill="1" applyBorder="1" applyAlignment="1"/>
    <xf numFmtId="37" fontId="0" fillId="0" borderId="26" xfId="136" applyNumberFormat="1" applyFont="1" applyFill="1" applyBorder="1" applyAlignment="1"/>
    <xf numFmtId="6" fontId="0" fillId="0" borderId="17" xfId="136" applyNumberFormat="1" applyFont="1" applyFill="1" applyBorder="1" applyAlignment="1"/>
    <xf numFmtId="6" fontId="0" fillId="0" borderId="20" xfId="136" applyNumberFormat="1" applyFont="1" applyFill="1" applyBorder="1" applyAlignment="1"/>
    <xf numFmtId="6" fontId="0" fillId="0" borderId="10" xfId="136" applyNumberFormat="1" applyFont="1" applyFill="1" applyBorder="1" applyAlignment="1"/>
    <xf numFmtId="6" fontId="0" fillId="0" borderId="15" xfId="136" applyNumberFormat="1" applyFont="1" applyFill="1" applyBorder="1" applyAlignment="1"/>
    <xf numFmtId="6" fontId="0" fillId="0" borderId="12" xfId="0" applyNumberFormat="1" applyBorder="1"/>
    <xf numFmtId="164" fontId="0" fillId="0" borderId="57" xfId="0" applyNumberFormat="1" applyBorder="1"/>
    <xf numFmtId="0" fontId="0" fillId="0" borderId="5" xfId="0" applyBorder="1" applyAlignment="1">
      <alignment horizontal="center" vertical="center" wrapText="1"/>
    </xf>
    <xf numFmtId="0" fontId="0" fillId="0" borderId="7" xfId="0" applyBorder="1" applyAlignment="1">
      <alignment horizontal="center" vertical="center" wrapText="1"/>
    </xf>
    <xf numFmtId="164" fontId="18" fillId="0" borderId="0" xfId="0" applyNumberFormat="1" applyFont="1" applyAlignment="1">
      <alignment horizontal="right"/>
    </xf>
    <xf numFmtId="1" fontId="0" fillId="0" borderId="0" xfId="0" applyNumberFormat="1" applyAlignment="1">
      <alignment horizontal="center"/>
    </xf>
    <xf numFmtId="164" fontId="6" fillId="0" borderId="0" xfId="0" applyNumberFormat="1" applyFont="1" applyAlignment="1">
      <alignment horizontal="center"/>
    </xf>
    <xf numFmtId="164" fontId="0" fillId="0" borderId="37" xfId="0" applyNumberFormat="1" applyBorder="1" applyAlignment="1">
      <alignment horizontal="center"/>
    </xf>
    <xf numFmtId="164" fontId="0" fillId="0" borderId="24" xfId="0" applyNumberFormat="1" applyBorder="1" applyAlignment="1">
      <alignment horizontal="center"/>
    </xf>
    <xf numFmtId="2" fontId="0" fillId="0" borderId="0" xfId="0" applyNumberFormat="1" applyAlignment="1">
      <alignment horizontal="center"/>
    </xf>
    <xf numFmtId="0" fontId="0" fillId="0" borderId="30" xfId="0" applyBorder="1"/>
    <xf numFmtId="164" fontId="0" fillId="2" borderId="35" xfId="0" applyNumberFormat="1" applyFill="1" applyBorder="1" applyAlignment="1">
      <alignment horizontal="center"/>
    </xf>
    <xf numFmtId="164" fontId="0" fillId="2" borderId="31" xfId="0" applyNumberFormat="1" applyFill="1" applyBorder="1" applyAlignment="1">
      <alignment horizontal="center"/>
    </xf>
    <xf numFmtId="164" fontId="0" fillId="0" borderId="20" xfId="0" applyNumberFormat="1" applyBorder="1" applyAlignment="1">
      <alignment horizontal="center"/>
    </xf>
    <xf numFmtId="0" fontId="10" fillId="0" borderId="0" xfId="2" applyFont="1"/>
    <xf numFmtId="0" fontId="4" fillId="0" borderId="22" xfId="2" applyFont="1" applyBorder="1" applyAlignment="1">
      <alignment horizontal="left" vertical="center"/>
    </xf>
    <xf numFmtId="0" fontId="4" fillId="0" borderId="0" xfId="2" applyFont="1" applyAlignment="1">
      <alignment horizontal="left" vertical="center"/>
    </xf>
    <xf numFmtId="0" fontId="8" fillId="0" borderId="0" xfId="2" applyFont="1" applyAlignment="1">
      <alignment horizontal="left" vertical="center"/>
    </xf>
    <xf numFmtId="166" fontId="4" fillId="0" borderId="0" xfId="2" applyNumberFormat="1" applyFont="1" applyAlignment="1">
      <alignment horizontal="left"/>
    </xf>
    <xf numFmtId="0" fontId="4" fillId="4" borderId="22" xfId="2" applyFont="1" applyFill="1" applyBorder="1" applyAlignment="1">
      <alignment horizontal="center" vertical="center"/>
    </xf>
    <xf numFmtId="10" fontId="4" fillId="0" borderId="0" xfId="2" applyNumberFormat="1" applyFont="1" applyAlignment="1">
      <alignment horizontal="center" vertical="center"/>
    </xf>
    <xf numFmtId="0" fontId="8" fillId="0" borderId="22" xfId="2" applyFont="1" applyBorder="1" applyAlignment="1">
      <alignment horizontal="center" vertical="center"/>
    </xf>
    <xf numFmtId="0" fontId="24" fillId="0" borderId="0" xfId="2" applyFont="1" applyAlignment="1">
      <alignment horizontal="left"/>
    </xf>
    <xf numFmtId="169" fontId="23" fillId="0" borderId="0" xfId="2" applyNumberFormat="1" applyFont="1" applyAlignment="1">
      <alignment horizontal="center" vertical="center"/>
    </xf>
    <xf numFmtId="0" fontId="4" fillId="0" borderId="0" xfId="2" applyFont="1" applyAlignment="1">
      <alignment horizontal="center" vertical="center"/>
    </xf>
    <xf numFmtId="0" fontId="8" fillId="0" borderId="0" xfId="0" applyFont="1" applyAlignment="1">
      <alignment horizontal="left"/>
    </xf>
    <xf numFmtId="167" fontId="25" fillId="0" borderId="0" xfId="2" applyNumberFormat="1" applyFont="1" applyAlignment="1">
      <alignment horizontal="left" vertical="center"/>
    </xf>
    <xf numFmtId="0" fontId="0" fillId="0" borderId="13" xfId="0" applyBorder="1" applyAlignment="1">
      <alignment horizontal="center"/>
    </xf>
    <xf numFmtId="6" fontId="0" fillId="0" borderId="34" xfId="0" applyNumberFormat="1" applyBorder="1" applyAlignment="1">
      <alignment horizontal="right"/>
    </xf>
    <xf numFmtId="6" fontId="0" fillId="0" borderId="35" xfId="0" applyNumberFormat="1" applyBorder="1" applyAlignment="1">
      <alignment horizontal="right"/>
    </xf>
    <xf numFmtId="0" fontId="19" fillId="0" borderId="0" xfId="0" applyFont="1" applyAlignment="1">
      <alignment vertical="top" wrapText="1"/>
    </xf>
    <xf numFmtId="0" fontId="19" fillId="0" borderId="0" xfId="0" applyFont="1" applyAlignment="1">
      <alignment horizontal="right"/>
    </xf>
    <xf numFmtId="0" fontId="4" fillId="3" borderId="22" xfId="0" applyFont="1" applyFill="1" applyBorder="1" applyAlignment="1">
      <alignment horizontal="center"/>
    </xf>
    <xf numFmtId="0" fontId="0" fillId="0" borderId="58" xfId="0" applyBorder="1"/>
    <xf numFmtId="1" fontId="0" fillId="0" borderId="22" xfId="0" applyNumberFormat="1" applyBorder="1" applyAlignment="1">
      <alignment horizontal="left"/>
    </xf>
    <xf numFmtId="0" fontId="0" fillId="0" borderId="57" xfId="0" applyBorder="1"/>
    <xf numFmtId="1" fontId="0" fillId="3" borderId="22" xfId="0" applyNumberFormat="1" applyFill="1" applyBorder="1" applyAlignment="1">
      <alignment horizontal="center"/>
    </xf>
    <xf numFmtId="164" fontId="0" fillId="4" borderId="22" xfId="0" applyNumberFormat="1" applyFill="1" applyBorder="1" applyAlignment="1">
      <alignment horizontal="center"/>
    </xf>
    <xf numFmtId="164" fontId="18" fillId="0" borderId="0" xfId="0" applyNumberFormat="1" applyFont="1"/>
    <xf numFmtId="168" fontId="0" fillId="3" borderId="22" xfId="136" applyNumberFormat="1" applyFont="1" applyFill="1" applyBorder="1" applyAlignment="1">
      <alignment horizontal="center"/>
    </xf>
    <xf numFmtId="0" fontId="2" fillId="0" borderId="0" xfId="0" applyFont="1"/>
    <xf numFmtId="2" fontId="4" fillId="4" borderId="22" xfId="2" applyNumberFormat="1" applyFont="1" applyFill="1" applyBorder="1" applyAlignment="1">
      <alignment horizontal="center" vertical="center"/>
    </xf>
    <xf numFmtId="0" fontId="4" fillId="3" borderId="22" xfId="2" applyFont="1" applyFill="1" applyBorder="1" applyAlignment="1">
      <alignment horizontal="center" vertical="center"/>
    </xf>
    <xf numFmtId="170" fontId="4" fillId="3" borderId="22" xfId="2" applyNumberFormat="1" applyFont="1" applyFill="1" applyBorder="1" applyAlignment="1">
      <alignment horizontal="center" vertical="center"/>
    </xf>
    <xf numFmtId="169" fontId="4" fillId="4" borderId="22" xfId="2" applyNumberFormat="1" applyFont="1" applyFill="1" applyBorder="1" applyAlignment="1">
      <alignment horizontal="center" vertical="center"/>
    </xf>
    <xf numFmtId="37" fontId="1" fillId="3" borderId="22" xfId="136" applyNumberFormat="1" applyFont="1" applyFill="1" applyBorder="1" applyAlignment="1">
      <alignment horizontal="center"/>
    </xf>
    <xf numFmtId="169" fontId="0" fillId="3" borderId="22" xfId="1" applyNumberFormat="1" applyFont="1" applyFill="1" applyBorder="1" applyAlignment="1">
      <alignment horizontal="center"/>
    </xf>
    <xf numFmtId="170" fontId="0" fillId="3" borderId="22" xfId="137" applyNumberFormat="1" applyFont="1" applyFill="1" applyBorder="1" applyAlignment="1">
      <alignment horizontal="center"/>
    </xf>
    <xf numFmtId="2" fontId="0" fillId="3" borderId="22" xfId="137" applyNumberFormat="1" applyFont="1" applyFill="1" applyBorder="1" applyAlignment="1">
      <alignment horizontal="center"/>
    </xf>
    <xf numFmtId="171" fontId="0" fillId="4" borderId="22" xfId="0" applyNumberFormat="1" applyFill="1" applyBorder="1" applyAlignment="1">
      <alignment horizontal="center"/>
    </xf>
    <xf numFmtId="168" fontId="0" fillId="3" borderId="25" xfId="136" applyNumberFormat="1" applyFont="1" applyFill="1" applyBorder="1"/>
    <xf numFmtId="168" fontId="0" fillId="3" borderId="40" xfId="136" applyNumberFormat="1" applyFont="1" applyFill="1" applyBorder="1"/>
    <xf numFmtId="168" fontId="0" fillId="3" borderId="38" xfId="136" applyNumberFormat="1" applyFont="1" applyFill="1" applyBorder="1"/>
    <xf numFmtId="172" fontId="0" fillId="3" borderId="18" xfId="1" applyNumberFormat="1" applyFont="1" applyFill="1" applyBorder="1"/>
    <xf numFmtId="168" fontId="0" fillId="3" borderId="42" xfId="136" applyNumberFormat="1" applyFont="1" applyFill="1" applyBorder="1"/>
    <xf numFmtId="168" fontId="0" fillId="3" borderId="22" xfId="136" applyNumberFormat="1" applyFont="1" applyFill="1" applyBorder="1"/>
    <xf numFmtId="168" fontId="0" fillId="3" borderId="21" xfId="136" applyNumberFormat="1" applyFont="1" applyFill="1" applyBorder="1"/>
    <xf numFmtId="172" fontId="0" fillId="3" borderId="19" xfId="1" applyNumberFormat="1" applyFont="1" applyFill="1" applyBorder="1"/>
    <xf numFmtId="168" fontId="0" fillId="3" borderId="26" xfId="136" applyNumberFormat="1" applyFont="1" applyFill="1" applyBorder="1"/>
    <xf numFmtId="168" fontId="0" fillId="3" borderId="41" xfId="136" applyNumberFormat="1" applyFont="1" applyFill="1" applyBorder="1"/>
    <xf numFmtId="168" fontId="0" fillId="3" borderId="47" xfId="136" applyNumberFormat="1" applyFont="1" applyFill="1" applyBorder="1"/>
    <xf numFmtId="172" fontId="0" fillId="3" borderId="20" xfId="1" applyNumberFormat="1" applyFont="1" applyFill="1" applyBorder="1"/>
    <xf numFmtId="6" fontId="0" fillId="0" borderId="23" xfId="0" applyNumberFormat="1" applyBorder="1" applyAlignment="1">
      <alignment horizontal="right" vertical="center" wrapText="1"/>
    </xf>
    <xf numFmtId="6" fontId="0" fillId="0" borderId="4" xfId="0" applyNumberFormat="1" applyBorder="1" applyAlignment="1">
      <alignment horizontal="right" vertical="center" wrapText="1"/>
    </xf>
    <xf numFmtId="164" fontId="0" fillId="0" borderId="13" xfId="0" applyNumberFormat="1" applyBorder="1" applyAlignment="1">
      <alignment horizontal="right"/>
    </xf>
    <xf numFmtId="164" fontId="0" fillId="0" borderId="51" xfId="0" applyNumberFormat="1" applyBorder="1" applyAlignment="1">
      <alignment horizontal="right"/>
    </xf>
    <xf numFmtId="164" fontId="0" fillId="0" borderId="36" xfId="0" applyNumberFormat="1" applyBorder="1" applyAlignment="1">
      <alignment horizontal="right"/>
    </xf>
    <xf numFmtId="164" fontId="0" fillId="0" borderId="52" xfId="0" applyNumberFormat="1" applyBorder="1" applyAlignment="1">
      <alignment horizontal="right"/>
    </xf>
    <xf numFmtId="164" fontId="0" fillId="0" borderId="14" xfId="0" applyNumberFormat="1" applyBorder="1" applyAlignment="1">
      <alignment horizontal="right"/>
    </xf>
    <xf numFmtId="164" fontId="0" fillId="0" borderId="53" xfId="0" applyNumberFormat="1" applyBorder="1" applyAlignment="1">
      <alignment horizontal="right"/>
    </xf>
    <xf numFmtId="6" fontId="3" fillId="0" borderId="0" xfId="0" applyNumberFormat="1" applyFont="1" applyAlignment="1">
      <alignment horizontal="right"/>
    </xf>
    <xf numFmtId="9" fontId="0" fillId="3" borderId="22" xfId="137" applyFont="1" applyFill="1" applyBorder="1" applyAlignment="1">
      <alignment horizontal="center"/>
    </xf>
    <xf numFmtId="2" fontId="0" fillId="4" borderId="22" xfId="0" applyNumberFormat="1" applyFill="1" applyBorder="1" applyAlignment="1">
      <alignment horizontal="center"/>
    </xf>
    <xf numFmtId="164" fontId="0" fillId="4" borderId="22" xfId="0" applyNumberFormat="1" applyFill="1" applyBorder="1"/>
    <xf numFmtId="164" fontId="0" fillId="3" borderId="22" xfId="0" applyNumberFormat="1" applyFill="1" applyBorder="1"/>
    <xf numFmtId="2" fontId="0" fillId="0" borderId="22" xfId="0" applyNumberFormat="1" applyBorder="1" applyAlignment="1">
      <alignment horizontal="center"/>
    </xf>
    <xf numFmtId="174" fontId="1" fillId="4" borderId="22" xfId="136" applyNumberFormat="1" applyFont="1" applyFill="1" applyBorder="1" applyAlignment="1">
      <alignment horizontal="center"/>
    </xf>
    <xf numFmtId="0" fontId="0" fillId="0" borderId="0" xfId="0" applyAlignment="1">
      <alignment vertical="center" wrapText="1"/>
    </xf>
    <xf numFmtId="173" fontId="0" fillId="4" borderId="22" xfId="0" applyNumberFormat="1" applyFill="1" applyBorder="1" applyAlignment="1">
      <alignment horizontal="center"/>
    </xf>
    <xf numFmtId="0" fontId="11" fillId="4" borderId="22" xfId="138" applyFill="1" applyBorder="1" applyAlignment="1"/>
    <xf numFmtId="0" fontId="3" fillId="0" borderId="22" xfId="0" applyFont="1" applyBorder="1" applyAlignment="1">
      <alignment horizontal="center" wrapText="1"/>
    </xf>
    <xf numFmtId="2" fontId="0" fillId="5" borderId="22" xfId="0" applyNumberFormat="1" applyFill="1" applyBorder="1"/>
    <xf numFmtId="44" fontId="0" fillId="0" borderId="22" xfId="1" applyFont="1" applyBorder="1" applyAlignment="1">
      <alignment horizontal="center"/>
    </xf>
    <xf numFmtId="0" fontId="0" fillId="0" borderId="54" xfId="0" applyBorder="1"/>
    <xf numFmtId="2" fontId="0" fillId="0" borderId="54" xfId="0" applyNumberFormat="1" applyBorder="1"/>
    <xf numFmtId="2" fontId="0" fillId="5" borderId="54" xfId="0" applyNumberFormat="1" applyFill="1" applyBorder="1"/>
    <xf numFmtId="2" fontId="0" fillId="0" borderId="54" xfId="0" applyNumberFormat="1" applyBorder="1" applyAlignment="1">
      <alignment horizontal="center"/>
    </xf>
    <xf numFmtId="44" fontId="0" fillId="0" borderId="54" xfId="1" applyFont="1" applyBorder="1" applyAlignment="1">
      <alignment horizontal="center"/>
    </xf>
    <xf numFmtId="0" fontId="0" fillId="0" borderId="0" xfId="0" applyAlignment="1">
      <alignment horizontal="center" vertical="center"/>
    </xf>
    <xf numFmtId="0" fontId="3" fillId="0" borderId="25" xfId="0" applyFont="1" applyBorder="1"/>
    <xf numFmtId="0" fontId="3" fillId="0" borderId="40" xfId="0" applyFont="1" applyBorder="1"/>
    <xf numFmtId="0" fontId="3" fillId="0" borderId="2" xfId="0" applyFont="1" applyBorder="1"/>
    <xf numFmtId="2" fontId="3" fillId="0" borderId="40" xfId="0" applyNumberFormat="1" applyFont="1" applyBorder="1"/>
    <xf numFmtId="2" fontId="3" fillId="5" borderId="40" xfId="0" applyNumberFormat="1" applyFont="1" applyFill="1" applyBorder="1"/>
    <xf numFmtId="2" fontId="3" fillId="0" borderId="40" xfId="0" applyNumberFormat="1" applyFont="1" applyBorder="1" applyAlignment="1">
      <alignment horizontal="center"/>
    </xf>
    <xf numFmtId="44" fontId="3" fillId="0" borderId="18" xfId="1" applyFont="1" applyBorder="1" applyAlignment="1">
      <alignment horizontal="center"/>
    </xf>
    <xf numFmtId="0" fontId="3" fillId="0" borderId="26" xfId="0" applyFont="1" applyBorder="1"/>
    <xf numFmtId="0" fontId="3" fillId="0" borderId="41" xfId="0" applyFont="1" applyBorder="1"/>
    <xf numFmtId="0" fontId="3" fillId="0" borderId="4" xfId="0" applyFont="1" applyBorder="1"/>
    <xf numFmtId="2" fontId="3" fillId="0" borderId="41" xfId="0" applyNumberFormat="1" applyFont="1" applyBorder="1"/>
    <xf numFmtId="2" fontId="3" fillId="5" borderId="41" xfId="0" applyNumberFormat="1" applyFont="1" applyFill="1" applyBorder="1"/>
    <xf numFmtId="2" fontId="3" fillId="0" borderId="41" xfId="0" applyNumberFormat="1" applyFont="1" applyBorder="1" applyAlignment="1">
      <alignment horizontal="center"/>
    </xf>
    <xf numFmtId="44" fontId="3" fillId="0" borderId="20" xfId="1" applyFont="1" applyBorder="1" applyAlignment="1">
      <alignment horizontal="center"/>
    </xf>
    <xf numFmtId="9" fontId="0" fillId="0" borderId="0" xfId="0" applyNumberFormat="1"/>
    <xf numFmtId="0" fontId="4" fillId="0" borderId="0" xfId="0" applyFont="1"/>
    <xf numFmtId="0" fontId="8" fillId="0" borderId="0" xfId="0" applyFont="1"/>
    <xf numFmtId="44" fontId="4" fillId="0" borderId="0" xfId="1" applyFont="1" applyFill="1"/>
    <xf numFmtId="164" fontId="0" fillId="0" borderId="0" xfId="0" applyNumberFormat="1" applyAlignment="1">
      <alignment horizontal="right"/>
    </xf>
    <xf numFmtId="0" fontId="0" fillId="6" borderId="22" xfId="0" applyFill="1" applyBorder="1" applyAlignment="1">
      <alignment horizontal="center"/>
    </xf>
    <xf numFmtId="168" fontId="0" fillId="6" borderId="22" xfId="136" applyNumberFormat="1" applyFont="1" applyFill="1" applyBorder="1"/>
    <xf numFmtId="44" fontId="3" fillId="0" borderId="0" xfId="1" applyFont="1"/>
    <xf numFmtId="38" fontId="2" fillId="0" borderId="12" xfId="0" applyNumberFormat="1" applyFont="1" applyBorder="1"/>
    <xf numFmtId="38" fontId="26" fillId="0" borderId="0" xfId="0" applyNumberFormat="1" applyFont="1" applyAlignment="1">
      <alignment horizontal="right"/>
    </xf>
    <xf numFmtId="37" fontId="2" fillId="0" borderId="0" xfId="0" applyNumberFormat="1" applyFont="1"/>
    <xf numFmtId="168" fontId="0" fillId="0" borderId="0" xfId="0" applyNumberFormat="1" applyAlignment="1">
      <alignment vertical="top" wrapText="1"/>
    </xf>
    <xf numFmtId="44" fontId="0" fillId="0" borderId="0" xfId="1" applyFont="1" applyFill="1" applyBorder="1"/>
    <xf numFmtId="168" fontId="0" fillId="0" borderId="0" xfId="0" applyNumberFormat="1" applyAlignment="1">
      <alignment horizontal="center"/>
    </xf>
    <xf numFmtId="169" fontId="0" fillId="7" borderId="22" xfId="1" applyNumberFormat="1" applyFont="1" applyFill="1" applyBorder="1" applyAlignment="1">
      <alignment horizontal="center"/>
    </xf>
    <xf numFmtId="2" fontId="0" fillId="7" borderId="22" xfId="137" applyNumberFormat="1" applyFont="1" applyFill="1" applyBorder="1" applyAlignment="1">
      <alignment horizontal="center"/>
    </xf>
    <xf numFmtId="0" fontId="27" fillId="0" borderId="0" xfId="0" applyFont="1" applyAlignment="1">
      <alignment horizontal="left"/>
    </xf>
    <xf numFmtId="9" fontId="0" fillId="7" borderId="22" xfId="137" applyFont="1" applyFill="1" applyBorder="1" applyAlignment="1">
      <alignment horizontal="center"/>
    </xf>
    <xf numFmtId="0" fontId="27" fillId="0" borderId="0" xfId="0" applyFont="1"/>
    <xf numFmtId="169" fontId="0" fillId="0" borderId="0" xfId="1" applyNumberFormat="1" applyFont="1" applyFill="1" applyBorder="1" applyAlignment="1">
      <alignment horizontal="center"/>
    </xf>
    <xf numFmtId="169" fontId="4" fillId="7" borderId="22" xfId="0" applyNumberFormat="1" applyFont="1" applyFill="1" applyBorder="1" applyAlignment="1">
      <alignment horizontal="center"/>
    </xf>
    <xf numFmtId="164" fontId="2" fillId="0" borderId="35" xfId="0" applyNumberFormat="1" applyFont="1" applyBorder="1" applyAlignment="1">
      <alignment horizontal="right"/>
    </xf>
    <xf numFmtId="175" fontId="0" fillId="0" borderId="22" xfId="137" applyNumberFormat="1" applyFont="1" applyBorder="1" applyAlignment="1">
      <alignment horizontal="center"/>
    </xf>
    <xf numFmtId="0" fontId="30" fillId="0" borderId="0" xfId="143" applyAlignment="1">
      <alignment horizontal="left" vertical="top"/>
    </xf>
    <xf numFmtId="0" fontId="0" fillId="0" borderId="0" xfId="0" pivotButton="1"/>
    <xf numFmtId="22" fontId="0" fillId="0" borderId="0" xfId="0" applyNumberFormat="1"/>
    <xf numFmtId="0" fontId="4" fillId="0" borderId="22" xfId="0" applyFont="1" applyBorder="1" applyAlignment="1">
      <alignment horizontal="center" vertical="center"/>
    </xf>
    <xf numFmtId="0" fontId="4" fillId="0" borderId="22" xfId="0" applyFont="1" applyBorder="1" applyAlignment="1">
      <alignment horizontal="left"/>
    </xf>
    <xf numFmtId="0" fontId="4" fillId="4" borderId="22" xfId="0" applyFont="1" applyFill="1" applyBorder="1" applyAlignment="1">
      <alignment horizontal="center"/>
    </xf>
    <xf numFmtId="170" fontId="4" fillId="0" borderId="22" xfId="137" applyNumberFormat="1" applyFont="1" applyFill="1" applyBorder="1" applyAlignment="1">
      <alignment horizontal="center"/>
    </xf>
    <xf numFmtId="164" fontId="4" fillId="3" borderId="22" xfId="0" applyNumberFormat="1" applyFont="1" applyFill="1" applyBorder="1" applyAlignment="1">
      <alignment horizontal="right"/>
    </xf>
    <xf numFmtId="9" fontId="0" fillId="0" borderId="22" xfId="137" applyFont="1" applyBorder="1" applyAlignment="1">
      <alignment horizontal="center"/>
    </xf>
    <xf numFmtId="0" fontId="0" fillId="0" borderId="59" xfId="0" applyBorder="1"/>
    <xf numFmtId="168" fontId="0" fillId="7" borderId="22" xfId="136" applyNumberFormat="1" applyFont="1" applyFill="1" applyBorder="1" applyAlignment="1">
      <alignment horizontal="center"/>
    </xf>
    <xf numFmtId="1" fontId="0" fillId="4" borderId="22" xfId="1" applyNumberFormat="1" applyFont="1" applyFill="1" applyBorder="1" applyAlignment="1">
      <alignment horizontal="center"/>
    </xf>
    <xf numFmtId="0" fontId="0" fillId="0" borderId="21" xfId="0" applyBorder="1"/>
    <xf numFmtId="0" fontId="2" fillId="0" borderId="33" xfId="0" applyFont="1" applyBorder="1" applyAlignment="1">
      <alignment horizontal="center"/>
    </xf>
    <xf numFmtId="0" fontId="2" fillId="0" borderId="7" xfId="0" applyFont="1" applyBorder="1" applyAlignment="1">
      <alignment horizontal="center"/>
    </xf>
    <xf numFmtId="0" fontId="2" fillId="0" borderId="9" xfId="0" applyFont="1" applyBorder="1" applyAlignment="1">
      <alignment horizontal="center"/>
    </xf>
    <xf numFmtId="168" fontId="2" fillId="0" borderId="42" xfId="136" applyNumberFormat="1" applyFont="1" applyBorder="1" applyAlignment="1">
      <alignment horizontal="center"/>
    </xf>
    <xf numFmtId="168" fontId="2" fillId="0" borderId="26" xfId="136" applyNumberFormat="1" applyFont="1" applyBorder="1" applyAlignment="1">
      <alignment horizontal="center"/>
    </xf>
    <xf numFmtId="168" fontId="2" fillId="0" borderId="34" xfId="136" applyNumberFormat="1" applyFont="1" applyBorder="1" applyAlignment="1">
      <alignment horizontal="center"/>
    </xf>
    <xf numFmtId="164" fontId="2" fillId="0" borderId="19" xfId="0" applyNumberFormat="1" applyFont="1" applyBorder="1" applyAlignment="1">
      <alignment horizontal="right"/>
    </xf>
    <xf numFmtId="164" fontId="2" fillId="0" borderId="20" xfId="0" applyNumberFormat="1" applyFont="1" applyBorder="1" applyAlignment="1">
      <alignment horizontal="right"/>
    </xf>
    <xf numFmtId="0" fontId="11" fillId="4" borderId="22" xfId="138" applyFill="1" applyBorder="1" applyAlignment="1">
      <alignment horizontal="left"/>
    </xf>
    <xf numFmtId="2" fontId="0" fillId="3" borderId="22" xfId="0" applyNumberFormat="1" applyFill="1" applyBorder="1" applyAlignment="1">
      <alignment horizontal="center" vertical="center"/>
    </xf>
    <xf numFmtId="0" fontId="0" fillId="3" borderId="22" xfId="0" applyFill="1" applyBorder="1" applyAlignment="1">
      <alignment horizontal="center" vertical="center"/>
    </xf>
    <xf numFmtId="6" fontId="0" fillId="0" borderId="57" xfId="0" applyNumberFormat="1" applyBorder="1"/>
    <xf numFmtId="1" fontId="0" fillId="0" borderId="22" xfId="0" applyNumberFormat="1" applyBorder="1" applyAlignment="1">
      <alignment horizontal="center"/>
    </xf>
    <xf numFmtId="0" fontId="3" fillId="0" borderId="22" xfId="0" applyFont="1" applyBorder="1" applyAlignment="1">
      <alignment horizontal="center" vertical="center"/>
    </xf>
    <xf numFmtId="168" fontId="1" fillId="3" borderId="22" xfId="136" applyNumberFormat="1" applyFont="1" applyFill="1" applyBorder="1" applyAlignment="1">
      <alignment horizontal="center"/>
    </xf>
    <xf numFmtId="0" fontId="0" fillId="0" borderId="22" xfId="0" applyBorder="1" applyAlignment="1">
      <alignment horizontal="left" vertical="center" wrapText="1"/>
    </xf>
    <xf numFmtId="173" fontId="0" fillId="3" borderId="22" xfId="0" applyNumberFormat="1" applyFill="1" applyBorder="1" applyAlignment="1">
      <alignment horizontal="center"/>
    </xf>
    <xf numFmtId="172" fontId="1" fillId="3" borderId="22" xfId="1" applyNumberFormat="1" applyFont="1" applyFill="1" applyBorder="1" applyAlignment="1">
      <alignment horizontal="center"/>
    </xf>
    <xf numFmtId="172" fontId="0" fillId="0" borderId="0" xfId="0" applyNumberFormat="1"/>
    <xf numFmtId="0" fontId="3" fillId="0" borderId="0" xfId="0" applyFont="1" applyAlignment="1">
      <alignment vertical="center"/>
    </xf>
    <xf numFmtId="164" fontId="0" fillId="0" borderId="22" xfId="0" applyNumberFormat="1" applyBorder="1" applyAlignment="1">
      <alignment horizontal="right"/>
    </xf>
    <xf numFmtId="0" fontId="3" fillId="0" borderId="24" xfId="0" applyFont="1" applyBorder="1" applyAlignment="1">
      <alignment horizontal="center" vertical="center" wrapText="1"/>
    </xf>
    <xf numFmtId="0" fontId="28" fillId="0" borderId="0" xfId="141" applyAlignment="1">
      <alignment horizontal="right" vertical="top"/>
    </xf>
    <xf numFmtId="164" fontId="0" fillId="3" borderId="22" xfId="0" applyNumberFormat="1" applyFill="1" applyBorder="1" applyAlignment="1">
      <alignment horizontal="right"/>
    </xf>
    <xf numFmtId="0" fontId="0" fillId="7" borderId="21" xfId="0" applyFill="1" applyBorder="1" applyAlignment="1">
      <alignment horizontal="center"/>
    </xf>
    <xf numFmtId="6" fontId="0" fillId="0" borderId="62" xfId="0" applyNumberFormat="1" applyBorder="1" applyAlignment="1">
      <alignment horizontal="right"/>
    </xf>
    <xf numFmtId="6" fontId="0" fillId="0" borderId="21" xfId="0" applyNumberFormat="1" applyBorder="1" applyAlignment="1">
      <alignment horizontal="right"/>
    </xf>
    <xf numFmtId="6" fontId="0" fillId="0" borderId="47" xfId="0" applyNumberFormat="1" applyBorder="1" applyAlignment="1">
      <alignment horizontal="right"/>
    </xf>
    <xf numFmtId="0" fontId="11" fillId="0" borderId="0" xfId="138" applyAlignment="1">
      <alignment horizontal="left" vertical="top"/>
    </xf>
    <xf numFmtId="0" fontId="0" fillId="0" borderId="33" xfId="0" applyBorder="1" applyAlignment="1">
      <alignment horizontal="center"/>
    </xf>
    <xf numFmtId="6" fontId="0" fillId="0" borderId="65" xfId="0" applyNumberFormat="1" applyBorder="1" applyAlignment="1">
      <alignment horizontal="right"/>
    </xf>
    <xf numFmtId="164" fontId="4" fillId="0" borderId="22" xfId="0" applyNumberFormat="1" applyFont="1" applyBorder="1" applyAlignment="1">
      <alignment horizontal="center"/>
    </xf>
    <xf numFmtId="0" fontId="4" fillId="0" borderId="0" xfId="0" applyFont="1" applyAlignment="1">
      <alignment horizontal="left" vertical="top" wrapText="1"/>
    </xf>
    <xf numFmtId="0" fontId="0" fillId="2" borderId="1" xfId="0" applyFill="1" applyBorder="1" applyAlignment="1">
      <alignment horizontal="center" vertical="center" wrapText="1"/>
    </xf>
    <xf numFmtId="0" fontId="0" fillId="2" borderId="3" xfId="0" applyFill="1" applyBorder="1" applyAlignment="1">
      <alignment horizontal="center" vertical="center" wrapText="1"/>
    </xf>
    <xf numFmtId="0" fontId="0" fillId="2" borderId="25" xfId="0" applyFill="1" applyBorder="1" applyAlignment="1">
      <alignment horizontal="center" vertical="center" wrapText="1"/>
    </xf>
    <xf numFmtId="0" fontId="0" fillId="2" borderId="26" xfId="0" applyFill="1" applyBorder="1" applyAlignment="1">
      <alignment horizontal="center" vertical="center" wrapText="1"/>
    </xf>
    <xf numFmtId="0" fontId="0" fillId="2" borderId="11" xfId="0" applyFill="1" applyBorder="1" applyAlignment="1">
      <alignment horizontal="center" vertical="center" wrapText="1"/>
    </xf>
    <xf numFmtId="0" fontId="0" fillId="2" borderId="12" xfId="0" applyFill="1" applyBorder="1" applyAlignment="1">
      <alignment horizontal="center" vertical="center" wrapText="1"/>
    </xf>
    <xf numFmtId="0" fontId="3" fillId="0" borderId="30"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39" xfId="0" applyFont="1" applyBorder="1" applyAlignment="1">
      <alignment horizontal="center" vertical="center" wrapText="1"/>
    </xf>
    <xf numFmtId="0" fontId="0" fillId="2" borderId="18" xfId="0" applyFill="1" applyBorder="1" applyAlignment="1">
      <alignment horizontal="center" vertical="center" wrapText="1"/>
    </xf>
    <xf numFmtId="0" fontId="0" fillId="2" borderId="20" xfId="0" applyFill="1" applyBorder="1" applyAlignment="1">
      <alignment horizontal="center" vertical="center" wrapText="1"/>
    </xf>
    <xf numFmtId="0" fontId="3" fillId="0" borderId="1" xfId="0" applyFont="1" applyBorder="1" applyAlignment="1">
      <alignment horizontal="center" vertical="center" wrapText="1"/>
    </xf>
    <xf numFmtId="0" fontId="3" fillId="0" borderId="55" xfId="0" applyFont="1" applyBorder="1" applyAlignment="1">
      <alignment horizontal="center" vertical="center" wrapText="1"/>
    </xf>
    <xf numFmtId="0" fontId="0" fillId="2" borderId="38" xfId="0" applyFill="1" applyBorder="1" applyAlignment="1">
      <alignment horizontal="center" vertical="center" wrapText="1"/>
    </xf>
    <xf numFmtId="0" fontId="0" fillId="2" borderId="47" xfId="0" applyFill="1" applyBorder="1" applyAlignment="1">
      <alignment horizontal="center" vertical="center" wrapText="1"/>
    </xf>
    <xf numFmtId="0" fontId="0" fillId="2" borderId="61" xfId="0" applyFill="1" applyBorder="1" applyAlignment="1">
      <alignment horizontal="center" vertical="center" wrapText="1"/>
    </xf>
    <xf numFmtId="0" fontId="0" fillId="2" borderId="60" xfId="0" applyFill="1" applyBorder="1" applyAlignment="1">
      <alignment horizontal="center" vertical="center" wrapText="1"/>
    </xf>
    <xf numFmtId="0" fontId="0" fillId="2" borderId="63" xfId="0" applyFill="1" applyBorder="1" applyAlignment="1">
      <alignment horizontal="center" vertical="center" wrapText="1"/>
    </xf>
    <xf numFmtId="0" fontId="0" fillId="2" borderId="64" xfId="0" applyFill="1" applyBorder="1" applyAlignment="1">
      <alignment horizontal="center" vertical="center" wrapText="1"/>
    </xf>
    <xf numFmtId="0" fontId="3" fillId="0" borderId="0" xfId="0" applyFont="1" applyAlignment="1">
      <alignment horizontal="left"/>
    </xf>
    <xf numFmtId="0" fontId="3" fillId="0" borderId="23" xfId="0" applyFont="1" applyBorder="1" applyAlignment="1">
      <alignment horizontal="left"/>
    </xf>
    <xf numFmtId="0" fontId="0" fillId="0" borderId="0" xfId="0" applyAlignment="1">
      <alignment horizontal="left" vertical="top" wrapText="1"/>
    </xf>
    <xf numFmtId="0" fontId="2" fillId="0" borderId="1" xfId="0" applyFont="1" applyBorder="1" applyAlignment="1">
      <alignment horizontal="center" vertical="center" wrapText="1"/>
    </xf>
    <xf numFmtId="0" fontId="2" fillId="0" borderId="3"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61" xfId="0" applyFont="1" applyBorder="1" applyAlignment="1">
      <alignment horizontal="center" vertical="center" wrapText="1"/>
    </xf>
    <xf numFmtId="0" fontId="2" fillId="0" borderId="60" xfId="0" applyFont="1" applyBorder="1" applyAlignment="1">
      <alignment horizontal="center" vertical="center" wrapText="1"/>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2" fillId="0" borderId="25" xfId="0" applyFont="1" applyBorder="1" applyAlignment="1">
      <alignment horizontal="center" vertical="center" wrapText="1"/>
    </xf>
    <xf numFmtId="0" fontId="2" fillId="0" borderId="26" xfId="0" applyFont="1" applyBorder="1" applyAlignment="1">
      <alignment horizontal="center" vertical="center" wrapText="1"/>
    </xf>
    <xf numFmtId="0" fontId="3" fillId="0" borderId="30" xfId="0" applyFont="1" applyBorder="1" applyAlignment="1">
      <alignment horizontal="center"/>
    </xf>
    <xf numFmtId="0" fontId="3" fillId="0" borderId="39" xfId="0" applyFont="1" applyBorder="1" applyAlignment="1">
      <alignment horizontal="center"/>
    </xf>
    <xf numFmtId="0" fontId="3" fillId="0" borderId="24" xfId="0" applyFont="1" applyBorder="1" applyAlignment="1">
      <alignment horizontal="center"/>
    </xf>
    <xf numFmtId="0" fontId="0" fillId="0" borderId="1" xfId="0" applyBorder="1" applyAlignment="1">
      <alignment horizontal="center" vertical="center" wrapText="1"/>
    </xf>
    <xf numFmtId="0" fontId="0" fillId="0" borderId="3" xfId="0" applyBorder="1" applyAlignment="1">
      <alignment horizontal="center" vertical="center" wrapText="1"/>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56" xfId="0" applyBorder="1" applyAlignment="1">
      <alignment horizontal="center" vertical="center" wrapText="1"/>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50" xfId="0" applyBorder="1" applyAlignment="1">
      <alignment horizontal="center" vertical="center" wrapText="1"/>
    </xf>
    <xf numFmtId="0" fontId="0" fillId="0" borderId="49" xfId="0" applyBorder="1" applyAlignment="1">
      <alignment horizontal="center" vertical="center" wrapText="1"/>
    </xf>
    <xf numFmtId="0" fontId="0" fillId="0" borderId="18" xfId="0" applyBorder="1" applyAlignment="1">
      <alignment horizontal="center" vertical="center" wrapText="1"/>
    </xf>
    <xf numFmtId="0" fontId="0" fillId="0" borderId="20" xfId="0" applyBorder="1" applyAlignment="1">
      <alignment horizontal="center"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55" xfId="0" applyFont="1" applyBorder="1" applyAlignment="1">
      <alignment horizontal="center" vertical="center"/>
    </xf>
    <xf numFmtId="0" fontId="0" fillId="0" borderId="29" xfId="0" applyBorder="1" applyAlignment="1">
      <alignment horizontal="center" vertical="center" wrapText="1"/>
    </xf>
    <xf numFmtId="0" fontId="0" fillId="0" borderId="27"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2" xfId="0" applyBorder="1" applyAlignment="1">
      <alignment horizontal="center" vertical="center" wrapText="1"/>
    </xf>
    <xf numFmtId="0" fontId="0" fillId="0" borderId="4" xfId="0" applyBorder="1" applyAlignment="1">
      <alignment horizontal="center" vertical="center" wrapText="1"/>
    </xf>
    <xf numFmtId="0" fontId="3" fillId="0" borderId="22" xfId="0" applyFont="1" applyBorder="1" applyAlignment="1">
      <alignment horizontal="center" wrapText="1"/>
    </xf>
    <xf numFmtId="0" fontId="0" fillId="0" borderId="22" xfId="0" applyBorder="1" applyAlignment="1">
      <alignment horizontal="center"/>
    </xf>
    <xf numFmtId="0" fontId="3" fillId="0" borderId="22" xfId="0" applyFont="1" applyBorder="1" applyAlignment="1">
      <alignment horizontal="center"/>
    </xf>
    <xf numFmtId="0" fontId="0" fillId="0" borderId="22" xfId="0" applyBorder="1" applyAlignment="1">
      <alignment horizontal="center" vertical="center"/>
    </xf>
    <xf numFmtId="0" fontId="0" fillId="4" borderId="22" xfId="0" applyFill="1" applyBorder="1" applyAlignment="1">
      <alignment horizontal="left"/>
    </xf>
    <xf numFmtId="0" fontId="4" fillId="3" borderId="22" xfId="0" applyFont="1" applyFill="1" applyBorder="1" applyAlignment="1">
      <alignment horizontal="left"/>
    </xf>
    <xf numFmtId="164" fontId="3" fillId="0" borderId="0" xfId="0" applyNumberFormat="1" applyFont="1"/>
  </cellXfs>
  <cellStyles count="145">
    <cellStyle name="Comma" xfId="136" builtinId="3"/>
    <cellStyle name="Comma 2" xfId="7" xr:uid="{00000000-0005-0000-0000-000001000000}"/>
    <cellStyle name="Comma 47 2" xfId="17" xr:uid="{00000000-0005-0000-0000-000002000000}"/>
    <cellStyle name="Comma 47 3" xfId="18" xr:uid="{00000000-0005-0000-0000-000003000000}"/>
    <cellStyle name="Comma 47 4" xfId="19" xr:uid="{00000000-0005-0000-0000-000004000000}"/>
    <cellStyle name="Comma0" xfId="8" xr:uid="{00000000-0005-0000-0000-000005000000}"/>
    <cellStyle name="Currency" xfId="1" builtinId="4"/>
    <cellStyle name="Currency 2" xfId="16" xr:uid="{00000000-0005-0000-0000-000007000000}"/>
    <cellStyle name="Currency 3" xfId="142" xr:uid="{008BD322-7650-4367-B09F-5CFE29FC48B3}"/>
    <cellStyle name="Currency0" xfId="9" xr:uid="{00000000-0005-0000-0000-000008000000}"/>
    <cellStyle name="Date" xfId="10" xr:uid="{00000000-0005-0000-0000-000009000000}"/>
    <cellStyle name="Fixed" xfId="11" xr:uid="{00000000-0005-0000-0000-00000A000000}"/>
    <cellStyle name="Hyperlink" xfId="138" builtinId="8"/>
    <cellStyle name="Hyperlink 2" xfId="140" xr:uid="{AD4A4CA1-0933-4496-9F39-DCD9244CC876}"/>
    <cellStyle name="Hyperlink 3" xfId="143" xr:uid="{9961F97A-8754-4AAE-B09E-B9FC12AAF8EB}"/>
    <cellStyle name="Normal" xfId="0" builtinId="0"/>
    <cellStyle name="Normal 11" xfId="20" xr:uid="{00000000-0005-0000-0000-00000D000000}"/>
    <cellStyle name="Normal 11 2" xfId="21" xr:uid="{00000000-0005-0000-0000-00000E000000}"/>
    <cellStyle name="Normal 11 3" xfId="22" xr:uid="{00000000-0005-0000-0000-00000F000000}"/>
    <cellStyle name="Normal 11 4" xfId="23" xr:uid="{00000000-0005-0000-0000-000010000000}"/>
    <cellStyle name="Normal 11 5" xfId="24" xr:uid="{00000000-0005-0000-0000-000011000000}"/>
    <cellStyle name="Normal 12" xfId="25" xr:uid="{00000000-0005-0000-0000-000012000000}"/>
    <cellStyle name="Normal 12 2" xfId="26" xr:uid="{00000000-0005-0000-0000-000013000000}"/>
    <cellStyle name="Normal 12 3" xfId="27" xr:uid="{00000000-0005-0000-0000-000014000000}"/>
    <cellStyle name="Normal 12 4" xfId="28" xr:uid="{00000000-0005-0000-0000-000015000000}"/>
    <cellStyle name="Normal 12 5" xfId="29" xr:uid="{00000000-0005-0000-0000-000016000000}"/>
    <cellStyle name="Normal 13" xfId="30" xr:uid="{00000000-0005-0000-0000-000017000000}"/>
    <cellStyle name="Normal 13 2" xfId="31" xr:uid="{00000000-0005-0000-0000-000018000000}"/>
    <cellStyle name="Normal 13 3" xfId="32" xr:uid="{00000000-0005-0000-0000-000019000000}"/>
    <cellStyle name="Normal 13 4" xfId="33" xr:uid="{00000000-0005-0000-0000-00001A000000}"/>
    <cellStyle name="Normal 13 5" xfId="34" xr:uid="{00000000-0005-0000-0000-00001B000000}"/>
    <cellStyle name="Normal 14" xfId="35" xr:uid="{00000000-0005-0000-0000-00001C000000}"/>
    <cellStyle name="Normal 14 2" xfId="36" xr:uid="{00000000-0005-0000-0000-00001D000000}"/>
    <cellStyle name="Normal 14 3" xfId="37" xr:uid="{00000000-0005-0000-0000-00001E000000}"/>
    <cellStyle name="Normal 14 4" xfId="38" xr:uid="{00000000-0005-0000-0000-00001F000000}"/>
    <cellStyle name="Normal 14 5" xfId="39" xr:uid="{00000000-0005-0000-0000-000020000000}"/>
    <cellStyle name="Normal 15" xfId="40" xr:uid="{00000000-0005-0000-0000-000021000000}"/>
    <cellStyle name="Normal 15 2" xfId="41" xr:uid="{00000000-0005-0000-0000-000022000000}"/>
    <cellStyle name="Normal 15 3" xfId="42" xr:uid="{00000000-0005-0000-0000-000023000000}"/>
    <cellStyle name="Normal 15 4" xfId="43" xr:uid="{00000000-0005-0000-0000-000024000000}"/>
    <cellStyle name="Normal 15 5" xfId="44" xr:uid="{00000000-0005-0000-0000-000025000000}"/>
    <cellStyle name="Normal 16" xfId="2" xr:uid="{00000000-0005-0000-0000-000026000000}"/>
    <cellStyle name="Normal 16 2" xfId="45" xr:uid="{00000000-0005-0000-0000-000027000000}"/>
    <cellStyle name="Normal 16 3" xfId="46" xr:uid="{00000000-0005-0000-0000-000028000000}"/>
    <cellStyle name="Normal 16 4" xfId="47" xr:uid="{00000000-0005-0000-0000-000029000000}"/>
    <cellStyle name="Normal 16 5" xfId="48" xr:uid="{00000000-0005-0000-0000-00002A000000}"/>
    <cellStyle name="Normal 17" xfId="4" xr:uid="{00000000-0005-0000-0000-00002B000000}"/>
    <cellStyle name="Normal 17 2" xfId="49" xr:uid="{00000000-0005-0000-0000-00002C000000}"/>
    <cellStyle name="Normal 17 3" xfId="50" xr:uid="{00000000-0005-0000-0000-00002D000000}"/>
    <cellStyle name="Normal 17 4" xfId="51" xr:uid="{00000000-0005-0000-0000-00002E000000}"/>
    <cellStyle name="Normal 17 5" xfId="52" xr:uid="{00000000-0005-0000-0000-00002F000000}"/>
    <cellStyle name="Normal 18" xfId="3" xr:uid="{00000000-0005-0000-0000-000030000000}"/>
    <cellStyle name="Normal 18 2" xfId="53" xr:uid="{00000000-0005-0000-0000-000031000000}"/>
    <cellStyle name="Normal 18 3" xfId="54" xr:uid="{00000000-0005-0000-0000-000032000000}"/>
    <cellStyle name="Normal 18 4" xfId="55" xr:uid="{00000000-0005-0000-0000-000033000000}"/>
    <cellStyle name="Normal 18 5" xfId="56" xr:uid="{00000000-0005-0000-0000-000034000000}"/>
    <cellStyle name="Normal 19" xfId="5" xr:uid="{00000000-0005-0000-0000-000035000000}"/>
    <cellStyle name="Normal 19 2" xfId="57" xr:uid="{00000000-0005-0000-0000-000036000000}"/>
    <cellStyle name="Normal 19 3" xfId="58" xr:uid="{00000000-0005-0000-0000-000037000000}"/>
    <cellStyle name="Normal 19 4" xfId="59" xr:uid="{00000000-0005-0000-0000-000038000000}"/>
    <cellStyle name="Normal 19 5" xfId="60" xr:uid="{00000000-0005-0000-0000-000039000000}"/>
    <cellStyle name="Normal 2" xfId="6" xr:uid="{00000000-0005-0000-0000-00003A000000}"/>
    <cellStyle name="Normal 2 2" xfId="61" xr:uid="{00000000-0005-0000-0000-00003B000000}"/>
    <cellStyle name="Normal 2 3" xfId="62" xr:uid="{00000000-0005-0000-0000-00003C000000}"/>
    <cellStyle name="Normal 2 4" xfId="63" xr:uid="{00000000-0005-0000-0000-00003D000000}"/>
    <cellStyle name="Normal 2 5" xfId="64" xr:uid="{00000000-0005-0000-0000-00003E000000}"/>
    <cellStyle name="Normal 20" xfId="65" xr:uid="{00000000-0005-0000-0000-00003F000000}"/>
    <cellStyle name="Normal 20 2" xfId="66" xr:uid="{00000000-0005-0000-0000-000040000000}"/>
    <cellStyle name="Normal 20 3" xfId="67" xr:uid="{00000000-0005-0000-0000-000041000000}"/>
    <cellStyle name="Normal 20 4" xfId="68" xr:uid="{00000000-0005-0000-0000-000042000000}"/>
    <cellStyle name="Normal 20 5" xfId="69" xr:uid="{00000000-0005-0000-0000-000043000000}"/>
    <cellStyle name="Normal 21" xfId="70" xr:uid="{00000000-0005-0000-0000-000044000000}"/>
    <cellStyle name="Normal 21 2" xfId="71" xr:uid="{00000000-0005-0000-0000-000045000000}"/>
    <cellStyle name="Normal 21 3" xfId="72" xr:uid="{00000000-0005-0000-0000-000046000000}"/>
    <cellStyle name="Normal 21 4" xfId="73" xr:uid="{00000000-0005-0000-0000-000047000000}"/>
    <cellStyle name="Normal 21 5" xfId="74" xr:uid="{00000000-0005-0000-0000-000048000000}"/>
    <cellStyle name="Normal 23" xfId="75" xr:uid="{00000000-0005-0000-0000-000049000000}"/>
    <cellStyle name="Normal 23 2" xfId="76" xr:uid="{00000000-0005-0000-0000-00004A000000}"/>
    <cellStyle name="Normal 23 3" xfId="77" xr:uid="{00000000-0005-0000-0000-00004B000000}"/>
    <cellStyle name="Normal 23 4" xfId="78" xr:uid="{00000000-0005-0000-0000-00004C000000}"/>
    <cellStyle name="Normal 23 5" xfId="79" xr:uid="{00000000-0005-0000-0000-00004D000000}"/>
    <cellStyle name="Normal 24" xfId="80" xr:uid="{00000000-0005-0000-0000-00004E000000}"/>
    <cellStyle name="Normal 24 2" xfId="81" xr:uid="{00000000-0005-0000-0000-00004F000000}"/>
    <cellStyle name="Normal 24 3" xfId="82" xr:uid="{00000000-0005-0000-0000-000050000000}"/>
    <cellStyle name="Normal 24 4" xfId="83" xr:uid="{00000000-0005-0000-0000-000051000000}"/>
    <cellStyle name="Normal 24 5" xfId="84" xr:uid="{00000000-0005-0000-0000-000052000000}"/>
    <cellStyle name="Normal 25" xfId="85" xr:uid="{00000000-0005-0000-0000-000053000000}"/>
    <cellStyle name="Normal 25 2" xfId="86" xr:uid="{00000000-0005-0000-0000-000054000000}"/>
    <cellStyle name="Normal 25 3" xfId="87" xr:uid="{00000000-0005-0000-0000-000055000000}"/>
    <cellStyle name="Normal 25 4" xfId="88" xr:uid="{00000000-0005-0000-0000-000056000000}"/>
    <cellStyle name="Normal 25 5" xfId="89" xr:uid="{00000000-0005-0000-0000-000057000000}"/>
    <cellStyle name="Normal 26" xfId="90" xr:uid="{00000000-0005-0000-0000-000058000000}"/>
    <cellStyle name="Normal 26 2" xfId="91" xr:uid="{00000000-0005-0000-0000-000059000000}"/>
    <cellStyle name="Normal 26 3" xfId="92" xr:uid="{00000000-0005-0000-0000-00005A000000}"/>
    <cellStyle name="Normal 26 4" xfId="93" xr:uid="{00000000-0005-0000-0000-00005B000000}"/>
    <cellStyle name="Normal 26 5" xfId="94" xr:uid="{00000000-0005-0000-0000-00005C000000}"/>
    <cellStyle name="Normal 27" xfId="95" xr:uid="{00000000-0005-0000-0000-00005D000000}"/>
    <cellStyle name="Normal 27 2" xfId="96" xr:uid="{00000000-0005-0000-0000-00005E000000}"/>
    <cellStyle name="Normal 27 3" xfId="97" xr:uid="{00000000-0005-0000-0000-00005F000000}"/>
    <cellStyle name="Normal 27 4" xfId="98" xr:uid="{00000000-0005-0000-0000-000060000000}"/>
    <cellStyle name="Normal 27 5" xfId="99" xr:uid="{00000000-0005-0000-0000-000061000000}"/>
    <cellStyle name="Normal 28 2" xfId="100" xr:uid="{00000000-0005-0000-0000-000062000000}"/>
    <cellStyle name="Normal 28 3" xfId="101" xr:uid="{00000000-0005-0000-0000-000063000000}"/>
    <cellStyle name="Normal 28 4" xfId="102" xr:uid="{00000000-0005-0000-0000-000064000000}"/>
    <cellStyle name="Normal 29" xfId="103" xr:uid="{00000000-0005-0000-0000-000065000000}"/>
    <cellStyle name="Normal 3" xfId="12" xr:uid="{00000000-0005-0000-0000-000066000000}"/>
    <cellStyle name="Normal 3 2" xfId="104" xr:uid="{00000000-0005-0000-0000-000067000000}"/>
    <cellStyle name="Normal 3 3" xfId="105" xr:uid="{00000000-0005-0000-0000-000068000000}"/>
    <cellStyle name="Normal 3 4" xfId="106" xr:uid="{00000000-0005-0000-0000-000069000000}"/>
    <cellStyle name="Normal 3 5" xfId="107" xr:uid="{00000000-0005-0000-0000-00006A000000}"/>
    <cellStyle name="Normal 30" xfId="108" xr:uid="{00000000-0005-0000-0000-00006B000000}"/>
    <cellStyle name="Normal 32" xfId="109" xr:uid="{00000000-0005-0000-0000-00006C000000}"/>
    <cellStyle name="Normal 4" xfId="13" xr:uid="{00000000-0005-0000-0000-00006D000000}"/>
    <cellStyle name="Normal 4 2" xfId="110" xr:uid="{00000000-0005-0000-0000-00006E000000}"/>
    <cellStyle name="Normal 4 3" xfId="111" xr:uid="{00000000-0005-0000-0000-00006F000000}"/>
    <cellStyle name="Normal 4 4" xfId="112" xr:uid="{00000000-0005-0000-0000-000070000000}"/>
    <cellStyle name="Normal 4 5" xfId="113" xr:uid="{00000000-0005-0000-0000-000071000000}"/>
    <cellStyle name="Normal 5" xfId="139" xr:uid="{800F61AB-3829-4A8A-A3A9-0D3639B5EA4F}"/>
    <cellStyle name="Normal 5 2" xfId="114" xr:uid="{00000000-0005-0000-0000-000072000000}"/>
    <cellStyle name="Normal 5 3" xfId="115" xr:uid="{00000000-0005-0000-0000-000073000000}"/>
    <cellStyle name="Normal 5 4" xfId="116" xr:uid="{00000000-0005-0000-0000-000074000000}"/>
    <cellStyle name="Normal 5 5" xfId="117" xr:uid="{00000000-0005-0000-0000-000075000000}"/>
    <cellStyle name="Normal 5_Safety Benefits" xfId="144" xr:uid="{8073B8F3-166F-4750-BCD8-FB87BC7D7F7E}"/>
    <cellStyle name="Normal 6" xfId="118" xr:uid="{00000000-0005-0000-0000-000076000000}"/>
    <cellStyle name="Normal 6 2" xfId="119" xr:uid="{00000000-0005-0000-0000-000077000000}"/>
    <cellStyle name="Normal 6 3" xfId="120" xr:uid="{00000000-0005-0000-0000-000078000000}"/>
    <cellStyle name="Normal 6 4" xfId="121" xr:uid="{00000000-0005-0000-0000-000079000000}"/>
    <cellStyle name="Normal 6 5" xfId="122" xr:uid="{00000000-0005-0000-0000-00007A000000}"/>
    <cellStyle name="Normal 7" xfId="141" xr:uid="{BD4C69DD-E18F-41B1-BE15-8BC90E286C3B}"/>
    <cellStyle name="Normal 7 2" xfId="123" xr:uid="{00000000-0005-0000-0000-00007B000000}"/>
    <cellStyle name="Normal 7 3" xfId="124" xr:uid="{00000000-0005-0000-0000-00007C000000}"/>
    <cellStyle name="Normal 7 4" xfId="125" xr:uid="{00000000-0005-0000-0000-00007D000000}"/>
    <cellStyle name="Normal 7 5" xfId="126" xr:uid="{00000000-0005-0000-0000-00007E000000}"/>
    <cellStyle name="Normal 8 2" xfId="127" xr:uid="{00000000-0005-0000-0000-00007F000000}"/>
    <cellStyle name="Normal 8 3" xfId="128" xr:uid="{00000000-0005-0000-0000-000080000000}"/>
    <cellStyle name="Normal 8 4" xfId="129" xr:uid="{00000000-0005-0000-0000-000081000000}"/>
    <cellStyle name="Normal 8 5" xfId="130" xr:uid="{00000000-0005-0000-0000-000082000000}"/>
    <cellStyle name="Normal 9" xfId="131" xr:uid="{00000000-0005-0000-0000-000083000000}"/>
    <cellStyle name="Normal 9 2" xfId="132" xr:uid="{00000000-0005-0000-0000-000084000000}"/>
    <cellStyle name="Normal 9 3" xfId="133" xr:uid="{00000000-0005-0000-0000-000085000000}"/>
    <cellStyle name="Normal 9 4" xfId="134" xr:uid="{00000000-0005-0000-0000-000086000000}"/>
    <cellStyle name="Normal 9 5" xfId="135" xr:uid="{00000000-0005-0000-0000-000087000000}"/>
    <cellStyle name="Percent" xfId="137" builtinId="5"/>
    <cellStyle name="Percent 2" xfId="14" xr:uid="{00000000-0005-0000-0000-000089000000}"/>
    <cellStyle name="Percent 3" xfId="15" xr:uid="{00000000-0005-0000-0000-00008A000000}"/>
  </cellStyles>
  <dxfs count="0"/>
  <tableStyles count="0" defaultTableStyle="TableStyleMedium2" defaultPivotStyle="PivotStyleLight16"/>
  <colors>
    <mruColors>
      <color rgb="FFF97B7B"/>
      <color rgb="FFFF9999"/>
      <color rgb="FFFF9933"/>
      <color rgb="FFF76F6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8</xdr:col>
      <xdr:colOff>410793</xdr:colOff>
      <xdr:row>33</xdr:row>
      <xdr:rowOff>179294</xdr:rowOff>
    </xdr:to>
    <xdr:pic>
      <xdr:nvPicPr>
        <xdr:cNvPr id="2" name="Picture 1" descr="A map of a neighborhood&#10;&#10;Description automatically generated">
          <a:extLst>
            <a:ext uri="{FF2B5EF4-FFF2-40B4-BE49-F238E27FC236}">
              <a16:creationId xmlns:a16="http://schemas.microsoft.com/office/drawing/2014/main" id="{C4A1B67E-1DCC-8E95-A83A-A4212782BB78}"/>
            </a:ext>
          </a:extLst>
        </xdr:cNvPr>
        <xdr:cNvPicPr>
          <a:picLocks noChangeAspect="1"/>
        </xdr:cNvPicPr>
      </xdr:nvPicPr>
      <xdr:blipFill rotWithShape="1">
        <a:blip xmlns:r="http://schemas.openxmlformats.org/officeDocument/2006/relationships" r:embed="rId1"/>
        <a:srcRect l="5660" t="3365" r="3762" b="10253"/>
        <a:stretch/>
      </xdr:blipFill>
      <xdr:spPr bwMode="auto">
        <a:xfrm>
          <a:off x="6488206" y="862853"/>
          <a:ext cx="4612999" cy="5692588"/>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111</xdr:row>
      <xdr:rowOff>176893</xdr:rowOff>
    </xdr:from>
    <xdr:to>
      <xdr:col>13</xdr:col>
      <xdr:colOff>230248</xdr:colOff>
      <xdr:row>150</xdr:row>
      <xdr:rowOff>66277</xdr:rowOff>
    </xdr:to>
    <xdr:pic>
      <xdr:nvPicPr>
        <xdr:cNvPr id="2" name="Picture 1">
          <a:extLst>
            <a:ext uri="{FF2B5EF4-FFF2-40B4-BE49-F238E27FC236}">
              <a16:creationId xmlns:a16="http://schemas.microsoft.com/office/drawing/2014/main" id="{543B0F8F-66AE-4E14-B8B0-18CDB7FF6666}"/>
            </a:ext>
          </a:extLst>
        </xdr:cNvPr>
        <xdr:cNvPicPr>
          <a:picLocks noChangeAspect="1"/>
        </xdr:cNvPicPr>
      </xdr:nvPicPr>
      <xdr:blipFill>
        <a:blip xmlns:r="http://schemas.openxmlformats.org/officeDocument/2006/relationships" r:embed="rId1"/>
        <a:stretch>
          <a:fillRect/>
        </a:stretch>
      </xdr:blipFill>
      <xdr:spPr>
        <a:xfrm>
          <a:off x="4490357" y="21322393"/>
          <a:ext cx="10149855" cy="7318884"/>
        </a:xfrm>
        <a:prstGeom prst="rect">
          <a:avLst/>
        </a:prstGeom>
        <a:ln w="19050">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0</xdr:colOff>
      <xdr:row>18</xdr:row>
      <xdr:rowOff>0</xdr:rowOff>
    </xdr:from>
    <xdr:ext cx="16642771" cy="8314286"/>
    <xdr:pic>
      <xdr:nvPicPr>
        <xdr:cNvPr id="2" name="Picture 1">
          <a:extLst>
            <a:ext uri="{FF2B5EF4-FFF2-40B4-BE49-F238E27FC236}">
              <a16:creationId xmlns:a16="http://schemas.microsoft.com/office/drawing/2014/main" id="{7B376BC2-C878-4D06-8C58-EBAE048F729E}"/>
            </a:ext>
          </a:extLst>
        </xdr:cNvPr>
        <xdr:cNvPicPr>
          <a:picLocks noChangeAspect="1"/>
        </xdr:cNvPicPr>
      </xdr:nvPicPr>
      <xdr:blipFill rotWithShape="1">
        <a:blip xmlns:r="http://schemas.openxmlformats.org/officeDocument/2006/relationships" r:embed="rId1"/>
        <a:srcRect l="1" r="5883"/>
        <a:stretch/>
      </xdr:blipFill>
      <xdr:spPr>
        <a:xfrm>
          <a:off x="1212273" y="3429000"/>
          <a:ext cx="16642771" cy="8314286"/>
        </a:xfrm>
        <a:prstGeom prst="rect">
          <a:avLst/>
        </a:prstGeom>
        <a:ln w="12700">
          <a:solidFill>
            <a:schemeClr val="tx1"/>
          </a:solid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20</xdr:col>
      <xdr:colOff>0</xdr:colOff>
      <xdr:row>3</xdr:row>
      <xdr:rowOff>0</xdr:rowOff>
    </xdr:from>
    <xdr:ext cx="7406496" cy="4997822"/>
    <xdr:pic>
      <xdr:nvPicPr>
        <xdr:cNvPr id="3" name="Picture 2">
          <a:extLst>
            <a:ext uri="{FF2B5EF4-FFF2-40B4-BE49-F238E27FC236}">
              <a16:creationId xmlns:a16="http://schemas.microsoft.com/office/drawing/2014/main" id="{CDFAB1B6-1E7E-4A3C-BAC7-3E2B5CAFC2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25625" y="381000"/>
          <a:ext cx="7406496" cy="499782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11</xdr:col>
      <xdr:colOff>530680</xdr:colOff>
      <xdr:row>9</xdr:row>
      <xdr:rowOff>27213</xdr:rowOff>
    </xdr:from>
    <xdr:to>
      <xdr:col>21</xdr:col>
      <xdr:colOff>124802</xdr:colOff>
      <xdr:row>22</xdr:row>
      <xdr:rowOff>108856</xdr:rowOff>
    </xdr:to>
    <xdr:pic>
      <xdr:nvPicPr>
        <xdr:cNvPr id="3" name="Picture 2">
          <a:extLst>
            <a:ext uri="{FF2B5EF4-FFF2-40B4-BE49-F238E27FC236}">
              <a16:creationId xmlns:a16="http://schemas.microsoft.com/office/drawing/2014/main" id="{45E2EE8E-FBE8-F1FA-0F89-EB6B00AF5D64}"/>
            </a:ext>
          </a:extLst>
        </xdr:cNvPr>
        <xdr:cNvPicPr>
          <a:picLocks noChangeAspect="1"/>
        </xdr:cNvPicPr>
      </xdr:nvPicPr>
      <xdr:blipFill>
        <a:blip xmlns:r="http://schemas.openxmlformats.org/officeDocument/2006/relationships" r:embed="rId1"/>
        <a:stretch>
          <a:fillRect/>
        </a:stretch>
      </xdr:blipFill>
      <xdr:spPr>
        <a:xfrm>
          <a:off x="7089323" y="1741713"/>
          <a:ext cx="5935051" cy="2558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SFS\Exposure%20Packet%20as%20of%20February%202003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WINNT\Loco%20Depr%20Fin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Trans/Grant%20Applications/2022%20Grants/RAISE/Dakota%20County/BCA/Dakota%20County%20BCA%20Workbook.xlsx"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file:///M:\Temp\Matt\BCA%20Workbook%20I%2041%20MPDG_BROKEN%20LINKS%20at1040.xlsx" TargetMode="External"/><Relationship Id="rId1" Type="http://schemas.openxmlformats.org/officeDocument/2006/relationships/externalLinkPath" Target="file:///M:\Temp\Matt\BCA%20Workbook%20I%2041%20MPDG_BROKEN%20LINKS%20at10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ONTROLLER\Plan\Debt1\Debt\Other\UAM_2750%20FY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N\MN%20-%20BNSF%20TIGER%202014\400-Technical\402%20BCA\New%20Analysis%20Network%20Grade%20Crossings\MGCAM12032009%20-%20Test42614_Staples1.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K:\Trans\Grant%20Applications\2022%20Grants\RAISE\SRST\BIA%203\Supporting%20Documentation\2_Benefit%20Cost%20Analysis\SRST%20BCA%20Workbook.xlsx" TargetMode="External"/><Relationship Id="rId1" Type="http://schemas.openxmlformats.org/officeDocument/2006/relationships/externalLinkPath" Target="/Trans/Grant%20Applications/2022%20Grants/RAISE/SRST/BIA%203/Supporting%20Documentation/2_Benefit%20Cost%20Analysis/SRST%20BCA%20Workbook.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Trans/Grant%20Applications/2020%20Grants/INFRA/TH%2010%20Rum%20River/BCA/Copy%20of%20TH%2010%20Rum%20River%20BCA%20Workbook_updated%20cost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Projects\09000\9320\TS\INFRA%20Grant\BCA%20Workbook%20-%20Bas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V:\CONTROLLER\AcctFin%20Report\Internal%20Rptg\CBS\2009\4th%20Quarter\CBS%20-%20Q4%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ONTROLLER\Property%20Accounting\Reporting%20&amp;%20Analysis\Annual%20Reports\2006\R-1\330\Diverted%20W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b145489\Local%20Settings\Temporary%20Internet%20Files\OLKB2\Purchase%20Accounting%20Run%20Off%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A-1 Portfolio Selling Costs"/>
      <sheetName val="A-2 Asset Disposition - Road"/>
      <sheetName val="A-2A Equipment Disposition"/>
      <sheetName val="A-2B Asset Disposition - Equip"/>
      <sheetName val="A-2B Equipment Disposition"/>
      <sheetName val="A-2C Amory South"/>
      <sheetName val="A-3 Star Lake Railroad"/>
      <sheetName val="A-4 At&amp;T Easement Refund"/>
      <sheetName val="A-5 Loco Overhal Accrual"/>
      <sheetName val="A-5a Overhaul Accrl"/>
      <sheetName val="A-6 CBM"/>
      <sheetName val="A-6a CBM Accounting Issues"/>
      <sheetName val="A-7 Depreciation Expense"/>
      <sheetName val="A-7a 2003 Depreciation"/>
      <sheetName val="A-8 Depr Rate Study"/>
      <sheetName val="A-7c Road Retirements"/>
      <sheetName val="A-7d Equip Retirements"/>
      <sheetName val="A-9 ARO"/>
      <sheetName val="A-10 Easement Sales"/>
      <sheetName val="A-11 Balance Sheet Recons"/>
      <sheetName val="A-11a Balance Sheet Recons"/>
      <sheetName val="DataValid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11">
          <cell r="B11">
            <v>2016</v>
          </cell>
          <cell r="C11">
            <v>11</v>
          </cell>
          <cell r="D11" t="str">
            <v>PROPERTY - PURCHASE ACCOUNTING ADJ</v>
          </cell>
          <cell r="E11" t="str">
            <v>JLN</v>
          </cell>
          <cell r="F11">
            <v>1475975340.6400001</v>
          </cell>
          <cell r="G11">
            <v>1475975340.6400001</v>
          </cell>
          <cell r="I11">
            <v>0</v>
          </cell>
          <cell r="J11" t="str">
            <v>Amortization Schedule</v>
          </cell>
        </row>
        <row r="12">
          <cell r="B12">
            <v>2150</v>
          </cell>
          <cell r="C12">
            <v>11</v>
          </cell>
          <cell r="D12" t="str">
            <v>CAPITALIZED LEASES - PASCO FUELING FACILITY</v>
          </cell>
          <cell r="E12" t="str">
            <v>LMH</v>
          </cell>
          <cell r="F12">
            <v>1159011</v>
          </cell>
          <cell r="G12">
            <v>1159011</v>
          </cell>
          <cell r="I12">
            <v>0</v>
          </cell>
          <cell r="J12" t="str">
            <v>No activity recorded until retirement; history.</v>
          </cell>
        </row>
        <row r="13">
          <cell r="B13">
            <v>2151</v>
          </cell>
          <cell r="C13">
            <v>11</v>
          </cell>
          <cell r="D13" t="str">
            <v>CAPITALIZED LEASES - EQUIPMENT</v>
          </cell>
          <cell r="E13" t="str">
            <v>LMH</v>
          </cell>
          <cell r="F13">
            <v>20643026.460000001</v>
          </cell>
          <cell r="G13">
            <v>20643026.460000001</v>
          </cell>
          <cell r="I13">
            <v>0</v>
          </cell>
          <cell r="J13" t="str">
            <v>No activity recorded until retirement; history.</v>
          </cell>
        </row>
        <row r="14">
          <cell r="B14">
            <v>2152</v>
          </cell>
          <cell r="C14">
            <v>11</v>
          </cell>
          <cell r="D14" t="str">
            <v>CAPITALIZED LEASES - BN DOCK</v>
          </cell>
          <cell r="E14" t="str">
            <v>JLN</v>
          </cell>
          <cell r="F14">
            <v>8400000</v>
          </cell>
          <cell r="G14">
            <v>8400000</v>
          </cell>
          <cell r="I14">
            <v>0</v>
          </cell>
          <cell r="J14" t="str">
            <v>Amortization Schedule</v>
          </cell>
        </row>
        <row r="15">
          <cell r="B15">
            <v>2153</v>
          </cell>
          <cell r="C15">
            <v>11</v>
          </cell>
          <cell r="D15" t="str">
            <v>CAPITALIZED LEASES - SIDLOADER</v>
          </cell>
          <cell r="E15" t="str">
            <v>HKL</v>
          </cell>
          <cell r="F15">
            <v>629303</v>
          </cell>
          <cell r="G15">
            <v>629303</v>
          </cell>
          <cell r="I15">
            <v>0</v>
          </cell>
          <cell r="J15" t="str">
            <v>Amortization Schedule</v>
          </cell>
        </row>
        <row r="16">
          <cell r="B16">
            <v>2154</v>
          </cell>
          <cell r="C16">
            <v>11</v>
          </cell>
          <cell r="D16" t="str">
            <v>CAPITALIZED LEASES - JOLIET ARSENAL</v>
          </cell>
          <cell r="E16" t="str">
            <v>LMH</v>
          </cell>
          <cell r="F16">
            <v>138231000</v>
          </cell>
          <cell r="G16">
            <v>138231000</v>
          </cell>
          <cell r="I16">
            <v>0</v>
          </cell>
          <cell r="J16" t="str">
            <v>Amortization Schedule</v>
          </cell>
        </row>
        <row r="17">
          <cell r="B17">
            <v>2165</v>
          </cell>
          <cell r="C17">
            <v>11</v>
          </cell>
          <cell r="D17" t="str">
            <v>CAPITALIZED LEASES - LOCOMOTIVES</v>
          </cell>
          <cell r="E17" t="str">
            <v>HKL</v>
          </cell>
          <cell r="F17">
            <v>1198965775</v>
          </cell>
          <cell r="G17">
            <v>1198965775</v>
          </cell>
          <cell r="I17">
            <v>0</v>
          </cell>
          <cell r="J17" t="str">
            <v>Mechanical's Forecast</v>
          </cell>
        </row>
        <row r="18">
          <cell r="B18" t="str">
            <v>2180</v>
          </cell>
          <cell r="C18">
            <v>11</v>
          </cell>
          <cell r="D18" t="str">
            <v>CAPITALIZATION OF INT ROAD</v>
          </cell>
          <cell r="E18" t="str">
            <v>JLN</v>
          </cell>
          <cell r="F18">
            <v>164570221.06</v>
          </cell>
          <cell r="G18">
            <v>164570221.06</v>
          </cell>
          <cell r="I18">
            <v>0</v>
          </cell>
          <cell r="J18" t="str">
            <v>Amortization Schedule</v>
          </cell>
        </row>
        <row r="19">
          <cell r="B19" t="str">
            <v>2181</v>
          </cell>
          <cell r="C19">
            <v>11</v>
          </cell>
          <cell r="D19" t="str">
            <v>CAPITALIZATION OF INT EQPM</v>
          </cell>
          <cell r="E19" t="str">
            <v>JLN</v>
          </cell>
          <cell r="F19">
            <v>4569684.6399999997</v>
          </cell>
          <cell r="G19">
            <v>4569684.6399999997</v>
          </cell>
          <cell r="I19">
            <v>0</v>
          </cell>
          <cell r="J19" t="str">
            <v>Amortization Schedule</v>
          </cell>
        </row>
        <row r="20">
          <cell r="B20" t="str">
            <v>2190</v>
          </cell>
          <cell r="C20">
            <v>11</v>
          </cell>
          <cell r="D20" t="str">
            <v>AMORT OF CAPITALIZED INT-RD</v>
          </cell>
          <cell r="E20" t="str">
            <v>JLN</v>
          </cell>
          <cell r="F20">
            <v>-47740887.450000003</v>
          </cell>
          <cell r="G20">
            <v>-47740887.450000003</v>
          </cell>
          <cell r="I20">
            <v>0</v>
          </cell>
          <cell r="J20" t="str">
            <v>Amortization Schedule</v>
          </cell>
        </row>
        <row r="21">
          <cell r="B21" t="str">
            <v>2191</v>
          </cell>
          <cell r="C21">
            <v>11</v>
          </cell>
          <cell r="D21" t="str">
            <v>AMORT OF CAPITALIZED INT -EQ</v>
          </cell>
          <cell r="E21" t="str">
            <v>JLN</v>
          </cell>
          <cell r="F21">
            <v>-3379385.94</v>
          </cell>
          <cell r="G21">
            <v>-3379385.94</v>
          </cell>
          <cell r="I21">
            <v>0</v>
          </cell>
          <cell r="J21" t="str">
            <v>Amortization Schedule</v>
          </cell>
        </row>
        <row r="22">
          <cell r="B22">
            <v>2329</v>
          </cell>
          <cell r="C22">
            <v>11</v>
          </cell>
          <cell r="D22" t="str">
            <v>DEPRECIATION - PURCHASE ACCTG ADJ</v>
          </cell>
          <cell r="E22" t="str">
            <v>JLN</v>
          </cell>
          <cell r="F22">
            <v>1301601706.1400001</v>
          </cell>
          <cell r="G22">
            <v>1301601706.1400001</v>
          </cell>
          <cell r="I22">
            <v>0</v>
          </cell>
          <cell r="J22" t="str">
            <v>Schedule</v>
          </cell>
        </row>
        <row r="23">
          <cell r="B23" t="str">
            <v>2650</v>
          </cell>
          <cell r="C23">
            <v>8</v>
          </cell>
          <cell r="D23" t="str">
            <v>OTHER TAX PLANNING INVESTMENTS</v>
          </cell>
          <cell r="E23" t="str">
            <v>LMH</v>
          </cell>
          <cell r="F23">
            <v>22906207.09</v>
          </cell>
          <cell r="G23">
            <v>22906207.09</v>
          </cell>
          <cell r="I23">
            <v>0</v>
          </cell>
          <cell r="J23" t="str">
            <v>Capital, Apex, Tax, and Property magt. Forecast</v>
          </cell>
        </row>
        <row r="24">
          <cell r="B24">
            <v>2651</v>
          </cell>
          <cell r="C24">
            <v>8</v>
          </cell>
          <cell r="D24" t="str">
            <v>LIKE-KIND EXCHANGE PROPERTIES</v>
          </cell>
          <cell r="E24" t="str">
            <v>LMH</v>
          </cell>
          <cell r="F24">
            <v>0</v>
          </cell>
          <cell r="G24">
            <v>0</v>
          </cell>
          <cell r="I24">
            <v>0</v>
          </cell>
          <cell r="J24" t="str">
            <v>History</v>
          </cell>
        </row>
        <row r="25">
          <cell r="B25">
            <v>2652</v>
          </cell>
          <cell r="C25">
            <v>8</v>
          </cell>
          <cell r="D25" t="str">
            <v>EQUIPMENT INVESTING ACTIVITY</v>
          </cell>
          <cell r="E25" t="str">
            <v>HKL</v>
          </cell>
          <cell r="F25">
            <v>168253.2</v>
          </cell>
          <cell r="G25">
            <v>168253.2</v>
          </cell>
          <cell r="I25">
            <v>0</v>
          </cell>
          <cell r="J25" t="str">
            <v>Financing schedules</v>
          </cell>
        </row>
        <row r="26">
          <cell r="B26">
            <v>2657</v>
          </cell>
          <cell r="C26">
            <v>8</v>
          </cell>
          <cell r="D26" t="str">
            <v>GE EQUIPMENT VOUCHERS</v>
          </cell>
          <cell r="E26" t="str">
            <v>HKL</v>
          </cell>
          <cell r="F26">
            <v>3701845</v>
          </cell>
          <cell r="G26">
            <v>3701845</v>
          </cell>
          <cell r="I26">
            <v>0</v>
          </cell>
          <cell r="J26" t="str">
            <v>Interest Schedule</v>
          </cell>
        </row>
        <row r="27">
          <cell r="B27">
            <v>2811</v>
          </cell>
          <cell r="C27">
            <v>9</v>
          </cell>
          <cell r="D27" t="str">
            <v>APEX ASSETS</v>
          </cell>
          <cell r="E27" t="str">
            <v>LMH</v>
          </cell>
          <cell r="F27">
            <v>18024796.41</v>
          </cell>
          <cell r="I27">
            <v>6583737</v>
          </cell>
          <cell r="J27" t="str">
            <v>Land reconciliation, APEX Summary, APEX Forecast</v>
          </cell>
        </row>
        <row r="28">
          <cell r="B28">
            <v>2902</v>
          </cell>
          <cell r="C28">
            <v>8</v>
          </cell>
          <cell r="D28" t="str">
            <v>OTHER EXPEND. ON NON-RAIL PROPERTY</v>
          </cell>
          <cell r="E28" t="str">
            <v>LMH</v>
          </cell>
          <cell r="F28">
            <v>39328559.509999998</v>
          </cell>
          <cell r="G28">
            <v>39328559.509999998</v>
          </cell>
          <cell r="I28">
            <v>0</v>
          </cell>
          <cell r="J28" t="str">
            <v>Schedule</v>
          </cell>
        </row>
        <row r="29">
          <cell r="B29">
            <v>2907</v>
          </cell>
          <cell r="C29">
            <v>9</v>
          </cell>
          <cell r="D29" t="str">
            <v>CAPITAL LEASE - ARGENTINE FLYOVER</v>
          </cell>
          <cell r="E29" t="str">
            <v>LMH</v>
          </cell>
          <cell r="F29">
            <v>15795289.48</v>
          </cell>
          <cell r="G29">
            <v>15795289.48</v>
          </cell>
          <cell r="I29">
            <v>0</v>
          </cell>
          <cell r="J29" t="str">
            <v>Schedule</v>
          </cell>
        </row>
        <row r="30">
          <cell r="B30" t="str">
            <v>340E</v>
          </cell>
          <cell r="C30">
            <v>14</v>
          </cell>
          <cell r="D30" t="str">
            <v>PORTFOLIO SELLING COSTS</v>
          </cell>
          <cell r="E30" t="str">
            <v>DLB</v>
          </cell>
          <cell r="F30">
            <v>1522235.48</v>
          </cell>
          <cell r="G30">
            <v>1522235.48</v>
          </cell>
          <cell r="I30">
            <v>0</v>
          </cell>
          <cell r="J30" t="str">
            <v>History, AP Millennium Query</v>
          </cell>
        </row>
        <row r="31">
          <cell r="B31" t="str">
            <v>340L</v>
          </cell>
          <cell r="C31">
            <v>14</v>
          </cell>
          <cell r="D31" t="str">
            <v>FIBER OPTIC SELLING COSTS</v>
          </cell>
          <cell r="E31" t="str">
            <v>DLB</v>
          </cell>
          <cell r="F31">
            <v>0</v>
          </cell>
          <cell r="G31">
            <v>0</v>
          </cell>
          <cell r="I31">
            <v>0</v>
          </cell>
          <cell r="J31" t="str">
            <v>History, AP Millennium Query</v>
          </cell>
        </row>
        <row r="32">
          <cell r="B32">
            <v>3401</v>
          </cell>
          <cell r="C32">
            <v>18</v>
          </cell>
          <cell r="D32" t="str">
            <v>LOCOMOTIVE FREIGHT CAR PURCHASES</v>
          </cell>
          <cell r="E32" t="str">
            <v>HKL</v>
          </cell>
          <cell r="F32">
            <v>0</v>
          </cell>
          <cell r="G32">
            <v>0</v>
          </cell>
          <cell r="I32">
            <v>0</v>
          </cell>
          <cell r="J32" t="str">
            <v>Financing schedules, invoices</v>
          </cell>
        </row>
        <row r="33">
          <cell r="B33">
            <v>3475</v>
          </cell>
          <cell r="C33">
            <v>16</v>
          </cell>
          <cell r="D33" t="str">
            <v>LOCOMOTIVE LEASES - SHORT TERM</v>
          </cell>
          <cell r="E33" t="str">
            <v>HKL</v>
          </cell>
          <cell r="F33">
            <v>8373388</v>
          </cell>
          <cell r="G33">
            <v>8373387</v>
          </cell>
          <cell r="I33">
            <v>1</v>
          </cell>
          <cell r="J33" t="str">
            <v>Forecast, invoices</v>
          </cell>
        </row>
        <row r="34">
          <cell r="B34">
            <v>3477</v>
          </cell>
          <cell r="C34">
            <v>16</v>
          </cell>
          <cell r="D34" t="str">
            <v>LOCOMOTIVE LEASES - CURRENT</v>
          </cell>
          <cell r="E34" t="str">
            <v>HKL</v>
          </cell>
          <cell r="F34">
            <v>35750894</v>
          </cell>
          <cell r="G34">
            <v>35750894</v>
          </cell>
          <cell r="I34">
            <v>0</v>
          </cell>
          <cell r="J34" t="str">
            <v>Forecast, invoices</v>
          </cell>
        </row>
        <row r="35">
          <cell r="B35" t="str">
            <v>3920</v>
          </cell>
          <cell r="C35">
            <v>17</v>
          </cell>
          <cell r="D35" t="str">
            <v>LEASE OVERHAUL LIABILITY - CURRENT</v>
          </cell>
          <cell r="E35" t="str">
            <v>HKL</v>
          </cell>
          <cell r="F35">
            <v>-43961530</v>
          </cell>
          <cell r="G35">
            <v>-43961530</v>
          </cell>
          <cell r="I35">
            <v>0</v>
          </cell>
          <cell r="J35" t="str">
            <v>Mechanical's Forecast, Millennium Query</v>
          </cell>
        </row>
        <row r="36">
          <cell r="B36">
            <v>4744</v>
          </cell>
          <cell r="C36">
            <v>25</v>
          </cell>
          <cell r="D36" t="str">
            <v>LOCOMOTIVE LEASES - LONG TERM</v>
          </cell>
          <cell r="E36" t="str">
            <v>HKL</v>
          </cell>
          <cell r="F36">
            <v>104005382</v>
          </cell>
          <cell r="G36">
            <v>104005382</v>
          </cell>
          <cell r="I36">
            <v>0</v>
          </cell>
          <cell r="J36" t="str">
            <v>Forecast, invoices and Millennium Query</v>
          </cell>
        </row>
        <row r="37">
          <cell r="B37">
            <v>4915</v>
          </cell>
          <cell r="C37">
            <v>26</v>
          </cell>
          <cell r="D37" t="str">
            <v>DEFERRED GAINS ON EQUIPMENT</v>
          </cell>
          <cell r="E37" t="str">
            <v>HKL</v>
          </cell>
          <cell r="F37">
            <v>101061552</v>
          </cell>
          <cell r="G37">
            <v>101061552</v>
          </cell>
          <cell r="I37">
            <v>0</v>
          </cell>
          <cell r="J37" t="str">
            <v>Amortization Schedule</v>
          </cell>
        </row>
        <row r="38">
          <cell r="B38" t="str">
            <v>4918</v>
          </cell>
          <cell r="C38">
            <v>26</v>
          </cell>
          <cell r="D38" t="str">
            <v>LEASE OVERHAUL LIABILITY-DEFERRED</v>
          </cell>
          <cell r="E38" t="str">
            <v>HKL</v>
          </cell>
          <cell r="F38">
            <v>-52807920</v>
          </cell>
          <cell r="G38">
            <v>-52807920</v>
          </cell>
          <cell r="I38">
            <v>0</v>
          </cell>
          <cell r="J38" t="str">
            <v>Mechanical's Forecast, Millennium Query</v>
          </cell>
        </row>
        <row r="40">
          <cell r="B40" t="str">
            <v>Various</v>
          </cell>
          <cell r="C40">
            <v>11</v>
          </cell>
          <cell r="D40" t="str">
            <v>PROPERTY INVESTMENT</v>
          </cell>
          <cell r="E40" t="str">
            <v>JLN</v>
          </cell>
          <cell r="F40">
            <v>28904858347.290001</v>
          </cell>
          <cell r="H40" t="str">
            <v>B</v>
          </cell>
          <cell r="I40">
            <v>28904858347.290001</v>
          </cell>
          <cell r="J40" t="str">
            <v>Accts 2010, 2011, 2012, 2013, 2014, 2016, 2031, 2100, 2101, 2102, 2103, 2121, 2131, 2150, 2151, 2165, 2180, 2181, 2200, 2201, 2202, 2203, 2250, 2251, 2252</v>
          </cell>
        </row>
        <row r="42">
          <cell r="B42" t="str">
            <v>Various</v>
          </cell>
          <cell r="C42">
            <v>12</v>
          </cell>
          <cell r="D42" t="str">
            <v>PROPERTY ACCUMULATED DEPRECIATION</v>
          </cell>
          <cell r="E42" t="str">
            <v>JLN</v>
          </cell>
          <cell r="F42">
            <v>-4883391731.2799997</v>
          </cell>
          <cell r="H42" t="str">
            <v>B</v>
          </cell>
          <cell r="I42">
            <v>-4883391731.2799997</v>
          </cell>
          <cell r="J42" t="str">
            <v>Accts 2300, 2301, 2302, 2303, 2314, 2328, 2329, 2330, 2350, 2351, 2361, 2364, 2365, 2400, 2401, 2402, 2403, 2450, 2452, 2470</v>
          </cell>
        </row>
      </sheetData>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BCA Summary "/>
      <sheetName val="Travel Time - Interchange"/>
      <sheetName val="Air Quality"/>
      <sheetName val="Operating and Maintenance Costs"/>
      <sheetName val="Safety Benefits - Mainline"/>
      <sheetName val="Safety Benefits - Interchange"/>
      <sheetName val="Capital Cost and RCV Calc"/>
      <sheetName val="Data"/>
      <sheetName val="Build"/>
      <sheetName val="No Build"/>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ssumptions"/>
      <sheetName val="BCA Summary"/>
      <sheetName val="I-41 Closure Sensitivity"/>
      <sheetName val="Annualized Operations"/>
      <sheetName val="Operating Cost Savings"/>
      <sheetName val="Travel Time Cost Savings"/>
      <sheetName val="Air Quality"/>
      <sheetName val="Safety - Expansion"/>
      <sheetName val="Safety - Spot Improvements"/>
      <sheetName val="Safety - Network Savings"/>
      <sheetName val="Safety - Interchange"/>
      <sheetName val="Capital Costs"/>
      <sheetName val="O&amp;M"/>
      <sheetName val="TDM Output"/>
      <sheetName val="Network VMT Data"/>
      <sheetName val="O&amp;M_MDF"/>
      <sheetName val="I-41 Build Structure O&amp;M Cost "/>
    </sheetNames>
    <sheetDataSet>
      <sheetData sheetId="0">
        <row r="39">
          <cell r="D39">
            <v>1.67</v>
          </cell>
        </row>
        <row r="40">
          <cell r="D40">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uary 08"/>
      <sheetName val="February 08"/>
      <sheetName val="March 08"/>
      <sheetName val="April 08"/>
      <sheetName val="May 08"/>
      <sheetName val="June 08"/>
      <sheetName val="July 08"/>
      <sheetName val="August 08"/>
      <sheetName val="September 08"/>
      <sheetName val="October 08"/>
      <sheetName val="November 08"/>
      <sheetName val="YTD08"/>
      <sheetName val="December 08"/>
      <sheetName val="Journal Entry"/>
      <sheetName val="Non-Cash Entry"/>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Overview &amp; Paramters"/>
      <sheetName val="Spreadsheet Overview"/>
      <sheetName val="Data Dictionary"/>
      <sheetName val="Assumptions"/>
      <sheetName val="Improvement Types"/>
      <sheetName val="Data"/>
      <sheetName val="Crossing Improvements"/>
      <sheetName val="Model"/>
      <sheetName val="Crossing Model Summary"/>
      <sheetName val="County Level Summary"/>
      <sheetName val="Summary"/>
      <sheetName val="Summary wo Surfacing"/>
      <sheetName val="EF Calcs"/>
      <sheetName val="Accident Calcs"/>
      <sheetName val="Delay &amp; Time-in-Queue"/>
      <sheetName val="VOC &amp; Emissions Savings"/>
      <sheetName val="CPI Raw Data"/>
      <sheetName val="PPI Raw Data"/>
      <sheetName val="hpms_2007"/>
      <sheetName val="ACCIDENT DATA 2000"/>
      <sheetName val="ACCIDENT DATA 2001"/>
      <sheetName val="ACCIDENT DATA 2002"/>
      <sheetName val="ACCIDENT DATA 2003"/>
      <sheetName val="ACCIDENT DATA 2004"/>
      <sheetName val="ACCIDENT DATA 2005"/>
      <sheetName val="ACCIDENT DATA 2006"/>
      <sheetName val="ACCIDENT DATA 2007"/>
      <sheetName val="ACCIDENT DATA 2008"/>
    </sheetNames>
    <sheetDataSet>
      <sheetData sheetId="0" refreshError="1"/>
      <sheetData sheetId="1" refreshError="1"/>
      <sheetData sheetId="2" refreshError="1"/>
      <sheetData sheetId="3">
        <row r="3">
          <cell r="C3">
            <v>2.5000000000000001E-3</v>
          </cell>
        </row>
        <row r="5">
          <cell r="C5">
            <v>7.0000000000000007E-2</v>
          </cell>
        </row>
        <row r="6">
          <cell r="C6">
            <v>1.6</v>
          </cell>
        </row>
      </sheetData>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ssumptions"/>
      <sheetName val="BCA Summary"/>
      <sheetName val="Travel Time Cost - Construction"/>
      <sheetName val="Travel Time Cost Savings"/>
      <sheetName val="Operating Cost Savings"/>
      <sheetName val="Operating Cost-Roughness"/>
      <sheetName val="Operation and Maintenance"/>
      <sheetName val="Capital Costs and RCV Calc"/>
      <sheetName val="Travel"/>
    </sheetNames>
    <sheetDataSet>
      <sheetData sheetId="0">
        <row r="4">
          <cell r="H4">
            <v>715</v>
          </cell>
        </row>
        <row r="5">
          <cell r="D5">
            <v>2023</v>
          </cell>
          <cell r="H5">
            <v>790</v>
          </cell>
        </row>
      </sheetData>
      <sheetData sheetId="1"/>
      <sheetData sheetId="2"/>
      <sheetData sheetId="3">
        <row r="26">
          <cell r="L26">
            <v>2030</v>
          </cell>
        </row>
      </sheetData>
      <sheetData sheetId="4">
        <row r="6">
          <cell r="L6">
            <v>0.45</v>
          </cell>
        </row>
        <row r="7">
          <cell r="L7">
            <v>0.94</v>
          </cell>
        </row>
      </sheetData>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BCA Summary"/>
      <sheetName val="Safety Benefits"/>
      <sheetName val="Travel Time Savings (Summary)"/>
      <sheetName val="Travel Time Savings (Ferry St)"/>
      <sheetName val="Travel Time Savings (TH 10)"/>
      <sheetName val="Travel Time Savings (4th Ave)"/>
      <sheetName val="Capital Cost and RCV Calc"/>
      <sheetName val="Operation and Maintenance"/>
      <sheetName val="RCV Calculator"/>
    </sheetNames>
    <sheetDataSet>
      <sheetData sheetId="0">
        <row r="5">
          <cell r="D5">
            <v>2020</v>
          </cell>
        </row>
      </sheetData>
      <sheetData sheetId="1"/>
      <sheetData sheetId="2"/>
      <sheetData sheetId="3"/>
      <sheetData sheetId="4"/>
      <sheetData sheetId="5"/>
      <sheetData sheetId="6"/>
      <sheetData sheetId="7"/>
      <sheetData sheetId="8"/>
      <sheetData sheetId="9">
        <row r="15">
          <cell r="N15">
            <v>0.99668901533542642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BCA Summary"/>
      <sheetName val="Annualized Operations"/>
      <sheetName val="User Benefits (VHT) - Network"/>
      <sheetName val="User Benefits (VHT) - Corridor"/>
      <sheetName val="User Benefits (VHT) - Nodal"/>
      <sheetName val="Operation Benefits (VMT) - Netw"/>
      <sheetName val="Operation Benefits (VMT) - Corr"/>
      <sheetName val="Safety Benefits"/>
      <sheetName val="Air Quality"/>
      <sheetName val="RCV Calc"/>
      <sheetName val="Operation and Maintenance"/>
      <sheetName val="WisDOT TT Tool Input - No Build"/>
      <sheetName val="WisDOT TT Tool Input - Build"/>
      <sheetName val="WisDOT Travel Time Tool Output"/>
      <sheetName val="GDP Defla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CBS"/>
      <sheetName val="Signature-not used"/>
      <sheetName val="Q4 09 BS Leads"/>
      <sheetName val="Current"/>
      <sheetName val="PPE-Other Current 10-Q Recon"/>
      <sheetName val="Current 10-K Recon"/>
      <sheetName val="12.31.08"/>
      <sheetName val="12.31.08 10-K Recon"/>
      <sheetName val="12.31.08 PPE 10-K Recon"/>
      <sheetName val="Q3 09 Rail BS Leads"/>
      <sheetName val="Q2 09 Rail BS Leads"/>
      <sheetName val="PriorQ4"/>
      <sheetName val="PriorQ3"/>
      <sheetName val="Prior Q2"/>
      <sheetName val="PriorQ1"/>
      <sheetName val="PPE-Other Q3-09 10-Q Recon"/>
      <sheetName val="PPE-Other Q2-09 10-Q Recon"/>
      <sheetName val="PPE-Other Sep08 10-Q Recon"/>
      <sheetName val="Prior 10-Q Recon"/>
      <sheetName val="R-1 220"/>
      <sheetName val="R-1 220 revised 021710"/>
      <sheetName val="R-1 220 revised 022610"/>
      <sheetName val="220 Support"/>
      <sheetName val="R-1 230"/>
      <sheetName val="R-1 460"/>
      <sheetName val="Variance Analysis Q409 vs Q408"/>
      <sheetName val="Variance Analysis-old"/>
      <sheetName val="Q3.09 vs Q3.08 &amp; Q4.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CC Conversion"/>
      <sheetName val="Historical"/>
      <sheetName val="Current"/>
      <sheetName val="Sheet3"/>
    </sheetNames>
    <sheetDataSet>
      <sheetData sheetId="0">
        <row r="1">
          <cell r="A1">
            <v>100</v>
          </cell>
          <cell r="B1">
            <v>2</v>
          </cell>
        </row>
        <row r="2">
          <cell r="A2">
            <v>105</v>
          </cell>
          <cell r="B2">
            <v>3</v>
          </cell>
        </row>
        <row r="3">
          <cell r="A3">
            <v>106</v>
          </cell>
          <cell r="B3">
            <v>3</v>
          </cell>
        </row>
        <row r="4">
          <cell r="A4">
            <v>120</v>
          </cell>
          <cell r="B4">
            <v>4</v>
          </cell>
        </row>
        <row r="5">
          <cell r="A5">
            <v>121</v>
          </cell>
          <cell r="B5">
            <v>4</v>
          </cell>
        </row>
        <row r="6">
          <cell r="A6">
            <v>122</v>
          </cell>
          <cell r="B6">
            <v>4</v>
          </cell>
        </row>
        <row r="7">
          <cell r="A7">
            <v>123</v>
          </cell>
          <cell r="B7">
            <v>4</v>
          </cell>
        </row>
        <row r="8">
          <cell r="A8">
            <v>125</v>
          </cell>
          <cell r="B8">
            <v>5</v>
          </cell>
        </row>
        <row r="9">
          <cell r="A9">
            <v>126</v>
          </cell>
          <cell r="B9">
            <v>5</v>
          </cell>
        </row>
        <row r="10">
          <cell r="A10">
            <v>130</v>
          </cell>
          <cell r="B10">
            <v>6</v>
          </cell>
        </row>
        <row r="11">
          <cell r="A11">
            <v>150</v>
          </cell>
          <cell r="B11">
            <v>8</v>
          </cell>
        </row>
        <row r="12">
          <cell r="A12">
            <v>151</v>
          </cell>
          <cell r="B12">
            <v>8</v>
          </cell>
        </row>
        <row r="13">
          <cell r="A13">
            <v>152</v>
          </cell>
          <cell r="B13">
            <v>8</v>
          </cell>
        </row>
        <row r="14">
          <cell r="A14">
            <v>153</v>
          </cell>
          <cell r="B14">
            <v>8</v>
          </cell>
        </row>
        <row r="15">
          <cell r="A15">
            <v>154</v>
          </cell>
          <cell r="B15">
            <v>8</v>
          </cell>
        </row>
        <row r="16">
          <cell r="A16">
            <v>155</v>
          </cell>
          <cell r="B16">
            <v>8</v>
          </cell>
        </row>
        <row r="17">
          <cell r="A17">
            <v>156</v>
          </cell>
          <cell r="B17">
            <v>8</v>
          </cell>
        </row>
        <row r="18">
          <cell r="A18">
            <v>157</v>
          </cell>
          <cell r="B18">
            <v>8</v>
          </cell>
        </row>
        <row r="19">
          <cell r="A19">
            <v>158</v>
          </cell>
          <cell r="B19">
            <v>8</v>
          </cell>
        </row>
        <row r="20">
          <cell r="A20">
            <v>159</v>
          </cell>
          <cell r="B20">
            <v>8</v>
          </cell>
        </row>
        <row r="21">
          <cell r="A21">
            <v>160</v>
          </cell>
          <cell r="B21">
            <v>8</v>
          </cell>
        </row>
        <row r="22">
          <cell r="A22">
            <v>161</v>
          </cell>
          <cell r="B22">
            <v>8</v>
          </cell>
        </row>
        <row r="23">
          <cell r="A23">
            <v>162</v>
          </cell>
          <cell r="B23">
            <v>8</v>
          </cell>
        </row>
        <row r="24">
          <cell r="A24">
            <v>163</v>
          </cell>
          <cell r="B24">
            <v>8</v>
          </cell>
        </row>
        <row r="25">
          <cell r="A25">
            <v>164</v>
          </cell>
          <cell r="B25">
            <v>8</v>
          </cell>
        </row>
        <row r="26">
          <cell r="A26">
            <v>165</v>
          </cell>
          <cell r="B26">
            <v>8</v>
          </cell>
        </row>
        <row r="27">
          <cell r="A27">
            <v>166</v>
          </cell>
          <cell r="B27">
            <v>8</v>
          </cell>
        </row>
        <row r="28">
          <cell r="A28">
            <v>167</v>
          </cell>
          <cell r="B28">
            <v>8</v>
          </cell>
        </row>
        <row r="29">
          <cell r="A29">
            <v>168</v>
          </cell>
          <cell r="B29">
            <v>8</v>
          </cell>
        </row>
        <row r="30">
          <cell r="A30">
            <v>169</v>
          </cell>
          <cell r="B30">
            <v>8</v>
          </cell>
        </row>
        <row r="31">
          <cell r="A31">
            <v>170</v>
          </cell>
          <cell r="B31">
            <v>8</v>
          </cell>
        </row>
        <row r="32">
          <cell r="A32">
            <v>171</v>
          </cell>
          <cell r="B32">
            <v>8</v>
          </cell>
        </row>
        <row r="33">
          <cell r="A33">
            <v>172</v>
          </cell>
          <cell r="B33">
            <v>8</v>
          </cell>
        </row>
        <row r="34">
          <cell r="A34">
            <v>173</v>
          </cell>
          <cell r="B34">
            <v>8</v>
          </cell>
        </row>
        <row r="35">
          <cell r="A35">
            <v>174</v>
          </cell>
          <cell r="B35">
            <v>8</v>
          </cell>
        </row>
        <row r="36">
          <cell r="A36">
            <v>175</v>
          </cell>
          <cell r="B36">
            <v>8</v>
          </cell>
        </row>
        <row r="37">
          <cell r="A37">
            <v>176</v>
          </cell>
          <cell r="B37">
            <v>8</v>
          </cell>
        </row>
        <row r="38">
          <cell r="A38">
            <v>177</v>
          </cell>
          <cell r="B38">
            <v>8</v>
          </cell>
        </row>
        <row r="39">
          <cell r="A39">
            <v>178</v>
          </cell>
          <cell r="B39">
            <v>8</v>
          </cell>
        </row>
        <row r="40">
          <cell r="A40">
            <v>179</v>
          </cell>
          <cell r="B40">
            <v>8</v>
          </cell>
        </row>
        <row r="41">
          <cell r="A41">
            <v>180</v>
          </cell>
          <cell r="B41">
            <v>8</v>
          </cell>
        </row>
        <row r="42">
          <cell r="A42">
            <v>181</v>
          </cell>
          <cell r="B42">
            <v>8</v>
          </cell>
        </row>
        <row r="43">
          <cell r="A43">
            <v>182</v>
          </cell>
          <cell r="B43">
            <v>8</v>
          </cell>
        </row>
        <row r="44">
          <cell r="A44">
            <v>183</v>
          </cell>
          <cell r="B44">
            <v>8</v>
          </cell>
        </row>
        <row r="45">
          <cell r="A45">
            <v>184</v>
          </cell>
          <cell r="B45">
            <v>8</v>
          </cell>
        </row>
        <row r="46">
          <cell r="A46">
            <v>185</v>
          </cell>
          <cell r="B46">
            <v>8</v>
          </cell>
        </row>
        <row r="47">
          <cell r="A47">
            <v>186</v>
          </cell>
          <cell r="B47">
            <v>8</v>
          </cell>
        </row>
        <row r="48">
          <cell r="A48">
            <v>187</v>
          </cell>
          <cell r="B48">
            <v>8</v>
          </cell>
        </row>
        <row r="49">
          <cell r="A49">
            <v>188</v>
          </cell>
          <cell r="B49">
            <v>8</v>
          </cell>
        </row>
        <row r="50">
          <cell r="A50">
            <v>189</v>
          </cell>
          <cell r="B50">
            <v>8</v>
          </cell>
        </row>
        <row r="51">
          <cell r="A51">
            <v>190</v>
          </cell>
          <cell r="B51">
            <v>8</v>
          </cell>
        </row>
        <row r="52">
          <cell r="A52">
            <v>191</v>
          </cell>
          <cell r="B52">
            <v>8</v>
          </cell>
        </row>
        <row r="53">
          <cell r="A53">
            <v>192</v>
          </cell>
          <cell r="B53">
            <v>8</v>
          </cell>
        </row>
        <row r="54">
          <cell r="A54">
            <v>193</v>
          </cell>
          <cell r="B54">
            <v>8</v>
          </cell>
        </row>
        <row r="55">
          <cell r="A55">
            <v>194</v>
          </cell>
          <cell r="B55">
            <v>8</v>
          </cell>
        </row>
        <row r="56">
          <cell r="A56">
            <v>200</v>
          </cell>
          <cell r="B56">
            <v>9</v>
          </cell>
        </row>
        <row r="57">
          <cell r="A57">
            <v>201</v>
          </cell>
          <cell r="B57">
            <v>9</v>
          </cell>
        </row>
        <row r="58">
          <cell r="A58">
            <v>202</v>
          </cell>
          <cell r="B58">
            <v>9</v>
          </cell>
        </row>
        <row r="59">
          <cell r="A59">
            <v>203</v>
          </cell>
          <cell r="B59">
            <v>9</v>
          </cell>
        </row>
        <row r="60">
          <cell r="A60">
            <v>204</v>
          </cell>
          <cell r="B60">
            <v>9</v>
          </cell>
        </row>
        <row r="61">
          <cell r="A61">
            <v>205</v>
          </cell>
          <cell r="B61">
            <v>9</v>
          </cell>
        </row>
        <row r="62">
          <cell r="A62">
            <v>206</v>
          </cell>
          <cell r="B62">
            <v>9</v>
          </cell>
        </row>
        <row r="63">
          <cell r="A63">
            <v>207</v>
          </cell>
          <cell r="B63">
            <v>9</v>
          </cell>
        </row>
        <row r="64">
          <cell r="A64">
            <v>208</v>
          </cell>
          <cell r="B64">
            <v>9</v>
          </cell>
        </row>
        <row r="65">
          <cell r="A65">
            <v>209</v>
          </cell>
          <cell r="B65">
            <v>9</v>
          </cell>
        </row>
        <row r="66">
          <cell r="A66">
            <v>210</v>
          </cell>
          <cell r="B66">
            <v>9</v>
          </cell>
        </row>
        <row r="67">
          <cell r="A67">
            <v>211</v>
          </cell>
          <cell r="B67">
            <v>9</v>
          </cell>
        </row>
        <row r="68">
          <cell r="A68">
            <v>212</v>
          </cell>
          <cell r="B68">
            <v>9</v>
          </cell>
        </row>
        <row r="69">
          <cell r="A69">
            <v>213</v>
          </cell>
          <cell r="B69">
            <v>9</v>
          </cell>
        </row>
        <row r="70">
          <cell r="A70">
            <v>214</v>
          </cell>
          <cell r="B70">
            <v>9</v>
          </cell>
        </row>
        <row r="71">
          <cell r="A71">
            <v>215</v>
          </cell>
          <cell r="B71">
            <v>9</v>
          </cell>
        </row>
        <row r="72">
          <cell r="A72">
            <v>216</v>
          </cell>
          <cell r="B72">
            <v>9</v>
          </cell>
        </row>
        <row r="73">
          <cell r="A73">
            <v>217</v>
          </cell>
          <cell r="B73">
            <v>9</v>
          </cell>
        </row>
        <row r="74">
          <cell r="A74">
            <v>218</v>
          </cell>
          <cell r="B74">
            <v>9</v>
          </cell>
        </row>
        <row r="75">
          <cell r="A75">
            <v>219</v>
          </cell>
          <cell r="B75">
            <v>9</v>
          </cell>
        </row>
        <row r="76">
          <cell r="A76">
            <v>220</v>
          </cell>
          <cell r="B76">
            <v>9</v>
          </cell>
        </row>
        <row r="77">
          <cell r="A77">
            <v>221</v>
          </cell>
          <cell r="B77">
            <v>9</v>
          </cell>
        </row>
        <row r="78">
          <cell r="A78">
            <v>222</v>
          </cell>
          <cell r="B78">
            <v>9</v>
          </cell>
        </row>
        <row r="79">
          <cell r="A79">
            <v>223</v>
          </cell>
          <cell r="B79">
            <v>9</v>
          </cell>
        </row>
        <row r="80">
          <cell r="A80">
            <v>224</v>
          </cell>
          <cell r="B80">
            <v>9</v>
          </cell>
        </row>
        <row r="81">
          <cell r="A81">
            <v>225</v>
          </cell>
          <cell r="B81">
            <v>9</v>
          </cell>
        </row>
        <row r="82">
          <cell r="A82">
            <v>226</v>
          </cell>
          <cell r="B82">
            <v>9</v>
          </cell>
        </row>
        <row r="83">
          <cell r="A83">
            <v>227</v>
          </cell>
          <cell r="B83">
            <v>9</v>
          </cell>
        </row>
        <row r="84">
          <cell r="A84">
            <v>228</v>
          </cell>
          <cell r="B84">
            <v>9</v>
          </cell>
        </row>
        <row r="85">
          <cell r="A85">
            <v>229</v>
          </cell>
          <cell r="B85">
            <v>9</v>
          </cell>
        </row>
        <row r="86">
          <cell r="A86">
            <v>230</v>
          </cell>
          <cell r="B86">
            <v>9</v>
          </cell>
        </row>
        <row r="87">
          <cell r="A87">
            <v>231</v>
          </cell>
          <cell r="B87">
            <v>9</v>
          </cell>
        </row>
        <row r="88">
          <cell r="A88">
            <v>232</v>
          </cell>
          <cell r="B88">
            <v>9</v>
          </cell>
        </row>
        <row r="89">
          <cell r="A89">
            <v>233</v>
          </cell>
          <cell r="B89">
            <v>9</v>
          </cell>
        </row>
        <row r="90">
          <cell r="A90">
            <v>234</v>
          </cell>
          <cell r="B90">
            <v>9</v>
          </cell>
        </row>
        <row r="91">
          <cell r="A91">
            <v>235</v>
          </cell>
          <cell r="B91">
            <v>9</v>
          </cell>
        </row>
        <row r="92">
          <cell r="A92">
            <v>236</v>
          </cell>
          <cell r="B92">
            <v>9</v>
          </cell>
        </row>
        <row r="93">
          <cell r="A93">
            <v>237</v>
          </cell>
          <cell r="B93">
            <v>9</v>
          </cell>
        </row>
        <row r="94">
          <cell r="A94">
            <v>238</v>
          </cell>
          <cell r="B94">
            <v>9</v>
          </cell>
        </row>
        <row r="95">
          <cell r="A95">
            <v>239</v>
          </cell>
          <cell r="B95">
            <v>9</v>
          </cell>
        </row>
        <row r="96">
          <cell r="A96">
            <v>240</v>
          </cell>
          <cell r="B96">
            <v>9</v>
          </cell>
        </row>
        <row r="97">
          <cell r="A97">
            <v>241</v>
          </cell>
          <cell r="B97">
            <v>9</v>
          </cell>
        </row>
        <row r="98">
          <cell r="A98">
            <v>242</v>
          </cell>
          <cell r="B98">
            <v>9</v>
          </cell>
        </row>
        <row r="99">
          <cell r="A99">
            <v>243</v>
          </cell>
          <cell r="B99">
            <v>9</v>
          </cell>
        </row>
        <row r="100">
          <cell r="A100">
            <v>244</v>
          </cell>
          <cell r="B100">
            <v>9</v>
          </cell>
        </row>
        <row r="101">
          <cell r="A101">
            <v>245</v>
          </cell>
          <cell r="B101">
            <v>9</v>
          </cell>
        </row>
        <row r="102">
          <cell r="A102">
            <v>246</v>
          </cell>
          <cell r="B102">
            <v>9</v>
          </cell>
        </row>
        <row r="103">
          <cell r="A103">
            <v>247</v>
          </cell>
          <cell r="B103">
            <v>9</v>
          </cell>
        </row>
        <row r="104">
          <cell r="A104">
            <v>248</v>
          </cell>
          <cell r="B104">
            <v>9</v>
          </cell>
        </row>
        <row r="105">
          <cell r="A105">
            <v>249</v>
          </cell>
          <cell r="B105">
            <v>9</v>
          </cell>
        </row>
        <row r="106">
          <cell r="A106">
            <v>250</v>
          </cell>
          <cell r="B106">
            <v>9</v>
          </cell>
        </row>
        <row r="107">
          <cell r="A107">
            <v>251</v>
          </cell>
          <cell r="B107">
            <v>9</v>
          </cell>
        </row>
        <row r="108">
          <cell r="A108">
            <v>252</v>
          </cell>
          <cell r="B108">
            <v>9</v>
          </cell>
        </row>
        <row r="109">
          <cell r="A109">
            <v>253</v>
          </cell>
          <cell r="B109">
            <v>9</v>
          </cell>
        </row>
        <row r="110">
          <cell r="A110">
            <v>254</v>
          </cell>
          <cell r="B110">
            <v>9</v>
          </cell>
        </row>
        <row r="111">
          <cell r="A111">
            <v>255</v>
          </cell>
          <cell r="B111">
            <v>9</v>
          </cell>
        </row>
        <row r="112">
          <cell r="A112">
            <v>256</v>
          </cell>
          <cell r="B112">
            <v>9</v>
          </cell>
        </row>
        <row r="113">
          <cell r="A113">
            <v>257</v>
          </cell>
          <cell r="B113">
            <v>9</v>
          </cell>
        </row>
        <row r="114">
          <cell r="A114">
            <v>258</v>
          </cell>
          <cell r="B114">
            <v>9</v>
          </cell>
        </row>
        <row r="115">
          <cell r="A115">
            <v>259</v>
          </cell>
          <cell r="B115">
            <v>9</v>
          </cell>
        </row>
        <row r="116">
          <cell r="A116">
            <v>260</v>
          </cell>
          <cell r="B116">
            <v>9</v>
          </cell>
        </row>
        <row r="117">
          <cell r="A117">
            <v>261</v>
          </cell>
          <cell r="B117">
            <v>9</v>
          </cell>
        </row>
        <row r="118">
          <cell r="A118">
            <v>262</v>
          </cell>
          <cell r="B118">
            <v>9</v>
          </cell>
        </row>
        <row r="119">
          <cell r="A119">
            <v>263</v>
          </cell>
          <cell r="B119">
            <v>9</v>
          </cell>
        </row>
        <row r="120">
          <cell r="A120">
            <v>264</v>
          </cell>
          <cell r="B120">
            <v>9</v>
          </cell>
        </row>
        <row r="121">
          <cell r="A121">
            <v>265</v>
          </cell>
          <cell r="B121">
            <v>9</v>
          </cell>
        </row>
        <row r="122">
          <cell r="A122">
            <v>266</v>
          </cell>
          <cell r="B122">
            <v>9</v>
          </cell>
        </row>
        <row r="123">
          <cell r="A123">
            <v>267</v>
          </cell>
          <cell r="B123">
            <v>9</v>
          </cell>
        </row>
        <row r="124">
          <cell r="A124">
            <v>280</v>
          </cell>
          <cell r="B124">
            <v>11</v>
          </cell>
        </row>
        <row r="125">
          <cell r="A125">
            <v>281</v>
          </cell>
          <cell r="B125">
            <v>11</v>
          </cell>
        </row>
        <row r="126">
          <cell r="A126">
            <v>282</v>
          </cell>
          <cell r="B126">
            <v>11</v>
          </cell>
        </row>
        <row r="127">
          <cell r="A127">
            <v>283</v>
          </cell>
          <cell r="B127">
            <v>11</v>
          </cell>
        </row>
        <row r="128">
          <cell r="A128">
            <v>284</v>
          </cell>
          <cell r="B128">
            <v>11</v>
          </cell>
        </row>
        <row r="129">
          <cell r="A129">
            <v>285</v>
          </cell>
          <cell r="B129">
            <v>11</v>
          </cell>
        </row>
        <row r="130">
          <cell r="A130">
            <v>286</v>
          </cell>
          <cell r="B130">
            <v>11</v>
          </cell>
        </row>
        <row r="131">
          <cell r="A131">
            <v>287</v>
          </cell>
          <cell r="B131">
            <v>11</v>
          </cell>
        </row>
        <row r="132">
          <cell r="A132">
            <v>288</v>
          </cell>
          <cell r="B132">
            <v>11</v>
          </cell>
        </row>
        <row r="133">
          <cell r="A133">
            <v>289</v>
          </cell>
          <cell r="B133">
            <v>11</v>
          </cell>
        </row>
        <row r="134">
          <cell r="A134">
            <v>290</v>
          </cell>
          <cell r="B134">
            <v>11</v>
          </cell>
        </row>
        <row r="135">
          <cell r="A135">
            <v>291</v>
          </cell>
          <cell r="B135">
            <v>11</v>
          </cell>
        </row>
        <row r="136">
          <cell r="A136">
            <v>292</v>
          </cell>
          <cell r="B136">
            <v>11</v>
          </cell>
        </row>
        <row r="137">
          <cell r="A137">
            <v>293</v>
          </cell>
          <cell r="B137">
            <v>11</v>
          </cell>
        </row>
        <row r="138">
          <cell r="A138">
            <v>294</v>
          </cell>
          <cell r="B138">
            <v>11</v>
          </cell>
        </row>
        <row r="139">
          <cell r="A139">
            <v>295</v>
          </cell>
          <cell r="B139">
            <v>11</v>
          </cell>
        </row>
        <row r="140">
          <cell r="A140">
            <v>296</v>
          </cell>
          <cell r="B140">
            <v>11</v>
          </cell>
        </row>
        <row r="141">
          <cell r="A141">
            <v>297</v>
          </cell>
          <cell r="B141">
            <v>11</v>
          </cell>
        </row>
        <row r="142">
          <cell r="A142">
            <v>298</v>
          </cell>
          <cell r="B142">
            <v>11</v>
          </cell>
        </row>
        <row r="143">
          <cell r="A143">
            <v>299</v>
          </cell>
          <cell r="B143">
            <v>11</v>
          </cell>
        </row>
        <row r="144">
          <cell r="A144">
            <v>300</v>
          </cell>
          <cell r="B144">
            <v>11</v>
          </cell>
        </row>
        <row r="145">
          <cell r="A145">
            <v>301</v>
          </cell>
          <cell r="B145">
            <v>11</v>
          </cell>
        </row>
        <row r="146">
          <cell r="A146">
            <v>302</v>
          </cell>
          <cell r="B146">
            <v>11</v>
          </cell>
        </row>
        <row r="147">
          <cell r="A147">
            <v>303</v>
          </cell>
          <cell r="B147">
            <v>11</v>
          </cell>
        </row>
        <row r="148">
          <cell r="A148">
            <v>304</v>
          </cell>
          <cell r="B148">
            <v>11</v>
          </cell>
        </row>
        <row r="149">
          <cell r="A149">
            <v>305</v>
          </cell>
          <cell r="B149">
            <v>11</v>
          </cell>
        </row>
        <row r="150">
          <cell r="A150">
            <v>306</v>
          </cell>
          <cell r="B150">
            <v>11</v>
          </cell>
        </row>
        <row r="151">
          <cell r="A151">
            <v>307</v>
          </cell>
          <cell r="B151">
            <v>11</v>
          </cell>
        </row>
        <row r="152">
          <cell r="A152">
            <v>308</v>
          </cell>
          <cell r="B152">
            <v>11</v>
          </cell>
        </row>
        <row r="153">
          <cell r="A153">
            <v>309</v>
          </cell>
          <cell r="B153">
            <v>11</v>
          </cell>
        </row>
        <row r="154">
          <cell r="A154">
            <v>310</v>
          </cell>
          <cell r="B154">
            <v>11</v>
          </cell>
        </row>
        <row r="155">
          <cell r="A155">
            <v>311</v>
          </cell>
          <cell r="B155">
            <v>11</v>
          </cell>
        </row>
        <row r="156">
          <cell r="A156">
            <v>312</v>
          </cell>
          <cell r="B156">
            <v>11</v>
          </cell>
        </row>
        <row r="157">
          <cell r="A157">
            <v>313</v>
          </cell>
          <cell r="B157">
            <v>11</v>
          </cell>
        </row>
        <row r="158">
          <cell r="A158">
            <v>314</v>
          </cell>
          <cell r="B158">
            <v>11</v>
          </cell>
        </row>
        <row r="159">
          <cell r="A159">
            <v>320</v>
          </cell>
          <cell r="B159">
            <v>12</v>
          </cell>
        </row>
        <row r="160">
          <cell r="A160">
            <v>340</v>
          </cell>
          <cell r="B160">
            <v>16</v>
          </cell>
        </row>
        <row r="161">
          <cell r="A161">
            <v>341</v>
          </cell>
          <cell r="B161">
            <v>17</v>
          </cell>
        </row>
        <row r="162">
          <cell r="A162">
            <v>342</v>
          </cell>
          <cell r="B162">
            <v>35</v>
          </cell>
        </row>
        <row r="163">
          <cell r="A163">
            <v>343</v>
          </cell>
          <cell r="B163">
            <v>13</v>
          </cell>
        </row>
        <row r="164">
          <cell r="A164">
            <v>355</v>
          </cell>
          <cell r="B164">
            <v>18</v>
          </cell>
        </row>
        <row r="165">
          <cell r="A165">
            <v>356</v>
          </cell>
          <cell r="B165">
            <v>19</v>
          </cell>
        </row>
        <row r="166">
          <cell r="A166">
            <v>365</v>
          </cell>
          <cell r="B166">
            <v>20</v>
          </cell>
        </row>
        <row r="167">
          <cell r="A167">
            <v>370</v>
          </cell>
          <cell r="B167">
            <v>23</v>
          </cell>
        </row>
        <row r="168">
          <cell r="A168">
            <v>372</v>
          </cell>
          <cell r="B168">
            <v>24</v>
          </cell>
        </row>
        <row r="169">
          <cell r="A169">
            <v>375</v>
          </cell>
          <cell r="B169">
            <v>25</v>
          </cell>
        </row>
        <row r="170">
          <cell r="A170">
            <v>380</v>
          </cell>
          <cell r="B170">
            <v>26</v>
          </cell>
        </row>
        <row r="171">
          <cell r="A171">
            <v>389</v>
          </cell>
          <cell r="B171">
            <v>26</v>
          </cell>
        </row>
        <row r="172">
          <cell r="A172">
            <v>400</v>
          </cell>
          <cell r="B172">
            <v>27</v>
          </cell>
        </row>
        <row r="173">
          <cell r="A173">
            <v>410</v>
          </cell>
          <cell r="B173">
            <v>29</v>
          </cell>
        </row>
        <row r="174">
          <cell r="A174">
            <v>411</v>
          </cell>
          <cell r="B174">
            <v>31</v>
          </cell>
        </row>
        <row r="175">
          <cell r="A175">
            <v>419</v>
          </cell>
          <cell r="B175">
            <v>37</v>
          </cell>
        </row>
        <row r="176">
          <cell r="A176">
            <v>420</v>
          </cell>
          <cell r="B176">
            <v>37</v>
          </cell>
        </row>
        <row r="177">
          <cell r="A177">
            <v>430</v>
          </cell>
          <cell r="B177">
            <v>39</v>
          </cell>
        </row>
        <row r="178">
          <cell r="A178">
            <v>431</v>
          </cell>
          <cell r="B178">
            <v>39</v>
          </cell>
        </row>
        <row r="179">
          <cell r="A179">
            <v>432</v>
          </cell>
          <cell r="B179">
            <v>39</v>
          </cell>
        </row>
        <row r="180">
          <cell r="A180">
            <v>433</v>
          </cell>
          <cell r="B180">
            <v>39</v>
          </cell>
        </row>
        <row r="181">
          <cell r="A181">
            <v>434</v>
          </cell>
          <cell r="B181">
            <v>39</v>
          </cell>
        </row>
        <row r="182">
          <cell r="A182">
            <v>440</v>
          </cell>
          <cell r="B182">
            <v>44</v>
          </cell>
        </row>
        <row r="183">
          <cell r="A183">
            <v>445</v>
          </cell>
          <cell r="B183">
            <v>45</v>
          </cell>
        </row>
        <row r="184">
          <cell r="A184">
            <v>465</v>
          </cell>
          <cell r="B184">
            <v>76</v>
          </cell>
        </row>
        <row r="185">
          <cell r="A185">
            <v>536</v>
          </cell>
          <cell r="B185">
            <v>52</v>
          </cell>
        </row>
        <row r="186">
          <cell r="A186">
            <v>556</v>
          </cell>
          <cell r="B186">
            <v>53</v>
          </cell>
        </row>
        <row r="187">
          <cell r="A187">
            <v>613</v>
          </cell>
          <cell r="B187">
            <v>55</v>
          </cell>
        </row>
        <row r="188">
          <cell r="A188">
            <v>635</v>
          </cell>
          <cell r="B188">
            <v>57</v>
          </cell>
        </row>
        <row r="189">
          <cell r="A189">
            <v>656</v>
          </cell>
          <cell r="B189">
            <v>58</v>
          </cell>
        </row>
        <row r="190">
          <cell r="A190">
            <v>690</v>
          </cell>
          <cell r="B190">
            <v>59</v>
          </cell>
        </row>
        <row r="191">
          <cell r="A191">
            <v>468</v>
          </cell>
          <cell r="B191">
            <v>76</v>
          </cell>
        </row>
      </sheetData>
      <sheetData sheetId="1"/>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Attachment%20A_New%20Underwood%20Road%20BCA%20Workbook.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tt Flanagan" refreshedDate="45151.926280208332" createdVersion="8" refreshedVersion="8" minRefreshableVersion="3" recordCount="108" xr:uid="{70FF6624-5EBB-4D55-A14A-A76CD8BEBC9E}">
  <cacheSource type="worksheet">
    <worksheetSource ref="A1:AU109" sheet="UnderwoodRd_50Feet_FullProjectS" r:id="rId2"/>
  </cacheSource>
  <cacheFields count="47">
    <cacheField name="OID_" numFmtId="0">
      <sharedItems containsSemiMixedTypes="0" containsString="0" containsNumber="1" containsInteger="1" minValue="1" maxValue="5272"/>
    </cacheField>
    <cacheField name="AccidentNbr" numFmtId="0">
      <sharedItems containsSemiMixedTypes="0" containsString="0" containsNumber="1" containsInteger="1" minValue="1300457" maxValue="2217239"/>
    </cacheField>
    <cacheField name="AccidentDateTime" numFmtId="22">
      <sharedItems containsSemiMixedTypes="0" containsNonDate="0" containsDate="1" containsString="0" minDate="2013-01-22T16:20:00" maxDate="2022-12-05T11:28:00"/>
    </cacheField>
    <cacheField name="County" numFmtId="0">
      <sharedItems/>
    </cacheField>
    <cacheField name="PedOrCycle" numFmtId="0">
      <sharedItems/>
    </cacheField>
    <cacheField name="Citation" numFmtId="0">
      <sharedItems containsBlank="1"/>
    </cacheField>
    <cacheField name="SafetyEquip" numFmtId="0">
      <sharedItems containsBlank="1"/>
    </cacheField>
    <cacheField name="VehicleManeuver" numFmtId="0">
      <sharedItems containsBlank="1"/>
    </cacheField>
    <cacheField name="IsWildAnimalHitInd" numFmtId="0">
      <sharedItems containsSemiMixedTypes="0" containsString="0" containsNumber="1" containsInteger="1" minValue="-1" maxValue="0"/>
    </cacheField>
    <cacheField name="PrimaryHwyNbr" numFmtId="0">
      <sharedItems containsString="0" containsBlank="1" containsNumber="1" containsInteger="1" minValue="0" maxValue="34"/>
    </cacheField>
    <cacheField name="Evnts" numFmtId="0">
      <sharedItems/>
    </cacheField>
    <cacheField name="RoadCondDesc" numFmtId="0">
      <sharedItems/>
    </cacheField>
    <cacheField name="FirstHarmfulEvent" numFmtId="0">
      <sharedItems/>
    </cacheField>
    <cacheField name="MHEvnts" numFmtId="0">
      <sharedItems/>
    </cacheField>
    <cacheField name="TraffDevice" numFmtId="0">
      <sharedItems containsBlank="1"/>
    </cacheField>
    <cacheField name="Motorcyle" numFmtId="0">
      <sharedItems/>
    </cacheField>
    <cacheField name="AccYear" numFmtId="0">
      <sharedItems containsSemiMixedTypes="0" containsString="0" containsNumber="1" containsInteger="1" minValue="2013" maxValue="2022"/>
    </cacheField>
    <cacheField name="Speed" numFmtId="0">
      <sharedItems/>
    </cacheField>
    <cacheField name="Drug" numFmtId="0">
      <sharedItems/>
    </cacheField>
    <cacheField name="AlcoholUse" numFmtId="0">
      <sharedItems/>
    </cacheField>
    <cacheField name="InjurySeverity" numFmtId="0">
      <sharedItems count="6">
        <s v="No injury"/>
        <s v="Wild animal hit"/>
        <s v="Possible"/>
        <s v="Fatal injury"/>
        <s v="Non-incapacitating"/>
        <s v="Incapacitating"/>
      </sharedItems>
    </cacheField>
    <cacheField name="MannerOfCollision" numFmtId="0">
      <sharedItems/>
    </cacheField>
    <cacheField name="LocSpeedLimitNbr" numFmtId="0">
      <sharedItems containsSemiMixedTypes="0" containsString="0" containsNumber="1" containsInteger="1" minValue="0" maxValue="65"/>
    </cacheField>
    <cacheField name="RoadSurfaceCondition" numFmtId="0">
      <sharedItems/>
    </cacheField>
    <cacheField name="LightCondition" numFmtId="0">
      <sharedItems/>
    </cacheField>
    <cacheField name="Junction" numFmtId="0">
      <sharedItems/>
    </cacheField>
    <cacheField name="HwyClassDesc" numFmtId="0">
      <sharedItems/>
    </cacheField>
    <cacheField name="FuncClass" numFmtId="0">
      <sharedItems/>
    </cacheField>
    <cacheField name="DivUndivided" numFmtId="0">
      <sharedItems containsBlank="1"/>
    </cacheField>
    <cacheField name="AlignmentDesc" numFmtId="0">
      <sharedItems/>
    </cacheField>
    <cacheField name="Weather" numFmtId="0">
      <sharedItems/>
    </cacheField>
    <cacheField name="OverCrct" numFmtId="0">
      <sharedItems/>
    </cacheField>
    <cacheField name="Fatigue" numFmtId="0">
      <sharedItems/>
    </cacheField>
    <cacheField name="Distract" numFmtId="0">
      <sharedItems/>
    </cacheField>
    <cacheField name="Illness" numFmtId="0">
      <sharedItems/>
    </cacheField>
    <cacheField name="Latitudevalue" numFmtId="0">
      <sharedItems containsSemiMixedTypes="0" containsString="0" containsNumber="1" minValue="44.140486000000003" maxValue="44.5233279999999"/>
    </cacheField>
    <cacheField name="Longitudevalue" numFmtId="0">
      <sharedItems containsSemiMixedTypes="0" containsString="0" containsNumber="1" minValue="-102.84342100000001" maxValue="-102.78976"/>
    </cacheField>
    <cacheField name="VehicleConfiguration" numFmtId="0">
      <sharedItems/>
    </cacheField>
    <cacheField name="TravelDirection" numFmtId="0">
      <sharedItems/>
    </cacheField>
    <cacheField name="DriverContribCircum" numFmtId="0">
      <sharedItems/>
    </cacheField>
    <cacheField name="RoadContribCircum" numFmtId="0">
      <sharedItems/>
    </cacheField>
    <cacheField name="VehContribCirc" numFmtId="0">
      <sharedItems/>
    </cacheField>
    <cacheField name="VisionContribCirc" numFmtId="0">
      <sharedItems/>
    </cacheField>
    <cacheField name="BAC" numFmtId="0">
      <sharedItems/>
    </cacheField>
    <cacheField name="EstSpeeds" numFmtId="0">
      <sharedItems containsMixedTypes="1" containsNumber="1" containsInteger="1" minValue="0" maxValue="80"/>
    </cacheField>
    <cacheField name="WorkZoneType" numFmtId="0">
      <sharedItems containsBlank="1"/>
    </cacheField>
    <cacheField name="WorkZoneLocation"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8">
  <r>
    <n v="1"/>
    <n v="1300457"/>
    <d v="2013-01-22T16:20:00"/>
    <s v="MEADE"/>
    <s v="N"/>
    <m/>
    <s v="Lap belt and shoulder harness used"/>
    <s v="Straight ahead"/>
    <n v="0"/>
    <m/>
    <s v="Ditch, Fence, Ran off road right"/>
    <s v="Dry"/>
    <s v="Fence"/>
    <s v="Fence"/>
    <m/>
    <s v="N"/>
    <n v="2013"/>
    <s v="N"/>
    <s v="N"/>
    <s v="N"/>
    <x v="0"/>
    <s v="No collision between 2 MV in transport"/>
    <n v="55"/>
    <s v="Asphalt ( blacktop )"/>
    <s v="Daylight"/>
    <s v="Non-junction"/>
    <s v="County Road"/>
    <s v="Rural Major Collector"/>
    <m/>
    <s v="Curve and level"/>
    <s v="Clear"/>
    <s v="N"/>
    <s v="N"/>
    <s v="N"/>
    <s v="N"/>
    <n v="44.1790629999999"/>
    <n v="-102.82941700000001"/>
    <s v="Passenger car"/>
    <s v="Southbound"/>
    <s v="Failure to keep in proper lane; None"/>
    <s v="None"/>
    <s v="None"/>
    <s v="None"/>
    <s v="Test not given"/>
    <n v="55"/>
    <s v="Not applicable"/>
    <s v="Not applicable"/>
  </r>
  <r>
    <n v="2"/>
    <n v="1300977"/>
    <d v="2013-02-02T14:41:00"/>
    <s v="MEADE"/>
    <s v="N"/>
    <m/>
    <s v="Lap belt and shoulder harness used"/>
    <s v="Straight ahead"/>
    <n v="0"/>
    <m/>
    <s v="Cross median/centerline, Highway traffic sign post/sign, Overturn/rollover, Ran off road left"/>
    <s v="Dry"/>
    <s v="Overturn/rollover"/>
    <s v="Overturn/rollover"/>
    <m/>
    <s v="N"/>
    <n v="2013"/>
    <s v="N"/>
    <s v="N"/>
    <s v="N"/>
    <x v="0"/>
    <s v="No collision between 2 MV in transport"/>
    <n v="55"/>
    <s v="Asphalt ( blacktop )"/>
    <s v="Daylight"/>
    <s v="Non-junction"/>
    <s v="County Road"/>
    <s v="Rural Major Collector"/>
    <m/>
    <s v="Curve on grade"/>
    <s v="Severe crosswinds"/>
    <s v="N"/>
    <s v="N"/>
    <s v="N"/>
    <s v="N"/>
    <n v="44.4026029999999"/>
    <n v="-102.791263999999"/>
    <s v="Tractor/semi-trailer"/>
    <s v="Southbound"/>
    <s v="None"/>
    <s v="None"/>
    <s v="None"/>
    <s v="None"/>
    <s v="Test not given"/>
    <n v="45"/>
    <s v="Not applicable"/>
    <s v="Not applicable"/>
  </r>
  <r>
    <n v="4"/>
    <n v="1304398"/>
    <d v="2013-04-20T20:00:00"/>
    <s v="MEADE"/>
    <s v="N"/>
    <m/>
    <m/>
    <m/>
    <n v="-1"/>
    <m/>
    <s v="Animal  - wild"/>
    <s v="Dry"/>
    <s v="Animal  - wild"/>
    <s v="Animal  - wild"/>
    <m/>
    <s v="N"/>
    <n v="2013"/>
    <s v="N"/>
    <s v="N"/>
    <s v="N"/>
    <x v="1"/>
    <s v="Wild animal hit - damage only"/>
    <n v="55"/>
    <s v="Wild animal hit - damage only"/>
    <s v="Dark - roadway not lighted"/>
    <s v="Non-junction"/>
    <s v="County Road"/>
    <s v="Rural Major Collector"/>
    <m/>
    <s v="Wild animal hit - damage only"/>
    <s v="Clear"/>
    <s v="N"/>
    <s v="N"/>
    <s v="N"/>
    <s v="N"/>
    <n v="44.21161"/>
    <n v="-102.82949600000001"/>
    <s v="SUV ( sport utility/suburban )"/>
    <s v="Northbound"/>
    <s v="Wild animal hit - damage only"/>
    <s v="Wild animal hit - damage only"/>
    <s v="Wild animal hit"/>
    <s v="Wild animal hit - damage only"/>
    <s v="Wild animal hit"/>
    <n v="0"/>
    <s v="Wild animal hit"/>
    <s v="Wild animal hit"/>
  </r>
  <r>
    <n v="5"/>
    <n v="1305828"/>
    <d v="2013-05-22T11:30:00"/>
    <s v="MEADE"/>
    <s v="N"/>
    <s v="Careless driving."/>
    <s v="Lap belt and shoulder harness used"/>
    <s v="Straight ahead"/>
    <n v="0"/>
    <m/>
    <s v="Overturn/rollover, Ran off road right"/>
    <s v="Wet"/>
    <s v="Overturn/rollover"/>
    <s v="Overturn/rollover"/>
    <m/>
    <s v="N"/>
    <n v="2013"/>
    <s v="Y"/>
    <s v="N"/>
    <s v="N"/>
    <x v="0"/>
    <s v="No collision between 2 MV in transport"/>
    <n v="55"/>
    <s v="Asphalt ( blacktop )"/>
    <s v="Daylight"/>
    <s v="Non-junction"/>
    <s v="County Road"/>
    <s v="Rural Major Collector"/>
    <m/>
    <s v="Curve on grade"/>
    <s v="Rain"/>
    <s v="N"/>
    <s v="N"/>
    <s v="N"/>
    <s v="N"/>
    <n v="44.426881000000002"/>
    <n v="-102.798186999999"/>
    <s v="Truck pulling trailer(s) - GCWR 10,001 lbs or more"/>
    <s v="Northbound"/>
    <s v="Driving too fast for conditions; None"/>
    <s v="Road surface condition ( wet, icy, snow, slush, etc. )"/>
    <s v="None"/>
    <s v="None"/>
    <s v="Test not given"/>
    <n v="65"/>
    <s v="Not applicable"/>
    <s v="Not applicable"/>
  </r>
  <r>
    <n v="6"/>
    <n v="1307926"/>
    <d v="2013-07-19T13:30:00"/>
    <s v="MEADE"/>
    <s v="N"/>
    <m/>
    <s v="Lap belt and shoulder harness used"/>
    <s v="Straight ahead"/>
    <n v="0"/>
    <m/>
    <s v="Approach, Overturn/rollover, Ran off road right"/>
    <s v="Dry"/>
    <s v="Overturn/rollover"/>
    <s v="Overturn/rollover"/>
    <m/>
    <s v="N"/>
    <n v="2013"/>
    <s v="N"/>
    <s v="N"/>
    <s v="N"/>
    <x v="2"/>
    <s v="No collision between 2 MV in transport"/>
    <n v="55"/>
    <s v="Asphalt ( blacktop )"/>
    <s v="Daylight"/>
    <s v="Non-junction"/>
    <s v="County Road"/>
    <s v="Rural Major Collector"/>
    <m/>
    <s v="Curve and hill crest"/>
    <s v="Clear"/>
    <s v="Y"/>
    <s v="N"/>
    <s v="N"/>
    <s v="N"/>
    <n v="44.441217000000002"/>
    <n v="-102.810984"/>
    <s v="SUV ( sport utility/suburban )"/>
    <s v="Northbound"/>
    <s v="Over-correcting/over-steering; Running off road"/>
    <s v="None"/>
    <s v="None"/>
    <s v="None"/>
    <s v="0.00 BAC"/>
    <n v="55"/>
    <s v="Not applicable"/>
    <s v="Not applicable"/>
  </r>
  <r>
    <n v="7"/>
    <n v="1311378"/>
    <d v="2013-09-30T19:40:00"/>
    <s v="MEADE"/>
    <s v="N"/>
    <s v="DRIVERS LICENSE REVOKED, DUI"/>
    <s v="None used"/>
    <s v="Straight ahead"/>
    <n v="0"/>
    <m/>
    <s v="Cross median/centerline, Overturn/rollover, Ran off road left, Ran off road right"/>
    <s v="Dry"/>
    <s v="Overturn/rollover"/>
    <s v="Overturn/rollover"/>
    <m/>
    <s v="N"/>
    <n v="2013"/>
    <s v="N"/>
    <s v="N"/>
    <s v="Y"/>
    <x v="3"/>
    <s v="No collision between 2 MV in transport"/>
    <n v="55"/>
    <s v="Asphalt ( blacktop )"/>
    <s v="Dark - roadway not lighted"/>
    <s v="Non-junction"/>
    <s v="County Road"/>
    <s v="Rural Major Collector"/>
    <m/>
    <s v="Straight and level"/>
    <s v="Clear"/>
    <s v="N"/>
    <s v="N"/>
    <s v="N"/>
    <s v="N"/>
    <n v="44.382075999999898"/>
    <n v="-102.843418999999"/>
    <s v="Passenger car"/>
    <s v="Southbound"/>
    <s v="Drinking; Running off road"/>
    <s v="None"/>
    <s v="None"/>
    <s v="None"/>
    <s v="0.19 BAC, Not reported, Not reported"/>
    <n v="66"/>
    <s v="Not applicable"/>
    <s v="Not applicable"/>
  </r>
  <r>
    <n v="8"/>
    <n v="1311735"/>
    <d v="2013-09-29T19:20:00"/>
    <s v="MEADE"/>
    <s v="N"/>
    <m/>
    <m/>
    <m/>
    <n v="-1"/>
    <m/>
    <s v="Animal  - wild"/>
    <s v="Dry"/>
    <s v="Animal  - wild"/>
    <s v="Animal  - wild"/>
    <m/>
    <s v="N"/>
    <n v="2013"/>
    <s v="N"/>
    <s v="N"/>
    <s v="N"/>
    <x v="1"/>
    <s v="No collision between 2 MV in transport"/>
    <n v="55"/>
    <s v="Wild animal hit - damage only"/>
    <s v="Dark - roadway not lighted"/>
    <s v="Non-junction"/>
    <s v="County Road"/>
    <s v="Rural Major Collector"/>
    <m/>
    <s v="Wild animal hit - damage only"/>
    <s v="Clear"/>
    <s v="N"/>
    <s v="N"/>
    <s v="N"/>
    <s v="N"/>
    <n v="44.197688999999897"/>
    <n v="-102.829447"/>
    <s v="Light truck (2 axles, 4 tires)"/>
    <s v="Southbound"/>
    <s v="Wild animal hit - damage only"/>
    <s v="Animal in roadway"/>
    <s v="Wild animal hit"/>
    <s v="Wild animal hit - damage only"/>
    <s v="Wild animal hit"/>
    <n v="0"/>
    <s v="Wild animal hit"/>
    <s v="Wild animal hit"/>
  </r>
  <r>
    <n v="9"/>
    <n v="1312191"/>
    <d v="2013-10-23T18:00:00"/>
    <s v="MEADE"/>
    <s v="N"/>
    <s v="Careless driving."/>
    <s v="Lap belt and shoulder harness used"/>
    <s v="Stopped in traffic lane, Straight ahead"/>
    <n v="0"/>
    <m/>
    <s v="Motor vehicle in transport"/>
    <s v="Dry"/>
    <s v="Motor vehicle in transport"/>
    <s v="Motor vehicle in transport"/>
    <s v="Traffic control person"/>
    <s v="N"/>
    <n v="2013"/>
    <s v="N"/>
    <s v="N"/>
    <s v="N"/>
    <x v="0"/>
    <s v="Rear-end ( front to rear )"/>
    <n v="55"/>
    <s v="Asphalt ( blacktop )"/>
    <s v="Dusk"/>
    <s v="Intersection related"/>
    <s v="County Road"/>
    <s v="Rural Major Collector"/>
    <m/>
    <s v="Straight and hill crest"/>
    <s v="Clear"/>
    <s v="N"/>
    <s v="N"/>
    <s v="N"/>
    <s v="N"/>
    <n v="44.282285000000002"/>
    <n v="-102.829187"/>
    <s v="Cargo van - GVWR 10,000 lbs or less; Light truck (2 axles, 4 tires); Single-unit truck (2 axle, 6 tires) GVWR 10,000 lbs or less"/>
    <s v="Southbound"/>
    <s v="Followed too closely; None"/>
    <s v="Work zone ( construction/maintenance/utility )"/>
    <s v="None"/>
    <s v="None"/>
    <s v="0.00 BAC, 0.00 BAC, 0.00 BAC"/>
    <s v="0; 35"/>
    <s v="Intermittent or moving work"/>
    <s v="Termination area ( after the activity area but before traffic resumes normal conditions )"/>
  </r>
  <r>
    <n v="10"/>
    <n v="1312830"/>
    <d v="2013-11-05T19:35:00"/>
    <s v="MEADE"/>
    <s v="N"/>
    <s v="OVERDRIVING ROAD CONDITIONS"/>
    <s v="Lap belt and shoulder harness used"/>
    <s v="Straight ahead"/>
    <n v="0"/>
    <n v="34"/>
    <s v="Approach, Fence, Ran off road right"/>
    <s v="Dry"/>
    <s v="Approach"/>
    <s v="Approach"/>
    <s v="Stop sign"/>
    <s v="N"/>
    <n v="2013"/>
    <s v="Y"/>
    <s v="N"/>
    <s v="N"/>
    <x v="0"/>
    <s v="No collision between 2 MV in transport"/>
    <n v="65"/>
    <s v="Gravel"/>
    <s v="Dark - roadway not lighted"/>
    <s v="Four-way intersection"/>
    <s v="State Road"/>
    <s v="Rural Other Expressways"/>
    <s v="Undivided highway"/>
    <s v="Straight and level"/>
    <s v="Fog, smog, smoke"/>
    <s v="N"/>
    <s v="N"/>
    <s v="N"/>
    <s v="N"/>
    <n v="44.5233279999999"/>
    <n v="-102.82393500000001"/>
    <s v="Passenger car"/>
    <s v="Northbound"/>
    <s v="Disregarded traffic signs or signals; Driving too fast for conditions"/>
    <s v="None"/>
    <s v="None"/>
    <s v="Weather conditions"/>
    <s v="0.00 BAC"/>
    <n v="65"/>
    <s v="Not applicable"/>
    <s v="Not applicable"/>
  </r>
  <r>
    <n v="11"/>
    <n v="1315518"/>
    <d v="2013-12-19T05:15:00"/>
    <s v="MEADE"/>
    <s v="N"/>
    <m/>
    <s v="Lap belt and shoulder harness used"/>
    <s v="Straight ahead"/>
    <n v="0"/>
    <m/>
    <s v="Overturn/rollover, Ran off road right"/>
    <s v="Ice"/>
    <s v="Overturn/rollover"/>
    <s v="Overturn/rollover"/>
    <m/>
    <s v="N"/>
    <n v="2013"/>
    <s v="Y"/>
    <s v="N"/>
    <s v="N"/>
    <x v="0"/>
    <s v="No collision between 2 MV in transport"/>
    <n v="55"/>
    <s v="Asphalt ( blacktop )"/>
    <s v="Dark - roadway not lighted"/>
    <s v="Non-junction"/>
    <s v="County Road"/>
    <s v="Rural Major Collector"/>
    <m/>
    <s v="Curve on grade"/>
    <s v="Sleet, hail ( freezing rain or drizzle )"/>
    <s v="N"/>
    <s v="N"/>
    <s v="N"/>
    <s v="N"/>
    <n v="44.338206"/>
    <n v="-102.835452"/>
    <s v="Single-unit truck (2 axle, 6 tires) GVWR 10,001 lbs or more"/>
    <s v="Northbound"/>
    <s v="Driving too fast for conditions; None"/>
    <s v="Road surface condition ( wet, icy, snow, slush, etc. )"/>
    <s v="None"/>
    <s v="None"/>
    <s v="Test not given"/>
    <n v="30"/>
    <s v="Not applicable"/>
    <s v="Not applicable"/>
  </r>
  <r>
    <n v="12"/>
    <n v="1402392"/>
    <d v="2014-02-25T19:55:00"/>
    <s v="MEADE"/>
    <s v="N"/>
    <m/>
    <s v="Lap belt and shoulder harness used"/>
    <s v="Straight ahead"/>
    <n v="0"/>
    <m/>
    <s v="Cross median/centerline, Fence, Ran off road left"/>
    <s v="Ice"/>
    <s v="Fence"/>
    <s v="Ditch"/>
    <m/>
    <s v="N"/>
    <n v="2014"/>
    <s v="Y"/>
    <s v="N"/>
    <s v="N"/>
    <x v="0"/>
    <s v="No collision between 2 MV in transport"/>
    <n v="55"/>
    <s v="Asphalt ( blacktop )"/>
    <s v="Dark - roadway not lighted"/>
    <s v="Non-junction"/>
    <s v="County Road"/>
    <s v="Rural Major Collector"/>
    <m/>
    <s v="Curve on grade"/>
    <s v="Clear"/>
    <s v="N"/>
    <s v="N"/>
    <s v="N"/>
    <s v="N"/>
    <n v="44.427129999999899"/>
    <n v="-102.801186"/>
    <s v="Passenger car"/>
    <s v="Southbound"/>
    <s v="Driving too fast for conditions; None"/>
    <s v="Road surface condition ( wet, icy, snow, slush, etc. )"/>
    <s v="None"/>
    <s v="None"/>
    <s v="0.00 BAC"/>
    <n v="50"/>
    <s v="Not applicable"/>
    <s v="Not applicable"/>
  </r>
  <r>
    <n v="13"/>
    <n v="1404018"/>
    <d v="2014-03-06T18:49:00"/>
    <s v="MEADE"/>
    <s v="N"/>
    <m/>
    <s v="Lap belt and shoulder harness used"/>
    <s v="Straight ahead"/>
    <n v="0"/>
    <m/>
    <s v="Animal - domestic"/>
    <s v="Dry"/>
    <s v="Animal - domestic"/>
    <s v="Animal - domestic"/>
    <m/>
    <s v="N"/>
    <n v="2014"/>
    <s v="N"/>
    <s v="N"/>
    <s v="N"/>
    <x v="0"/>
    <s v="No collision between 2 MV in transport"/>
    <n v="55"/>
    <s v="Asphalt ( blacktop )"/>
    <s v="Dark - roadway not lighted"/>
    <s v="Non-junction"/>
    <s v="County Road"/>
    <s v="Rural Major Collector"/>
    <m/>
    <s v="Straight and level"/>
    <s v="Clear"/>
    <s v="N"/>
    <s v="N"/>
    <s v="N"/>
    <s v="N"/>
    <n v="44.2439889999999"/>
    <n v="-102.829455999999"/>
    <s v="Light truck (2 axles, 4 tires)"/>
    <s v="Northbound"/>
    <s v="None"/>
    <s v="Animal in roadway"/>
    <s v="None"/>
    <s v="None"/>
    <s v="Test not given"/>
    <n v="0"/>
    <s v="Not applicable"/>
    <s v="Not applicable"/>
  </r>
  <r>
    <n v="14"/>
    <n v="1406596"/>
    <d v="2014-06-08T20:00:00"/>
    <s v="MEADE"/>
    <s v="N"/>
    <m/>
    <s v="Lap belt and shoulder harness used"/>
    <s v="Straight ahead"/>
    <n v="0"/>
    <m/>
    <s v="Fence, Other post, pole, or support, Ran off road right"/>
    <s v="Wet"/>
    <s v="Other post, pole, or support"/>
    <s v="Other post, pole, or support"/>
    <m/>
    <s v="N"/>
    <n v="2014"/>
    <s v="N"/>
    <s v="N"/>
    <s v="N"/>
    <x v="0"/>
    <s v="No collision between 2 MV in transport"/>
    <n v="55"/>
    <s v="Asphalt ( blacktop )"/>
    <s v="Daylight"/>
    <s v="Non-junction"/>
    <s v="County Road"/>
    <s v="Rural Major Collector"/>
    <m/>
    <s v="Straight on grade"/>
    <s v="Clear"/>
    <s v="N"/>
    <s v="N"/>
    <s v="N"/>
    <s v="N"/>
    <n v="44.174489000000001"/>
    <n v="-102.829909999999"/>
    <s v="SUV ( sport utility/suburban )"/>
    <s v="Southbound"/>
    <s v="Failure to keep in proper lane; Other"/>
    <s v="None"/>
    <s v="None"/>
    <s v="None"/>
    <s v="Test not given"/>
    <n v="65"/>
    <s v="Not applicable"/>
    <s v="Not applicable"/>
  </r>
  <r>
    <n v="15"/>
    <n v="1408402"/>
    <d v="2014-07-15T18:39:00"/>
    <s v="MEADE"/>
    <s v="N"/>
    <s v="Careless driving."/>
    <s v="Lap belt and shoulder harness used"/>
    <s v="Straight ahead"/>
    <n v="0"/>
    <m/>
    <s v="Overturn/rollover, Ran off road right"/>
    <s v="Dry"/>
    <s v="Overturn/rollover"/>
    <s v="Overturn/rollover"/>
    <m/>
    <s v="N"/>
    <n v="2014"/>
    <s v="Y"/>
    <s v="N"/>
    <s v="N"/>
    <x v="2"/>
    <s v="No collision between 2 MV in transport"/>
    <n v="55"/>
    <s v="Asphalt ( blacktop )"/>
    <s v="Daylight"/>
    <s v="Non-junction"/>
    <s v="County Road"/>
    <s v="Rural Major Collector"/>
    <m/>
    <s v="Curve on grade"/>
    <s v="Clear"/>
    <s v="N"/>
    <s v="N"/>
    <s v="N"/>
    <s v="N"/>
    <n v="44.393889999999899"/>
    <n v="-102.84290900000001"/>
    <s v="Tractor/semi-trailer"/>
    <s v="Northbound"/>
    <s v="Exceeded posted speed limit; None"/>
    <s v="None"/>
    <s v="None"/>
    <s v="None"/>
    <s v="Test not given"/>
    <n v="64"/>
    <s v="Not applicable"/>
    <s v="Not applicable"/>
  </r>
  <r>
    <n v="16"/>
    <n v="1408726"/>
    <d v="2014-07-27T10:28:00"/>
    <s v="MEADE"/>
    <s v="N"/>
    <m/>
    <s v="None used"/>
    <s v="Straight ahead"/>
    <n v="0"/>
    <m/>
    <s v="Culvert, Overturn/rollover, Ran off road right, Separation of units"/>
    <s v="Dry"/>
    <s v="Overturn/rollover"/>
    <s v="Overturn/rollover"/>
    <m/>
    <s v="N"/>
    <n v="2014"/>
    <s v="N"/>
    <s v="N"/>
    <s v="N"/>
    <x v="3"/>
    <s v="No collision between 2 MV in transport"/>
    <n v="55"/>
    <s v="Asphalt ( blacktop )"/>
    <s v="Daylight"/>
    <s v="Non-junction"/>
    <s v="County Road"/>
    <s v="Rural Major Collector"/>
    <m/>
    <s v="Curve and level"/>
    <s v="Clear"/>
    <s v="N"/>
    <s v="N"/>
    <s v="N"/>
    <s v="N"/>
    <n v="44.358120999999898"/>
    <n v="-102.843281"/>
    <s v="Light truck (2 axles, 4 tires)"/>
    <s v="Southbound"/>
    <s v="None; Running off road"/>
    <s v="None"/>
    <s v="None"/>
    <s v="None"/>
    <s v="Test given, but unobtainable at time report filed"/>
    <n v="55"/>
    <s v="Not applicable"/>
    <s v="Not applicable"/>
  </r>
  <r>
    <n v="17"/>
    <n v="1409075"/>
    <d v="2014-07-15T19:20:00"/>
    <s v="MEADE"/>
    <s v="N"/>
    <m/>
    <s v="None used"/>
    <s v="Straight ahead"/>
    <n v="0"/>
    <m/>
    <s v="Overturn/rollover, Ran off road right"/>
    <s v="Dry"/>
    <s v="Overturn/rollover"/>
    <s v="Overturn/rollover"/>
    <m/>
    <s v="Y"/>
    <n v="2014"/>
    <s v="N"/>
    <s v="N"/>
    <s v="N"/>
    <x v="2"/>
    <s v="No collision between 2 MV in transport"/>
    <n v="55"/>
    <s v="Asphalt ( blacktop )"/>
    <s v="Daylight"/>
    <s v="Non-junction"/>
    <s v="County Road"/>
    <s v="Rural Major Collector"/>
    <m/>
    <s v="Straight and level"/>
    <s v="Clear"/>
    <s v="N"/>
    <s v="N"/>
    <s v="N"/>
    <s v="N"/>
    <n v="44.380046999999898"/>
    <n v="-102.843418"/>
    <s v="Motorcycle"/>
    <s v="Northbound"/>
    <s v="None"/>
    <s v="None"/>
    <s v="Power train"/>
    <s v="None"/>
    <s v="Test not given"/>
    <n v="35"/>
    <s v="Not applicable"/>
    <s v="Not applicable"/>
  </r>
  <r>
    <n v="18"/>
    <n v="1409079"/>
    <d v="2014-07-19T10:10:00"/>
    <s v="MEADE"/>
    <s v="N"/>
    <m/>
    <s v="Helmet only"/>
    <s v="Straight ahead"/>
    <n v="0"/>
    <m/>
    <s v="Overturn/rollover, Ran off road right"/>
    <s v="Dry"/>
    <s v="Overturn/rollover"/>
    <s v="Overturn/rollover"/>
    <m/>
    <s v="Y"/>
    <n v="2014"/>
    <s v="Y"/>
    <s v="N"/>
    <s v="N"/>
    <x v="4"/>
    <s v="No collision between 2 MV in transport"/>
    <n v="55"/>
    <s v="Asphalt ( blacktop )"/>
    <s v="Daylight"/>
    <s v="Non-junction"/>
    <s v="County Road"/>
    <s v="Rural Major Collector"/>
    <m/>
    <s v="Curve on grade"/>
    <s v="Clear"/>
    <s v="N"/>
    <s v="N"/>
    <s v="N"/>
    <s v="N"/>
    <n v="44.141364000000003"/>
    <n v="-102.82951300000001"/>
    <s v="Motorcycle"/>
    <s v="Northbound"/>
    <s v="Exceeded posted speed limit; None"/>
    <s v="None"/>
    <s v="None"/>
    <s v="None"/>
    <s v="Test not given"/>
    <n v="55"/>
    <s v="Not applicable"/>
    <s v="Not applicable"/>
  </r>
  <r>
    <n v="19"/>
    <n v="1410820"/>
    <d v="2014-09-23T20:30:00"/>
    <s v="MEADE"/>
    <s v="N"/>
    <m/>
    <m/>
    <m/>
    <n v="-1"/>
    <m/>
    <s v="Animal  - wild"/>
    <s v="Dry"/>
    <s v="Animal  - wild"/>
    <s v="Animal  - wild"/>
    <m/>
    <s v="N"/>
    <n v="2014"/>
    <s v="N"/>
    <s v="N"/>
    <s v="N"/>
    <x v="1"/>
    <s v="No collision between 2 MV in transport"/>
    <n v="55"/>
    <s v="Wild animal hit - damage only"/>
    <s v="Dark - roadway not lighted"/>
    <s v="Non-junction"/>
    <s v="County Road"/>
    <s v="Rural Major Collector"/>
    <m/>
    <s v="Wild animal hit - damage only"/>
    <s v="Clear"/>
    <s v="N"/>
    <s v="N"/>
    <s v="N"/>
    <s v="N"/>
    <n v="44.443458999999898"/>
    <n v="-102.812794999999"/>
    <s v="Light truck (2 axles, 4 tires)"/>
    <s v="Northbound"/>
    <s v="Wild animal hit - damage only"/>
    <s v="Wild animal hit - damage only"/>
    <s v="Wild animal hit"/>
    <s v="Wild animal hit - damage only"/>
    <s v="Wild animal hit"/>
    <n v="0"/>
    <s v="Wild animal hit"/>
    <s v="Wild animal hit"/>
  </r>
  <r>
    <n v="21"/>
    <n v="1412087"/>
    <d v="2014-10-13T16:10:00"/>
    <s v="MEADE"/>
    <s v="N"/>
    <m/>
    <s v="Lap belt and shoulder harness used"/>
    <s v="Straight ahead"/>
    <n v="0"/>
    <m/>
    <s v="Fence, Highway traffic sign post/sign, Ran off road left, Ran off road right"/>
    <s v="Dry"/>
    <s v="Highway traffic sign post/sign"/>
    <s v="Fence"/>
    <m/>
    <s v="N"/>
    <n v="2014"/>
    <s v="N"/>
    <s v="N"/>
    <s v="N"/>
    <x v="0"/>
    <s v="No collision between 2 MV in transport"/>
    <n v="55"/>
    <s v="Asphalt ( blacktop )"/>
    <s v="Daylight"/>
    <s v="Non-junction"/>
    <s v="County Road"/>
    <s v="Rural Major Collector"/>
    <m/>
    <s v="Straight and level"/>
    <s v="Clear"/>
    <s v="N"/>
    <s v="N"/>
    <s v="N"/>
    <s v="N"/>
    <n v="44.437128999999899"/>
    <n v="-102.809045999999"/>
    <s v="Passenger car"/>
    <s v="Southbound"/>
    <s v="None; Running off road"/>
    <s v="None"/>
    <s v="None"/>
    <s v="None"/>
    <s v="Test not given"/>
    <n v="50"/>
    <s v="Not applicable"/>
    <s v="Not applicable"/>
  </r>
  <r>
    <n v="22"/>
    <n v="1412824"/>
    <d v="2014-11-05T16:45:00"/>
    <s v="MEADE"/>
    <s v="N"/>
    <m/>
    <s v="Lap belt and shoulder harness used"/>
    <s v="Straight ahead"/>
    <n v="0"/>
    <m/>
    <s v="Fire/explosion"/>
    <s v="Dry"/>
    <s v="Fire/explosion"/>
    <s v="Fire/explosion"/>
    <m/>
    <s v="N"/>
    <n v="2014"/>
    <s v="N"/>
    <s v="N"/>
    <s v="N"/>
    <x v="0"/>
    <s v="No collision between 2 MV in transport"/>
    <n v="55"/>
    <s v="Asphalt ( blacktop )"/>
    <s v="Daylight"/>
    <s v="Non-junction"/>
    <s v="County Road"/>
    <s v="Rural Major Collector"/>
    <m/>
    <s v="Straight and level"/>
    <s v="Clear"/>
    <s v="N"/>
    <s v="N"/>
    <s v="N"/>
    <s v="N"/>
    <n v="44.521703000000002"/>
    <n v="-102.823956999999"/>
    <s v="Single-unit truck (3 or more axles)"/>
    <s v="Northbound"/>
    <s v="None"/>
    <s v="None"/>
    <s v="Unknown"/>
    <s v="None"/>
    <s v="Test not given"/>
    <n v="35"/>
    <s v="Not applicable"/>
    <s v="Not applicable"/>
  </r>
  <r>
    <n v="23"/>
    <n v="1415375"/>
    <d v="2014-12-09T12:00:00"/>
    <s v="MEADE"/>
    <s v="N"/>
    <m/>
    <s v="Lap belt and shoulder harness used"/>
    <s v="Overtaking/passing, Turning left"/>
    <n v="0"/>
    <m/>
    <s v="Motor vehicle in transport"/>
    <s v="Dry"/>
    <s v="Motor vehicle in transport"/>
    <s v="Motor vehicle in transport"/>
    <m/>
    <s v="N"/>
    <n v="2014"/>
    <s v="N"/>
    <s v="N"/>
    <s v="N"/>
    <x v="0"/>
    <s v="Sideswipe, same direction"/>
    <n v="55"/>
    <s v="Asphalt ( blacktop )"/>
    <s v="Daylight"/>
    <s v="Driveway access"/>
    <s v="County Road"/>
    <s v="Rural Major Collector"/>
    <m/>
    <s v="Straight on grade"/>
    <s v="Clear"/>
    <s v="N"/>
    <s v="N"/>
    <s v="N"/>
    <s v="N"/>
    <n v="44.277613000000002"/>
    <n v="-102.82923700000001"/>
    <s v="Light truck (2 axles, 4 tires); Tractor/semi-trailer"/>
    <s v="Southbound"/>
    <s v="Improper passing; None"/>
    <s v="None"/>
    <s v="None"/>
    <s v="None"/>
    <s v="0.00 BAC, 0.00 BAC"/>
    <s v="10; 45"/>
    <s v="Not applicable"/>
    <s v="Not applicable"/>
  </r>
  <r>
    <n v="24"/>
    <n v="1416395"/>
    <d v="2014-12-29T04:40:00"/>
    <s v="MEADE"/>
    <s v="N"/>
    <m/>
    <s v="Lap belt and shoulder harness used"/>
    <s v="Straight ahead"/>
    <n v="0"/>
    <m/>
    <s v="Overturn/rollover, Ran off road right"/>
    <s v="Ice"/>
    <s v="Overturn/rollover"/>
    <s v="Overturn/rollover"/>
    <m/>
    <s v="N"/>
    <n v="2014"/>
    <s v="N"/>
    <s v="N"/>
    <s v="N"/>
    <x v="0"/>
    <s v="No collision between 2 MV in transport"/>
    <n v="55"/>
    <s v="Asphalt ( blacktop )"/>
    <s v="Dark - roadway not lighted"/>
    <s v="Non-junction"/>
    <s v="County Road"/>
    <s v="Rural Major Collector"/>
    <m/>
    <s v="Straight on grade"/>
    <s v="Snow, Blowing snow"/>
    <s v="Y"/>
    <s v="N"/>
    <s v="N"/>
    <s v="N"/>
    <n v="44.291021000000001"/>
    <n v="-102.829111999999"/>
    <s v="Cargo van - GVWR 10,000 lbs or less"/>
    <s v="Northbound"/>
    <s v="Over-correcting/over-steering; Running off road"/>
    <s v="Road surface condition ( wet, icy, snow, slush, etc. )"/>
    <s v="None"/>
    <s v="Weather conditions"/>
    <s v="Test not given"/>
    <n v="45"/>
    <s v="Not applicable"/>
    <s v="Not applicable"/>
  </r>
  <r>
    <n v="25"/>
    <n v="1500188"/>
    <d v="2015-01-07T17:50:00"/>
    <s v="MEADE"/>
    <s v="N"/>
    <m/>
    <s v="Lap belt and shoulder harness used"/>
    <s v="Straight ahead"/>
    <n v="0"/>
    <m/>
    <s v="Fence, Ran off road right"/>
    <s v="Dry"/>
    <s v="Fence"/>
    <s v="Fence"/>
    <m/>
    <s v="N"/>
    <n v="2015"/>
    <s v="N"/>
    <s v="N"/>
    <s v="N"/>
    <x v="4"/>
    <s v="No collision between 2 MV in transport"/>
    <n v="55"/>
    <s v="Asphalt ( blacktop )"/>
    <s v="Dark - roadway not lighted"/>
    <s v="Non-junction"/>
    <s v="County Road"/>
    <s v="Rural Major Collector"/>
    <m/>
    <s v="Curve on grade"/>
    <s v="Clear"/>
    <s v="N"/>
    <s v="N"/>
    <s v="N"/>
    <s v="N"/>
    <n v="44.399408000000001"/>
    <n v="-102.814897"/>
    <s v="SUV ( sport utility/suburban )"/>
    <s v="Southbound"/>
    <s v="Running off road; Swerving or avoiding due to wind, slippery surface, vehicle, object, non-motorist, etc."/>
    <s v="None"/>
    <s v="None"/>
    <s v="None"/>
    <s v="0.00 BAC"/>
    <n v="55"/>
    <s v="Not applicable"/>
    <s v="Not applicable"/>
  </r>
  <r>
    <n v="26"/>
    <n v="1506556"/>
    <d v="2015-06-13T22:00:00"/>
    <s v="MEADE"/>
    <s v="N"/>
    <m/>
    <s v="Lap belt and shoulder harness used"/>
    <s v="Straight ahead"/>
    <n v="0"/>
    <m/>
    <s v="Animal - domestic"/>
    <s v="Dry"/>
    <s v="Animal - domestic"/>
    <s v="Animal - domestic"/>
    <m/>
    <s v="N"/>
    <n v="2015"/>
    <s v="N"/>
    <s v="N"/>
    <s v="N"/>
    <x v="0"/>
    <s v="No collision between 2 MV in transport"/>
    <n v="55"/>
    <s v="Asphalt ( blacktop )"/>
    <s v="Dark - roadway not lighted"/>
    <s v="Non-junction"/>
    <s v="County Road"/>
    <s v="Rural Major Collector"/>
    <m/>
    <s v="Straight and level"/>
    <s v="Cloudy"/>
    <s v="N"/>
    <s v="N"/>
    <s v="N"/>
    <s v="N"/>
    <n v="44.377926000000002"/>
    <n v="-102.843418"/>
    <s v="Passenger car"/>
    <s v="Southbound"/>
    <s v="None"/>
    <s v="Animal in roadway"/>
    <s v="None"/>
    <s v="None"/>
    <s v="Test not given"/>
    <n v="0"/>
    <s v="Not applicable"/>
    <s v="Not applicable"/>
  </r>
  <r>
    <n v="28"/>
    <n v="1510846"/>
    <d v="2015-09-13T13:31:00"/>
    <s v="MEADE"/>
    <s v="N"/>
    <m/>
    <s v="Lap belt and shoulder harness used"/>
    <s v="Straight ahead"/>
    <n v="0"/>
    <m/>
    <s v="Fire/explosion"/>
    <s v="Dry"/>
    <s v="Fire/explosion"/>
    <s v="Fire/explosion"/>
    <m/>
    <s v="N"/>
    <n v="2015"/>
    <s v="N"/>
    <s v="N"/>
    <s v="N"/>
    <x v="0"/>
    <s v="No collision between 2 MV in transport"/>
    <n v="55"/>
    <s v="Asphalt ( blacktop )"/>
    <s v="Daylight"/>
    <s v="Non-junction"/>
    <s v="County Road"/>
    <s v="Rural Major Collector"/>
    <m/>
    <s v="Straight and level"/>
    <s v="Clear"/>
    <s v="N"/>
    <s v="N"/>
    <s v="N"/>
    <s v="N"/>
    <n v="44.2689629999999"/>
    <n v="-102.829330999999"/>
    <s v="Tractor/semi-trailer"/>
    <s v="Southbound"/>
    <s v="None"/>
    <s v="None"/>
    <s v="Exhaust"/>
    <s v="None"/>
    <s v="Test not given"/>
    <n v="55"/>
    <s v="Not applicable"/>
    <s v="Not applicable"/>
  </r>
  <r>
    <n v="29"/>
    <n v="1511659"/>
    <d v="2015-09-23T22:13:00"/>
    <s v="MEADE"/>
    <s v="N"/>
    <m/>
    <m/>
    <m/>
    <n v="-1"/>
    <m/>
    <s v="Animal  - wild"/>
    <s v="Dry"/>
    <s v="Animal  - wild"/>
    <s v="Animal  - wild"/>
    <m/>
    <s v="N"/>
    <n v="2015"/>
    <s v="N"/>
    <s v="N"/>
    <s v="N"/>
    <x v="1"/>
    <s v="No collision between 2 MV in transport"/>
    <n v="55"/>
    <s v="Wild animal hit - damage only"/>
    <s v="Dark - roadway not lighted"/>
    <s v="Non-junction"/>
    <s v="County Road"/>
    <s v="Rural Major Collector"/>
    <m/>
    <s v="Wild animal hit - damage only"/>
    <s v="Clear"/>
    <s v="N"/>
    <s v="N"/>
    <s v="N"/>
    <s v="N"/>
    <n v="44.387450000000001"/>
    <n v="-102.84342100000001"/>
    <s v="Passenger car"/>
    <s v="Westbound"/>
    <s v="Wild animal hit - damage only"/>
    <s v="Animal in roadway"/>
    <s v="Wild animal hit"/>
    <s v="Wild animal hit - damage only"/>
    <s v="Wild animal hit"/>
    <n v="0"/>
    <s v="Wild animal hit"/>
    <s v="Wild animal hit"/>
  </r>
  <r>
    <n v="30"/>
    <n v="1512781"/>
    <d v="2015-10-23T19:00:00"/>
    <s v="MEADE"/>
    <s v="N"/>
    <m/>
    <m/>
    <m/>
    <n v="-1"/>
    <m/>
    <s v="Animal  - wild"/>
    <s v="Dry"/>
    <s v="Animal  - wild"/>
    <s v="Animal  - wild"/>
    <m/>
    <s v="N"/>
    <n v="2015"/>
    <s v="N"/>
    <s v="N"/>
    <s v="N"/>
    <x v="1"/>
    <s v="No collision between 2 MV in transport"/>
    <n v="55"/>
    <s v="Wild animal hit - damage only"/>
    <s v="Dark - roadway not lighted"/>
    <s v="Non-junction"/>
    <s v="County Road"/>
    <s v="Rural Major Collector"/>
    <m/>
    <s v="Wild animal hit - damage only"/>
    <s v="Clear"/>
    <s v="N"/>
    <s v="N"/>
    <s v="N"/>
    <s v="N"/>
    <n v="44.414459999999899"/>
    <n v="-102.791375"/>
    <s v="Passenger car"/>
    <s v="Southbound"/>
    <s v="Wild animal hit - damage only"/>
    <s v="Animal in roadway"/>
    <s v="Wild animal hit"/>
    <s v="Wild animal hit - damage only"/>
    <s v="Wild animal hit"/>
    <n v="0"/>
    <s v="Wild animal hit"/>
    <s v="Wild animal hit"/>
  </r>
  <r>
    <n v="31"/>
    <n v="1514632"/>
    <d v="2015-11-20T08:18:00"/>
    <s v="MEADE"/>
    <s v="N"/>
    <m/>
    <m/>
    <s v="Parked, Straight ahead"/>
    <n v="0"/>
    <m/>
    <s v="Parked motor vehicle, Ran off road right"/>
    <s v="Wet"/>
    <s v="Parked motor vehicle"/>
    <s v="Not reported, Parked motor vehicle"/>
    <m/>
    <s v="N"/>
    <n v="2015"/>
    <s v="Y"/>
    <s v="N"/>
    <s v="N"/>
    <x v="0"/>
    <s v="No collision between 2 MV in transport"/>
    <n v="55"/>
    <s v="Asphalt ( blacktop )"/>
    <s v="Daylight"/>
    <s v="Non-junction"/>
    <s v="County Road"/>
    <s v="Rural Major Collector"/>
    <m/>
    <s v="Curve and level"/>
    <s v="Cloudy, Snow"/>
    <s v="N"/>
    <s v="N"/>
    <s v="N"/>
    <s v="N"/>
    <n v="44.358120999999898"/>
    <n v="-102.843281"/>
    <s v="Light truck (2 axles, 4 tires); Tractor/semi-trailer"/>
    <s v="Not on roadway ( also use for parked motor vehicle ); Southbound"/>
    <s v="Driving too fast for conditions; None; Not applicable"/>
    <s v="Not applicable; Road surface condition ( wet, icy, snow, slush, etc. )"/>
    <s v="None; Not applicable"/>
    <s v="None; Not applicable"/>
    <s v="Test not given, Not applicable"/>
    <s v="0; 35"/>
    <s v="Not applicable"/>
    <s v="Not applicable"/>
  </r>
  <r>
    <n v="33"/>
    <n v="1515000"/>
    <d v="2015-11-25T15:09:00"/>
    <s v="MEADE"/>
    <s v="N"/>
    <m/>
    <m/>
    <m/>
    <n v="-1"/>
    <m/>
    <s v="Animal  - wild"/>
    <s v="Sand, mud, dirt, gravel"/>
    <s v="Animal  - wild"/>
    <s v="Animal  - wild"/>
    <m/>
    <s v="N"/>
    <n v="2015"/>
    <s v="N"/>
    <s v="N"/>
    <s v="N"/>
    <x v="1"/>
    <s v="No collision between 2 MV in transport"/>
    <n v="55"/>
    <s v="Wild animal hit - damage only"/>
    <s v="Daylight"/>
    <s v="Non-junction"/>
    <s v="County Road"/>
    <s v="Rural Major Collector"/>
    <m/>
    <s v="Wild animal hit - damage only"/>
    <s v="Snow"/>
    <s v="N"/>
    <s v="N"/>
    <s v="N"/>
    <s v="N"/>
    <n v="44.317456999999898"/>
    <n v="-102.828965999999"/>
    <s v="Passenger car"/>
    <s v="Northbound"/>
    <s v="Wild animal hit - damage only"/>
    <s v="Animal in roadway"/>
    <s v="Wild animal hit"/>
    <s v="Wild animal hit - damage only"/>
    <s v="Wild animal hit"/>
    <n v="0"/>
    <s v="Wild animal hit"/>
    <s v="Wild animal hit"/>
  </r>
  <r>
    <n v="34"/>
    <n v="1516391"/>
    <d v="2015-12-15T13:45:00"/>
    <s v="MEADE"/>
    <s v="N"/>
    <m/>
    <s v="Lap belt and shoulder harness used"/>
    <s v="Straight ahead"/>
    <n v="0"/>
    <m/>
    <s v="Overturn/rollover, Ran off road left"/>
    <s v="Ice"/>
    <s v="Overturn/rollover"/>
    <s v="Overturn/rollover"/>
    <m/>
    <s v="N"/>
    <n v="2015"/>
    <s v="Y"/>
    <s v="N"/>
    <s v="N"/>
    <x v="2"/>
    <s v="No collision between 2 MV in transport"/>
    <n v="55"/>
    <s v="Concrete"/>
    <s v="Daylight"/>
    <s v="Non-junction"/>
    <s v="County Road"/>
    <s v="Rural Major Collector"/>
    <m/>
    <s v="Straight and level"/>
    <s v="Sleet, hail ( freezing rain or drizzle ), Snow"/>
    <s v="Y"/>
    <s v="N"/>
    <s v="N"/>
    <s v="N"/>
    <n v="44.196738000000003"/>
    <n v="-102.829443999999"/>
    <s v="Light truck (2 axles, 4 tires)"/>
    <s v="Northbound"/>
    <s v="Driving too fast for conditions; Over-correcting/over-steering"/>
    <s v="Road surface condition ( wet, icy, snow, slush, etc. )"/>
    <s v="None"/>
    <s v="None"/>
    <s v="Test not given"/>
    <n v="50"/>
    <s v="Not applicable"/>
    <s v="Not applicable"/>
  </r>
  <r>
    <n v="35"/>
    <n v="1601701"/>
    <d v="2016-02-14T22:50:00"/>
    <s v="MEADE"/>
    <s v="N"/>
    <m/>
    <s v="Lap belt and shoulder harness used"/>
    <s v="Straight ahead"/>
    <n v="0"/>
    <m/>
    <s v="Animal - domestic"/>
    <s v="Dry"/>
    <s v="Animal - domestic"/>
    <s v="Animal - domestic"/>
    <m/>
    <s v="N"/>
    <n v="2016"/>
    <s v="N"/>
    <s v="N"/>
    <s v="N"/>
    <x v="0"/>
    <s v="No collision between 2 MV in transport"/>
    <n v="55"/>
    <s v="Concrete"/>
    <s v="Dark - roadway not lighted"/>
    <s v="Non-junction"/>
    <s v="County Road"/>
    <s v="Rural Major Collector"/>
    <m/>
    <s v="Straight and level"/>
    <s v="Clear"/>
    <s v="N"/>
    <s v="N"/>
    <s v="N"/>
    <s v="N"/>
    <n v="44.426889000000003"/>
    <n v="-102.797415"/>
    <s v="SUV ( sport utility/suburban )"/>
    <s v="Westbound"/>
    <s v="None"/>
    <s v="Animal in roadway"/>
    <s v="None"/>
    <s v="None"/>
    <s v="Test not given"/>
    <n v="55"/>
    <s v="Not applicable"/>
    <s v="Not applicable"/>
  </r>
  <r>
    <n v="36"/>
    <n v="1605089"/>
    <d v="2016-05-08T20:30:00"/>
    <s v="MEADE"/>
    <s v="N"/>
    <m/>
    <m/>
    <m/>
    <n v="-1"/>
    <m/>
    <s v="Animal  - wild"/>
    <s v="Dry"/>
    <s v="Animal  - wild"/>
    <s v="Animal  - wild"/>
    <m/>
    <s v="N"/>
    <n v="2016"/>
    <s v="N"/>
    <s v="N"/>
    <s v="N"/>
    <x v="1"/>
    <s v="No collision between 2 MV in transport"/>
    <n v="55"/>
    <s v="Wild animal hit - damage only"/>
    <s v="Dark - roadway not lighted"/>
    <s v="Non-junction"/>
    <s v="County Road"/>
    <s v="Rural Major Collector"/>
    <m/>
    <s v="Wild animal hit - damage only"/>
    <s v="Clear"/>
    <s v="N"/>
    <s v="N"/>
    <s v="N"/>
    <s v="N"/>
    <n v="44.176073000000002"/>
    <n v="-102.829723999999"/>
    <s v="Passenger car"/>
    <s v="Southbound"/>
    <s v="Wild animal hit - damage only"/>
    <s v="Animal in roadway"/>
    <s v="Wild animal hit"/>
    <s v="Wild animal hit - damage only"/>
    <s v="Wild animal hit"/>
    <n v="0"/>
    <s v="Wild animal hit"/>
    <s v="Wild animal hit"/>
  </r>
  <r>
    <n v="37"/>
    <n v="1605728"/>
    <d v="2016-04-09T07:51:00"/>
    <s v="MEADE"/>
    <s v="N"/>
    <s v="VEHICULAR BATTERY, DUI, OPEN CONTAINER IN VEHICLE"/>
    <s v="None used"/>
    <s v="Straight ahead"/>
    <n v="0"/>
    <m/>
    <s v="Motor vehicle in transport, Overturn/rollover, Ran off road right"/>
    <s v="Dry"/>
    <s v="Overturn/rollover"/>
    <s v="Overturn/rollover"/>
    <m/>
    <s v="N"/>
    <n v="2016"/>
    <s v="N"/>
    <s v="N"/>
    <s v="Y"/>
    <x v="5"/>
    <s v="No collision between 2 MV in transport"/>
    <n v="55"/>
    <s v="Concrete"/>
    <s v="Dark - roadway not lighted"/>
    <s v="Non-junction"/>
    <s v="County Road"/>
    <s v="Rural Major Collector"/>
    <m/>
    <s v="Straight and level"/>
    <s v="Clear"/>
    <s v="Y"/>
    <s v="N"/>
    <s v="N"/>
    <s v="N"/>
    <n v="44.483483999999898"/>
    <n v="-102.820002"/>
    <s v="Light truck (2 axles, 4 tires)"/>
    <s v="Northbound"/>
    <s v="None; Over-correcting/over-steering"/>
    <s v="None"/>
    <s v="None"/>
    <s v="None"/>
    <s v="0.11 BAC, Not reported"/>
    <n v="75"/>
    <s v="Not applicable"/>
    <s v="Not applicable"/>
  </r>
  <r>
    <n v="38"/>
    <n v="1605729"/>
    <d v="2016-05-05T01:00:00"/>
    <s v="MEADE"/>
    <s v="N"/>
    <s v="IMPROPERLY EQUIPPED VEHICLES ON HIGHWAY."/>
    <s v="Lap belt and shoulder harness used"/>
    <s v="Straight ahead"/>
    <n v="0"/>
    <m/>
    <s v="Equipment failure ( tires, brakes, etc. ), Overturn/rollover, Ran off road left"/>
    <s v="Dry"/>
    <s v="Overturn/rollover"/>
    <s v="Overturn/rollover"/>
    <m/>
    <s v="N"/>
    <n v="2016"/>
    <s v="N"/>
    <s v="N"/>
    <s v="N"/>
    <x v="5"/>
    <s v="No collision between 2 MV in transport"/>
    <n v="55"/>
    <s v="Asphalt ( blacktop )"/>
    <s v="Dark - roadway not lighted"/>
    <s v="Non-junction"/>
    <s v="County Road"/>
    <s v="Rural Major Collector"/>
    <m/>
    <s v="Straight and level"/>
    <s v="Clear"/>
    <s v="N"/>
    <s v="N"/>
    <s v="N"/>
    <s v="N"/>
    <n v="44.496026000000001"/>
    <n v="-102.823915999999"/>
    <s v="Passenger car"/>
    <s v="Southbound"/>
    <s v="None"/>
    <s v="None"/>
    <s v="Steering"/>
    <s v="None"/>
    <s v="Test not given"/>
    <n v="55"/>
    <s v="Not applicable"/>
    <s v="Not applicable"/>
  </r>
  <r>
    <n v="39"/>
    <n v="1606503"/>
    <d v="2016-06-07T18:45:00"/>
    <s v="MEADE"/>
    <s v="N"/>
    <s v="25) - ALL MUNICPAL / COUNTY - SPEEDING (21 - 25 OVER), ADULT SEATBELT VIOLATION ---- AFTER 9/1/73"/>
    <s v="None used"/>
    <s v="Straight ahead"/>
    <n v="0"/>
    <m/>
    <s v="Overturn/rollover, Ran off road left"/>
    <s v="Dry"/>
    <s v="Overturn/rollover"/>
    <s v="Overturn/rollover"/>
    <m/>
    <s v="N"/>
    <n v="2016"/>
    <s v="Y"/>
    <s v="N"/>
    <s v="N"/>
    <x v="2"/>
    <s v="No collision between 2 MV in transport"/>
    <n v="55"/>
    <s v="Asphalt ( blacktop )"/>
    <s v="Daylight"/>
    <s v="Non-junction"/>
    <s v="County Road"/>
    <s v="Rural Major Collector"/>
    <m/>
    <s v="Curve and level"/>
    <s v="Clear"/>
    <s v="N"/>
    <s v="N"/>
    <s v="Y"/>
    <s v="N"/>
    <n v="44.394438999999899"/>
    <n v="-102.841763"/>
    <s v="Passenger car"/>
    <s v="Northbound"/>
    <s v="Distracted (list distraction in narrative); Exceeded posted speed limit"/>
    <s v="None"/>
    <s v="None"/>
    <s v="None"/>
    <s v="0.00 BAC"/>
    <n v="80"/>
    <s v="Not applicable"/>
    <s v="Not applicable"/>
  </r>
  <r>
    <n v="40"/>
    <n v="1612593"/>
    <d v="2016-10-01T08:57:00"/>
    <s v="MEADE"/>
    <s v="N"/>
    <m/>
    <m/>
    <m/>
    <n v="-1"/>
    <m/>
    <s v="Animal  - wild"/>
    <s v="Dry"/>
    <s v="Animal  - wild"/>
    <s v="Animal  - wild"/>
    <m/>
    <s v="N"/>
    <n v="2016"/>
    <s v="N"/>
    <s v="N"/>
    <s v="N"/>
    <x v="1"/>
    <s v="No collision between 2 MV in transport"/>
    <n v="55"/>
    <s v="Wild animal hit - damage only"/>
    <s v="Daylight"/>
    <s v="Non-junction"/>
    <s v="County Road"/>
    <s v="Rural Major Collector"/>
    <m/>
    <s v="Wild animal hit - damage only"/>
    <s v="Clear"/>
    <s v="N"/>
    <s v="N"/>
    <s v="N"/>
    <s v="N"/>
    <n v="44.4040409999999"/>
    <n v="-102.78976"/>
    <s v="SUV ( sport utility/suburban )"/>
    <s v="Northbound"/>
    <s v="Wild animal hit - damage only"/>
    <s v="Animal in roadway"/>
    <s v="Wild animal hit"/>
    <s v="Wild animal hit - damage only"/>
    <s v="Wild animal hit"/>
    <n v="0"/>
    <s v="Wild animal hit"/>
    <s v="Wild animal hit"/>
  </r>
  <r>
    <n v="41"/>
    <n v="1614356"/>
    <d v="2016-11-12T03:00:00"/>
    <s v="MEADE"/>
    <s v="N"/>
    <m/>
    <m/>
    <m/>
    <n v="-1"/>
    <m/>
    <s v="Animal  - wild"/>
    <s v="Dry"/>
    <s v="Animal  - wild"/>
    <s v="Animal  - wild"/>
    <m/>
    <s v="N"/>
    <n v="2016"/>
    <s v="N"/>
    <s v="N"/>
    <s v="N"/>
    <x v="1"/>
    <s v="No collision between 2 MV in transport"/>
    <n v="55"/>
    <s v="Wild animal hit - damage only"/>
    <s v="Dark - roadway not lighted"/>
    <s v="Non-junction"/>
    <s v="County Road"/>
    <s v="Rural Major Collector"/>
    <m/>
    <s v="Wild animal hit - damage only"/>
    <s v="Clear"/>
    <s v="N"/>
    <s v="N"/>
    <s v="N"/>
    <s v="N"/>
    <n v="44.212065000000003"/>
    <n v="-102.829493999999"/>
    <s v="Light truck (2 axles, 4 tires)"/>
    <s v="Northbound"/>
    <s v="Wild animal hit - damage only"/>
    <s v="Animal in roadway"/>
    <s v="Wild animal hit"/>
    <s v="Wild animal hit - damage only"/>
    <s v="Wild animal hit"/>
    <n v="0"/>
    <s v="Wild animal hit"/>
    <s v="Wild animal hit"/>
  </r>
  <r>
    <n v="42"/>
    <n v="1615319"/>
    <d v="2016-11-22T17:30:00"/>
    <s v="MEADE"/>
    <s v="N"/>
    <m/>
    <m/>
    <m/>
    <n v="-1"/>
    <m/>
    <s v="Animal  - wild"/>
    <s v="Dry"/>
    <s v="Animal  - wild"/>
    <s v="Animal  - wild"/>
    <m/>
    <s v="N"/>
    <n v="2016"/>
    <s v="N"/>
    <s v="N"/>
    <s v="N"/>
    <x v="1"/>
    <s v="No collision between 2 MV in transport"/>
    <n v="55"/>
    <s v="Wild animal hit - damage only"/>
    <s v="Dark - roadway not lighted"/>
    <s v="Non-junction"/>
    <s v="County Road"/>
    <s v="Rural Major Collector"/>
    <m/>
    <s v="Wild animal hit - damage only"/>
    <s v="Clear"/>
    <s v="N"/>
    <s v="N"/>
    <s v="N"/>
    <s v="N"/>
    <n v="44.355725999999898"/>
    <n v="-102.840114999999"/>
    <s v="Light truck (2 axles, 4 tires)"/>
    <s v="Southbound"/>
    <s v="Wild animal hit - damage only"/>
    <s v="Animal in roadway"/>
    <s v="Wild animal hit"/>
    <s v="Wild animal hit - damage only"/>
    <s v="Wild animal hit"/>
    <n v="0"/>
    <s v="Wild animal hit"/>
    <s v="Wild animal hit"/>
  </r>
  <r>
    <n v="45"/>
    <n v="1616326"/>
    <d v="2016-12-10T10:35:00"/>
    <s v="MEADE"/>
    <s v="N"/>
    <m/>
    <s v="Lap belt and shoulder harness used"/>
    <s v="Straight ahead"/>
    <n v="0"/>
    <m/>
    <s v="Bridge pier or support, Cargo/equipment loss or shift, Delineator post, Separation of units"/>
    <s v="Dry"/>
    <s v="Delineator post"/>
    <s v="Bridge pier or support"/>
    <m/>
    <s v="N"/>
    <n v="2016"/>
    <s v="N"/>
    <s v="N"/>
    <s v="N"/>
    <x v="0"/>
    <s v="No collision between 2 MV in transport"/>
    <n v="55"/>
    <s v="Asphalt ( blacktop )"/>
    <s v="Daylight"/>
    <s v="Non-junction"/>
    <s v="County Road"/>
    <s v="Rural Major Collector"/>
    <m/>
    <s v="Straight and level"/>
    <s v="Clear"/>
    <s v="N"/>
    <s v="N"/>
    <s v="N"/>
    <s v="N"/>
    <n v="44.398744999999899"/>
    <n v="-102.820239"/>
    <s v="Light truck (2 axles, 4 tires)"/>
    <s v="Northbound"/>
    <s v="None; Running off road"/>
    <s v="None"/>
    <s v="None"/>
    <s v="None"/>
    <s v="Test not given"/>
    <n v="50"/>
    <s v="Not applicable"/>
    <s v="Not applicable"/>
  </r>
  <r>
    <n v="46"/>
    <n v="1616828"/>
    <d v="2016-12-09T11:30:00"/>
    <s v="MEADE"/>
    <s v="N"/>
    <m/>
    <s v="Lap belt and shoulder harness used"/>
    <s v="Straight ahead"/>
    <n v="0"/>
    <m/>
    <s v="Delineator post, Ran off road right"/>
    <s v="Snow"/>
    <s v="Delineator post"/>
    <s v="Delineator post"/>
    <m/>
    <s v="N"/>
    <n v="2016"/>
    <s v="N"/>
    <s v="N"/>
    <s v="N"/>
    <x v="0"/>
    <s v="No collision between 2 MV in transport"/>
    <n v="55"/>
    <s v="Asphalt ( blacktop )"/>
    <s v="Daylight"/>
    <s v="Non-junction"/>
    <s v="County Road"/>
    <s v="Rural Major Collector"/>
    <m/>
    <s v="Straight and level"/>
    <s v="Clear"/>
    <s v="N"/>
    <s v="N"/>
    <s v="N"/>
    <s v="N"/>
    <n v="44.344141999999898"/>
    <n v="-102.836106999999"/>
    <s v="Passenger car"/>
    <s v="Southbound"/>
    <s v="None; Swerving or avoiding due to wind, slippery surface, vehicle, object, non-motorist, etc."/>
    <s v="None"/>
    <s v="None"/>
    <s v="None"/>
    <s v="Test not given"/>
    <n v="0"/>
    <s v="Not applicable"/>
    <s v="Not applicable"/>
  </r>
  <r>
    <n v="49"/>
    <n v="1700865"/>
    <d v="2017-01-16T16:00:00"/>
    <s v="MEADE"/>
    <s v="N"/>
    <m/>
    <s v="Lap belt and shoulder harness used"/>
    <s v="Straight ahead"/>
    <n v="0"/>
    <m/>
    <s v="Fence, Overturn/rollover, Ran off road left"/>
    <s v="Ice"/>
    <s v="Overturn/rollover"/>
    <s v="Overturn/rollover"/>
    <m/>
    <s v="N"/>
    <n v="2017"/>
    <s v="N"/>
    <s v="N"/>
    <s v="N"/>
    <x v="4"/>
    <s v="No collision between 2 MV in transport"/>
    <n v="55"/>
    <s v="Asphalt ( blacktop )"/>
    <s v="Daylight"/>
    <s v="Non-junction"/>
    <s v="County Road"/>
    <s v="Rural Major Collector"/>
    <m/>
    <s v="Straight on grade"/>
    <s v="Cloudy, Blowing snow"/>
    <s v="N"/>
    <s v="N"/>
    <s v="N"/>
    <s v="N"/>
    <n v="44.190458"/>
    <n v="-102.829421999999"/>
    <s v="Light truck (2 axles, 4 tires)"/>
    <s v="Northbound"/>
    <s v="None"/>
    <s v="Road surface condition ( wet, icy, snow, slush, etc. )"/>
    <s v="None"/>
    <s v="None"/>
    <s v="Test not given, Not reported"/>
    <n v="40"/>
    <m/>
    <m/>
  </r>
  <r>
    <n v="50"/>
    <n v="1702150"/>
    <d v="2017-02-14T18:40:00"/>
    <s v="MEADE"/>
    <s v="N"/>
    <m/>
    <m/>
    <m/>
    <n v="-1"/>
    <m/>
    <s v="Animal  - wild"/>
    <s v="Dry"/>
    <s v="Animal  - wild"/>
    <s v="Animal  - wild"/>
    <m/>
    <s v="N"/>
    <n v="2017"/>
    <s v="N"/>
    <s v="N"/>
    <s v="N"/>
    <x v="1"/>
    <s v="No collision between 2 MV in transport"/>
    <n v="55"/>
    <s v="Wild animal hit - damage only"/>
    <s v="Dark - roadway not lighted"/>
    <s v="Non-junction"/>
    <s v="County Road"/>
    <s v="Rural Major Collector"/>
    <m/>
    <s v="Wild animal hit - damage only"/>
    <s v="Clear"/>
    <s v="N"/>
    <s v="N"/>
    <s v="N"/>
    <s v="N"/>
    <n v="44.449615999999899"/>
    <n v="-102.813648999999"/>
    <s v="SUV ( sport utility/suburban )"/>
    <s v="Northbound"/>
    <s v="Wild animal hit - damage only"/>
    <s v="Animal in roadway"/>
    <s v="Wild animal hit"/>
    <s v="Wild animal hit - damage only"/>
    <s v="Wild animal hit"/>
    <n v="0"/>
    <s v="Wild animal hit"/>
    <s v="Wild animal hit"/>
  </r>
  <r>
    <n v="51"/>
    <n v="1708340"/>
    <d v="2017-07-06T12:30:00"/>
    <s v="MEADE"/>
    <s v="N"/>
    <s v="DRIVERS LICENSE SUSPENDED, CARELESS DRIVING."/>
    <s v="Lap belt and shoulder harness used"/>
    <s v="Straight ahead"/>
    <n v="0"/>
    <m/>
    <s v="Cross median/centerline, Fence, Ran off road left"/>
    <s v="Dry"/>
    <s v="Fence"/>
    <s v="Fence"/>
    <s v="Warning sign"/>
    <s v="N"/>
    <n v="2017"/>
    <s v="Y"/>
    <s v="N"/>
    <s v="N"/>
    <x v="0"/>
    <s v="No collision between 2 MV in transport"/>
    <n v="55"/>
    <s v="Asphalt ( blacktop )"/>
    <s v="Daylight"/>
    <s v="Non-junction"/>
    <s v="County Road"/>
    <s v="Rural Major Collector"/>
    <m/>
    <s v="Curve and level"/>
    <s v="Clear"/>
    <s v="N"/>
    <s v="N"/>
    <s v="N"/>
    <s v="N"/>
    <n v="44.484914000000003"/>
    <n v="-102.821495999999"/>
    <s v="Mini-van/passenger van with seats for 8 or less, including driver"/>
    <s v="Southbound"/>
    <s v="Exceeded posted speed limit; Failure to keep in proper lane"/>
    <s v="None"/>
    <s v="None"/>
    <s v="None"/>
    <s v="0.00 BAC"/>
    <n v="65"/>
    <s v="Not applicable"/>
    <s v="Not applicable"/>
  </r>
  <r>
    <n v="52"/>
    <n v="1708326"/>
    <d v="2017-07-08T02:00:00"/>
    <s v="MEADE"/>
    <s v="N"/>
    <m/>
    <m/>
    <m/>
    <n v="-1"/>
    <m/>
    <s v="Animal  - wild"/>
    <s v="Dry"/>
    <s v="Animal  - wild"/>
    <s v="Animal  - wild"/>
    <m/>
    <s v="N"/>
    <n v="2017"/>
    <s v="N"/>
    <s v="N"/>
    <s v="N"/>
    <x v="1"/>
    <s v="No collision between 2 MV in transport"/>
    <n v="55"/>
    <s v="Wild animal hit - damage only"/>
    <s v="Dark - roadway not lighted"/>
    <s v="Non-junction"/>
    <s v="County Road"/>
    <s v="Rural Major Collector"/>
    <m/>
    <s v="Wild animal hit - damage only"/>
    <s v="Clear"/>
    <s v="N"/>
    <s v="N"/>
    <s v="N"/>
    <s v="N"/>
    <n v="44.226638999999899"/>
    <n v="-102.829481"/>
    <s v="SUV ( sport utility/suburban )"/>
    <s v="Southbound"/>
    <s v="Wild animal hit - damage only"/>
    <s v="Animal in roadway"/>
    <s v="Wild animal hit"/>
    <s v="Wild animal hit - damage only"/>
    <s v="Wild animal hit"/>
    <n v="0"/>
    <s v="Wild animal hit"/>
    <s v="Wild animal hit"/>
  </r>
  <r>
    <n v="53"/>
    <n v="1709733"/>
    <d v="2017-08-04T17:30:00"/>
    <s v="MEADE"/>
    <s v="N"/>
    <m/>
    <s v="Eye protection only"/>
    <s v="Straight ahead"/>
    <n v="0"/>
    <m/>
    <s v="Overturn/rollover, Ran off road right"/>
    <s v="Dry"/>
    <s v="Overturn/rollover"/>
    <s v="Overturn/rollover"/>
    <m/>
    <s v="Y"/>
    <n v="2017"/>
    <s v="Y"/>
    <s v="N"/>
    <s v="N"/>
    <x v="5"/>
    <s v="No collision between 2 MV in transport"/>
    <n v="55"/>
    <s v="Asphalt ( blacktop )"/>
    <s v="Daylight"/>
    <s v="Non-junction"/>
    <s v="County Road"/>
    <s v="Rural Major Collector"/>
    <m/>
    <s v="Curve on grade"/>
    <s v="Clear"/>
    <s v="N"/>
    <s v="N"/>
    <s v="Y"/>
    <s v="N"/>
    <n v="44.4872599999999"/>
    <n v="-102.823544999999"/>
    <s v="Motorcycle"/>
    <s v="Southbound"/>
    <s v="Distracted (list distraction in narrative); Exceeded posted speed limit"/>
    <s v="None"/>
    <s v="None"/>
    <s v="None"/>
    <s v="0.00 BAC"/>
    <n v="65"/>
    <s v="Not applicable"/>
    <s v="Not applicable"/>
  </r>
  <r>
    <n v="54"/>
    <n v="1710100"/>
    <d v="2017-08-15T10:00:00"/>
    <s v="MEADE"/>
    <s v="N"/>
    <m/>
    <s v="Lap belt and shoulder harness used"/>
    <s v="Straight ahead"/>
    <n v="0"/>
    <m/>
    <s v="Overturn/rollover, Ran off road right"/>
    <s v="Wet"/>
    <s v="Overturn/rollover"/>
    <s v="Overturn/rollover"/>
    <m/>
    <s v="N"/>
    <n v="2017"/>
    <s v="N"/>
    <s v="N"/>
    <s v="N"/>
    <x v="4"/>
    <s v="No collision between 2 MV in transport"/>
    <n v="55"/>
    <s v="Asphalt ( blacktop )"/>
    <s v="Daylight"/>
    <s v="Non-junction"/>
    <s v="County Road"/>
    <s v="Rural Major Collector"/>
    <m/>
    <s v="Curve and level"/>
    <s v="Cloudy, Rain"/>
    <s v="Y"/>
    <s v="N"/>
    <s v="N"/>
    <s v="N"/>
    <n v="44.3558039999999"/>
    <n v="-102.840219"/>
    <s v="Passenger car"/>
    <s v="Southbound"/>
    <s v="None; Over-correcting/over-steering"/>
    <s v="Road surface condition ( wet, icy, snow, slush, etc. )"/>
    <s v="None"/>
    <s v="None"/>
    <s v="0.00 BAC"/>
    <n v="55"/>
    <s v="Not applicable"/>
    <s v="Not applicable"/>
  </r>
  <r>
    <n v="55"/>
    <n v="1710226"/>
    <d v="2017-08-17T06:35:00"/>
    <s v="MEADE"/>
    <s v="N"/>
    <s v="DRIVERS LICENSE REVOKED, DUI, FAIL TO STOP FOR STOP SIGN / YIELD AFTER STOP"/>
    <s v="Lap belt and shoulder harness used"/>
    <s v="Turning left"/>
    <n v="0"/>
    <n v="0"/>
    <s v="Overturn/rollover, Ran off road right"/>
    <s v="Dry"/>
    <s v="Overturn/rollover"/>
    <s v="Overturn/rollover"/>
    <s v="Stop sign"/>
    <s v="N"/>
    <n v="2017"/>
    <s v="N"/>
    <s v="N"/>
    <s v="Y"/>
    <x v="0"/>
    <s v="No collision between 2 MV in transport"/>
    <n v="0"/>
    <s v="Asphalt ( blacktop )"/>
    <s v="Dawn"/>
    <s v="Four-way intersection"/>
    <s v="County Road"/>
    <s v="Rural Major Collector"/>
    <m/>
    <s v="Straight and level"/>
    <s v="Clear"/>
    <s v="N"/>
    <s v="N"/>
    <s v="N"/>
    <s v="N"/>
    <n v="44.212105000000001"/>
    <n v="-102.829498"/>
    <s v="Light truck (2 axles, 4 tires)"/>
    <s v="Westbound"/>
    <s v="Disregarded traffic signs or signals; Drinking"/>
    <s v="None"/>
    <s v="None"/>
    <s v="None"/>
    <s v="0.15 BAC"/>
    <n v="0"/>
    <s v="Not applicable"/>
    <s v="Not applicable"/>
  </r>
  <r>
    <n v="57"/>
    <n v="1714194"/>
    <d v="2017-10-13T22:20:00"/>
    <s v="MEADE"/>
    <s v="N"/>
    <m/>
    <s v="Lap belt and shoulder harness used"/>
    <s v="Straight ahead"/>
    <n v="0"/>
    <m/>
    <s v="Cross median/centerline, Overturn/rollover, Ran off road left, Ran off road right"/>
    <s v="Dry"/>
    <s v="Overturn/rollover"/>
    <s v="Overturn/rollover"/>
    <m/>
    <s v="N"/>
    <n v="2017"/>
    <s v="Y"/>
    <s v="N"/>
    <s v="N"/>
    <x v="3"/>
    <s v="No collision between 2 MV in transport"/>
    <n v="55"/>
    <s v="Asphalt ( blacktop )"/>
    <s v="Dark - roadway not lighted"/>
    <s v="Non-junction"/>
    <s v="County Road"/>
    <s v="Rural Major Collector"/>
    <m/>
    <s v="Straight and level"/>
    <s v="Clear"/>
    <s v="N"/>
    <s v="N"/>
    <s v="N"/>
    <s v="N"/>
    <n v="44.2654479999999"/>
    <n v="-102.829357"/>
    <s v="SUV ( sport utility/suburban )"/>
    <s v="Southbound"/>
    <s v="Exceeded posted speed limit; Swerving or avoiding due to wind, slippery surface, vehicle, object, non-motorist, etc."/>
    <s v="Animal in roadway"/>
    <s v="None"/>
    <s v="None"/>
    <s v="0.00 BAC, Not reported"/>
    <n v="65"/>
    <s v="Not applicable"/>
    <s v="Not applicable"/>
  </r>
  <r>
    <n v="59"/>
    <n v="1716262"/>
    <d v="2017-11-17T11:06:00"/>
    <s v="MEADE"/>
    <s v="N"/>
    <m/>
    <s v="Lap belt and shoulder harness used"/>
    <s v="Straight ahead"/>
    <n v="0"/>
    <m/>
    <s v="Highway traffic sign post/sign, Ran off road right"/>
    <s v="Wet"/>
    <s v="Highway traffic sign post/sign"/>
    <s v="Highway traffic sign post/sign"/>
    <m/>
    <s v="N"/>
    <n v="2017"/>
    <s v="N"/>
    <s v="N"/>
    <s v="N"/>
    <x v="0"/>
    <s v="No collision between 2 MV in transport"/>
    <n v="55"/>
    <s v="Asphalt ( blacktop )"/>
    <s v="Daylight"/>
    <s v="Non-junction"/>
    <s v="County Road"/>
    <s v="Rural Major Collector"/>
    <m/>
    <s v="Curve on grade"/>
    <s v="Rain"/>
    <s v="N"/>
    <s v="N"/>
    <s v="N"/>
    <s v="N"/>
    <n v="44.1418409999999"/>
    <n v="-102.830198999999"/>
    <s v="Passenger car"/>
    <s v="Northbound"/>
    <s v="None; Swerving or avoiding due to wind, slippery surface, vehicle, object, non-motorist, etc."/>
    <s v="Road surface condition ( wet, icy, snow, slush, etc. )"/>
    <s v="None"/>
    <s v="None"/>
    <s v="Test not given"/>
    <n v="55"/>
    <s v="Not applicable"/>
    <s v="Not applicable"/>
  </r>
  <r>
    <n v="61"/>
    <n v="1801676"/>
    <d v="2018-01-31T19:59:00"/>
    <s v="MEADE"/>
    <s v="N"/>
    <m/>
    <s v="Lap belt and shoulder harness used"/>
    <s v="Straight ahead"/>
    <n v="0"/>
    <m/>
    <s v="Ran off road left, Tree/shrubbery"/>
    <s v="Ice"/>
    <s v="Tree/shrubbery"/>
    <s v="Tree/shrubbery"/>
    <m/>
    <s v="N"/>
    <n v="2018"/>
    <s v="Y"/>
    <s v="N"/>
    <s v="N"/>
    <x v="0"/>
    <s v="No collision between 2 MV in transport"/>
    <n v="55"/>
    <s v="Asphalt ( blacktop )"/>
    <s v="Dark - roadway not lighted"/>
    <s v="Non-junction"/>
    <s v="County Road"/>
    <s v="Rural Major Collector"/>
    <m/>
    <s v="Straight and level"/>
    <s v="Cloudy, Snow"/>
    <s v="N"/>
    <s v="N"/>
    <s v="N"/>
    <s v="N"/>
    <n v="44.172212000000002"/>
    <n v="-102.82996900000001"/>
    <s v="Light truck (2 axles, 4 tires)"/>
    <s v="Northbound"/>
    <s v="Driving too fast for conditions; Swerving or avoiding due to wind, slippery surface, vehicle, object, non-motorist, etc."/>
    <s v="Road surface condition ( wet, icy, snow, slush, etc. )"/>
    <s v="None"/>
    <s v="None"/>
    <s v="Test not given"/>
    <n v="40"/>
    <s v="Not applicable"/>
    <s v="Not applicable"/>
  </r>
  <r>
    <n v="62"/>
    <n v="1801916"/>
    <d v="2018-02-04T19:34:00"/>
    <s v="MEADE"/>
    <s v="N"/>
    <s v="DRIVERS LICENSE REVOKED, DUI, OPEN CONTAINER IN VEHICLE"/>
    <s v="Lap belt and shoulder harness used"/>
    <s v="Straight ahead"/>
    <n v="0"/>
    <m/>
    <s v="Ditch, Embankment, Ran off road right, Tree/shrubbery"/>
    <s v="Dry"/>
    <s v="Ditch"/>
    <s v="Embankment"/>
    <m/>
    <s v="N"/>
    <n v="2018"/>
    <s v="N"/>
    <s v="N"/>
    <s v="Y"/>
    <x v="0"/>
    <s v="No collision between 2 MV in transport"/>
    <n v="55"/>
    <s v="Asphalt ( blacktop )"/>
    <s v="Dark - roadway not lighted"/>
    <s v="Non-junction"/>
    <s v="County Road"/>
    <s v="Rural Major Collector"/>
    <m/>
    <s v="Straight and level"/>
    <s v="Clear"/>
    <s v="N"/>
    <s v="N"/>
    <s v="N"/>
    <s v="N"/>
    <n v="44.194059000000003"/>
    <n v="-102.829435"/>
    <s v="Passenger car"/>
    <s v="Northbound"/>
    <s v="Drinking; Running off road"/>
    <s v="None"/>
    <s v="None"/>
    <s v="None"/>
    <s v="0.28 BAC"/>
    <n v="55"/>
    <s v="Not applicable"/>
    <s v="Not applicable"/>
  </r>
  <r>
    <n v="63"/>
    <n v="1802971"/>
    <d v="2018-03-02T01:35:00"/>
    <s v="MEADE"/>
    <s v="N"/>
    <m/>
    <s v="Lap belt and shoulder harness used"/>
    <s v="Straight ahead"/>
    <n v="0"/>
    <m/>
    <s v="Animal - domestic"/>
    <s v="Dry"/>
    <s v="Animal - domestic"/>
    <s v="Animal - domestic"/>
    <m/>
    <s v="N"/>
    <n v="2018"/>
    <s v="N"/>
    <s v="N"/>
    <s v="N"/>
    <x v="0"/>
    <s v="No collision between 2 MV in transport"/>
    <n v="55"/>
    <s v="Asphalt ( blacktop )"/>
    <s v="Dark - roadway not lighted"/>
    <s v="Non-junction"/>
    <s v="County Road"/>
    <s v="Rural Major Collector"/>
    <m/>
    <s v="Straight and level"/>
    <s v="Clear"/>
    <s v="N"/>
    <s v="N"/>
    <s v="N"/>
    <s v="N"/>
    <n v="44.382931999999897"/>
    <n v="-102.843418"/>
    <s v="Light truck (2 axles, 4 tires)"/>
    <s v="Southbound"/>
    <s v="None"/>
    <s v="Animal in roadway"/>
    <s v="None"/>
    <s v="None"/>
    <s v="Test not given"/>
    <n v="55"/>
    <s v="Not applicable"/>
    <s v="Not applicable"/>
  </r>
  <r>
    <n v="64"/>
    <n v="1803608"/>
    <d v="2018-03-19T11:02:00"/>
    <s v="MEADE"/>
    <s v="N"/>
    <s v="SEATBELT FOR PASSENGERS 5-17 (TICKET DRIVER)"/>
    <s v="Lap belt and shoulder harness used, None used"/>
    <s v="Straight ahead"/>
    <n v="0"/>
    <m/>
    <s v="Overturn/rollover, Ran off road left"/>
    <s v="Slush"/>
    <s v="Overturn/rollover"/>
    <s v="Overturn/rollover"/>
    <m/>
    <s v="N"/>
    <n v="2018"/>
    <s v="Y"/>
    <s v="N"/>
    <s v="N"/>
    <x v="4"/>
    <s v="No collision between 2 MV in transport"/>
    <n v="55"/>
    <s v="Asphalt ( blacktop )"/>
    <s v="Daylight"/>
    <s v="Non-junction"/>
    <s v="County Road"/>
    <s v="Rural Major Collector"/>
    <m/>
    <s v="Straight on grade"/>
    <s v="Cloudy"/>
    <s v="Y"/>
    <s v="N"/>
    <s v="N"/>
    <s v="N"/>
    <n v="44.207255000000004"/>
    <n v="-102.829481"/>
    <s v="SUV ( sport utility/suburban )"/>
    <s v="Southbound"/>
    <s v="Driving too fast for conditions; Over-correcting/over-steering"/>
    <s v="Road surface condition ( wet, icy, snow, slush, etc. )"/>
    <s v="None"/>
    <s v="None"/>
    <s v="Test not given, Not reported"/>
    <n v="55"/>
    <s v="Not applicable"/>
    <s v="Not applicable"/>
  </r>
  <r>
    <n v="65"/>
    <n v="1806085"/>
    <d v="2018-05-29T20:24:00"/>
    <s v="MEADE"/>
    <s v="N"/>
    <m/>
    <m/>
    <m/>
    <n v="-1"/>
    <m/>
    <s v="Animal  - wild"/>
    <s v="Wet"/>
    <s v="Animal  - wild"/>
    <s v="Animal  - wild"/>
    <m/>
    <s v="N"/>
    <n v="2018"/>
    <s v="N"/>
    <s v="N"/>
    <s v="N"/>
    <x v="1"/>
    <s v="No collision between 2 MV in transport"/>
    <n v="55"/>
    <s v="Wild animal hit - damage only"/>
    <s v="Dark - roadway not lighted"/>
    <s v="Non-junction"/>
    <s v="County Road"/>
    <s v="Rural Major Collector"/>
    <m/>
    <s v="Wild animal hit - damage only"/>
    <s v="Cloudy, Rain"/>
    <s v="N"/>
    <s v="N"/>
    <s v="N"/>
    <s v="N"/>
    <n v="44.196199999999898"/>
    <n v="-102.829442"/>
    <s v="SUV ( sport utility/suburban )"/>
    <s v="Southbound"/>
    <s v="Wild animal hit - damage only"/>
    <s v="Animal in roadway"/>
    <s v="Wild animal hit"/>
    <s v="Wild animal hit - damage only"/>
    <s v="Wild animal hit"/>
    <n v="0"/>
    <s v="Wild animal hit"/>
    <s v="Wild animal hit"/>
  </r>
  <r>
    <n v="66"/>
    <n v="1809411"/>
    <d v="2018-07-31T22:00:00"/>
    <s v="MEADE"/>
    <s v="N"/>
    <m/>
    <m/>
    <m/>
    <n v="-1"/>
    <m/>
    <s v="Animal  - wild"/>
    <s v="Dry"/>
    <s v="Animal  - wild"/>
    <s v="Animal  - wild"/>
    <m/>
    <s v="N"/>
    <n v="2018"/>
    <s v="N"/>
    <s v="N"/>
    <s v="N"/>
    <x v="1"/>
    <s v="No collision between 2 MV in transport"/>
    <n v="55"/>
    <s v="Wild animal hit - damage only"/>
    <s v="Daylight"/>
    <s v="Non-junction"/>
    <s v="County Road"/>
    <s v="Rural Major Collector"/>
    <m/>
    <s v="Wild animal hit - damage only"/>
    <s v="Clear"/>
    <s v="N"/>
    <s v="N"/>
    <s v="N"/>
    <s v="N"/>
    <n v="44.3683049999999"/>
    <n v="-102.843401999999"/>
    <s v="Mini-van/passenger van with seats for 8 or less, including driver"/>
    <s v="Southbound"/>
    <s v="Wild animal hit - damage only"/>
    <s v="Animal in roadway"/>
    <s v="Wild animal hit"/>
    <s v="Wild animal hit - damage only"/>
    <s v="Wild animal hit"/>
    <n v="0"/>
    <s v="Wild animal hit"/>
    <s v="Wild animal hit"/>
  </r>
  <r>
    <n v="67"/>
    <n v="1815616"/>
    <d v="2018-11-16T17:45:00"/>
    <s v="MEADE"/>
    <s v="N"/>
    <m/>
    <m/>
    <m/>
    <n v="-1"/>
    <m/>
    <s v="Animal  - wild"/>
    <s v="Dry"/>
    <s v="Animal  - wild"/>
    <s v="Animal  - wild"/>
    <m/>
    <s v="N"/>
    <n v="2018"/>
    <s v="N"/>
    <s v="N"/>
    <s v="N"/>
    <x v="1"/>
    <s v="No collision between 2 MV in transport"/>
    <n v="55"/>
    <s v="Wild animal hit - damage only"/>
    <s v="Dark - roadway not lighted"/>
    <s v="Non-junction"/>
    <s v="County Road"/>
    <s v="Rural Major Collector"/>
    <m/>
    <s v="Wild animal hit - damage only"/>
    <s v="Clear"/>
    <s v="N"/>
    <s v="N"/>
    <s v="N"/>
    <s v="N"/>
    <n v="44.163874999999898"/>
    <n v="-102.829335"/>
    <s v="Light truck (2 axles, 4 tires)"/>
    <s v="Southbound"/>
    <s v="Wild animal hit - damage only"/>
    <s v="Animal in roadway"/>
    <s v="Wild animal hit"/>
    <s v="Wild animal hit - damage only"/>
    <s v="Wild animal hit"/>
    <n v="0"/>
    <s v="Wild animal hit"/>
    <s v="Wild animal hit"/>
  </r>
  <r>
    <n v="68"/>
    <n v="1815621"/>
    <d v="2018-11-22T01:00:00"/>
    <s v="MEADE"/>
    <s v="N"/>
    <m/>
    <m/>
    <m/>
    <n v="-1"/>
    <m/>
    <s v="Animal  - wild"/>
    <s v="Dry"/>
    <s v="Animal  - wild"/>
    <s v="Animal  - wild"/>
    <m/>
    <s v="N"/>
    <n v="2018"/>
    <s v="N"/>
    <s v="N"/>
    <s v="N"/>
    <x v="1"/>
    <s v="No collision between 2 MV in transport"/>
    <n v="55"/>
    <s v="Wild animal hit - damage only"/>
    <s v="Dark - roadway not lighted"/>
    <s v="Non-junction"/>
    <s v="County Road"/>
    <s v="Rural Major Collector"/>
    <m/>
    <s v="Wild animal hit - damage only"/>
    <s v="Clear"/>
    <s v="N"/>
    <s v="N"/>
    <s v="N"/>
    <s v="N"/>
    <n v="44.207611999999898"/>
    <n v="-102.829481999999"/>
    <s v="SUV ( sport utility/suburban )"/>
    <s v="Northbound"/>
    <s v="Wild animal hit - damage only"/>
    <s v="Animal in roadway"/>
    <s v="Wild animal hit"/>
    <s v="Wild animal hit - damage only"/>
    <s v="Wild animal hit"/>
    <n v="0"/>
    <s v="Wild animal hit"/>
    <s v="Wild animal hit"/>
  </r>
  <r>
    <n v="71"/>
    <n v="1900353"/>
    <d v="2019-01-16T19:18:00"/>
    <s v="MEADE"/>
    <s v="N"/>
    <m/>
    <s v="Lap belt and shoulder harness used"/>
    <s v="Straight ahead"/>
    <n v="0"/>
    <m/>
    <s v="Overturn/rollover, Ran off road left"/>
    <s v="Ice"/>
    <s v="Overturn/rollover"/>
    <s v="Overturn/rollover"/>
    <m/>
    <s v="N"/>
    <n v="2019"/>
    <s v="N"/>
    <s v="N"/>
    <s v="N"/>
    <x v="0"/>
    <s v="No collision between 2 MV in transport"/>
    <n v="55"/>
    <s v="Asphalt ( blacktop )"/>
    <s v="Dark - roadway not lighted"/>
    <s v="Non-junction"/>
    <s v="County Road"/>
    <s v="Rural Major Collector"/>
    <m/>
    <s v="Curve and level"/>
    <s v="Sleet, hail ( freezing rain or drizzle ), Fog, smog, smoke"/>
    <s v="N"/>
    <s v="N"/>
    <s v="N"/>
    <s v="N"/>
    <n v="44.394078999999898"/>
    <n v="-102.84265600000001"/>
    <s v="Light truck (2 axles, 4 tires)"/>
    <s v="Northbound"/>
    <s v="None"/>
    <s v="Road surface condition ( wet, icy, snow, slush, etc. )"/>
    <s v="None"/>
    <s v="None"/>
    <s v="Test not given"/>
    <n v="45"/>
    <s v="Not applicable"/>
    <s v="Not applicable"/>
  </r>
  <r>
    <n v="72"/>
    <n v="1900484"/>
    <d v="2019-01-21T10:30:00"/>
    <s v="MEADE"/>
    <s v="N"/>
    <m/>
    <s v="Lap belt and shoulder harness used"/>
    <s v="Straight ahead"/>
    <n v="0"/>
    <m/>
    <s v="Cross median/centerline, Fence, Jackknife, Ran off road left"/>
    <s v="Frost"/>
    <s v="Jackknife"/>
    <s v="Jackknife"/>
    <s v="Warning sign"/>
    <s v="N"/>
    <n v="2019"/>
    <s v="Y"/>
    <s v="N"/>
    <s v="N"/>
    <x v="0"/>
    <s v="No collision between 2 MV in transport"/>
    <n v="55"/>
    <s v="Asphalt ( blacktop )"/>
    <s v="Daylight"/>
    <s v="Non-junction"/>
    <s v="County Road"/>
    <s v="Rural Major Collector"/>
    <m/>
    <s v="Straight and level"/>
    <s v="Fog, smog, smoke"/>
    <s v="N"/>
    <s v="N"/>
    <s v="N"/>
    <s v="N"/>
    <n v="44.483860999999898"/>
    <n v="-102.820396"/>
    <s v="Light truck (2 axles, 4 tires)"/>
    <s v="Southbound"/>
    <s v="Driving too fast for conditions; None"/>
    <s v="None"/>
    <s v="None"/>
    <s v="None"/>
    <s v="0.00 BAC"/>
    <n v="45"/>
    <s v="Not applicable"/>
    <s v="Not applicable"/>
  </r>
  <r>
    <n v="73"/>
    <n v="1900674"/>
    <d v="2019-01-20T07:20:00"/>
    <s v="MEADE"/>
    <s v="N"/>
    <m/>
    <s v="Lap belt and shoulder harness used"/>
    <s v="Straight ahead"/>
    <n v="0"/>
    <m/>
    <s v="Cross median/centerline, Fence, Highway traffic sign post/sign, Ran off road left"/>
    <s v="Ice"/>
    <s v="Highway traffic sign post/sign"/>
    <s v="Fence"/>
    <m/>
    <s v="N"/>
    <n v="2019"/>
    <s v="Y"/>
    <s v="N"/>
    <s v="N"/>
    <x v="0"/>
    <s v="No collision between 2 MV in transport"/>
    <n v="55"/>
    <s v="Asphalt ( blacktop )"/>
    <s v="Daylight"/>
    <s v="Non-junction"/>
    <s v="County Road"/>
    <s v="Rural Major Collector"/>
    <m/>
    <s v="Curve and level"/>
    <s v="Cloudy"/>
    <s v="N"/>
    <s v="N"/>
    <s v="N"/>
    <s v="N"/>
    <n v="44.358519000000001"/>
    <n v="-102.843385999999"/>
    <s v="Passenger car"/>
    <s v="Northbound"/>
    <s v="Driving too fast for conditions; None"/>
    <s v="Road surface condition ( wet, icy, snow, slush, etc. )"/>
    <s v="None"/>
    <s v="None"/>
    <s v="0.00 BAC"/>
    <n v="55"/>
    <s v="Not applicable"/>
    <s v="Not applicable"/>
  </r>
  <r>
    <n v="75"/>
    <n v="1904698"/>
    <d v="2019-05-05T14:25:00"/>
    <s v="MEADE"/>
    <s v="N"/>
    <m/>
    <s v="Lap belt and shoulder harness used"/>
    <s v="Straight ahead"/>
    <n v="0"/>
    <m/>
    <s v="Overturn/rollover"/>
    <s v="Wet"/>
    <s v="Overturn/rollover"/>
    <s v="Overturn/rollover"/>
    <m/>
    <s v="N"/>
    <n v="2019"/>
    <s v="N"/>
    <s v="N"/>
    <s v="N"/>
    <x v="2"/>
    <s v="No collision between 2 MV in transport"/>
    <n v="55"/>
    <s v="Asphalt ( blacktop )"/>
    <s v="Daylight"/>
    <s v="Non-junction"/>
    <s v="County Road"/>
    <s v="Rural Major Collector"/>
    <m/>
    <s v="Straight and level"/>
    <s v="Cloudy"/>
    <s v="N"/>
    <s v="N"/>
    <s v="N"/>
    <s v="N"/>
    <n v="44.394478999999897"/>
    <n v="-102.826224999999"/>
    <s v="Tractor/semi-trailer"/>
    <s v="Southbound"/>
    <s v="None"/>
    <s v="None"/>
    <s v="None"/>
    <s v="None"/>
    <s v="0.00 BAC"/>
    <n v="5"/>
    <s v="Not applicable"/>
    <s v="Not applicable"/>
  </r>
  <r>
    <n v="78"/>
    <n v="1907398"/>
    <d v="2019-06-10T14:39:00"/>
    <s v="MEADE"/>
    <s v="N"/>
    <s v="LEFT TURNING VEHICLE TO YIELD ROW, 15) - ALL MUNICIPAL / COUNTY - SPEEDING (11 - 15 OVER)"/>
    <s v="Lap belt and shoulder harness used"/>
    <s v="Straight ahead, Turning left"/>
    <n v="0"/>
    <m/>
    <s v="Fence, Motor vehicle in transport, Ran off road right"/>
    <s v="Dry"/>
    <s v="Motor vehicle in transport"/>
    <s v="Motor vehicle in transport"/>
    <m/>
    <s v="N"/>
    <n v="2019"/>
    <s v="Y"/>
    <s v="N"/>
    <s v="N"/>
    <x v="5"/>
    <s v="Angle"/>
    <n v="55"/>
    <s v="Asphalt ( blacktop )"/>
    <s v="Daylight"/>
    <s v="Four-way intersection"/>
    <s v="County Road"/>
    <s v="Rural Local Road"/>
    <m/>
    <s v="Straight on grade"/>
    <s v="Clear"/>
    <s v="N"/>
    <s v="N"/>
    <s v="N"/>
    <s v="N"/>
    <n v="44.372821000000002"/>
    <n v="-102.843417"/>
    <s v="Passenger car; Single-unit truck (3 or more axles)"/>
    <s v="Northbound; Southbound"/>
    <s v="Exceeded posted speed limit; Failed to yield to vehicle; None"/>
    <s v="None"/>
    <s v="None"/>
    <s v="None"/>
    <s v="0.00 BAC, 0.00 BAC, Not reported"/>
    <s v="5; 70"/>
    <s v="Not applicable"/>
    <s v="Not applicable"/>
  </r>
  <r>
    <n v="79"/>
    <n v="1908908"/>
    <d v="2019-07-05T15:30:00"/>
    <s v="MEADE"/>
    <s v="N"/>
    <m/>
    <m/>
    <s v="Straight ahead"/>
    <n v="0"/>
    <m/>
    <s v="Cross median/centerline, Ditch, Fence, Ran off road right"/>
    <s v="Sand, mud, dirt, gravel"/>
    <s v="Fence"/>
    <s v="Ditch"/>
    <m/>
    <s v="N"/>
    <n v="2019"/>
    <s v="N"/>
    <s v="N"/>
    <s v="Y"/>
    <x v="0"/>
    <s v="No collision between 2 MV in transport"/>
    <n v="55"/>
    <s v="Asphalt ( blacktop )"/>
    <s v="Daylight"/>
    <s v="Non-junction"/>
    <s v="County Road"/>
    <s v="Rural Major Collector"/>
    <m/>
    <s v="Straight on grade"/>
    <s v="Cloudy"/>
    <s v="N"/>
    <s v="N"/>
    <s v="N"/>
    <s v="N"/>
    <n v="44.360098000000001"/>
    <n v="-102.843397999999"/>
    <s v="SUV ( sport utility/suburban )"/>
    <s v="Northbound"/>
    <s v="Drinking; None"/>
    <s v="None"/>
    <s v="None"/>
    <s v="None"/>
    <s v="Test not given"/>
    <n v="55"/>
    <s v="Not applicable"/>
    <s v="Not applicable"/>
  </r>
  <r>
    <n v="80"/>
    <n v="1908910"/>
    <d v="2019-07-10T00:25:00"/>
    <s v="MEADE"/>
    <s v="N"/>
    <m/>
    <s v="Lap belt and shoulder harness used"/>
    <s v="Straight ahead"/>
    <n v="0"/>
    <m/>
    <s v="Highway traffic sign post/sign, Ran off road right"/>
    <s v="Dry"/>
    <s v="Highway traffic sign post/sign"/>
    <s v="Highway traffic sign post/sign"/>
    <m/>
    <s v="N"/>
    <n v="2019"/>
    <s v="Y"/>
    <s v="N"/>
    <s v="N"/>
    <x v="0"/>
    <s v="No collision between 2 MV in transport"/>
    <n v="55"/>
    <s v="Asphalt ( blacktop )"/>
    <s v="Dark - roadway not lighted"/>
    <s v="Non-junction"/>
    <s v="County Road"/>
    <s v="Rural Major Collector"/>
    <m/>
    <s v="Curve and level"/>
    <s v="Clear"/>
    <s v="N"/>
    <s v="N"/>
    <s v="N"/>
    <s v="N"/>
    <n v="44.357469000000002"/>
    <n v="-102.84276300000001"/>
    <s v="Light truck (2 axles, 4 tires)"/>
    <s v="Southbound"/>
    <s v="Exceeded posted speed limit; Running off road"/>
    <s v="None"/>
    <s v="None"/>
    <s v="None"/>
    <s v="Test not given"/>
    <n v="70"/>
    <s v="Not applicable"/>
    <s v="Not applicable"/>
  </r>
  <r>
    <n v="82"/>
    <n v="1910907"/>
    <d v="2019-08-11T19:15:00"/>
    <s v="MEADE"/>
    <s v="N"/>
    <m/>
    <m/>
    <m/>
    <n v="-1"/>
    <m/>
    <s v="Animal  - wild"/>
    <s v="Wet"/>
    <s v="Animal  - wild"/>
    <s v="Animal  - wild"/>
    <m/>
    <s v="N"/>
    <n v="2019"/>
    <s v="N"/>
    <s v="N"/>
    <s v="N"/>
    <x v="1"/>
    <s v="No collision between 2 MV in transport"/>
    <n v="55"/>
    <s v="Wild animal hit - damage only"/>
    <s v="Daylight"/>
    <s v="Wild animal hit - damage only"/>
    <s v="County Road"/>
    <s v="Rural Major Collector"/>
    <m/>
    <s v="Wild animal hit - damage only"/>
    <s v="Rain"/>
    <s v="N"/>
    <s v="N"/>
    <s v="N"/>
    <s v="N"/>
    <n v="44.282249"/>
    <n v="-102.82918600000001"/>
    <s v="Passenger car"/>
    <s v="Southbound"/>
    <s v="Wild animal hit - damage only"/>
    <s v="Animal in roadway"/>
    <s v="Wild animal hit"/>
    <s v="Wild animal hit - damage only"/>
    <s v="Wild animal hit"/>
    <n v="0"/>
    <s v="Wild animal hit"/>
    <s v="Wild animal hit"/>
  </r>
  <r>
    <n v="83"/>
    <n v="1912694"/>
    <d v="2019-08-24T15:30:00"/>
    <s v="MEADE"/>
    <s v="N"/>
    <m/>
    <s v="Lap belt and shoulder harness used"/>
    <s v="Straight ahead"/>
    <n v="0"/>
    <m/>
    <s v="Cross median/centerline, Overturn/rollover, Ran off road left, Ran off road right"/>
    <s v="Dry"/>
    <s v="Overturn/rollover"/>
    <s v="Overturn/rollover"/>
    <s v="Warning sign"/>
    <s v="N"/>
    <n v="2019"/>
    <s v="Y"/>
    <s v="N"/>
    <s v="N"/>
    <x v="2"/>
    <s v="No collision between 2 MV in transport"/>
    <n v="55"/>
    <s v="Asphalt ( blacktop )"/>
    <s v="Daylight"/>
    <s v="Non-junction"/>
    <s v="County Road"/>
    <s v="Rural Major Collector"/>
    <m/>
    <s v="Curve and level"/>
    <s v="Clear"/>
    <s v="Y"/>
    <s v="N"/>
    <s v="N"/>
    <s v="N"/>
    <n v="44.356623999999897"/>
    <n v="-102.841488999999"/>
    <s v="SUV ( sport utility/suburban )"/>
    <s v="Southbound"/>
    <s v="Exceeded posted speed limit; Over-correcting/over-steering"/>
    <s v="None"/>
    <s v="None"/>
    <s v="None"/>
    <s v="0.00 BAC"/>
    <n v="60"/>
    <s v="Not applicable"/>
    <s v="Not applicable"/>
  </r>
  <r>
    <n v="84"/>
    <n v="1913136"/>
    <d v="2019-09-28T06:30:00"/>
    <s v="MEADE"/>
    <s v="N"/>
    <m/>
    <m/>
    <m/>
    <n v="-1"/>
    <m/>
    <s v="Animal  - wild"/>
    <s v="Wet"/>
    <s v="Animal  - wild"/>
    <s v="Animal  - wild"/>
    <m/>
    <s v="N"/>
    <n v="2019"/>
    <s v="N"/>
    <s v="N"/>
    <s v="N"/>
    <x v="1"/>
    <s v="No collision between 2 MV in transport"/>
    <n v="55"/>
    <s v="Wild animal hit - damage only"/>
    <s v="Dark - roadway not lighted"/>
    <s v="Wild animal hit - damage only"/>
    <s v="County Road"/>
    <s v="Rural Major Collector"/>
    <m/>
    <s v="Wild animal hit - damage only"/>
    <s v="Cloudy, Rain"/>
    <s v="N"/>
    <s v="N"/>
    <s v="N"/>
    <s v="N"/>
    <n v="44.394514000000001"/>
    <n v="-102.838296"/>
    <s v="Light truck (2 axles, 4 tires)"/>
    <s v="Eastbound"/>
    <s v="Wild animal hit - damage only"/>
    <s v="Animal in roadway"/>
    <s v="Wild animal hit"/>
    <s v="Wild animal hit - damage only"/>
    <s v="Wild animal hit"/>
    <n v="0"/>
    <s v="Wild animal hit"/>
    <s v="Wild animal hit"/>
  </r>
  <r>
    <n v="85"/>
    <n v="1916500"/>
    <d v="2019-11-05T17:22:00"/>
    <s v="MEADE"/>
    <s v="N"/>
    <m/>
    <m/>
    <m/>
    <n v="-1"/>
    <m/>
    <s v="Animal  - wild"/>
    <s v="Dry"/>
    <s v="Animal  - wild"/>
    <s v="Animal  - wild"/>
    <m/>
    <s v="N"/>
    <n v="2019"/>
    <s v="N"/>
    <s v="N"/>
    <s v="N"/>
    <x v="1"/>
    <s v="No collision between 2 MV in transport"/>
    <n v="55"/>
    <s v="Wild animal hit - damage only"/>
    <s v="Dusk"/>
    <s v="Wild animal hit - damage only"/>
    <s v="County Road"/>
    <s v="Rural Major Collector"/>
    <m/>
    <s v="Wild animal hit - damage only"/>
    <s v="Clear"/>
    <s v="N"/>
    <s v="N"/>
    <s v="N"/>
    <s v="N"/>
    <n v="44.206248000000002"/>
    <n v="-102.829476999999"/>
    <s v="Passenger car"/>
    <s v="Southbound"/>
    <s v="Wild animal hit - damage only"/>
    <s v="Animal in roadway"/>
    <s v="Wild animal hit"/>
    <s v="Wild animal hit - damage only"/>
    <s v="Wild animal hit"/>
    <n v="0"/>
    <s v="Wild animal hit"/>
    <s v="Wild animal hit"/>
  </r>
  <r>
    <n v="89"/>
    <n v="2007610"/>
    <d v="2020-07-07T23:00:00"/>
    <s v="MEADE"/>
    <s v="N"/>
    <m/>
    <s v="Lap belt and shoulder harness used"/>
    <s v="Straight ahead"/>
    <n v="0"/>
    <m/>
    <s v="Highway traffic sign post/sign, Overturn/rollover, Ran off road right"/>
    <s v="Unknown"/>
    <s v="Overturn/rollover"/>
    <s v="Overturn/rollover"/>
    <m/>
    <s v="N"/>
    <n v="2020"/>
    <s v="N"/>
    <s v="N"/>
    <s v="N"/>
    <x v="0"/>
    <s v="No collision between 2 MV in transport"/>
    <n v="55"/>
    <s v="Asphalt ( blacktop )"/>
    <s v="Dark - roadway not lighted"/>
    <s v="Non-junction"/>
    <s v="County Road"/>
    <s v="Rural Major Collector"/>
    <m/>
    <s v="Curve and level"/>
    <s v="Clear"/>
    <s v="N"/>
    <s v="N"/>
    <s v="N"/>
    <s v="N"/>
    <n v="44.357748000000001"/>
    <n v="-102.843046"/>
    <s v="SUV ( sport utility/suburban )"/>
    <s v="Southbound"/>
    <s v="None; Running off road"/>
    <s v="None"/>
    <s v="None"/>
    <s v="None"/>
    <s v="Unknown"/>
    <n v="55"/>
    <s v="Not applicable"/>
    <s v="Not applicable"/>
  </r>
  <r>
    <n v="90"/>
    <n v="2008100"/>
    <d v="2020-07-15T06:00:00"/>
    <s v="MEADE"/>
    <s v="N"/>
    <m/>
    <m/>
    <m/>
    <n v="-1"/>
    <m/>
    <s v="Animal  - wild"/>
    <s v="Dry"/>
    <s v="Animal  - wild"/>
    <s v="Animal  - wild"/>
    <m/>
    <s v="N"/>
    <n v="2020"/>
    <s v="N"/>
    <s v="N"/>
    <s v="N"/>
    <x v="1"/>
    <s v="No collision between 2 MV in transport"/>
    <n v="55"/>
    <s v="Wild animal hit - damage only"/>
    <s v="Daylight"/>
    <s v="Wild animal hit - damage only"/>
    <s v="County Road"/>
    <s v="Rural Major Collector"/>
    <m/>
    <s v="Wild animal hit - damage only"/>
    <s v="Clear"/>
    <s v="N"/>
    <s v="N"/>
    <s v="N"/>
    <s v="N"/>
    <n v="44.287807000000001"/>
    <n v="-102.829138999999"/>
    <s v="Light truck (2 axles, 4 tires)"/>
    <s v="Northbound"/>
    <s v="Wild animal hit - damage only"/>
    <s v="Animal in roadway"/>
    <s v="Wild animal hit"/>
    <s v="Wild animal hit - damage only"/>
    <s v="Wild animal hit"/>
    <n v="0"/>
    <s v="Wild animal hit"/>
    <s v="Wild animal hit"/>
  </r>
  <r>
    <n v="91"/>
    <n v="2009711"/>
    <d v="2020-08-22T20:15:00"/>
    <s v="MEADE"/>
    <s v="N"/>
    <m/>
    <m/>
    <m/>
    <n v="-1"/>
    <m/>
    <s v="Animal  - wild"/>
    <s v="Dry"/>
    <s v="Animal  - wild"/>
    <s v="Animal  - wild"/>
    <m/>
    <s v="N"/>
    <n v="2020"/>
    <s v="N"/>
    <s v="N"/>
    <s v="N"/>
    <x v="1"/>
    <s v="No collision between 2 MV in transport"/>
    <n v="55"/>
    <s v="Wild animal hit - damage only"/>
    <s v="Dark - roadway not lighted"/>
    <s v="Wild animal hit - damage only"/>
    <s v="County Road"/>
    <s v="Rural Major Collector"/>
    <m/>
    <s v="Wild animal hit - damage only"/>
    <s v="Clear"/>
    <s v="N"/>
    <s v="N"/>
    <s v="N"/>
    <s v="N"/>
    <n v="44.282249"/>
    <n v="-102.82918600000001"/>
    <s v="SUV ( sport utility/suburban )"/>
    <s v="Southbound"/>
    <s v="Wild animal hit - damage only"/>
    <s v="Animal in roadway"/>
    <s v="Wild animal hit"/>
    <s v="Wild animal hit - damage only"/>
    <s v="Wild animal hit"/>
    <n v="0"/>
    <s v="Wild animal hit"/>
    <s v="Wild animal hit"/>
  </r>
  <r>
    <n v="93"/>
    <n v="2011415"/>
    <d v="2020-09-23T23:30:00"/>
    <s v="MEADE"/>
    <s v="N"/>
    <m/>
    <m/>
    <m/>
    <n v="-1"/>
    <m/>
    <s v="Animal  - wild"/>
    <s v="Dry"/>
    <s v="Animal  - wild"/>
    <s v="Animal  - wild"/>
    <m/>
    <s v="N"/>
    <n v="2020"/>
    <s v="N"/>
    <s v="N"/>
    <s v="N"/>
    <x v="1"/>
    <s v="No collision between 2 MV in transport"/>
    <n v="55"/>
    <s v="Wild animal hit - damage only"/>
    <s v="Dark - roadway not lighted"/>
    <s v="Wild animal hit - damage only"/>
    <s v="County Road"/>
    <s v="Rural Major Collector"/>
    <m/>
    <s v="Wild animal hit - damage only"/>
    <s v="Clear"/>
    <s v="N"/>
    <s v="N"/>
    <s v="N"/>
    <s v="N"/>
    <n v="44.461308000000002"/>
    <n v="-102.813738999999"/>
    <s v="Passenger car"/>
    <s v="Northbound"/>
    <s v="Wild animal hit - damage only"/>
    <s v="Animal in roadway"/>
    <s v="Wild animal hit"/>
    <s v="Wild animal hit - damage only"/>
    <s v="Wild animal hit"/>
    <n v="0"/>
    <s v="Wild animal hit"/>
    <s v="Wild animal hit"/>
  </r>
  <r>
    <n v="94"/>
    <n v="2013925"/>
    <d v="2020-10-16T21:51:00"/>
    <s v="MEADE"/>
    <s v="N"/>
    <m/>
    <s v="None used"/>
    <s v="Straight ahead"/>
    <n v="0"/>
    <m/>
    <s v="Overturn/rollover, Ran off road right"/>
    <s v="Wet"/>
    <s v="Overturn/rollover"/>
    <s v="Overturn/rollover"/>
    <m/>
    <s v="N"/>
    <n v="2020"/>
    <s v="Y"/>
    <s v="N"/>
    <s v="N"/>
    <x v="5"/>
    <s v="No collision between 2 MV in transport"/>
    <n v="55"/>
    <s v="Asphalt ( blacktop )"/>
    <s v="Dark - roadway not lighted"/>
    <s v="Non-junction"/>
    <s v="County Road"/>
    <s v="Rural Major Collector"/>
    <m/>
    <s v="Curve and level"/>
    <s v="Rain"/>
    <s v="N"/>
    <s v="N"/>
    <s v="N"/>
    <s v="N"/>
    <n v="44.357573000000002"/>
    <n v="-102.842882"/>
    <s v="SUV ( sport utility/suburban )"/>
    <s v="Southbound"/>
    <s v="Driving too fast for conditions; Exceeded posted speed limit"/>
    <s v="None"/>
    <s v="None"/>
    <s v="None"/>
    <s v="Test not given, Not reported"/>
    <n v="80"/>
    <s v="Not applicable"/>
    <s v="Not applicable"/>
  </r>
  <r>
    <n v="95"/>
    <n v="2016068"/>
    <d v="2020-11-30T00:30:00"/>
    <s v="MEADE"/>
    <s v="N"/>
    <s v="Careless driving."/>
    <s v="Lap belt and shoulder harness used"/>
    <s v="Straight ahead"/>
    <n v="0"/>
    <m/>
    <s v="Overturn/rollover, Ran off road right"/>
    <s v="Dry"/>
    <s v="Overturn/rollover"/>
    <s v="Overturn/rollover"/>
    <m/>
    <s v="N"/>
    <n v="2020"/>
    <s v="N"/>
    <s v="N"/>
    <s v="N"/>
    <x v="0"/>
    <s v="No collision between 2 MV in transport"/>
    <n v="55"/>
    <s v="Asphalt ( blacktop )"/>
    <s v="Dark - roadway not lighted"/>
    <s v="Non-junction"/>
    <s v="County Road"/>
    <s v="Rural Major Collector"/>
    <m/>
    <s v="Straight on grade"/>
    <s v="Clear"/>
    <s v="Y"/>
    <s v="N"/>
    <s v="N"/>
    <s v="N"/>
    <n v="44.167704000000001"/>
    <n v="-102.829515"/>
    <s v="Passenger car"/>
    <s v="Northbound"/>
    <s v="Over-correcting/over-steering; Running off road"/>
    <s v="None"/>
    <s v="None"/>
    <s v="None"/>
    <s v="Test not given"/>
    <n v="65"/>
    <s v="Not applicable"/>
    <s v="Not applicable"/>
  </r>
  <r>
    <n v="98"/>
    <n v="2103005"/>
    <d v="2021-02-27T19:55:00"/>
    <s v="MEADE"/>
    <s v="N"/>
    <m/>
    <s v="Lap belt and shoulder harness used"/>
    <s v="Straight ahead"/>
    <n v="0"/>
    <m/>
    <s v="Fence, Ran off road left"/>
    <s v="Snow"/>
    <s v="Fence"/>
    <s v="Fence"/>
    <m/>
    <s v="N"/>
    <n v="2021"/>
    <s v="Y"/>
    <s v="N"/>
    <s v="N"/>
    <x v="0"/>
    <s v="No collision between 2 MV in transport"/>
    <n v="55"/>
    <s v="Asphalt ( blacktop )"/>
    <s v="Dark - roadway not lighted"/>
    <s v="Non-junction"/>
    <s v="County Road"/>
    <s v="Rural Major Collector"/>
    <m/>
    <s v="Straight on grade"/>
    <s v="Snow, Blowing snow"/>
    <s v="N"/>
    <s v="N"/>
    <s v="N"/>
    <s v="N"/>
    <n v="44.35069"/>
    <n v="-102.837716"/>
    <s v="Passenger car"/>
    <s v="Northbound"/>
    <s v="Driving too fast for conditions; None"/>
    <s v="Road surface condition ( wet, icy, snow, slush, etc. )"/>
    <s v="None"/>
    <s v="Weather conditions"/>
    <s v="Test not given"/>
    <n v="0"/>
    <s v="Not applicable"/>
    <s v="Not applicable"/>
  </r>
  <r>
    <n v="99"/>
    <n v="2104559"/>
    <d v="2021-03-23T07:36:00"/>
    <s v="MEADE"/>
    <s v="N"/>
    <m/>
    <m/>
    <m/>
    <n v="-1"/>
    <m/>
    <s v="Animal  - wild"/>
    <s v="Dry"/>
    <s v="Animal  - wild"/>
    <s v="Animal  - wild"/>
    <m/>
    <s v="N"/>
    <n v="2021"/>
    <s v="N"/>
    <s v="N"/>
    <s v="N"/>
    <x v="1"/>
    <s v="No collision between 2 MV in transport"/>
    <n v="55"/>
    <s v="Wild animal hit - damage only"/>
    <s v="Dawn"/>
    <s v="Wild animal hit - damage only"/>
    <s v="County Road"/>
    <s v="Rural Major Collector"/>
    <m/>
    <s v="Wild animal hit - damage only"/>
    <s v="Clear"/>
    <s v="N"/>
    <s v="N"/>
    <s v="N"/>
    <s v="N"/>
    <n v="44.357748000000001"/>
    <n v="-102.843046"/>
    <s v="Passenger car"/>
    <s v="Southbound"/>
    <s v="Wild animal hit - damage only"/>
    <s v="Animal in roadway"/>
    <s v="Wild animal hit"/>
    <s v="Wild animal hit - damage only"/>
    <s v="Wild animal hit"/>
    <n v="0"/>
    <s v="Wild animal hit"/>
    <s v="Wild animal hit"/>
  </r>
  <r>
    <n v="100"/>
    <n v="2104487"/>
    <d v="2021-04-08T09:58:00"/>
    <s v="PENNINGTON"/>
    <s v="N"/>
    <m/>
    <s v="Lap belt and shoulder harness used"/>
    <s v="Straight ahead"/>
    <n v="0"/>
    <m/>
    <s v="Fence, Highway traffic sign post/sign, Overturn/rollover, Ran off road right"/>
    <s v="Dry"/>
    <s v="Overturn/rollover"/>
    <s v="Overturn/rollover"/>
    <m/>
    <s v="N"/>
    <n v="2021"/>
    <s v="N"/>
    <s v="N"/>
    <s v="N"/>
    <x v="4"/>
    <s v="No collision between 2 MV in transport"/>
    <n v="0"/>
    <s v="Asphalt ( blacktop )"/>
    <s v="Daylight"/>
    <s v="Non-junction"/>
    <s v="County Road"/>
    <s v="Rural Major Collector"/>
    <m/>
    <s v="Curve on grade"/>
    <s v="Clear"/>
    <s v="N"/>
    <s v="N"/>
    <s v="N"/>
    <s v="N"/>
    <n v="44.140486000000003"/>
    <n v="-102.82858400000001"/>
    <s v="Tractor/semi-trailer"/>
    <s v="Northbound"/>
    <s v="Failure to keep in proper lane; Running off road"/>
    <s v="None"/>
    <s v="None"/>
    <s v="None"/>
    <s v="0.00 BAC"/>
    <n v="65"/>
    <s v="Not applicable"/>
    <s v="Not applicable"/>
  </r>
  <r>
    <n v="102"/>
    <n v="2104917"/>
    <d v="2021-04-03T14:44:00"/>
    <s v="MEADE"/>
    <s v="N"/>
    <m/>
    <s v="Lap belt and shoulder harness used"/>
    <s v="Straight ahead"/>
    <n v="0"/>
    <m/>
    <s v="Cargo/equipment loss or shift, Overturn/rollover, Separation of units"/>
    <s v="Dry"/>
    <s v="Cargo/equipment loss or shift"/>
    <s v="Overturn/rollover"/>
    <m/>
    <s v="N"/>
    <n v="2021"/>
    <s v="N"/>
    <s v="N"/>
    <s v="N"/>
    <x v="2"/>
    <s v="No collision between 2 MV in transport"/>
    <n v="55"/>
    <s v="Asphalt ( blacktop )"/>
    <s v="Daylight"/>
    <s v="Non-junction"/>
    <s v="County Road"/>
    <s v="Rural Major Collector"/>
    <m/>
    <s v="Straight on grade"/>
    <s v="Clear"/>
    <s v="N"/>
    <s v="N"/>
    <s v="N"/>
    <s v="N"/>
    <n v="44.285127000000003"/>
    <n v="-102.829161999999"/>
    <s v="SUV ( sport utility/suburban )"/>
    <s v="Northbound"/>
    <s v="None"/>
    <s v="None"/>
    <s v="Truck coupling / trailer hitch / safety chains"/>
    <s v="None"/>
    <s v="Test not given"/>
    <n v="50"/>
    <s v="Not applicable"/>
    <s v="Not applicable"/>
  </r>
  <r>
    <n v="103"/>
    <n v="2105190"/>
    <d v="2021-04-26T20:20:00"/>
    <s v="MEADE"/>
    <s v="N"/>
    <m/>
    <m/>
    <m/>
    <n v="-1"/>
    <m/>
    <s v="Animal  - wild"/>
    <s v="Dry"/>
    <s v="Animal  - wild"/>
    <s v="Animal  - wild"/>
    <m/>
    <s v="N"/>
    <n v="2021"/>
    <s v="N"/>
    <s v="N"/>
    <s v="N"/>
    <x v="1"/>
    <s v="No collision between 2 MV in transport"/>
    <n v="55"/>
    <s v="Wild animal hit - damage only"/>
    <s v="Dark - roadway not lighted"/>
    <s v="Wild animal hit - damage only"/>
    <s v="County Road"/>
    <s v="Rural Major Collector"/>
    <m/>
    <s v="Wild animal hit - damage only"/>
    <s v="Clear"/>
    <s v="N"/>
    <s v="N"/>
    <s v="N"/>
    <s v="N"/>
    <n v="44.393335999999898"/>
    <n v="-102.843338"/>
    <s v="Light truck (2 axles, 4 tires)"/>
    <s v="Northbound"/>
    <s v="Wild animal hit - damage only"/>
    <s v="Animal in roadway"/>
    <s v="Wild animal hit"/>
    <s v="Wild animal hit - damage only"/>
    <s v="Wild animal hit"/>
    <n v="0"/>
    <s v="Wild animal hit"/>
    <s v="Wild animal hit"/>
  </r>
  <r>
    <n v="104"/>
    <n v="2106715"/>
    <d v="2021-06-02T09:09:00"/>
    <s v="MEADE"/>
    <s v="N"/>
    <m/>
    <s v="Lap belt and shoulder harness used"/>
    <s v="Straight ahead"/>
    <n v="0"/>
    <m/>
    <s v="Animal  - wild"/>
    <s v="Dry"/>
    <s v="Animal  - wild"/>
    <s v="Animal  - wild"/>
    <m/>
    <s v="N"/>
    <n v="2021"/>
    <s v="N"/>
    <s v="N"/>
    <s v="N"/>
    <x v="4"/>
    <s v="No collision between 2 MV in transport"/>
    <n v="55"/>
    <s v="Asphalt ( blacktop )"/>
    <s v="Daylight"/>
    <s v="Non-junction"/>
    <s v="County Road"/>
    <s v="Rural Major Collector"/>
    <m/>
    <s v="Straight on grade"/>
    <s v="Clear"/>
    <s v="N"/>
    <s v="N"/>
    <s v="Y"/>
    <s v="N"/>
    <n v="44.313952"/>
    <n v="-102.828981999999"/>
    <s v="SUV ( sport utility/suburban )"/>
    <s v="Southbound"/>
    <s v="Distracted (list distraction in narrative); None"/>
    <s v="Animal in roadway"/>
    <s v="None"/>
    <s v="None"/>
    <s v="0.00 BAC"/>
    <n v="55"/>
    <s v="Not applicable"/>
    <s v="Not applicable"/>
  </r>
  <r>
    <n v="105"/>
    <n v="2108606"/>
    <d v="2021-06-26T00:38:00"/>
    <s v="MEADE"/>
    <s v="N"/>
    <m/>
    <m/>
    <m/>
    <n v="-1"/>
    <m/>
    <s v="Animal  - wild"/>
    <s v="Dry"/>
    <s v="Animal  - wild"/>
    <s v="Animal  - wild"/>
    <m/>
    <s v="N"/>
    <n v="2021"/>
    <s v="N"/>
    <s v="N"/>
    <s v="N"/>
    <x v="1"/>
    <s v="No collision between 2 MV in transport"/>
    <n v="55"/>
    <s v="Wild animal hit - damage only"/>
    <s v="Dark - roadway not lighted"/>
    <s v="Wild animal hit - damage only"/>
    <s v="County Road"/>
    <s v="Rural Major Collector"/>
    <m/>
    <s v="Wild animal hit - damage only"/>
    <s v="Clear"/>
    <s v="N"/>
    <s v="N"/>
    <s v="N"/>
    <s v="N"/>
    <n v="44.209690000000002"/>
    <n v="-102.829488999999"/>
    <s v="Passenger car"/>
    <s v="Northbound"/>
    <s v="Wild animal hit - damage only"/>
    <s v="Animal in roadway"/>
    <s v="Wild animal hit"/>
    <s v="Wild animal hit - damage only"/>
    <s v="Wild animal hit"/>
    <n v="0"/>
    <s v="Wild animal hit"/>
    <s v="Wild animal hit"/>
  </r>
  <r>
    <n v="106"/>
    <n v="2108750"/>
    <d v="2021-07-03T05:55:00"/>
    <s v="MEADE"/>
    <s v="N"/>
    <m/>
    <s v="Lap belt and shoulder harness used"/>
    <s v="Straight ahead"/>
    <n v="0"/>
    <m/>
    <s v="Motor vehicle in transport"/>
    <s v="Dry"/>
    <s v="Motor vehicle in transport"/>
    <s v="Motor vehicle in transport"/>
    <m/>
    <s v="N"/>
    <n v="2021"/>
    <s v="N"/>
    <s v="N"/>
    <s v="N"/>
    <x v="0"/>
    <s v="Sideswipe, opposite direction"/>
    <n v="55"/>
    <s v="Asphalt ( blacktop )"/>
    <s v="Daylight"/>
    <s v="Non-junction"/>
    <s v="County Road"/>
    <s v="Rural Major Collector"/>
    <m/>
    <s v="Straight and level"/>
    <s v="Clear"/>
    <s v="N"/>
    <s v="N"/>
    <s v="N"/>
    <s v="N"/>
    <n v="44.234755"/>
    <n v="-102.829476999999"/>
    <s v="Tractor/semi-trailer; Unknown"/>
    <s v="Northbound; Southbound"/>
    <s v="None; Not Reported"/>
    <s v="None; Unknown"/>
    <s v="None; Unknown"/>
    <s v="None; Not reported"/>
    <s v="0.00 BAC, Not reported"/>
    <s v="0; 55"/>
    <s v="Not applicable"/>
    <s v="Not applicable"/>
  </r>
  <r>
    <n v="109"/>
    <n v="2110039"/>
    <d v="2021-08-02T06:00:00"/>
    <s v="MEADE"/>
    <s v="N"/>
    <m/>
    <m/>
    <m/>
    <n v="-1"/>
    <n v="34"/>
    <s v="Animal  - wild"/>
    <s v="Dry"/>
    <s v="Animal  - wild"/>
    <s v="Animal  - wild"/>
    <m/>
    <s v="N"/>
    <n v="2021"/>
    <s v="N"/>
    <s v="N"/>
    <s v="N"/>
    <x v="1"/>
    <s v="No collision between 2 MV in transport"/>
    <n v="65"/>
    <s v="Wild animal hit - damage only"/>
    <s v="Dawn"/>
    <s v="Wild animal hit - damage only"/>
    <s v="State Road"/>
    <s v="Rural Principal Other Arterial"/>
    <s v="Undivided highway"/>
    <s v="Wild animal hit - damage only"/>
    <s v="Clear"/>
    <s v="N"/>
    <s v="N"/>
    <s v="N"/>
    <s v="N"/>
    <n v="44.5233279999999"/>
    <n v="-102.82393500000001"/>
    <s v="SUV ( sport utility/suburban )"/>
    <s v="Eastbound"/>
    <s v="Wild animal hit - damage only"/>
    <s v="Animal in roadway"/>
    <s v="Wild animal hit"/>
    <s v="Wild animal hit - damage only"/>
    <s v="Wild animal hit"/>
    <n v="0"/>
    <s v="Wild animal hit"/>
    <s v="Wild animal hit"/>
  </r>
  <r>
    <n v="110"/>
    <n v="2111073"/>
    <d v="2021-08-16T20:18:00"/>
    <s v="MEADE"/>
    <s v="N"/>
    <m/>
    <m/>
    <m/>
    <n v="-1"/>
    <m/>
    <s v="Animal  - wild"/>
    <s v="Dry"/>
    <s v="Animal  - wild"/>
    <s v="Animal  - wild"/>
    <m/>
    <s v="N"/>
    <n v="2021"/>
    <s v="N"/>
    <s v="N"/>
    <s v="N"/>
    <x v="1"/>
    <s v="No collision between 2 MV in transport"/>
    <n v="55"/>
    <s v="Wild animal hit - damage only"/>
    <s v="Dark - roadway not lighted"/>
    <s v="Wild animal hit - damage only"/>
    <s v="County Road"/>
    <s v="Rural Major Collector"/>
    <m/>
    <s v="Wild animal hit - damage only"/>
    <s v="Clear"/>
    <s v="N"/>
    <s v="N"/>
    <s v="N"/>
    <s v="N"/>
    <n v="44.344661000000002"/>
    <n v="-102.836534999999"/>
    <s v="SUV ( sport utility/suburban )"/>
    <s v="Northbound"/>
    <s v="Wild animal hit - damage only"/>
    <s v="Animal in roadway"/>
    <s v="Wild animal hit"/>
    <s v="Wild animal hit - damage only"/>
    <s v="Wild animal hit"/>
    <n v="0"/>
    <s v="Wild animal hit"/>
    <s v="Wild animal hit"/>
  </r>
  <r>
    <n v="111"/>
    <n v="2111075"/>
    <d v="2021-08-21T03:49:00"/>
    <s v="MEADE"/>
    <s v="N"/>
    <m/>
    <m/>
    <m/>
    <n v="-1"/>
    <m/>
    <s v="Animal  - wild"/>
    <s v="Dry"/>
    <s v="Animal  - wild"/>
    <s v="Animal  - wild"/>
    <m/>
    <s v="N"/>
    <n v="2021"/>
    <s v="N"/>
    <s v="N"/>
    <s v="N"/>
    <x v="1"/>
    <s v="No collision between 2 MV in transport"/>
    <n v="55"/>
    <s v="Wild animal hit - damage only"/>
    <s v="Dark - roadway not lighted"/>
    <s v="Wild animal hit - damage only"/>
    <s v="County Road"/>
    <s v="Rural Major Collector"/>
    <m/>
    <s v="Wild animal hit - damage only"/>
    <s v="Clear"/>
    <s v="N"/>
    <s v="N"/>
    <s v="N"/>
    <s v="N"/>
    <n v="44.183163999999898"/>
    <n v="-102.829397"/>
    <s v="Light truck (2 axles, 4 tires)"/>
    <s v="Northbound"/>
    <s v="Wild animal hit - damage only"/>
    <s v="Animal in roadway"/>
    <s v="Wild animal hit"/>
    <s v="Wild animal hit - damage only"/>
    <s v="Wild animal hit"/>
    <n v="0"/>
    <s v="Wild animal hit"/>
    <s v="Wild animal hit"/>
  </r>
  <r>
    <n v="112"/>
    <n v="2111418"/>
    <d v="2021-08-22T20:01:00"/>
    <s v="MEADE"/>
    <s v="N"/>
    <m/>
    <m/>
    <m/>
    <n v="-1"/>
    <m/>
    <s v="Animal  - wild"/>
    <s v="Dry"/>
    <s v="Animal  - wild"/>
    <s v="Animal  - wild"/>
    <m/>
    <s v="N"/>
    <n v="2021"/>
    <s v="N"/>
    <s v="N"/>
    <s v="N"/>
    <x v="1"/>
    <s v="No collision between 2 MV in transport"/>
    <n v="55"/>
    <s v="Wild animal hit - damage only"/>
    <s v="Daylight"/>
    <s v="Wild animal hit - damage only"/>
    <s v="County Road"/>
    <s v="Rural Major Collector"/>
    <m/>
    <s v="Wild animal hit - damage only"/>
    <s v="Clear"/>
    <s v="N"/>
    <s v="N"/>
    <s v="N"/>
    <s v="N"/>
    <n v="44.355638999999897"/>
    <n v="-102.83999900000001"/>
    <s v="Passenger car"/>
    <s v="Southbound"/>
    <s v="Wild animal hit - damage only"/>
    <s v="Animal in roadway"/>
    <s v="Wild animal hit"/>
    <s v="Wild animal hit - damage only"/>
    <s v="Wild animal hit"/>
    <n v="0"/>
    <s v="Wild animal hit"/>
    <s v="Wild animal hit"/>
  </r>
  <r>
    <n v="113"/>
    <n v="2110479"/>
    <d v="2021-08-10T11:55:00"/>
    <s v="PENNINGTON"/>
    <s v="N"/>
    <s v="OVERDRIVING ROAD CONDITIONS"/>
    <s v="Eye protection only"/>
    <s v="Straight ahead"/>
    <n v="0"/>
    <m/>
    <s v="Fence, Ran off road right"/>
    <s v="Dry"/>
    <s v="Fence"/>
    <s v="Fence"/>
    <m/>
    <s v="Y"/>
    <n v="2021"/>
    <s v="Y"/>
    <s v="N"/>
    <s v="N"/>
    <x v="5"/>
    <s v="No collision between 2 MV in transport"/>
    <n v="0"/>
    <s v="Asphalt ( blacktop )"/>
    <s v="Daylight"/>
    <s v="Non-junction"/>
    <s v="County Road"/>
    <s v="Rural Major Collector"/>
    <m/>
    <s v="Curve on grade"/>
    <s v="Clear"/>
    <s v="N"/>
    <s v="N"/>
    <s v="N"/>
    <s v="N"/>
    <n v="44.140486000000003"/>
    <n v="-102.82858400000001"/>
    <s v="Motorcycle"/>
    <s v="Northbound"/>
    <s v="Disregarded traffic signs or signals; Driving too fast for conditions"/>
    <s v="None"/>
    <s v="None"/>
    <s v="None"/>
    <s v="0.00 BAC"/>
    <n v="50"/>
    <s v="Not applicable"/>
    <s v="Not applicable"/>
  </r>
  <r>
    <n v="115"/>
    <n v="2111161"/>
    <d v="2021-08-17T16:05:00"/>
    <s v="MEADE"/>
    <s v="N"/>
    <m/>
    <s v="Eye protection only"/>
    <s v="Straight ahead"/>
    <n v="0"/>
    <m/>
    <s v="Overturn/rollover, Ran off road right"/>
    <s v="Dry"/>
    <s v="Overturn/rollover"/>
    <s v="Overturn/rollover"/>
    <s v="Warning sign"/>
    <s v="Y"/>
    <n v="2021"/>
    <s v="N"/>
    <s v="N"/>
    <s v="Y"/>
    <x v="5"/>
    <s v="No collision between 2 MV in transport"/>
    <n v="55"/>
    <s v="Asphalt ( blacktop )"/>
    <s v="Daylight"/>
    <s v="Intersection related"/>
    <s v="County Road"/>
    <s v="Rural Major Collector"/>
    <m/>
    <s v="Curve on grade"/>
    <s v="Clear"/>
    <s v="N"/>
    <s v="N"/>
    <s v="N"/>
    <s v="N"/>
    <n v="44.140720000000002"/>
    <n v="-102.828733"/>
    <s v="Motorcycle"/>
    <s v="Northbound"/>
    <s v="Failure to keep in proper lane; None"/>
    <s v="None"/>
    <s v="None"/>
    <s v="None"/>
    <s v="0.02 BAC"/>
    <n v="25"/>
    <s v="Not applicable"/>
    <s v="Not applicable"/>
  </r>
  <r>
    <n v="116"/>
    <n v="2113008"/>
    <d v="2021-09-26T07:06:00"/>
    <s v="MEADE"/>
    <s v="N"/>
    <m/>
    <m/>
    <m/>
    <n v="-1"/>
    <m/>
    <s v="Animal  - wild"/>
    <s v="Dry"/>
    <s v="Animal  - wild"/>
    <s v="Animal  - wild"/>
    <m/>
    <s v="N"/>
    <n v="2021"/>
    <s v="N"/>
    <s v="N"/>
    <s v="N"/>
    <x v="1"/>
    <s v="No collision between 2 MV in transport"/>
    <n v="55"/>
    <s v="Wild animal hit - damage only"/>
    <s v="Dawn"/>
    <s v="Wild animal hit - damage only"/>
    <s v="County Road"/>
    <s v="Rural Major Collector"/>
    <m/>
    <s v="Wild animal hit - damage only"/>
    <s v="Clear"/>
    <s v="N"/>
    <s v="N"/>
    <s v="N"/>
    <s v="N"/>
    <n v="44.520147999999899"/>
    <n v="-102.823978999999"/>
    <s v="Passenger car"/>
    <s v="Southbound"/>
    <s v="Wild animal hit - damage only"/>
    <s v="Animal in roadway"/>
    <s v="Wild animal hit"/>
    <s v="Wild animal hit - damage only"/>
    <s v="Wild animal hit"/>
    <n v="0"/>
    <s v="Wild animal hit"/>
    <s v="Wild animal hit"/>
  </r>
  <r>
    <n v="117"/>
    <n v="2113006"/>
    <d v="2021-09-26T21:15:00"/>
    <s v="MEADE"/>
    <s v="N"/>
    <m/>
    <m/>
    <m/>
    <n v="-1"/>
    <m/>
    <s v="Animal  - wild"/>
    <s v="Dry"/>
    <s v="Animal  - wild"/>
    <s v="Animal  - wild"/>
    <m/>
    <s v="N"/>
    <n v="2021"/>
    <s v="N"/>
    <s v="N"/>
    <s v="N"/>
    <x v="1"/>
    <s v="No collision between 2 MV in transport"/>
    <n v="55"/>
    <s v="Wild animal hit - damage only"/>
    <s v="Dark - roadway not lighted"/>
    <s v="Wild animal hit - damage only"/>
    <s v="County Road"/>
    <s v="Rural Major Collector"/>
    <m/>
    <s v="Wild animal hit - damage only"/>
    <s v="Clear"/>
    <s v="N"/>
    <s v="N"/>
    <s v="N"/>
    <s v="N"/>
    <n v="44.435720000000003"/>
    <n v="-102.808639999999"/>
    <s v="Mini-van/passenger van with seats for 8 or less, including driver"/>
    <s v="Northbound"/>
    <s v="Wild animal hit - damage only"/>
    <s v="Animal in roadway"/>
    <s v="Wild animal hit"/>
    <s v="Wild animal hit - damage only"/>
    <s v="Wild animal hit"/>
    <n v="0"/>
    <s v="Wild animal hit"/>
    <s v="Wild animal hit"/>
  </r>
  <r>
    <n v="118"/>
    <n v="2114059"/>
    <d v="2021-09-23T15:23:00"/>
    <s v="MEADE"/>
    <s v="N"/>
    <m/>
    <s v="Lap belt and shoulder harness used"/>
    <s v="Straight ahead"/>
    <n v="0"/>
    <m/>
    <s v="Equipment failure ( tires, brakes, etc. ), Motor vehicle in transport"/>
    <s v="Dry"/>
    <s v="Motor vehicle in transport"/>
    <s v="Motor vehicle in transport"/>
    <m/>
    <s v="N"/>
    <n v="2021"/>
    <s v="N"/>
    <s v="N"/>
    <s v="N"/>
    <x v="0"/>
    <s v="Angle"/>
    <n v="55"/>
    <s v="Asphalt ( blacktop )"/>
    <s v="Daylight"/>
    <s v="Non-junction"/>
    <s v="County Road"/>
    <s v="Rural Major Collector"/>
    <m/>
    <s v="Straight on grade"/>
    <s v="Cloudy"/>
    <s v="N"/>
    <s v="N"/>
    <s v="N"/>
    <s v="N"/>
    <n v="44.419151999999897"/>
    <n v="-102.79177300000001"/>
    <s v="Light truck (2 axles, 4 tires); Passenger car"/>
    <s v="Northbound; Southbound"/>
    <s v="None"/>
    <s v="None"/>
    <s v="None; Tires"/>
    <s v="None; Other"/>
    <s v="Test not given, Test not given"/>
    <n v="65"/>
    <s v="Not applicable"/>
    <s v="Not applicable"/>
  </r>
  <r>
    <n v="119"/>
    <n v="2115801"/>
    <d v="2021-10-19T14:31:00"/>
    <s v="MEADE"/>
    <s v="N"/>
    <m/>
    <s v="Lap belt and shoulder harness used"/>
    <s v="Straight ahead"/>
    <n v="0"/>
    <m/>
    <s v="Overturn/rollover, Ran off road left"/>
    <s v="Dry"/>
    <s v="Overturn/rollover"/>
    <s v="Overturn/rollover"/>
    <m/>
    <s v="N"/>
    <n v="2021"/>
    <s v="N"/>
    <s v="N"/>
    <s v="N"/>
    <x v="0"/>
    <s v="No collision between 2 MV in transport"/>
    <n v="55"/>
    <s v="Asphalt ( blacktop )"/>
    <s v="Daylight"/>
    <s v="Non-junction"/>
    <s v="County Road"/>
    <s v="Rural Major Collector"/>
    <m/>
    <s v="Curve and hill crest"/>
    <s v="Clear"/>
    <s v="N"/>
    <s v="N"/>
    <s v="N"/>
    <s v="N"/>
    <n v="44.350876"/>
    <n v="-102.837716"/>
    <s v="Passenger car"/>
    <s v="Southbound"/>
    <s v="None; Swerving or avoiding due to wind, slippery surface, vehicle, object, non-motorist, etc."/>
    <s v="Animal in roadway"/>
    <s v="None"/>
    <s v="None"/>
    <s v="Test not given"/>
    <n v="55"/>
    <s v="Not applicable"/>
    <s v="Not applicable"/>
  </r>
  <r>
    <n v="120"/>
    <n v="2115806"/>
    <d v="2021-10-26T22:03:00"/>
    <s v="MEADE"/>
    <s v="N"/>
    <m/>
    <s v="Lap belt and shoulder harness used"/>
    <s v="Straight ahead"/>
    <n v="0"/>
    <m/>
    <s v="Animal - domestic"/>
    <s v="Wet"/>
    <s v="Animal - domestic"/>
    <s v="Animal - domestic"/>
    <m/>
    <s v="N"/>
    <n v="2021"/>
    <s v="N"/>
    <s v="N"/>
    <s v="N"/>
    <x v="0"/>
    <s v="No collision between 2 MV in transport"/>
    <n v="55"/>
    <s v="Asphalt ( blacktop )"/>
    <s v="Dark - roadway not lighted"/>
    <s v="T- intersection"/>
    <s v="County Road"/>
    <s v="Rural Major Collector"/>
    <m/>
    <s v="Straight on grade"/>
    <s v="Cloudy, Rain"/>
    <s v="N"/>
    <s v="N"/>
    <s v="N"/>
    <s v="N"/>
    <n v="44.387273"/>
    <n v="-102.843419999999"/>
    <s v="Single-unit truck (2 axle, 6 tires) GVWR 10,000 lbs or less"/>
    <s v="Southbound"/>
    <s v="None"/>
    <s v="Animal in roadway"/>
    <s v="None"/>
    <s v="Weather conditions"/>
    <s v="Test not given"/>
    <n v="60"/>
    <s v="Not applicable"/>
    <s v="Not applicable"/>
  </r>
  <r>
    <n v="121"/>
    <n v="2118076"/>
    <d v="2021-11-26T20:32:00"/>
    <s v="MEADE"/>
    <s v="N"/>
    <m/>
    <m/>
    <m/>
    <n v="-1"/>
    <m/>
    <s v="Animal  - wild"/>
    <s v="Wet"/>
    <s v="Animal  - wild"/>
    <s v="Animal  - wild"/>
    <m/>
    <s v="N"/>
    <n v="2021"/>
    <s v="N"/>
    <s v="N"/>
    <s v="N"/>
    <x v="1"/>
    <s v="No collision between 2 MV in transport"/>
    <n v="55"/>
    <s v="Wild animal hit - damage only"/>
    <s v="Dark - roadway not lighted"/>
    <s v="Wild animal hit - damage only"/>
    <s v="County Road"/>
    <s v="Rural Major Collector"/>
    <m/>
    <s v="Wild animal hit - damage only"/>
    <s v="Cloudy"/>
    <s v="N"/>
    <s v="N"/>
    <s v="N"/>
    <s v="N"/>
    <n v="44.282249"/>
    <n v="-102.82918600000001"/>
    <s v="Passenger car"/>
    <s v="Southbound"/>
    <s v="Wild animal hit - damage only"/>
    <s v="Animal in roadway"/>
    <s v="Wild animal hit"/>
    <s v="Wild animal hit - damage only"/>
    <s v="Wild animal hit"/>
    <n v="0"/>
    <s v="Wild animal hit"/>
    <s v="Wild animal hit"/>
  </r>
  <r>
    <n v="123"/>
    <n v="2207770"/>
    <d v="2022-06-29T07:22:00"/>
    <s v="PENNINGTON"/>
    <s v="N"/>
    <m/>
    <s v="Helmet and eye protection"/>
    <s v="Straight ahead"/>
    <n v="0"/>
    <m/>
    <s v="Overturn/rollover, Ran off road right"/>
    <s v="Dry"/>
    <s v="Overturn/rollover"/>
    <s v="Overturn/rollover"/>
    <m/>
    <s v="Y"/>
    <n v="2022"/>
    <s v="N"/>
    <s v="N"/>
    <s v="N"/>
    <x v="5"/>
    <s v="No collision between 2 MV in transport"/>
    <n v="0"/>
    <s v="Asphalt ( blacktop )"/>
    <s v="Daylight"/>
    <s v="Non-junction"/>
    <s v="County Road"/>
    <s v="Rural Major Collector"/>
    <m/>
    <s v="Curve on grade"/>
    <s v="Clear"/>
    <s v="N"/>
    <s v="N"/>
    <s v="N"/>
    <s v="N"/>
    <n v="44.140486000000003"/>
    <n v="-102.82858400000001"/>
    <s v="Motorcycle"/>
    <s v="Northbound"/>
    <s v="Failure to keep in proper lane; None"/>
    <s v="None"/>
    <s v="None"/>
    <s v="None"/>
    <s v="0.00 BAC"/>
    <n v="0"/>
    <s v="Not applicable"/>
    <s v="Not applicable"/>
  </r>
  <r>
    <n v="125"/>
    <n v="2209454"/>
    <d v="2022-08-01T07:44:00"/>
    <s v="PENNINGTON"/>
    <s v="N"/>
    <s v="Careless driving."/>
    <s v="None used"/>
    <s v="Straight ahead"/>
    <n v="0"/>
    <m/>
    <s v="Overturn/rollover, Ran off road left, Ran off road right"/>
    <s v="Dry"/>
    <s v="Overturn/rollover"/>
    <s v="Overturn/rollover"/>
    <m/>
    <s v="N"/>
    <n v="2022"/>
    <s v="Y"/>
    <s v="N"/>
    <s v="N"/>
    <x v="4"/>
    <s v="No collision between 2 MV in transport"/>
    <n v="0"/>
    <s v="Asphalt ( blacktop )"/>
    <s v="Daylight"/>
    <s v="Non-junction"/>
    <s v="County Road"/>
    <s v="Rural Major Collector"/>
    <m/>
    <s v="Curve and hill crest"/>
    <s v="Clear"/>
    <s v="N"/>
    <s v="N"/>
    <s v="N"/>
    <s v="N"/>
    <n v="44.140486000000003"/>
    <n v="-102.82858400000001"/>
    <s v="Single-unit truck (3 or more axles)"/>
    <s v="Northbound"/>
    <s v="Driving too fast for conditions; None"/>
    <s v="None"/>
    <s v="None"/>
    <s v="None"/>
    <s v="0.00 BAC"/>
    <n v="65"/>
    <s v="Not applicable"/>
    <s v="Not applicable"/>
  </r>
  <r>
    <n v="127"/>
    <n v="2211120"/>
    <d v="2022-08-24T19:49:00"/>
    <s v="MEADE"/>
    <s v="N"/>
    <m/>
    <s v="None used"/>
    <s v="Straight ahead"/>
    <n v="0"/>
    <m/>
    <s v="Cargo/equipment loss or shift, Overturn/rollover, Separation of units"/>
    <s v="Wet"/>
    <s v="Cargo/equipment loss or shift"/>
    <s v="Overturn/rollover"/>
    <m/>
    <s v="N"/>
    <n v="2022"/>
    <s v="N"/>
    <s v="N"/>
    <s v="N"/>
    <x v="0"/>
    <s v="No collision between 2 MV in transport"/>
    <n v="55"/>
    <s v="Asphalt ( blacktop )"/>
    <s v="Dark - roadway not lighted"/>
    <s v="Non-junction"/>
    <s v="County Road"/>
    <s v="Rural Major Collector"/>
    <m/>
    <s v="Straight on grade"/>
    <s v="Cloudy"/>
    <s v="N"/>
    <s v="N"/>
    <s v="N"/>
    <s v="N"/>
    <n v="44.317642999999897"/>
    <n v="-102.828963999999"/>
    <s v="All terrain vehicle / 4 wheeler"/>
    <s v="Northbound"/>
    <s v="None"/>
    <s v="Rut, holes, bumps"/>
    <s v="Truck coupling / trailer hitch / safety chains"/>
    <s v="None"/>
    <s v="Test not given"/>
    <n v="55"/>
    <s v="Not applicable"/>
    <s v="Not applicable"/>
  </r>
  <r>
    <n v="128"/>
    <n v="2212202"/>
    <d v="2022-09-19T14:00:00"/>
    <s v="MEADE"/>
    <s v="N"/>
    <m/>
    <s v="Lap belt and shoulder harness used"/>
    <s v="Overtaking/passing, Turning left"/>
    <n v="0"/>
    <m/>
    <s v="Fence, Motor vehicle in transport, Ran off road left, Separation of units"/>
    <s v="Dry"/>
    <s v="Motor vehicle in transport"/>
    <s v="Motor vehicle in transport"/>
    <m/>
    <s v="N"/>
    <n v="2022"/>
    <s v="N"/>
    <s v="N"/>
    <s v="N"/>
    <x v="0"/>
    <s v="Sideswipe, same direction"/>
    <n v="55"/>
    <s v="Asphalt ( blacktop )"/>
    <s v="Daylight"/>
    <s v="T- intersection"/>
    <s v="County Road"/>
    <s v="Rural Major Collector"/>
    <m/>
    <s v="Straight and level"/>
    <s v="Clear"/>
    <s v="N"/>
    <s v="N"/>
    <s v="N"/>
    <s v="N"/>
    <n v="44.387273"/>
    <n v="-102.843419999999"/>
    <s v="Passenger car; Tractor/semi-trailer"/>
    <s v="Northbound"/>
    <s v="Failed to yield to vehicle; None"/>
    <s v="None"/>
    <s v="None"/>
    <s v="None"/>
    <s v="Test not given, Test not given"/>
    <n v="0"/>
    <s v="Not applicable"/>
    <s v="Not applicable"/>
  </r>
  <r>
    <n v="129"/>
    <n v="2211553"/>
    <d v="2022-09-04T20:30:00"/>
    <s v="MEADE"/>
    <s v="N"/>
    <m/>
    <m/>
    <m/>
    <n v="-1"/>
    <m/>
    <s v="Animal  - wild"/>
    <s v="Dry"/>
    <s v="Animal  - wild"/>
    <s v="Animal  - wild"/>
    <m/>
    <s v="N"/>
    <n v="2022"/>
    <s v="N"/>
    <s v="N"/>
    <s v="N"/>
    <x v="1"/>
    <s v="Wild animal hit - damage only"/>
    <n v="55"/>
    <s v="Wild animal hit - damage only"/>
    <s v="Dusk"/>
    <s v="Wild animal hit - damage only"/>
    <s v="County Road"/>
    <s v="Rural Major Collector"/>
    <m/>
    <s v="Wild animal hit - damage only"/>
    <s v="Clear"/>
    <s v="N"/>
    <s v="N"/>
    <s v="N"/>
    <s v="N"/>
    <n v="44.3367849999999"/>
    <n v="-102.835037"/>
    <s v="Light truck (2 axles, 4 tires)"/>
    <s v="Northbound"/>
    <s v="Wild animal hit - damage only"/>
    <s v="Animal in roadway"/>
    <s v="Wild animal hit"/>
    <s v="Wild animal hit - damage only"/>
    <s v="Wild animal hit"/>
    <n v="0"/>
    <s v="Wild animal hit"/>
    <s v="Wild animal hit"/>
  </r>
  <r>
    <n v="130"/>
    <n v="2213181"/>
    <d v="2022-10-05T07:00:00"/>
    <s v="MEADE"/>
    <s v="N"/>
    <m/>
    <m/>
    <m/>
    <n v="-1"/>
    <m/>
    <s v="Animal  - wild"/>
    <s v="Wet"/>
    <s v="Animal  - wild"/>
    <s v="Animal  - wild"/>
    <m/>
    <s v="N"/>
    <n v="2022"/>
    <s v="N"/>
    <s v="N"/>
    <s v="N"/>
    <x v="1"/>
    <s v="No collision between 2 MV in transport"/>
    <n v="55"/>
    <s v="Wild animal hit - damage only"/>
    <s v="Dawn"/>
    <s v="Wild animal hit - damage only"/>
    <s v="County Road"/>
    <s v="Rural Major Collector"/>
    <m/>
    <s v="Wild animal hit - damage only"/>
    <s v="Cloudy"/>
    <s v="N"/>
    <s v="N"/>
    <s v="N"/>
    <s v="N"/>
    <n v="44.402172999999898"/>
    <n v="-102.79230800000001"/>
    <s v="Passenger car"/>
    <s v="Southbound"/>
    <s v="Wild animal hit - damage only"/>
    <s v="Animal in roadway"/>
    <s v="Wild animal hit"/>
    <s v="Wild animal hit - damage only"/>
    <s v="Wild animal hit"/>
    <n v="0"/>
    <s v="Wild animal hit"/>
    <s v="Wild animal hit"/>
  </r>
  <r>
    <n v="131"/>
    <n v="2212200"/>
    <d v="2022-09-13T20:52:00"/>
    <s v="MEADE"/>
    <s v="N"/>
    <s v="DUI"/>
    <s v="Lap belt and shoulder harness used, None used"/>
    <s v="Straight ahead"/>
    <n v="0"/>
    <m/>
    <s v="Overturn/rollover, Ran off road left, Ran off road right"/>
    <s v="Dry"/>
    <s v="Overturn/rollover"/>
    <s v="Overturn/rollover"/>
    <m/>
    <s v="N"/>
    <n v="2022"/>
    <s v="N"/>
    <s v="N"/>
    <s v="Y"/>
    <x v="2"/>
    <s v="No collision between 2 MV in transport"/>
    <n v="55"/>
    <s v="Asphalt ( blacktop )"/>
    <s v="Dark - roadway not lighted"/>
    <s v="Non-junction"/>
    <s v="County Road"/>
    <s v="Rural Major Collector"/>
    <m/>
    <s v="Curve and level"/>
    <s v="Clear"/>
    <s v="Y"/>
    <s v="N"/>
    <s v="N"/>
    <s v="N"/>
    <n v="44.357573000000002"/>
    <n v="-102.842882"/>
    <s v="SUV ( sport utility/suburban )"/>
    <s v="Southbound"/>
    <s v="Drinking; Over-correcting/over-steering"/>
    <s v="None"/>
    <s v="None"/>
    <s v="None"/>
    <s v="0.22 BAC, Not reported, Not reported"/>
    <n v="0"/>
    <s v="Not applicable"/>
    <s v="Not applicable"/>
  </r>
  <r>
    <n v="132"/>
    <n v="2214362"/>
    <d v="2022-09-11T06:08:00"/>
    <s v="MEADE"/>
    <s v="N"/>
    <m/>
    <m/>
    <m/>
    <n v="-1"/>
    <m/>
    <s v="Animal  - wild"/>
    <s v="Dry"/>
    <s v="Animal  - wild"/>
    <s v="Animal  - wild"/>
    <m/>
    <s v="N"/>
    <n v="2022"/>
    <s v="N"/>
    <s v="N"/>
    <s v="N"/>
    <x v="1"/>
    <s v="No collision between 2 MV in transport"/>
    <n v="55"/>
    <s v="Wild animal hit - damage only"/>
    <s v="Dawn"/>
    <s v="Wild animal hit - damage only"/>
    <s v="County Road"/>
    <s v="Rural Local Road"/>
    <m/>
    <s v="Wild animal hit - damage only"/>
    <s v="Clear"/>
    <s v="N"/>
    <s v="N"/>
    <s v="N"/>
    <s v="N"/>
    <n v="44.212105000000001"/>
    <n v="-102.829498"/>
    <s v="SUV ( sport utility/suburban )"/>
    <s v="Northbound"/>
    <s v="Wild animal hit - damage only"/>
    <s v="Animal in roadway"/>
    <s v="Wild animal hit"/>
    <s v="Wild animal hit - damage only"/>
    <s v="Wild animal hit"/>
    <n v="0"/>
    <s v="Wild animal hit"/>
    <s v="Wild animal hit"/>
  </r>
  <r>
    <n v="134"/>
    <n v="2217239"/>
    <d v="2022-12-02T17:39:00"/>
    <s v="MEADE"/>
    <s v="N"/>
    <m/>
    <m/>
    <m/>
    <n v="-1"/>
    <m/>
    <s v="Animal  - wild"/>
    <s v="Dry"/>
    <s v="Animal  - wild"/>
    <s v="Animal  - wild"/>
    <m/>
    <s v="N"/>
    <n v="2022"/>
    <s v="N"/>
    <s v="N"/>
    <s v="N"/>
    <x v="1"/>
    <s v="No collision between 2 MV in transport"/>
    <n v="55"/>
    <s v="Wild animal hit - damage only"/>
    <s v="Dark - roadway not lighted"/>
    <s v="Wild animal hit - damage only"/>
    <s v="County Road"/>
    <s v="Rural Major Collector"/>
    <m/>
    <s v="Wild animal hit - damage only"/>
    <s v="Clear"/>
    <s v="N"/>
    <s v="N"/>
    <s v="N"/>
    <s v="N"/>
    <n v="44.187497"/>
    <n v="-102.829412"/>
    <s v="SUV ( sport utility/suburban )"/>
    <s v="Northbound"/>
    <s v="Wild animal hit - damage only"/>
    <s v="Animal in roadway"/>
    <s v="Wild animal hit"/>
    <s v="Wild animal hit - damage only"/>
    <s v="Wild animal hit"/>
    <n v="0"/>
    <s v="Wild animal hit"/>
    <s v="Wild animal hit"/>
  </r>
  <r>
    <n v="137"/>
    <n v="2216916"/>
    <d v="2022-12-05T11:28:00"/>
    <s v="MEADE"/>
    <s v="N"/>
    <s v="SEAT BELT REQUIRED-DRIVER &amp; ADULT FRONT SEAT PASSENGERS"/>
    <s v="None used"/>
    <s v="Straight ahead"/>
    <n v="0"/>
    <m/>
    <s v="Overturn/rollover, Ran off road right"/>
    <s v="Ice"/>
    <s v="Overturn/rollover"/>
    <s v="Overturn/rollover"/>
    <m/>
    <s v="N"/>
    <n v="2022"/>
    <s v="N"/>
    <s v="N"/>
    <s v="N"/>
    <x v="4"/>
    <s v="No collision between 2 MV in transport"/>
    <n v="55"/>
    <s v="Asphalt ( blacktop )"/>
    <s v="Daylight"/>
    <s v="Non-junction"/>
    <s v="County Road"/>
    <s v="Rural Major Collector"/>
    <m/>
    <s v="Straight and level"/>
    <s v="Snow"/>
    <s v="N"/>
    <s v="N"/>
    <s v="N"/>
    <s v="N"/>
    <n v="44.20223"/>
    <n v="-102.829463"/>
    <s v="Light truck (2 axles, 4 tires)"/>
    <s v="Northbound"/>
    <s v="None"/>
    <s v="Road surface condition ( wet, icy, snow, slush, etc. )"/>
    <s v="None"/>
    <s v="None"/>
    <s v="0.00 BAC"/>
    <n v="50"/>
    <s v="Not applicable"/>
    <s v="Not applicable"/>
  </r>
  <r>
    <n v="579"/>
    <n v="1312830"/>
    <d v="2013-11-05T19:35:00"/>
    <s v="MEADE"/>
    <s v="N"/>
    <s v="OVERDRIVING ROAD CONDITIONS"/>
    <s v="Lap belt and shoulder harness used"/>
    <s v="Straight ahead"/>
    <n v="0"/>
    <n v="34"/>
    <s v="Approach, Fence, Ran off road right"/>
    <s v="Dry"/>
    <s v="Approach"/>
    <s v="Approach"/>
    <s v="Stop sign"/>
    <s v="N"/>
    <n v="2013"/>
    <s v="Y"/>
    <s v="N"/>
    <s v="N"/>
    <x v="0"/>
    <s v="No collision between 2 MV in transport"/>
    <n v="65"/>
    <s v="Gravel"/>
    <s v="Dark - roadway not lighted"/>
    <s v="Four-way intersection"/>
    <s v="State Road"/>
    <s v="Rural Other Expressways"/>
    <s v="Undivided highway"/>
    <s v="Straight and level"/>
    <s v="Fog, smog, smoke"/>
    <s v="N"/>
    <s v="N"/>
    <s v="N"/>
    <s v="N"/>
    <n v="44.5233279999999"/>
    <n v="-102.82393500000001"/>
    <s v="Passenger car"/>
    <s v="Northbound"/>
    <s v="Disregarded traffic signs or signals; Driving too fast for conditions"/>
    <s v="None"/>
    <s v="None"/>
    <s v="Weather conditions"/>
    <s v="0.00 BAC"/>
    <n v="65"/>
    <s v="Not applicable"/>
    <s v="Not applicable"/>
  </r>
  <r>
    <n v="1133"/>
    <n v="1412824"/>
    <d v="2014-11-05T16:45:00"/>
    <s v="MEADE"/>
    <s v="N"/>
    <m/>
    <s v="Lap belt and shoulder harness used"/>
    <s v="Straight ahead"/>
    <n v="0"/>
    <m/>
    <s v="Fire/explosion"/>
    <s v="Dry"/>
    <s v="Fire/explosion"/>
    <s v="Fire/explosion"/>
    <m/>
    <s v="N"/>
    <n v="2014"/>
    <s v="N"/>
    <s v="N"/>
    <s v="N"/>
    <x v="0"/>
    <s v="No collision between 2 MV in transport"/>
    <n v="55"/>
    <s v="Asphalt ( blacktop )"/>
    <s v="Daylight"/>
    <s v="Non-junction"/>
    <s v="County Road"/>
    <s v="Rural Major Collector"/>
    <m/>
    <s v="Straight and level"/>
    <s v="Clear"/>
    <s v="N"/>
    <s v="N"/>
    <s v="N"/>
    <s v="N"/>
    <n v="44.521703000000002"/>
    <n v="-102.823956999999"/>
    <s v="Single-unit truck (3 or more axles)"/>
    <s v="Northbound"/>
    <s v="None"/>
    <s v="None"/>
    <s v="Unknown"/>
    <s v="None"/>
    <s v="Test not given"/>
    <n v="35"/>
    <s v="Not applicable"/>
    <s v="Not applicable"/>
  </r>
  <r>
    <n v="5155"/>
    <n v="2110039"/>
    <d v="2021-08-02T06:00:00"/>
    <s v="MEADE"/>
    <s v="N"/>
    <m/>
    <m/>
    <m/>
    <n v="-1"/>
    <n v="34"/>
    <s v="Animal  - wild"/>
    <s v="Dry"/>
    <s v="Animal  - wild"/>
    <s v="Animal  - wild"/>
    <m/>
    <s v="N"/>
    <n v="2021"/>
    <s v="N"/>
    <s v="N"/>
    <s v="N"/>
    <x v="1"/>
    <s v="No collision between 2 MV in transport"/>
    <n v="65"/>
    <s v="Wild animal hit - damage only"/>
    <s v="Dawn"/>
    <s v="Wild animal hit - damage only"/>
    <s v="State Road"/>
    <s v="Rural Principal Other Arterial"/>
    <s v="Undivided highway"/>
    <s v="Wild animal hit - damage only"/>
    <s v="Clear"/>
    <s v="N"/>
    <s v="N"/>
    <s v="N"/>
    <s v="N"/>
    <n v="44.5233279999999"/>
    <n v="-102.82393500000001"/>
    <s v="SUV ( sport utility/suburban )"/>
    <s v="Eastbound"/>
    <s v="Wild animal hit - damage only"/>
    <s v="Animal in roadway"/>
    <s v="Wild animal hit"/>
    <s v="Wild animal hit - damage only"/>
    <s v="Wild animal hit"/>
    <n v="0"/>
    <s v="Wild animal hit"/>
    <s v="Wild animal hit"/>
  </r>
  <r>
    <n v="5272"/>
    <n v="2113008"/>
    <d v="2021-09-26T07:06:00"/>
    <s v="MEADE"/>
    <s v="N"/>
    <m/>
    <m/>
    <m/>
    <n v="-1"/>
    <m/>
    <s v="Animal  - wild"/>
    <s v="Dry"/>
    <s v="Animal  - wild"/>
    <s v="Animal  - wild"/>
    <m/>
    <s v="N"/>
    <n v="2021"/>
    <s v="N"/>
    <s v="N"/>
    <s v="N"/>
    <x v="1"/>
    <s v="No collision between 2 MV in transport"/>
    <n v="55"/>
    <s v="Wild animal hit - damage only"/>
    <s v="Dawn"/>
    <s v="Wild animal hit - damage only"/>
    <s v="County Road"/>
    <s v="Rural Major Collector"/>
    <m/>
    <s v="Wild animal hit - damage only"/>
    <s v="Clear"/>
    <s v="N"/>
    <s v="N"/>
    <s v="N"/>
    <s v="N"/>
    <n v="44.520147999999899"/>
    <n v="-102.823978999999"/>
    <s v="Passenger car"/>
    <s v="Southbound"/>
    <s v="Wild animal hit - damage only"/>
    <s v="Animal in roadway"/>
    <s v="Wild animal hit"/>
    <s v="Wild animal hit - damage only"/>
    <s v="Wild animal hit"/>
    <n v="0"/>
    <s v="Wild animal hit"/>
    <s v="Wild animal hit"/>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FA65F39-E4E6-4E29-ABCF-F13ECD3F7DDC}"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112:C119" firstHeaderRow="1" firstDataRow="1" firstDataCol="1"/>
  <pivotFields count="47">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3"/>
        <item x="5"/>
        <item x="0"/>
        <item x="4"/>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0"/>
  </rowFields>
  <rowItems count="7">
    <i>
      <x/>
    </i>
    <i>
      <x v="1"/>
    </i>
    <i>
      <x v="2"/>
    </i>
    <i>
      <x v="3"/>
    </i>
    <i>
      <x v="4"/>
    </i>
    <i>
      <x v="5"/>
    </i>
    <i t="grand">
      <x/>
    </i>
  </rowItems>
  <colItems count="1">
    <i/>
  </colItems>
  <dataFields count="1">
    <dataField name="Count of InjurySeverity" fld="2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cmfclearinghouse.org/detail.php?facid=2976" TargetMode="External"/><Relationship Id="rId2" Type="http://schemas.openxmlformats.org/officeDocument/2006/relationships/hyperlink" Target="https://www.cmfclearinghouse.org/detail.php?facid=101" TargetMode="External"/><Relationship Id="rId1" Type="http://schemas.openxmlformats.org/officeDocument/2006/relationships/hyperlink" Target="https://www.cmfclearinghouse.org/detail.php?facid=6946"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dot.state.mn.us/assetmanagement/pdf/guide/06chap6.pdf" TargetMode="External"/><Relationship Id="rId1" Type="http://schemas.openxmlformats.org/officeDocument/2006/relationships/hyperlink" Target="http://www.dot.state.mn.us/assetmanagement/pdf/guide/06chap6.pdf"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9.bin"/><Relationship Id="rId1" Type="http://schemas.openxmlformats.org/officeDocument/2006/relationships/hyperlink" Target="https://apps.sd.gov/hr53needsboo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4" tint="0.59999389629810485"/>
    <pageSetUpPr fitToPage="1"/>
  </sheetPr>
  <dimension ref="B2:V330"/>
  <sheetViews>
    <sheetView tabSelected="1" view="pageBreakPreview" zoomScale="85" zoomScaleNormal="55" zoomScaleSheetLayoutView="85" workbookViewId="0"/>
  </sheetViews>
  <sheetFormatPr defaultColWidth="10.7109375" defaultRowHeight="15" customHeight="1" x14ac:dyDescent="0.25"/>
  <cols>
    <col min="1" max="1" width="10.7109375" style="64"/>
    <col min="2" max="2" width="5.7109375" style="64" customWidth="1"/>
    <col min="3" max="3" width="55.28515625" style="64" customWidth="1"/>
    <col min="4" max="4" width="15.7109375" style="64" customWidth="1"/>
    <col min="5" max="5" width="9.7109375" style="64" customWidth="1"/>
    <col min="6" max="10" width="21" style="64" customWidth="1"/>
    <col min="11" max="13" width="10.7109375" style="64"/>
    <col min="14" max="14" width="14.28515625" style="64" customWidth="1"/>
    <col min="15" max="15" width="11.7109375" style="140" bestFit="1" customWidth="1"/>
    <col min="16" max="21" width="10.7109375" style="140"/>
    <col min="22" max="16384" width="10.7109375" style="64"/>
  </cols>
  <sheetData>
    <row r="2" spans="2:21" x14ac:dyDescent="0.25"/>
    <row r="3" spans="2:21" ht="23.25" x14ac:dyDescent="0.35">
      <c r="B3" s="12"/>
      <c r="C3" s="8" t="s">
        <v>138</v>
      </c>
      <c r="D3" s="13"/>
      <c r="E3" s="13"/>
      <c r="F3" s="13"/>
      <c r="G3" s="13"/>
      <c r="H3" s="13"/>
      <c r="I3" s="13"/>
      <c r="J3" s="13"/>
      <c r="O3" s="64"/>
      <c r="P3" s="64"/>
      <c r="Q3" s="64"/>
      <c r="R3" s="64"/>
      <c r="S3" s="64"/>
      <c r="T3" s="64"/>
      <c r="U3" s="64"/>
    </row>
    <row r="4" spans="2:21" ht="15" customHeight="1" x14ac:dyDescent="0.25">
      <c r="B4" s="12"/>
      <c r="D4" s="65"/>
      <c r="E4" s="65"/>
      <c r="F4" s="30" t="s">
        <v>90</v>
      </c>
      <c r="G4" s="65"/>
      <c r="H4" s="65"/>
      <c r="I4" s="65"/>
      <c r="J4" s="65"/>
      <c r="O4" s="64"/>
      <c r="P4" s="64"/>
      <c r="Q4" s="64"/>
      <c r="R4" s="64"/>
      <c r="S4" s="64"/>
      <c r="T4" s="64"/>
      <c r="U4" s="64"/>
    </row>
    <row r="5" spans="2:21" ht="15" customHeight="1" x14ac:dyDescent="0.25">
      <c r="B5" s="12"/>
      <c r="C5" s="30" t="s">
        <v>111</v>
      </c>
      <c r="D5" s="65"/>
      <c r="E5" s="65"/>
      <c r="H5" s="65"/>
      <c r="I5" s="65"/>
      <c r="J5" s="65"/>
      <c r="O5" s="64"/>
      <c r="P5" s="64"/>
      <c r="Q5" s="64"/>
      <c r="R5" s="64"/>
      <c r="S5" s="64"/>
      <c r="T5" s="64"/>
      <c r="U5" s="64"/>
    </row>
    <row r="6" spans="2:21" ht="15" customHeight="1" x14ac:dyDescent="0.25">
      <c r="B6" s="12"/>
      <c r="C6" s="357" t="s">
        <v>110</v>
      </c>
      <c r="D6" s="65"/>
      <c r="E6" s="65"/>
      <c r="G6" s="65"/>
      <c r="H6" s="65"/>
      <c r="I6" s="65"/>
      <c r="J6" s="65"/>
      <c r="O6" s="64"/>
      <c r="P6" s="64"/>
      <c r="Q6" s="64"/>
      <c r="R6" s="64"/>
      <c r="S6" s="64"/>
      <c r="T6" s="64"/>
      <c r="U6" s="64"/>
    </row>
    <row r="7" spans="2:21" ht="15" customHeight="1" x14ac:dyDescent="0.25">
      <c r="B7" s="12"/>
      <c r="C7" s="358" t="s">
        <v>112</v>
      </c>
      <c r="D7" s="65"/>
      <c r="E7" s="65"/>
      <c r="F7" s="65"/>
      <c r="G7" s="65"/>
      <c r="H7" s="65"/>
      <c r="I7" s="65"/>
      <c r="J7" s="65"/>
      <c r="O7" s="64"/>
      <c r="P7" s="64"/>
      <c r="Q7" s="64"/>
      <c r="R7" s="64"/>
      <c r="S7" s="64"/>
      <c r="T7" s="64"/>
      <c r="U7" s="64"/>
    </row>
    <row r="8" spans="2:21" ht="15" customHeight="1" x14ac:dyDescent="0.25">
      <c r="B8" s="12"/>
      <c r="D8" s="65"/>
      <c r="E8" s="65"/>
      <c r="F8" s="65"/>
      <c r="G8" s="65"/>
      <c r="H8" s="65"/>
      <c r="I8" s="65"/>
      <c r="J8" s="65"/>
      <c r="O8" s="64"/>
      <c r="P8" s="64"/>
      <c r="Q8" s="64"/>
      <c r="R8" s="64"/>
      <c r="S8" s="64"/>
      <c r="T8" s="64"/>
      <c r="U8" s="64"/>
    </row>
    <row r="9" spans="2:21" ht="15" customHeight="1" x14ac:dyDescent="0.25">
      <c r="B9" s="12"/>
      <c r="D9" s="65"/>
      <c r="E9" s="65"/>
      <c r="F9" s="65"/>
      <c r="G9" s="65"/>
      <c r="H9" s="65"/>
      <c r="I9" s="65"/>
      <c r="J9" s="65"/>
      <c r="O9" s="64"/>
      <c r="P9" s="64"/>
      <c r="Q9" s="64"/>
      <c r="R9" s="64"/>
      <c r="S9" s="64"/>
      <c r="T9" s="64"/>
      <c r="U9" s="64"/>
    </row>
    <row r="10" spans="2:21" ht="15" customHeight="1" x14ac:dyDescent="0.25">
      <c r="C10" s="1" t="s">
        <v>14</v>
      </c>
      <c r="I10" s="136"/>
      <c r="L10" s="30"/>
      <c r="O10" s="64"/>
      <c r="P10" s="64"/>
      <c r="Q10" s="64"/>
      <c r="R10" s="64"/>
      <c r="S10" s="64"/>
      <c r="T10" s="64"/>
      <c r="U10" s="64"/>
    </row>
    <row r="11" spans="2:21" ht="15" customHeight="1" x14ac:dyDescent="0.25">
      <c r="C11" s="137" t="s">
        <v>55</v>
      </c>
      <c r="D11" s="141">
        <v>2023</v>
      </c>
      <c r="I11" s="136"/>
      <c r="K11" s="138"/>
      <c r="L11" s="138"/>
      <c r="M11" s="138"/>
      <c r="N11" s="139"/>
      <c r="O11" s="138"/>
      <c r="P11" s="138"/>
      <c r="Q11" s="138"/>
      <c r="R11" s="138"/>
      <c r="S11" s="138"/>
      <c r="T11" s="138"/>
    </row>
    <row r="12" spans="2:21" ht="15" customHeight="1" x14ac:dyDescent="0.25">
      <c r="B12" s="138"/>
      <c r="C12" s="137" t="s">
        <v>54</v>
      </c>
      <c r="D12" s="141">
        <v>2021</v>
      </c>
      <c r="E12" s="138"/>
      <c r="F12" s="138"/>
      <c r="G12" s="138"/>
      <c r="H12" s="138"/>
      <c r="J12" s="139"/>
      <c r="K12" s="138"/>
      <c r="O12" s="64"/>
      <c r="P12" s="138"/>
      <c r="Q12" s="138"/>
      <c r="R12" s="138"/>
      <c r="S12" s="138"/>
      <c r="T12" s="138"/>
      <c r="U12" s="64"/>
    </row>
    <row r="13" spans="2:21" ht="15" customHeight="1" x14ac:dyDescent="0.25">
      <c r="B13" s="138"/>
      <c r="C13" s="137" t="s">
        <v>116</v>
      </c>
      <c r="D13" s="141">
        <v>2024</v>
      </c>
      <c r="E13" s="138"/>
      <c r="F13" s="138"/>
      <c r="G13" s="138"/>
      <c r="H13" s="138"/>
      <c r="J13" s="139"/>
      <c r="K13" s="138"/>
      <c r="O13" s="64"/>
      <c r="P13" s="138"/>
      <c r="Q13" s="138"/>
      <c r="R13" s="138"/>
      <c r="S13" s="138"/>
      <c r="T13" s="138"/>
      <c r="U13" s="64"/>
    </row>
    <row r="14" spans="2:21" ht="15" customHeight="1" x14ac:dyDescent="0.25">
      <c r="B14" s="138"/>
      <c r="C14" s="137" t="s">
        <v>26</v>
      </c>
      <c r="D14" s="141">
        <v>20</v>
      </c>
      <c r="E14" s="138"/>
      <c r="F14" s="138"/>
      <c r="G14" s="138"/>
      <c r="H14" s="138"/>
      <c r="J14" s="30"/>
      <c r="O14" s="64"/>
      <c r="P14" s="64"/>
      <c r="Q14" s="64"/>
      <c r="R14" s="64"/>
      <c r="S14" s="64"/>
      <c r="T14" s="64"/>
      <c r="U14" s="64"/>
    </row>
    <row r="15" spans="2:21" s="65" customFormat="1" ht="15" customHeight="1" x14ac:dyDescent="0.25">
      <c r="B15" s="64"/>
      <c r="C15" s="137" t="s">
        <v>81</v>
      </c>
      <c r="D15" s="141">
        <v>2038</v>
      </c>
      <c r="E15" s="138"/>
      <c r="F15" s="138"/>
      <c r="G15" s="138"/>
      <c r="H15" s="138"/>
      <c r="I15" s="64"/>
      <c r="J15" s="139"/>
    </row>
    <row r="16" spans="2:21" ht="14.25" customHeight="1" x14ac:dyDescent="0.25">
      <c r="B16" s="65"/>
      <c r="C16" s="137" t="s">
        <v>82</v>
      </c>
      <c r="D16" s="164">
        <f>D15+D14-1</f>
        <v>2057</v>
      </c>
      <c r="E16" s="65"/>
      <c r="F16" s="65"/>
      <c r="G16" s="65"/>
      <c r="H16" s="65"/>
      <c r="I16" s="65"/>
      <c r="J16" s="65"/>
      <c r="O16" s="64"/>
      <c r="P16" s="64"/>
      <c r="Q16" s="64"/>
      <c r="R16" s="64"/>
      <c r="S16" s="64"/>
      <c r="T16" s="64"/>
      <c r="U16" s="64"/>
    </row>
    <row r="17" spans="3:22" ht="15" customHeight="1" x14ac:dyDescent="0.25">
      <c r="C17" s="65"/>
      <c r="D17" s="65"/>
      <c r="E17" s="138"/>
      <c r="F17" s="138"/>
      <c r="G17" s="138"/>
      <c r="H17" s="138"/>
      <c r="I17" s="138"/>
      <c r="O17" s="64"/>
      <c r="P17" s="64"/>
      <c r="Q17" s="64"/>
      <c r="R17" s="64"/>
      <c r="S17" s="64"/>
      <c r="T17" s="64"/>
      <c r="U17" s="64"/>
    </row>
    <row r="18" spans="3:22" ht="15" customHeight="1" x14ac:dyDescent="0.25">
      <c r="C18" s="1" t="s">
        <v>15</v>
      </c>
      <c r="E18" s="138"/>
      <c r="F18" s="138"/>
      <c r="G18" s="138"/>
      <c r="H18" s="138"/>
      <c r="I18" s="138"/>
      <c r="M18" s="142"/>
      <c r="N18" s="142"/>
      <c r="O18" s="64"/>
      <c r="P18" s="64"/>
      <c r="Q18" s="64"/>
      <c r="R18" s="64"/>
      <c r="S18" s="64"/>
      <c r="T18" s="64"/>
      <c r="U18" s="64"/>
    </row>
    <row r="19" spans="3:22" ht="15" customHeight="1" x14ac:dyDescent="0.25">
      <c r="C19" s="137" t="s">
        <v>616</v>
      </c>
      <c r="D19" s="143" t="s">
        <v>57</v>
      </c>
      <c r="E19" s="138"/>
      <c r="F19" s="138"/>
      <c r="G19" s="138"/>
      <c r="H19" s="138"/>
      <c r="I19" s="138"/>
      <c r="O19" s="64"/>
      <c r="P19" s="64"/>
      <c r="Q19" s="64"/>
      <c r="R19" s="64"/>
      <c r="S19" s="64"/>
      <c r="T19" s="64"/>
      <c r="U19" s="64"/>
    </row>
    <row r="20" spans="3:22" ht="15" customHeight="1" x14ac:dyDescent="0.25">
      <c r="C20" s="137" t="s">
        <v>84</v>
      </c>
      <c r="D20" s="165">
        <f>'Traffic Data - %HV Assumption'!$D$16</f>
        <v>0.14111808665239542</v>
      </c>
      <c r="E20" s="138"/>
      <c r="F20" s="138"/>
      <c r="G20" s="138"/>
      <c r="H20" s="138"/>
      <c r="O20" s="64"/>
      <c r="P20" s="64"/>
      <c r="Q20" s="64"/>
      <c r="R20" s="64"/>
      <c r="S20" s="64"/>
      <c r="T20" s="64"/>
      <c r="U20" s="64"/>
    </row>
    <row r="21" spans="3:22" ht="15" customHeight="1" x14ac:dyDescent="0.25">
      <c r="C21" s="137" t="s">
        <v>83</v>
      </c>
      <c r="D21" s="165">
        <f>1-$D$20</f>
        <v>0.85888191334760455</v>
      </c>
      <c r="E21" s="138"/>
      <c r="F21" s="138"/>
      <c r="G21" s="138"/>
      <c r="H21" s="138"/>
      <c r="O21" s="64"/>
      <c r="P21" s="64"/>
      <c r="Q21" s="64"/>
      <c r="R21" s="64"/>
      <c r="S21" s="64"/>
      <c r="T21" s="64"/>
      <c r="U21" s="64"/>
      <c r="V21" s="138"/>
    </row>
    <row r="22" spans="3:22" ht="15" customHeight="1" x14ac:dyDescent="0.25">
      <c r="C22" s="137" t="s">
        <v>85</v>
      </c>
      <c r="D22" s="141">
        <v>1.67</v>
      </c>
      <c r="E22" s="138"/>
      <c r="F22" s="138"/>
      <c r="G22" s="138"/>
      <c r="H22" s="138"/>
      <c r="O22" s="64"/>
      <c r="P22" s="64"/>
      <c r="Q22" s="64"/>
      <c r="R22" s="64"/>
      <c r="S22" s="64"/>
      <c r="T22" s="64"/>
      <c r="U22" s="64"/>
    </row>
    <row r="23" spans="3:22" ht="15" customHeight="1" x14ac:dyDescent="0.25">
      <c r="C23" s="137" t="s">
        <v>86</v>
      </c>
      <c r="D23" s="163">
        <v>1</v>
      </c>
      <c r="F23" s="138"/>
      <c r="G23" s="138"/>
      <c r="H23" s="138"/>
      <c r="O23" s="64"/>
      <c r="P23" s="64"/>
      <c r="Q23" s="64"/>
      <c r="R23" s="64"/>
      <c r="S23" s="64"/>
      <c r="T23" s="64"/>
      <c r="U23" s="64"/>
    </row>
    <row r="24" spans="3:22" ht="15" customHeight="1" x14ac:dyDescent="0.25">
      <c r="C24" s="138"/>
      <c r="D24" s="138"/>
      <c r="E24" s="138"/>
      <c r="I24" s="138"/>
      <c r="O24" s="64"/>
      <c r="P24" s="64"/>
      <c r="Q24" s="64"/>
      <c r="R24" s="64"/>
      <c r="S24" s="64"/>
      <c r="T24" s="64"/>
      <c r="U24" s="64"/>
    </row>
    <row r="25" spans="3:22" ht="15" customHeight="1" x14ac:dyDescent="0.25">
      <c r="C25" s="1" t="s">
        <v>16</v>
      </c>
      <c r="D25" s="144"/>
      <c r="E25" s="138"/>
      <c r="I25" s="138"/>
      <c r="O25" s="64"/>
      <c r="P25" s="64"/>
      <c r="Q25" s="64"/>
      <c r="R25" s="64"/>
      <c r="S25" s="64"/>
      <c r="T25" s="64"/>
      <c r="U25" s="64"/>
    </row>
    <row r="26" spans="3:22" ht="15" customHeight="1" x14ac:dyDescent="0.25">
      <c r="C26" s="137" t="s">
        <v>87</v>
      </c>
      <c r="D26" s="141">
        <v>365</v>
      </c>
      <c r="O26" s="64"/>
      <c r="P26" s="64"/>
      <c r="Q26" s="64"/>
      <c r="R26" s="64"/>
      <c r="S26" s="64"/>
      <c r="T26" s="64"/>
      <c r="U26" s="64"/>
    </row>
    <row r="27" spans="3:22" ht="15" customHeight="1" x14ac:dyDescent="0.25">
      <c r="C27" s="137" t="s">
        <v>88</v>
      </c>
      <c r="D27" s="166">
        <v>18.8</v>
      </c>
      <c r="O27" s="64"/>
      <c r="P27" s="64"/>
      <c r="Q27" s="64"/>
      <c r="R27" s="64"/>
      <c r="S27" s="64"/>
      <c r="T27" s="64"/>
      <c r="U27" s="64"/>
    </row>
    <row r="28" spans="3:22" ht="15" customHeight="1" x14ac:dyDescent="0.25">
      <c r="C28" s="137" t="s">
        <v>89</v>
      </c>
      <c r="D28" s="166">
        <v>34</v>
      </c>
      <c r="O28" s="64"/>
      <c r="P28" s="64"/>
      <c r="Q28" s="64"/>
      <c r="R28" s="64"/>
      <c r="S28" s="64"/>
      <c r="T28" s="64"/>
      <c r="U28" s="64"/>
    </row>
    <row r="29" spans="3:22" ht="15" customHeight="1" x14ac:dyDescent="0.25">
      <c r="E29" s="138"/>
      <c r="O29" s="64"/>
      <c r="P29" s="64"/>
      <c r="Q29" s="64"/>
      <c r="R29" s="64"/>
      <c r="S29" s="64"/>
      <c r="T29" s="64"/>
      <c r="U29" s="64"/>
    </row>
    <row r="30" spans="3:22" ht="15" customHeight="1" x14ac:dyDescent="0.25">
      <c r="C30" s="1" t="s">
        <v>615</v>
      </c>
      <c r="D30" s="145"/>
      <c r="E30" s="138"/>
      <c r="O30" s="64"/>
      <c r="P30" s="64"/>
      <c r="Q30" s="64"/>
      <c r="R30" s="64"/>
      <c r="S30" s="64"/>
      <c r="T30" s="64"/>
      <c r="U30" s="64"/>
    </row>
    <row r="31" spans="3:22" ht="15" customHeight="1" x14ac:dyDescent="0.25">
      <c r="C31" s="137">
        <v>2021</v>
      </c>
      <c r="D31" s="167">
        <f>'Traffic Data - Project AADT'!$D$25</f>
        <v>753.84441656210788</v>
      </c>
      <c r="O31" s="64"/>
      <c r="P31" s="64"/>
      <c r="Q31" s="64"/>
      <c r="R31" s="64"/>
      <c r="S31" s="64"/>
      <c r="T31" s="64"/>
      <c r="U31" s="64"/>
    </row>
    <row r="32" spans="3:22" ht="15" customHeight="1" x14ac:dyDescent="0.25">
      <c r="C32" s="137">
        <v>2041</v>
      </c>
      <c r="D32" s="167">
        <f>'Traffic Data - Project AADT'!$D$26</f>
        <v>1199.7979924717692</v>
      </c>
      <c r="O32" s="64"/>
      <c r="P32" s="64"/>
      <c r="Q32" s="64"/>
      <c r="R32" s="64"/>
      <c r="S32" s="64"/>
      <c r="T32" s="64"/>
      <c r="U32" s="64"/>
    </row>
    <row r="33" spans="2:21" ht="15" customHeight="1" x14ac:dyDescent="0.25">
      <c r="C33" s="137" t="s">
        <v>119</v>
      </c>
      <c r="D33" s="198">
        <v>32.200000000000003</v>
      </c>
      <c r="O33" s="64"/>
      <c r="P33" s="64"/>
      <c r="Q33" s="64"/>
      <c r="R33" s="64"/>
      <c r="S33" s="64"/>
      <c r="T33" s="64"/>
      <c r="U33" s="64"/>
    </row>
    <row r="34" spans="2:21" ht="15" customHeight="1" x14ac:dyDescent="0.25">
      <c r="C34" s="146"/>
      <c r="O34" s="64"/>
      <c r="P34" s="64"/>
      <c r="Q34" s="64"/>
      <c r="R34" s="64"/>
      <c r="S34" s="64"/>
      <c r="T34" s="64"/>
      <c r="U34" s="64"/>
    </row>
    <row r="35" spans="2:21" ht="15" customHeight="1" x14ac:dyDescent="0.25">
      <c r="B35" s="147" t="s">
        <v>3</v>
      </c>
      <c r="C35" s="147"/>
      <c r="D35" s="147"/>
      <c r="O35" s="64"/>
      <c r="P35" s="64"/>
      <c r="Q35" s="64"/>
      <c r="R35" s="64"/>
      <c r="S35" s="64"/>
      <c r="T35" s="64"/>
      <c r="U35" s="64"/>
    </row>
    <row r="36" spans="2:21" ht="15" customHeight="1" x14ac:dyDescent="0.25">
      <c r="B36" s="10" t="s">
        <v>17</v>
      </c>
      <c r="C36" s="293" t="s">
        <v>93</v>
      </c>
      <c r="D36" s="293"/>
      <c r="E36" s="293"/>
      <c r="F36" s="293"/>
      <c r="G36" s="293"/>
      <c r="H36" s="293"/>
      <c r="I36" s="33"/>
      <c r="J36" s="33"/>
      <c r="O36" s="64"/>
      <c r="P36" s="64"/>
      <c r="Q36" s="64"/>
      <c r="R36" s="64"/>
      <c r="S36" s="64"/>
      <c r="T36" s="64"/>
      <c r="U36" s="64"/>
    </row>
    <row r="37" spans="2:21" ht="15" customHeight="1" x14ac:dyDescent="0.25">
      <c r="B37" s="11"/>
      <c r="C37" s="33"/>
      <c r="D37" s="33"/>
      <c r="E37" s="33"/>
      <c r="F37" s="33"/>
      <c r="G37" s="33"/>
      <c r="H37" s="33"/>
      <c r="I37" s="33"/>
      <c r="J37" s="33"/>
      <c r="O37" s="64"/>
      <c r="P37" s="64"/>
      <c r="Q37" s="64"/>
      <c r="R37" s="64"/>
      <c r="S37" s="64"/>
      <c r="T37" s="64"/>
      <c r="U37" s="64"/>
    </row>
    <row r="38" spans="2:21" ht="15" customHeight="1" x14ac:dyDescent="0.25">
      <c r="B38" s="10" t="s">
        <v>23</v>
      </c>
      <c r="C38" s="293" t="s">
        <v>113</v>
      </c>
      <c r="D38" s="293"/>
      <c r="E38" s="293"/>
      <c r="F38" s="293"/>
      <c r="G38" s="293"/>
      <c r="H38" s="293"/>
      <c r="I38" s="33"/>
      <c r="J38" s="33"/>
      <c r="O38" s="64"/>
      <c r="P38" s="64"/>
      <c r="Q38" s="64"/>
      <c r="R38" s="64"/>
      <c r="S38" s="64"/>
      <c r="T38" s="64"/>
      <c r="U38" s="64"/>
    </row>
    <row r="39" spans="2:21" ht="15" customHeight="1" x14ac:dyDescent="0.25">
      <c r="B39" s="10"/>
      <c r="C39" s="33"/>
      <c r="D39" s="33"/>
      <c r="E39" s="33"/>
      <c r="F39" s="33"/>
      <c r="G39" s="33"/>
      <c r="H39" s="33"/>
      <c r="I39" s="33"/>
      <c r="J39" s="33"/>
      <c r="O39" s="64"/>
      <c r="P39" s="64"/>
      <c r="Q39" s="64"/>
      <c r="R39" s="64"/>
      <c r="S39" s="64"/>
      <c r="T39" s="64"/>
      <c r="U39" s="64"/>
    </row>
    <row r="40" spans="2:21" ht="15" customHeight="1" x14ac:dyDescent="0.25">
      <c r="B40" s="12" t="s">
        <v>24</v>
      </c>
      <c r="C40" s="293" t="s">
        <v>609</v>
      </c>
      <c r="D40" s="293"/>
      <c r="E40" s="293"/>
      <c r="F40" s="293"/>
      <c r="G40" s="293"/>
      <c r="H40" s="293"/>
      <c r="I40" s="33"/>
      <c r="J40" s="33"/>
      <c r="O40" s="64"/>
      <c r="P40" s="64"/>
      <c r="Q40" s="64"/>
      <c r="R40" s="64"/>
      <c r="S40" s="64"/>
      <c r="T40" s="64"/>
      <c r="U40" s="64"/>
    </row>
    <row r="41" spans="2:21" ht="15" customHeight="1" x14ac:dyDescent="0.25">
      <c r="C41" s="293"/>
      <c r="D41" s="293"/>
      <c r="E41" s="293"/>
      <c r="F41" s="293"/>
      <c r="G41" s="293"/>
      <c r="H41" s="293"/>
      <c r="I41" s="33"/>
      <c r="J41" s="33"/>
      <c r="O41" s="64"/>
      <c r="P41" s="64"/>
      <c r="Q41" s="64"/>
      <c r="R41" s="64"/>
      <c r="S41" s="64"/>
      <c r="T41" s="64"/>
      <c r="U41" s="64"/>
    </row>
    <row r="42" spans="2:21" ht="15" customHeight="1" x14ac:dyDescent="0.25">
      <c r="B42" s="12"/>
      <c r="C42" s="33"/>
      <c r="D42" s="33"/>
      <c r="E42" s="33"/>
      <c r="F42" s="33"/>
      <c r="G42" s="33"/>
      <c r="H42" s="33"/>
      <c r="I42" s="33"/>
      <c r="J42" s="33"/>
      <c r="O42" s="64"/>
      <c r="P42" s="64"/>
      <c r="Q42" s="64"/>
      <c r="R42" s="64"/>
      <c r="S42" s="64"/>
      <c r="T42" s="64"/>
      <c r="U42" s="64"/>
    </row>
    <row r="43" spans="2:21" ht="15" customHeight="1" x14ac:dyDescent="0.25">
      <c r="B43" s="12" t="s">
        <v>91</v>
      </c>
      <c r="C43" s="293" t="s">
        <v>617</v>
      </c>
      <c r="D43" s="293"/>
      <c r="E43" s="293"/>
      <c r="F43" s="293"/>
      <c r="G43" s="293"/>
      <c r="H43" s="293"/>
      <c r="I43" s="293"/>
      <c r="J43" s="293"/>
      <c r="O43" s="64"/>
      <c r="P43" s="64"/>
      <c r="Q43" s="64"/>
      <c r="R43" s="64"/>
      <c r="S43" s="64"/>
      <c r="T43" s="64"/>
      <c r="U43" s="64"/>
    </row>
    <row r="44" spans="2:21" ht="15" customHeight="1" x14ac:dyDescent="0.25">
      <c r="C44" s="293"/>
      <c r="D44" s="293"/>
      <c r="E44" s="293"/>
      <c r="F44" s="293"/>
      <c r="G44" s="293"/>
      <c r="H44" s="293"/>
      <c r="I44" s="293"/>
      <c r="J44" s="293"/>
    </row>
    <row r="45" spans="2:21" ht="15" customHeight="1" x14ac:dyDescent="0.25">
      <c r="B45" s="12"/>
      <c r="C45" s="33"/>
      <c r="D45" s="33"/>
      <c r="E45" s="33"/>
      <c r="F45" s="33"/>
      <c r="G45" s="33"/>
      <c r="H45" s="33"/>
      <c r="I45" s="33"/>
      <c r="J45" s="33"/>
      <c r="O45" s="64"/>
      <c r="P45" s="64"/>
      <c r="Q45" s="64"/>
      <c r="R45" s="64"/>
      <c r="S45" s="64"/>
      <c r="T45" s="64"/>
      <c r="U45" s="64"/>
    </row>
    <row r="46" spans="2:21" ht="15" customHeight="1" x14ac:dyDescent="0.25">
      <c r="B46" s="12" t="s">
        <v>25</v>
      </c>
      <c r="C46" s="293" t="s">
        <v>94</v>
      </c>
      <c r="D46" s="293"/>
      <c r="E46" s="293"/>
      <c r="F46" s="293"/>
      <c r="G46" s="293"/>
      <c r="H46" s="293"/>
      <c r="I46" s="293"/>
      <c r="J46" s="293"/>
      <c r="O46" s="64"/>
      <c r="P46" s="64"/>
      <c r="Q46" s="64"/>
      <c r="R46" s="64"/>
      <c r="S46" s="64"/>
      <c r="T46" s="64"/>
      <c r="U46" s="64"/>
    </row>
    <row r="47" spans="2:21" ht="15" customHeight="1" x14ac:dyDescent="0.25">
      <c r="C47" s="33"/>
      <c r="D47" s="33"/>
      <c r="E47" s="33"/>
      <c r="F47" s="33"/>
      <c r="G47" s="33"/>
      <c r="H47" s="33"/>
      <c r="I47" s="293"/>
      <c r="J47" s="293"/>
      <c r="O47" s="64"/>
      <c r="P47" s="64"/>
      <c r="Q47" s="64"/>
      <c r="R47" s="64"/>
      <c r="S47" s="64"/>
      <c r="T47" s="64"/>
      <c r="U47" s="64"/>
    </row>
    <row r="48" spans="2:21" ht="15" customHeight="1" x14ac:dyDescent="0.25">
      <c r="B48" s="12" t="s">
        <v>114</v>
      </c>
      <c r="C48" s="293" t="s">
        <v>608</v>
      </c>
      <c r="D48" s="293"/>
      <c r="E48" s="293"/>
      <c r="F48" s="293"/>
      <c r="G48" s="293"/>
      <c r="H48" s="293"/>
      <c r="I48" s="293"/>
      <c r="J48" s="293"/>
      <c r="O48" s="64"/>
      <c r="P48" s="64"/>
      <c r="Q48" s="64"/>
      <c r="R48" s="64"/>
      <c r="S48" s="64"/>
      <c r="T48" s="64"/>
      <c r="U48" s="64"/>
    </row>
    <row r="49" spans="2:21" ht="15" customHeight="1" x14ac:dyDescent="0.25">
      <c r="B49" s="12"/>
      <c r="C49" s="293"/>
      <c r="D49" s="293"/>
      <c r="E49" s="293"/>
      <c r="F49" s="293"/>
      <c r="G49" s="293"/>
      <c r="H49" s="293"/>
      <c r="I49" s="293"/>
      <c r="J49" s="293"/>
      <c r="O49" s="64"/>
      <c r="P49" s="64"/>
      <c r="Q49" s="64"/>
      <c r="R49" s="64"/>
      <c r="S49" s="64"/>
      <c r="T49" s="64"/>
      <c r="U49" s="64"/>
    </row>
    <row r="50" spans="2:21" ht="15" customHeight="1" x14ac:dyDescent="0.25">
      <c r="B50" s="12"/>
      <c r="C50" s="33"/>
      <c r="D50" s="33"/>
      <c r="E50" s="33"/>
      <c r="F50" s="33"/>
      <c r="G50" s="33"/>
      <c r="H50" s="33"/>
      <c r="I50" s="33"/>
      <c r="J50" s="33"/>
      <c r="O50" s="64"/>
      <c r="P50" s="64"/>
      <c r="Q50" s="64"/>
      <c r="R50" s="64"/>
      <c r="S50" s="64"/>
      <c r="T50" s="64"/>
      <c r="U50" s="64"/>
    </row>
    <row r="51" spans="2:21" ht="15" customHeight="1" x14ac:dyDescent="0.25">
      <c r="B51" s="148"/>
      <c r="E51" s="140"/>
      <c r="F51" s="140"/>
      <c r="G51" s="140"/>
      <c r="H51" s="140"/>
      <c r="I51" s="140"/>
      <c r="J51" s="140"/>
      <c r="O51" s="64"/>
      <c r="P51" s="64"/>
      <c r="Q51" s="64"/>
      <c r="R51" s="64"/>
      <c r="S51" s="64"/>
      <c r="T51" s="64"/>
      <c r="U51" s="64"/>
    </row>
    <row r="52" spans="2:21" ht="15" customHeight="1" x14ac:dyDescent="0.25">
      <c r="B52" s="148"/>
      <c r="E52" s="140"/>
      <c r="F52" s="140"/>
      <c r="G52" s="140"/>
      <c r="H52" s="140"/>
      <c r="I52" s="140"/>
      <c r="J52" s="140"/>
      <c r="O52" s="64"/>
      <c r="P52" s="64"/>
      <c r="Q52" s="64"/>
      <c r="R52" s="64"/>
      <c r="S52" s="64"/>
      <c r="T52" s="64"/>
      <c r="U52" s="64"/>
    </row>
    <row r="53" spans="2:21" ht="15" customHeight="1" x14ac:dyDescent="0.25">
      <c r="B53" s="148"/>
      <c r="O53" s="64"/>
      <c r="P53" s="64"/>
      <c r="Q53" s="64"/>
      <c r="R53" s="64"/>
      <c r="S53" s="64"/>
      <c r="T53" s="64"/>
      <c r="U53" s="64"/>
    </row>
    <row r="54" spans="2:21" ht="15" customHeight="1" x14ac:dyDescent="0.25">
      <c r="O54" s="64"/>
      <c r="P54" s="64"/>
      <c r="Q54" s="64"/>
      <c r="R54" s="64"/>
      <c r="S54" s="64"/>
      <c r="T54" s="64"/>
      <c r="U54" s="64"/>
    </row>
    <row r="55" spans="2:21" ht="15" customHeight="1" x14ac:dyDescent="0.25">
      <c r="O55" s="64"/>
      <c r="P55" s="64"/>
      <c r="Q55" s="64"/>
      <c r="R55" s="64"/>
      <c r="S55" s="64"/>
      <c r="T55" s="64"/>
      <c r="U55" s="64"/>
    </row>
    <row r="56" spans="2:21" ht="15" customHeight="1" x14ac:dyDescent="0.25">
      <c r="O56" s="64"/>
      <c r="P56" s="64"/>
      <c r="Q56" s="64"/>
      <c r="R56" s="64"/>
      <c r="S56" s="64"/>
      <c r="T56" s="64"/>
      <c r="U56" s="64"/>
    </row>
    <row r="57" spans="2:21" ht="15" customHeight="1" x14ac:dyDescent="0.25">
      <c r="O57" s="64"/>
      <c r="P57" s="64"/>
      <c r="Q57" s="64"/>
      <c r="R57" s="64"/>
      <c r="S57" s="64"/>
      <c r="T57" s="64"/>
      <c r="U57" s="64"/>
    </row>
    <row r="58" spans="2:21" ht="15" customHeight="1" x14ac:dyDescent="0.25">
      <c r="O58" s="64"/>
      <c r="P58" s="64"/>
      <c r="Q58" s="64"/>
      <c r="R58" s="64"/>
      <c r="S58" s="64"/>
      <c r="T58" s="64"/>
      <c r="U58" s="64"/>
    </row>
    <row r="59" spans="2:21" ht="15" customHeight="1" x14ac:dyDescent="0.25">
      <c r="O59" s="64"/>
      <c r="P59" s="64"/>
      <c r="Q59" s="64"/>
      <c r="R59" s="64"/>
      <c r="S59" s="64"/>
      <c r="T59" s="64"/>
      <c r="U59" s="64"/>
    </row>
    <row r="60" spans="2:21" ht="15" customHeight="1" x14ac:dyDescent="0.25">
      <c r="L60" s="30"/>
      <c r="O60" s="64"/>
      <c r="P60" s="64"/>
      <c r="Q60" s="64"/>
      <c r="R60" s="64"/>
      <c r="S60" s="64"/>
      <c r="T60" s="64"/>
      <c r="U60" s="64"/>
    </row>
    <row r="61" spans="2:21" ht="15" customHeight="1" x14ac:dyDescent="0.25">
      <c r="O61" s="64"/>
      <c r="P61" s="64"/>
      <c r="Q61" s="64"/>
      <c r="R61" s="64"/>
      <c r="S61" s="64"/>
      <c r="T61" s="64"/>
      <c r="U61" s="64"/>
    </row>
    <row r="62" spans="2:21" ht="15" customHeight="1" x14ac:dyDescent="0.25">
      <c r="L62" s="30"/>
      <c r="O62" s="64"/>
      <c r="P62" s="64"/>
      <c r="Q62" s="64"/>
      <c r="R62" s="64"/>
      <c r="S62" s="64"/>
      <c r="T62" s="64"/>
      <c r="U62" s="64"/>
    </row>
    <row r="63" spans="2:21" ht="15" customHeight="1" x14ac:dyDescent="0.25">
      <c r="L63" s="30"/>
      <c r="O63" s="64"/>
      <c r="P63" s="64"/>
      <c r="Q63" s="64"/>
      <c r="R63" s="64"/>
      <c r="S63" s="64"/>
      <c r="T63" s="64"/>
      <c r="U63" s="64"/>
    </row>
    <row r="64" spans="2:21" ht="15" customHeight="1" x14ac:dyDescent="0.25">
      <c r="K64" s="140"/>
      <c r="O64" s="64"/>
      <c r="P64" s="64"/>
      <c r="Q64" s="64"/>
      <c r="R64" s="64"/>
      <c r="S64" s="64"/>
      <c r="T64" s="64"/>
      <c r="U64" s="64"/>
    </row>
    <row r="65" spans="11:21" ht="15" customHeight="1" x14ac:dyDescent="0.25">
      <c r="K65" s="140"/>
      <c r="O65" s="64"/>
      <c r="P65" s="64"/>
      <c r="Q65" s="64"/>
      <c r="R65" s="64"/>
      <c r="S65" s="64"/>
      <c r="T65" s="64"/>
      <c r="U65" s="64"/>
    </row>
    <row r="66" spans="11:21" ht="15" customHeight="1" x14ac:dyDescent="0.25">
      <c r="O66" s="64"/>
      <c r="P66" s="64"/>
      <c r="Q66" s="64"/>
      <c r="R66" s="64"/>
      <c r="S66" s="64"/>
      <c r="T66" s="64"/>
      <c r="U66" s="64"/>
    </row>
    <row r="67" spans="11:21" ht="15" customHeight="1" x14ac:dyDescent="0.25">
      <c r="O67" s="64"/>
      <c r="P67" s="64"/>
      <c r="Q67" s="64"/>
      <c r="R67" s="64"/>
      <c r="S67" s="64"/>
      <c r="T67" s="64"/>
      <c r="U67" s="64"/>
    </row>
    <row r="68" spans="11:21" ht="15" customHeight="1" x14ac:dyDescent="0.25">
      <c r="O68" s="64"/>
      <c r="P68" s="64"/>
      <c r="Q68" s="64"/>
      <c r="R68" s="64"/>
      <c r="S68" s="64"/>
      <c r="T68" s="64"/>
      <c r="U68" s="64"/>
    </row>
    <row r="69" spans="11:21" ht="15" customHeight="1" x14ac:dyDescent="0.25">
      <c r="O69" s="64"/>
      <c r="P69" s="64"/>
      <c r="Q69" s="64"/>
      <c r="R69" s="64"/>
      <c r="S69" s="64"/>
      <c r="T69" s="64"/>
      <c r="U69" s="64"/>
    </row>
    <row r="70" spans="11:21" ht="15" customHeight="1" x14ac:dyDescent="0.25">
      <c r="O70" s="64"/>
      <c r="P70" s="64"/>
      <c r="Q70" s="64"/>
      <c r="R70" s="64"/>
      <c r="S70" s="64"/>
      <c r="T70" s="64"/>
      <c r="U70" s="64"/>
    </row>
    <row r="71" spans="11:21" ht="15" customHeight="1" x14ac:dyDescent="0.25">
      <c r="O71" s="64"/>
      <c r="P71" s="64"/>
      <c r="Q71" s="64"/>
      <c r="R71" s="64"/>
      <c r="S71" s="64"/>
      <c r="T71" s="64"/>
      <c r="U71" s="64"/>
    </row>
    <row r="72" spans="11:21" ht="15" customHeight="1" x14ac:dyDescent="0.25">
      <c r="O72" s="64"/>
      <c r="P72" s="148"/>
      <c r="Q72" s="64"/>
      <c r="R72" s="64"/>
      <c r="U72" s="64"/>
    </row>
    <row r="73" spans="11:21" ht="15" customHeight="1" x14ac:dyDescent="0.25">
      <c r="O73" s="64"/>
      <c r="P73" s="64"/>
      <c r="Q73" s="64"/>
      <c r="S73" s="64"/>
      <c r="T73" s="64"/>
      <c r="U73" s="64"/>
    </row>
    <row r="74" spans="11:21" ht="15" customHeight="1" x14ac:dyDescent="0.25">
      <c r="O74" s="148"/>
      <c r="P74" s="64"/>
      <c r="Q74" s="148"/>
      <c r="R74" s="64"/>
      <c r="S74" s="64"/>
      <c r="T74" s="64"/>
      <c r="U74" s="30"/>
    </row>
    <row r="75" spans="11:21" ht="15" customHeight="1" x14ac:dyDescent="0.25">
      <c r="O75" s="148"/>
      <c r="P75" s="148"/>
      <c r="Q75" s="64"/>
      <c r="R75" s="64"/>
      <c r="U75" s="30"/>
    </row>
    <row r="76" spans="11:21" ht="15" customHeight="1" x14ac:dyDescent="0.25">
      <c r="Q76" s="64"/>
      <c r="S76" s="64"/>
      <c r="T76" s="64"/>
    </row>
    <row r="77" spans="11:21" ht="15" customHeight="1" x14ac:dyDescent="0.25">
      <c r="Q77" s="148"/>
      <c r="R77" s="64"/>
    </row>
    <row r="81" spans="15:21" ht="15" customHeight="1" x14ac:dyDescent="0.25">
      <c r="O81" s="64"/>
      <c r="P81" s="64"/>
      <c r="U81" s="64"/>
    </row>
    <row r="82" spans="15:21" ht="15" customHeight="1" x14ac:dyDescent="0.25">
      <c r="O82" s="148"/>
      <c r="P82" s="64"/>
      <c r="S82" s="64"/>
      <c r="T82" s="64"/>
      <c r="U82" s="64"/>
    </row>
    <row r="83" spans="15:21" ht="15" customHeight="1" x14ac:dyDescent="0.25">
      <c r="O83" s="148"/>
      <c r="P83" s="148"/>
      <c r="Q83" s="64"/>
      <c r="R83" s="64"/>
      <c r="S83" s="64"/>
      <c r="T83" s="64"/>
      <c r="U83" s="64"/>
    </row>
    <row r="84" spans="15:21" ht="15" customHeight="1" x14ac:dyDescent="0.25">
      <c r="O84" s="148"/>
      <c r="P84" s="148"/>
      <c r="Q84" s="64"/>
      <c r="R84" s="64"/>
      <c r="S84" s="64"/>
      <c r="T84" s="64"/>
      <c r="U84" s="64"/>
    </row>
    <row r="85" spans="15:21" ht="15" customHeight="1" x14ac:dyDescent="0.25">
      <c r="O85" s="148"/>
      <c r="P85" s="64"/>
      <c r="Q85" s="148"/>
      <c r="R85" s="64"/>
      <c r="S85" s="64"/>
      <c r="T85" s="64"/>
      <c r="U85" s="64"/>
    </row>
    <row r="86" spans="15:21" ht="15" customHeight="1" x14ac:dyDescent="0.25">
      <c r="O86" s="148"/>
      <c r="P86" s="64"/>
      <c r="Q86" s="148"/>
      <c r="R86" s="64"/>
      <c r="S86" s="64"/>
      <c r="T86" s="64"/>
      <c r="U86" s="64"/>
    </row>
    <row r="87" spans="15:21" ht="15" customHeight="1" x14ac:dyDescent="0.25">
      <c r="Q87" s="64"/>
      <c r="R87" s="64"/>
      <c r="S87" s="64"/>
      <c r="T87" s="64"/>
      <c r="U87" s="64"/>
    </row>
    <row r="88" spans="15:21" ht="15" customHeight="1" x14ac:dyDescent="0.25">
      <c r="Q88" s="64"/>
      <c r="R88" s="64"/>
      <c r="U88" s="64"/>
    </row>
    <row r="89" spans="15:21" ht="15" customHeight="1" x14ac:dyDescent="0.25">
      <c r="S89" s="64"/>
      <c r="T89" s="64"/>
      <c r="U89" s="64"/>
    </row>
    <row r="90" spans="15:21" ht="15" customHeight="1" x14ac:dyDescent="0.25">
      <c r="O90" s="64"/>
      <c r="P90" s="64"/>
      <c r="R90" s="64"/>
      <c r="S90" s="64"/>
      <c r="T90" s="64"/>
      <c r="U90" s="64"/>
    </row>
    <row r="91" spans="15:21" ht="15" customHeight="1" x14ac:dyDescent="0.25">
      <c r="O91" s="64"/>
      <c r="P91" s="64"/>
      <c r="R91" s="64"/>
      <c r="S91" s="64"/>
      <c r="T91" s="64"/>
      <c r="U91" s="64"/>
    </row>
    <row r="92" spans="15:21" ht="15" customHeight="1" x14ac:dyDescent="0.25">
      <c r="O92" s="64"/>
      <c r="P92" s="64"/>
      <c r="Q92" s="64"/>
      <c r="R92" s="64"/>
      <c r="S92" s="64"/>
      <c r="T92" s="64"/>
      <c r="U92" s="64"/>
    </row>
    <row r="93" spans="15:21" ht="15" customHeight="1" x14ac:dyDescent="0.25">
      <c r="O93" s="148"/>
      <c r="Q93" s="64"/>
      <c r="R93" s="64"/>
      <c r="S93" s="64"/>
      <c r="T93" s="64"/>
      <c r="U93" s="64"/>
    </row>
    <row r="94" spans="15:21" ht="15" customHeight="1" x14ac:dyDescent="0.25">
      <c r="O94" s="148"/>
      <c r="Q94" s="64"/>
      <c r="R94" s="64"/>
      <c r="U94" s="64"/>
    </row>
    <row r="95" spans="15:21" ht="15" customHeight="1" x14ac:dyDescent="0.25">
      <c r="U95" s="64"/>
    </row>
    <row r="96" spans="15:21" ht="15" customHeight="1" x14ac:dyDescent="0.25">
      <c r="O96" s="64"/>
      <c r="P96" s="64"/>
      <c r="U96" s="64"/>
    </row>
    <row r="97" spans="17:18" s="64" customFormat="1" ht="15" customHeight="1" x14ac:dyDescent="0.25">
      <c r="Q97" s="140"/>
      <c r="R97" s="140"/>
    </row>
    <row r="98" spans="17:18" s="64" customFormat="1" ht="15" customHeight="1" x14ac:dyDescent="0.25"/>
    <row r="99" spans="17:18" s="64" customFormat="1" ht="15" customHeight="1" x14ac:dyDescent="0.25"/>
    <row r="100" spans="17:18" s="64" customFormat="1" ht="15" customHeight="1" x14ac:dyDescent="0.25"/>
    <row r="101" spans="17:18" s="64" customFormat="1" ht="15" customHeight="1" x14ac:dyDescent="0.25"/>
    <row r="102" spans="17:18" s="64" customFormat="1" ht="15" customHeight="1" x14ac:dyDescent="0.25"/>
    <row r="103" spans="17:18" s="64" customFormat="1" ht="15" customHeight="1" x14ac:dyDescent="0.25"/>
    <row r="104" spans="17:18" s="64" customFormat="1" ht="15" customHeight="1" x14ac:dyDescent="0.25"/>
    <row r="105" spans="17:18" s="64" customFormat="1" ht="15" customHeight="1" x14ac:dyDescent="0.25"/>
    <row r="106" spans="17:18" s="64" customFormat="1" ht="15" customHeight="1" x14ac:dyDescent="0.25"/>
    <row r="107" spans="17:18" s="64" customFormat="1" ht="15" customHeight="1" x14ac:dyDescent="0.25"/>
    <row r="108" spans="17:18" s="64" customFormat="1" ht="15" customHeight="1" x14ac:dyDescent="0.25"/>
    <row r="109" spans="17:18" s="64" customFormat="1" ht="15" customHeight="1" x14ac:dyDescent="0.25"/>
    <row r="110" spans="17:18" s="64" customFormat="1" ht="15" customHeight="1" x14ac:dyDescent="0.25"/>
    <row r="111" spans="17:18" s="64" customFormat="1" ht="15" customHeight="1" x14ac:dyDescent="0.25"/>
    <row r="112" spans="17:18" s="64" customFormat="1" ht="15" customHeight="1" x14ac:dyDescent="0.25"/>
    <row r="113" s="64" customFormat="1" ht="15" customHeight="1" x14ac:dyDescent="0.25"/>
    <row r="114" s="64" customFormat="1" ht="15" customHeight="1" x14ac:dyDescent="0.25"/>
    <row r="115" s="64" customFormat="1" ht="15" customHeight="1" x14ac:dyDescent="0.25"/>
    <row r="116" s="64" customFormat="1" ht="15" customHeight="1" x14ac:dyDescent="0.25"/>
    <row r="117" s="64" customFormat="1" ht="15" customHeight="1" x14ac:dyDescent="0.25"/>
    <row r="118" s="64" customFormat="1" ht="15" customHeight="1" x14ac:dyDescent="0.25"/>
    <row r="119" s="64" customFormat="1" ht="15" customHeight="1" x14ac:dyDescent="0.25"/>
    <row r="120" s="64" customFormat="1" ht="15" customHeight="1" x14ac:dyDescent="0.25"/>
    <row r="121" s="64" customFormat="1" ht="15" customHeight="1" x14ac:dyDescent="0.25"/>
    <row r="122" s="64" customFormat="1" ht="15" customHeight="1" x14ac:dyDescent="0.25"/>
    <row r="123" s="64" customFormat="1" ht="15" customHeight="1" x14ac:dyDescent="0.25"/>
    <row r="124" s="64" customFormat="1" ht="15" customHeight="1" x14ac:dyDescent="0.25"/>
    <row r="125" s="64" customFormat="1" ht="15" customHeight="1" x14ac:dyDescent="0.25"/>
    <row r="126" s="64" customFormat="1" ht="15" customHeight="1" x14ac:dyDescent="0.25"/>
    <row r="127" s="64" customFormat="1" ht="15" customHeight="1" x14ac:dyDescent="0.25"/>
    <row r="128" s="64" customFormat="1" ht="15" customHeight="1" x14ac:dyDescent="0.25"/>
    <row r="129" s="64" customFormat="1" ht="15" customHeight="1" x14ac:dyDescent="0.25"/>
    <row r="130" s="64" customFormat="1" ht="15" customHeight="1" x14ac:dyDescent="0.25"/>
    <row r="131" s="64" customFormat="1" ht="15" customHeight="1" x14ac:dyDescent="0.25"/>
    <row r="132" s="64" customFormat="1" ht="15" customHeight="1" x14ac:dyDescent="0.25"/>
    <row r="133" s="64" customFormat="1" ht="15" customHeight="1" x14ac:dyDescent="0.25"/>
    <row r="134" s="64" customFormat="1" ht="15" customHeight="1" x14ac:dyDescent="0.25"/>
    <row r="135" s="64" customFormat="1" ht="15" customHeight="1" x14ac:dyDescent="0.25"/>
    <row r="136" s="64" customFormat="1" ht="15" customHeight="1" x14ac:dyDescent="0.25"/>
    <row r="137" s="64" customFormat="1" ht="15" customHeight="1" x14ac:dyDescent="0.25"/>
    <row r="138" s="64" customFormat="1" ht="15" customHeight="1" x14ac:dyDescent="0.25"/>
    <row r="139" s="64" customFormat="1" ht="15" customHeight="1" x14ac:dyDescent="0.25"/>
    <row r="140" s="64" customFormat="1" ht="15" customHeight="1" x14ac:dyDescent="0.25"/>
    <row r="141" s="64" customFormat="1" ht="15" customHeight="1" x14ac:dyDescent="0.25"/>
    <row r="142" s="64" customFormat="1" ht="15" customHeight="1" x14ac:dyDescent="0.25"/>
    <row r="143" s="64" customFormat="1" ht="15" customHeight="1" x14ac:dyDescent="0.25"/>
    <row r="144" s="64" customFormat="1" ht="15" customHeight="1" x14ac:dyDescent="0.25"/>
    <row r="145" s="64" customFormat="1" ht="15" customHeight="1" x14ac:dyDescent="0.25"/>
    <row r="146" s="64" customFormat="1" ht="15" customHeight="1" x14ac:dyDescent="0.25"/>
    <row r="147" s="64" customFormat="1" ht="15" customHeight="1" x14ac:dyDescent="0.25"/>
    <row r="148" s="64" customFormat="1" ht="15" customHeight="1" x14ac:dyDescent="0.25"/>
    <row r="149" s="64" customFormat="1" ht="15" customHeight="1" x14ac:dyDescent="0.25"/>
    <row r="150" s="64" customFormat="1" ht="15" customHeight="1" x14ac:dyDescent="0.25"/>
    <row r="151" s="64" customFormat="1" ht="15" customHeight="1" x14ac:dyDescent="0.25"/>
    <row r="152" s="64" customFormat="1" ht="15" customHeight="1" x14ac:dyDescent="0.25"/>
    <row r="153" s="64" customFormat="1" ht="15" customHeight="1" x14ac:dyDescent="0.25"/>
    <row r="154" s="64" customFormat="1" ht="15" customHeight="1" x14ac:dyDescent="0.25"/>
    <row r="155" s="64" customFormat="1" ht="15" customHeight="1" x14ac:dyDescent="0.25"/>
    <row r="156" s="64" customFormat="1" ht="15" customHeight="1" x14ac:dyDescent="0.25"/>
    <row r="157" s="64" customFormat="1" ht="15" customHeight="1" x14ac:dyDescent="0.25"/>
    <row r="158" s="64" customFormat="1" ht="15" customHeight="1" x14ac:dyDescent="0.25"/>
    <row r="159" s="64" customFormat="1" ht="15" customHeight="1" x14ac:dyDescent="0.25"/>
    <row r="160" s="64" customFormat="1" ht="15" customHeight="1" x14ac:dyDescent="0.25"/>
    <row r="161" s="64" customFormat="1" ht="15" customHeight="1" x14ac:dyDescent="0.25"/>
    <row r="162" s="64" customFormat="1" ht="15" customHeight="1" x14ac:dyDescent="0.25"/>
    <row r="163" s="64" customFormat="1" ht="15" customHeight="1" x14ac:dyDescent="0.25"/>
    <row r="164" s="64" customFormat="1" ht="15" customHeight="1" x14ac:dyDescent="0.25"/>
    <row r="165" s="64" customFormat="1" ht="15" customHeight="1" x14ac:dyDescent="0.25"/>
    <row r="166" s="64" customFormat="1" ht="15" customHeight="1" x14ac:dyDescent="0.25"/>
    <row r="167" s="64" customFormat="1" ht="15" customHeight="1" x14ac:dyDescent="0.25"/>
    <row r="168" s="64" customFormat="1" ht="15" customHeight="1" x14ac:dyDescent="0.25"/>
    <row r="169" s="64" customFormat="1" ht="15" customHeight="1" x14ac:dyDescent="0.25"/>
    <row r="170" s="64" customFormat="1" ht="15" customHeight="1" x14ac:dyDescent="0.25"/>
    <row r="171" s="64" customFormat="1" ht="15" customHeight="1" x14ac:dyDescent="0.25"/>
    <row r="172" s="64" customFormat="1" ht="15" customHeight="1" x14ac:dyDescent="0.25"/>
    <row r="173" s="64" customFormat="1" ht="15" customHeight="1" x14ac:dyDescent="0.25"/>
    <row r="174" s="64" customFormat="1" ht="15" customHeight="1" x14ac:dyDescent="0.25"/>
    <row r="175" s="64" customFormat="1" ht="15" customHeight="1" x14ac:dyDescent="0.25"/>
    <row r="176" s="64" customFormat="1" ht="15" customHeight="1" x14ac:dyDescent="0.25"/>
    <row r="177" s="64" customFormat="1" ht="15" customHeight="1" x14ac:dyDescent="0.25"/>
    <row r="178" s="64" customFormat="1" ht="15" customHeight="1" x14ac:dyDescent="0.25"/>
    <row r="179" s="64" customFormat="1" ht="15" customHeight="1" x14ac:dyDescent="0.25"/>
    <row r="180" s="64" customFormat="1" ht="15" customHeight="1" x14ac:dyDescent="0.25"/>
    <row r="181" s="64" customFormat="1" ht="15" customHeight="1" x14ac:dyDescent="0.25"/>
    <row r="182" s="64" customFormat="1" ht="15" customHeight="1" x14ac:dyDescent="0.25"/>
    <row r="183" s="64" customFormat="1" ht="15" customHeight="1" x14ac:dyDescent="0.25"/>
    <row r="184" s="64" customFormat="1" ht="15" customHeight="1" x14ac:dyDescent="0.25"/>
    <row r="185" s="64" customFormat="1" ht="15" customHeight="1" x14ac:dyDescent="0.25"/>
    <row r="186" s="64" customFormat="1" ht="15" customHeight="1" x14ac:dyDescent="0.25"/>
    <row r="187" s="64" customFormat="1" ht="15" customHeight="1" x14ac:dyDescent="0.25"/>
    <row r="188" s="64" customFormat="1" ht="15" customHeight="1" x14ac:dyDescent="0.25"/>
    <row r="189" s="64" customFormat="1" ht="15" customHeight="1" x14ac:dyDescent="0.25"/>
    <row r="190" s="64" customFormat="1" ht="15" customHeight="1" x14ac:dyDescent="0.25"/>
    <row r="191" s="64" customFormat="1" ht="15" customHeight="1" x14ac:dyDescent="0.25"/>
    <row r="192" s="64" customFormat="1" ht="15" customHeight="1" x14ac:dyDescent="0.25"/>
    <row r="193" s="64" customFormat="1" ht="15" customHeight="1" x14ac:dyDescent="0.25"/>
    <row r="194" s="64" customFormat="1" ht="15" customHeight="1" x14ac:dyDescent="0.25"/>
    <row r="195" s="64" customFormat="1" ht="15" customHeight="1" x14ac:dyDescent="0.25"/>
    <row r="196" s="64" customFormat="1" ht="15" customHeight="1" x14ac:dyDescent="0.25"/>
    <row r="197" s="64" customFormat="1" ht="15" customHeight="1" x14ac:dyDescent="0.25"/>
    <row r="198" s="64" customFormat="1" ht="15" customHeight="1" x14ac:dyDescent="0.25"/>
    <row r="199" s="64" customFormat="1" ht="15" customHeight="1" x14ac:dyDescent="0.25"/>
    <row r="200" s="64" customFormat="1" ht="15" customHeight="1" x14ac:dyDescent="0.25"/>
    <row r="201" s="64" customFormat="1" ht="15" customHeight="1" x14ac:dyDescent="0.25"/>
    <row r="202" s="64" customFormat="1" ht="15" customHeight="1" x14ac:dyDescent="0.25"/>
    <row r="203" s="64" customFormat="1" ht="15" customHeight="1" x14ac:dyDescent="0.25"/>
    <row r="204" s="64" customFormat="1" ht="15" customHeight="1" x14ac:dyDescent="0.25"/>
    <row r="205" s="64" customFormat="1" ht="15" customHeight="1" x14ac:dyDescent="0.25"/>
    <row r="206" s="64" customFormat="1" ht="15" customHeight="1" x14ac:dyDescent="0.25"/>
    <row r="207" s="64" customFormat="1" ht="15" customHeight="1" x14ac:dyDescent="0.25"/>
    <row r="208" s="64" customFormat="1" ht="15" customHeight="1" x14ac:dyDescent="0.25"/>
    <row r="209" s="64" customFormat="1" ht="15" customHeight="1" x14ac:dyDescent="0.25"/>
    <row r="210" s="64" customFormat="1" ht="15" customHeight="1" x14ac:dyDescent="0.25"/>
    <row r="211" s="64" customFormat="1" ht="15" customHeight="1" x14ac:dyDescent="0.25"/>
    <row r="212" s="64" customFormat="1" ht="15" customHeight="1" x14ac:dyDescent="0.25"/>
    <row r="213" s="64" customFormat="1" ht="15" customHeight="1" x14ac:dyDescent="0.25"/>
    <row r="214" s="64" customFormat="1" ht="15" customHeight="1" x14ac:dyDescent="0.25"/>
    <row r="215" s="64" customFormat="1" ht="15" customHeight="1" x14ac:dyDescent="0.25"/>
    <row r="216" s="64" customFormat="1" ht="15" customHeight="1" x14ac:dyDescent="0.25"/>
    <row r="217" s="64" customFormat="1" ht="15" customHeight="1" x14ac:dyDescent="0.25"/>
    <row r="218" s="64" customFormat="1" ht="15" customHeight="1" x14ac:dyDescent="0.25"/>
    <row r="219" s="64" customFormat="1" ht="15" customHeight="1" x14ac:dyDescent="0.25"/>
    <row r="220" s="64" customFormat="1" ht="15" customHeight="1" x14ac:dyDescent="0.25"/>
    <row r="221" s="64" customFormat="1" ht="15" customHeight="1" x14ac:dyDescent="0.25"/>
    <row r="222" s="64" customFormat="1" ht="15" customHeight="1" x14ac:dyDescent="0.25"/>
    <row r="223" s="64" customFormat="1" ht="15" customHeight="1" x14ac:dyDescent="0.25"/>
    <row r="224" s="64" customFormat="1" ht="15" customHeight="1" x14ac:dyDescent="0.25"/>
    <row r="225" s="64" customFormat="1" ht="15" customHeight="1" x14ac:dyDescent="0.25"/>
    <row r="226" s="64" customFormat="1" ht="15" customHeight="1" x14ac:dyDescent="0.25"/>
    <row r="227" s="64" customFormat="1" ht="15" customHeight="1" x14ac:dyDescent="0.25"/>
    <row r="228" s="64" customFormat="1" ht="15" customHeight="1" x14ac:dyDescent="0.25"/>
    <row r="229" s="64" customFormat="1" ht="15" customHeight="1" x14ac:dyDescent="0.25"/>
    <row r="230" s="64" customFormat="1" ht="15" customHeight="1" x14ac:dyDescent="0.25"/>
    <row r="231" s="64" customFormat="1" ht="15" customHeight="1" x14ac:dyDescent="0.25"/>
    <row r="232" s="64" customFormat="1" ht="15" customHeight="1" x14ac:dyDescent="0.25"/>
    <row r="233" s="64" customFormat="1" ht="15" customHeight="1" x14ac:dyDescent="0.25"/>
    <row r="234" s="64" customFormat="1" ht="15" customHeight="1" x14ac:dyDescent="0.25"/>
    <row r="235" s="64" customFormat="1" ht="15" customHeight="1" x14ac:dyDescent="0.25"/>
    <row r="236" s="64" customFormat="1" ht="15" customHeight="1" x14ac:dyDescent="0.25"/>
    <row r="237" s="64" customFormat="1" ht="15" customHeight="1" x14ac:dyDescent="0.25"/>
    <row r="238" s="64" customFormat="1" ht="15" customHeight="1" x14ac:dyDescent="0.25"/>
    <row r="239" s="64" customFormat="1" ht="15" customHeight="1" x14ac:dyDescent="0.25"/>
    <row r="240" s="64" customFormat="1" ht="15" customHeight="1" x14ac:dyDescent="0.25"/>
    <row r="241" s="64" customFormat="1" ht="15" customHeight="1" x14ac:dyDescent="0.25"/>
    <row r="242" s="64" customFormat="1" ht="15" customHeight="1" x14ac:dyDescent="0.25"/>
    <row r="243" s="64" customFormat="1" ht="15" customHeight="1" x14ac:dyDescent="0.25"/>
    <row r="244" s="64" customFormat="1" ht="15" customHeight="1" x14ac:dyDescent="0.25"/>
    <row r="245" s="64" customFormat="1" ht="15" customHeight="1" x14ac:dyDescent="0.25"/>
    <row r="246" s="64" customFormat="1" ht="15" customHeight="1" x14ac:dyDescent="0.25"/>
    <row r="247" s="64" customFormat="1" ht="15" customHeight="1" x14ac:dyDescent="0.25"/>
    <row r="248" s="64" customFormat="1" ht="15" customHeight="1" x14ac:dyDescent="0.25"/>
    <row r="249" s="64" customFormat="1" ht="15" customHeight="1" x14ac:dyDescent="0.25"/>
    <row r="250" s="64" customFormat="1" ht="15" customHeight="1" x14ac:dyDescent="0.25"/>
    <row r="251" s="64" customFormat="1" ht="15" customHeight="1" x14ac:dyDescent="0.25"/>
    <row r="252" s="64" customFormat="1" ht="15" customHeight="1" x14ac:dyDescent="0.25"/>
    <row r="253" s="64" customFormat="1" ht="15" customHeight="1" x14ac:dyDescent="0.25"/>
    <row r="254" s="64" customFormat="1" ht="15" customHeight="1" x14ac:dyDescent="0.25"/>
    <row r="255" s="64" customFormat="1" ht="15" customHeight="1" x14ac:dyDescent="0.25"/>
    <row r="256" s="64" customFormat="1" ht="15" customHeight="1" x14ac:dyDescent="0.25"/>
    <row r="257" s="64" customFormat="1" ht="15" customHeight="1" x14ac:dyDescent="0.25"/>
    <row r="258" s="64" customFormat="1" ht="15" customHeight="1" x14ac:dyDescent="0.25"/>
    <row r="259" s="64" customFormat="1" ht="15" customHeight="1" x14ac:dyDescent="0.25"/>
    <row r="260" s="64" customFormat="1" ht="15" customHeight="1" x14ac:dyDescent="0.25"/>
    <row r="261" s="64" customFormat="1" ht="15" customHeight="1" x14ac:dyDescent="0.25"/>
    <row r="262" s="64" customFormat="1" ht="15" customHeight="1" x14ac:dyDescent="0.25"/>
    <row r="263" s="64" customFormat="1" ht="15" customHeight="1" x14ac:dyDescent="0.25"/>
    <row r="264" s="64" customFormat="1" ht="15" customHeight="1" x14ac:dyDescent="0.25"/>
    <row r="265" s="64" customFormat="1" ht="15" customHeight="1" x14ac:dyDescent="0.25"/>
    <row r="266" s="64" customFormat="1" ht="15" customHeight="1" x14ac:dyDescent="0.25"/>
    <row r="267" s="64" customFormat="1" ht="15" customHeight="1" x14ac:dyDescent="0.25"/>
    <row r="268" s="64" customFormat="1" ht="15" customHeight="1" x14ac:dyDescent="0.25"/>
    <row r="269" s="64" customFormat="1" ht="15" customHeight="1" x14ac:dyDescent="0.25"/>
    <row r="270" s="64" customFormat="1" ht="15" customHeight="1" x14ac:dyDescent="0.25"/>
    <row r="271" s="64" customFormat="1" ht="15" customHeight="1" x14ac:dyDescent="0.25"/>
    <row r="272" s="64" customFormat="1" ht="15" customHeight="1" x14ac:dyDescent="0.25"/>
    <row r="273" s="64" customFormat="1" ht="15" customHeight="1" x14ac:dyDescent="0.25"/>
    <row r="274" s="64" customFormat="1" ht="15" customHeight="1" x14ac:dyDescent="0.25"/>
    <row r="275" s="64" customFormat="1" ht="15" customHeight="1" x14ac:dyDescent="0.25"/>
    <row r="276" s="64" customFormat="1" ht="15" customHeight="1" x14ac:dyDescent="0.25"/>
    <row r="277" s="64" customFormat="1" ht="15" customHeight="1" x14ac:dyDescent="0.25"/>
    <row r="278" s="64" customFormat="1" ht="15" customHeight="1" x14ac:dyDescent="0.25"/>
    <row r="279" s="64" customFormat="1" ht="15" customHeight="1" x14ac:dyDescent="0.25"/>
    <row r="280" s="64" customFormat="1" ht="15" customHeight="1" x14ac:dyDescent="0.25"/>
    <row r="281" s="64" customFormat="1" ht="15" customHeight="1" x14ac:dyDescent="0.25"/>
    <row r="282" s="64" customFormat="1" ht="15" customHeight="1" x14ac:dyDescent="0.25"/>
    <row r="283" s="64" customFormat="1" ht="15" customHeight="1" x14ac:dyDescent="0.25"/>
    <row r="284" s="64" customFormat="1" ht="15" customHeight="1" x14ac:dyDescent="0.25"/>
    <row r="285" s="64" customFormat="1" ht="15" customHeight="1" x14ac:dyDescent="0.25"/>
    <row r="286" s="64" customFormat="1" ht="15" customHeight="1" x14ac:dyDescent="0.25"/>
    <row r="287" s="64" customFormat="1" ht="15" customHeight="1" x14ac:dyDescent="0.25"/>
    <row r="288" s="64" customFormat="1" ht="15" customHeight="1" x14ac:dyDescent="0.25"/>
    <row r="289" s="64" customFormat="1" ht="15" customHeight="1" x14ac:dyDescent="0.25"/>
    <row r="290" s="64" customFormat="1" ht="15" customHeight="1" x14ac:dyDescent="0.25"/>
    <row r="291" s="64" customFormat="1" ht="15" customHeight="1" x14ac:dyDescent="0.25"/>
    <row r="292" s="64" customFormat="1" ht="15" customHeight="1" x14ac:dyDescent="0.25"/>
    <row r="293" s="64" customFormat="1" ht="15" customHeight="1" x14ac:dyDescent="0.25"/>
    <row r="294" s="64" customFormat="1" ht="15" customHeight="1" x14ac:dyDescent="0.25"/>
    <row r="295" s="64" customFormat="1" ht="15" customHeight="1" x14ac:dyDescent="0.25"/>
    <row r="296" s="64" customFormat="1" ht="15" customHeight="1" x14ac:dyDescent="0.25"/>
    <row r="297" s="64" customFormat="1" ht="15" customHeight="1" x14ac:dyDescent="0.25"/>
    <row r="298" s="64" customFormat="1" ht="15" customHeight="1" x14ac:dyDescent="0.25"/>
    <row r="299" s="64" customFormat="1" ht="15" customHeight="1" x14ac:dyDescent="0.25"/>
    <row r="300" s="64" customFormat="1" ht="15" customHeight="1" x14ac:dyDescent="0.25"/>
    <row r="301" s="64" customFormat="1" ht="15" customHeight="1" x14ac:dyDescent="0.25"/>
    <row r="302" s="64" customFormat="1" ht="15" customHeight="1" x14ac:dyDescent="0.25"/>
    <row r="303" s="64" customFormat="1" ht="15" customHeight="1" x14ac:dyDescent="0.25"/>
    <row r="304" s="64" customFormat="1" ht="15" customHeight="1" x14ac:dyDescent="0.25"/>
    <row r="305" s="64" customFormat="1" ht="15" customHeight="1" x14ac:dyDescent="0.25"/>
    <row r="306" s="64" customFormat="1" ht="15" customHeight="1" x14ac:dyDescent="0.25"/>
    <row r="307" s="64" customFormat="1" ht="15" customHeight="1" x14ac:dyDescent="0.25"/>
    <row r="308" s="64" customFormat="1" ht="15" customHeight="1" x14ac:dyDescent="0.25"/>
    <row r="309" s="64" customFormat="1" ht="15" customHeight="1" x14ac:dyDescent="0.25"/>
    <row r="310" s="64" customFormat="1" ht="15" customHeight="1" x14ac:dyDescent="0.25"/>
    <row r="311" s="64" customFormat="1" ht="15" customHeight="1" x14ac:dyDescent="0.25"/>
    <row r="312" s="64" customFormat="1" ht="15" customHeight="1" x14ac:dyDescent="0.25"/>
    <row r="313" s="64" customFormat="1" ht="15" customHeight="1" x14ac:dyDescent="0.25"/>
    <row r="314" s="64" customFormat="1" ht="15" customHeight="1" x14ac:dyDescent="0.25"/>
    <row r="315" s="64" customFormat="1" ht="15" customHeight="1" x14ac:dyDescent="0.25"/>
    <row r="316" s="64" customFormat="1" ht="15" customHeight="1" x14ac:dyDescent="0.25"/>
    <row r="317" s="64" customFormat="1" ht="15" customHeight="1" x14ac:dyDescent="0.25"/>
    <row r="318" s="64" customFormat="1" ht="15" customHeight="1" x14ac:dyDescent="0.25"/>
    <row r="319" s="64" customFormat="1" ht="15" customHeight="1" x14ac:dyDescent="0.25"/>
    <row r="320" s="64" customFormat="1" ht="15" customHeight="1" x14ac:dyDescent="0.25"/>
    <row r="321" spans="15:21" ht="15" customHeight="1" x14ac:dyDescent="0.25">
      <c r="O321" s="64"/>
      <c r="P321" s="64"/>
      <c r="Q321" s="64"/>
      <c r="R321" s="64"/>
      <c r="S321" s="64"/>
      <c r="T321" s="64"/>
      <c r="U321" s="64"/>
    </row>
    <row r="322" spans="15:21" ht="15" customHeight="1" x14ac:dyDescent="0.25">
      <c r="O322" s="64"/>
      <c r="P322" s="64"/>
      <c r="Q322" s="64"/>
      <c r="R322" s="64"/>
      <c r="S322" s="64"/>
      <c r="T322" s="64"/>
      <c r="U322" s="64"/>
    </row>
    <row r="323" spans="15:21" ht="15" customHeight="1" x14ac:dyDescent="0.25">
      <c r="Q323" s="64"/>
      <c r="R323" s="64"/>
      <c r="S323" s="64"/>
      <c r="T323" s="64"/>
      <c r="U323" s="64"/>
    </row>
    <row r="324" spans="15:21" ht="15" customHeight="1" x14ac:dyDescent="0.25">
      <c r="Q324" s="64"/>
      <c r="R324" s="64"/>
    </row>
    <row r="327" spans="15:21" ht="15" customHeight="1" x14ac:dyDescent="0.25">
      <c r="O327" s="64"/>
      <c r="P327" s="64"/>
    </row>
    <row r="328" spans="15:21" ht="15" customHeight="1" x14ac:dyDescent="0.25">
      <c r="O328" s="64"/>
      <c r="P328" s="64"/>
      <c r="S328" s="64"/>
      <c r="T328" s="64"/>
      <c r="U328" s="64"/>
    </row>
    <row r="329" spans="15:21" ht="15" customHeight="1" x14ac:dyDescent="0.25">
      <c r="Q329" s="64"/>
      <c r="R329" s="64"/>
      <c r="S329" s="64"/>
      <c r="T329" s="64"/>
      <c r="U329" s="64"/>
    </row>
    <row r="330" spans="15:21" ht="15" customHeight="1" x14ac:dyDescent="0.25">
      <c r="Q330" s="64"/>
      <c r="R330" s="64"/>
    </row>
  </sheetData>
  <mergeCells count="9">
    <mergeCell ref="C36:H36"/>
    <mergeCell ref="C48:H49"/>
    <mergeCell ref="I48:J49"/>
    <mergeCell ref="C40:H41"/>
    <mergeCell ref="C38:H38"/>
    <mergeCell ref="C43:H44"/>
    <mergeCell ref="I43:J44"/>
    <mergeCell ref="I46:J47"/>
    <mergeCell ref="C46:H46"/>
  </mergeCells>
  <printOptions horizontalCentered="1"/>
  <pageMargins left="0.25" right="0.25" top="0.75" bottom="0.75" header="0.3" footer="0.3"/>
  <pageSetup paperSize="3" scale="78"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63CA9-1EFC-4DCA-9CB5-40218D2DE462}">
  <sheetPr>
    <tabColor theme="0" tint="-0.249977111117893"/>
    <pageSetUpPr fitToPage="1"/>
  </sheetPr>
  <dimension ref="C4:S52"/>
  <sheetViews>
    <sheetView view="pageBreakPreview" zoomScale="85" zoomScaleNormal="40" zoomScaleSheetLayoutView="85" workbookViewId="0">
      <selection activeCell="E30" sqref="E30"/>
    </sheetView>
  </sheetViews>
  <sheetFormatPr defaultColWidth="9.140625" defaultRowHeight="15" x14ac:dyDescent="0.25"/>
  <cols>
    <col min="4" max="4" width="21.7109375" customWidth="1"/>
    <col min="5" max="5" width="14.85546875" customWidth="1"/>
    <col min="16" max="16" width="10.85546875" bestFit="1" customWidth="1"/>
    <col min="17" max="17" width="27.28515625" customWidth="1"/>
    <col min="18" max="18" width="11" bestFit="1" customWidth="1"/>
    <col min="19" max="19" width="11.5703125" bestFit="1" customWidth="1"/>
  </cols>
  <sheetData>
    <row r="4" spans="3:19" ht="15.75" customHeight="1" x14ac:dyDescent="0.25">
      <c r="C4" s="355" t="s">
        <v>151</v>
      </c>
      <c r="D4" s="355" t="s">
        <v>152</v>
      </c>
      <c r="E4" s="353" t="s">
        <v>153</v>
      </c>
      <c r="F4" s="354" t="s">
        <v>154</v>
      </c>
      <c r="G4" s="354"/>
      <c r="H4" s="354"/>
      <c r="I4" s="354"/>
      <c r="J4" s="354"/>
      <c r="L4" s="354" t="s">
        <v>155</v>
      </c>
      <c r="M4" s="354"/>
      <c r="N4" s="354"/>
      <c r="O4" s="354"/>
      <c r="P4" s="354"/>
      <c r="Q4" s="202" t="s">
        <v>156</v>
      </c>
      <c r="R4" s="353" t="s">
        <v>157</v>
      </c>
      <c r="S4" s="353"/>
    </row>
    <row r="5" spans="3:19" ht="35.1" customHeight="1" x14ac:dyDescent="0.25">
      <c r="C5" s="355"/>
      <c r="D5" s="355"/>
      <c r="E5" s="353"/>
      <c r="F5" s="354" t="s">
        <v>158</v>
      </c>
      <c r="G5" s="354"/>
      <c r="H5" s="354"/>
      <c r="I5" s="354"/>
      <c r="J5" s="354"/>
      <c r="L5" s="354" t="s">
        <v>158</v>
      </c>
      <c r="M5" s="354"/>
      <c r="N5" s="354"/>
      <c r="O5" s="354"/>
      <c r="P5" s="354"/>
      <c r="Q5" s="23" t="s">
        <v>159</v>
      </c>
      <c r="R5" s="23" t="s">
        <v>159</v>
      </c>
      <c r="S5" s="23" t="s">
        <v>160</v>
      </c>
    </row>
    <row r="6" spans="3:19" ht="43.5" customHeight="1" x14ac:dyDescent="0.25">
      <c r="C6" s="355"/>
      <c r="D6" s="355"/>
      <c r="E6" s="353"/>
      <c r="F6" s="44">
        <v>2</v>
      </c>
      <c r="G6" s="44">
        <v>3</v>
      </c>
      <c r="H6" s="44">
        <v>4</v>
      </c>
      <c r="I6" s="44">
        <v>5</v>
      </c>
      <c r="J6" s="44">
        <v>6</v>
      </c>
      <c r="L6" s="44">
        <v>2</v>
      </c>
      <c r="M6" s="44">
        <v>3</v>
      </c>
      <c r="N6" s="44">
        <v>4</v>
      </c>
      <c r="O6" s="44">
        <v>5</v>
      </c>
      <c r="P6" s="44">
        <v>6</v>
      </c>
      <c r="Q6" s="23">
        <v>6</v>
      </c>
      <c r="R6" s="23"/>
      <c r="S6" s="23"/>
    </row>
    <row r="7" spans="3:19" x14ac:dyDescent="0.25">
      <c r="C7" s="356">
        <v>55</v>
      </c>
      <c r="D7" s="22" t="s">
        <v>161</v>
      </c>
      <c r="E7" s="22">
        <v>14</v>
      </c>
      <c r="F7" s="22">
        <v>1.02</v>
      </c>
      <c r="G7" s="22">
        <v>1.04</v>
      </c>
      <c r="H7" s="22">
        <v>1.08</v>
      </c>
      <c r="I7" s="22">
        <v>1.1499999999999999</v>
      </c>
      <c r="J7" s="22">
        <v>1.22</v>
      </c>
      <c r="L7" s="48">
        <f t="shared" ref="L7:P13" si="0">$E7*F7</f>
        <v>14.280000000000001</v>
      </c>
      <c r="M7" s="48">
        <f t="shared" si="0"/>
        <v>14.56</v>
      </c>
      <c r="N7" s="48">
        <f t="shared" si="0"/>
        <v>15.120000000000001</v>
      </c>
      <c r="O7" s="48">
        <f t="shared" si="0"/>
        <v>16.099999999999998</v>
      </c>
      <c r="P7" s="203">
        <f t="shared" si="0"/>
        <v>17.079999999999998</v>
      </c>
      <c r="Q7" s="197">
        <f>AVERAGE(O7:P7)</f>
        <v>16.589999999999996</v>
      </c>
      <c r="R7" s="197">
        <f t="shared" ref="R7:R13" si="1">Q7-E7</f>
        <v>2.5899999999999963</v>
      </c>
      <c r="S7" s="204">
        <f t="shared" ref="S7:S13" si="2">R7/100</f>
        <v>2.5899999999999965E-2</v>
      </c>
    </row>
    <row r="8" spans="3:19" x14ac:dyDescent="0.25">
      <c r="C8" s="356"/>
      <c r="D8" s="22" t="s">
        <v>162</v>
      </c>
      <c r="E8" s="22">
        <v>16.100000000000001</v>
      </c>
      <c r="F8" s="22">
        <v>1.01</v>
      </c>
      <c r="G8" s="22">
        <v>1.01</v>
      </c>
      <c r="H8" s="22">
        <v>1.05</v>
      </c>
      <c r="I8" s="22">
        <v>1.1100000000000001</v>
      </c>
      <c r="J8" s="22">
        <v>1.18</v>
      </c>
      <c r="L8" s="48">
        <f t="shared" si="0"/>
        <v>16.261000000000003</v>
      </c>
      <c r="M8" s="48">
        <f t="shared" si="0"/>
        <v>16.261000000000003</v>
      </c>
      <c r="N8" s="48">
        <f t="shared" si="0"/>
        <v>16.905000000000001</v>
      </c>
      <c r="O8" s="48">
        <f t="shared" si="0"/>
        <v>17.871000000000002</v>
      </c>
      <c r="P8" s="203">
        <f t="shared" si="0"/>
        <v>18.998000000000001</v>
      </c>
      <c r="Q8" s="197">
        <f t="shared" ref="Q8:Q13" si="3">AVERAGE(O8:P8)</f>
        <v>18.4345</v>
      </c>
      <c r="R8" s="197">
        <f t="shared" si="1"/>
        <v>2.3344999999999985</v>
      </c>
      <c r="S8" s="204">
        <f t="shared" si="2"/>
        <v>2.3344999999999984E-2</v>
      </c>
    </row>
    <row r="9" spans="3:19" x14ac:dyDescent="0.25">
      <c r="C9" s="356"/>
      <c r="D9" s="22" t="s">
        <v>163</v>
      </c>
      <c r="E9" s="22">
        <v>16.3</v>
      </c>
      <c r="F9" s="22">
        <v>1.02</v>
      </c>
      <c r="G9" s="22">
        <v>1.03</v>
      </c>
      <c r="H9" s="22">
        <v>1.0900000000000001</v>
      </c>
      <c r="I9" s="22">
        <v>1.2</v>
      </c>
      <c r="J9" s="22">
        <v>1.32</v>
      </c>
      <c r="L9" s="48">
        <f t="shared" si="0"/>
        <v>16.626000000000001</v>
      </c>
      <c r="M9" s="48">
        <f t="shared" si="0"/>
        <v>16.789000000000001</v>
      </c>
      <c r="N9" s="48">
        <f t="shared" si="0"/>
        <v>17.767000000000003</v>
      </c>
      <c r="O9" s="48">
        <f t="shared" si="0"/>
        <v>19.559999999999999</v>
      </c>
      <c r="P9" s="203">
        <f t="shared" si="0"/>
        <v>21.516000000000002</v>
      </c>
      <c r="Q9" s="197">
        <f t="shared" si="3"/>
        <v>20.538</v>
      </c>
      <c r="R9" s="197">
        <f t="shared" si="1"/>
        <v>4.2379999999999995</v>
      </c>
      <c r="S9" s="204">
        <f t="shared" si="2"/>
        <v>4.2379999999999994E-2</v>
      </c>
    </row>
    <row r="10" spans="3:19" ht="14.25" customHeight="1" x14ac:dyDescent="0.25">
      <c r="C10" s="356"/>
      <c r="D10" s="22" t="s">
        <v>164</v>
      </c>
      <c r="E10" s="22">
        <v>23.9</v>
      </c>
      <c r="F10" s="22">
        <v>1.01</v>
      </c>
      <c r="G10" s="22">
        <v>1.02</v>
      </c>
      <c r="H10" s="22">
        <v>1.05</v>
      </c>
      <c r="I10" s="22">
        <v>1.1200000000000001</v>
      </c>
      <c r="J10" s="22">
        <v>1.2</v>
      </c>
      <c r="L10" s="48">
        <f t="shared" si="0"/>
        <v>24.138999999999999</v>
      </c>
      <c r="M10" s="48">
        <f t="shared" si="0"/>
        <v>24.378</v>
      </c>
      <c r="N10" s="48">
        <f t="shared" si="0"/>
        <v>25.094999999999999</v>
      </c>
      <c r="O10" s="48">
        <f t="shared" si="0"/>
        <v>26.768000000000001</v>
      </c>
      <c r="P10" s="203">
        <f t="shared" si="0"/>
        <v>28.679999999999996</v>
      </c>
      <c r="Q10" s="197">
        <f t="shared" si="3"/>
        <v>27.723999999999997</v>
      </c>
      <c r="R10" s="197">
        <f t="shared" si="1"/>
        <v>3.8239999999999981</v>
      </c>
      <c r="S10" s="204">
        <f t="shared" si="2"/>
        <v>3.8239999999999982E-2</v>
      </c>
    </row>
    <row r="11" spans="3:19" ht="15.75" thickBot="1" x14ac:dyDescent="0.3">
      <c r="C11" s="356"/>
      <c r="D11" s="205" t="s">
        <v>165</v>
      </c>
      <c r="E11" s="205">
        <v>57.7</v>
      </c>
      <c r="F11" s="205">
        <v>1.01</v>
      </c>
      <c r="G11" s="205">
        <v>1.02</v>
      </c>
      <c r="H11" s="205">
        <v>1.05</v>
      </c>
      <c r="I11" s="205">
        <v>1.1000000000000001</v>
      </c>
      <c r="J11" s="205">
        <v>1.1499999999999999</v>
      </c>
      <c r="L11" s="206">
        <f t="shared" si="0"/>
        <v>58.277000000000001</v>
      </c>
      <c r="M11" s="206">
        <f t="shared" si="0"/>
        <v>58.854000000000006</v>
      </c>
      <c r="N11" s="206">
        <f t="shared" si="0"/>
        <v>60.585000000000008</v>
      </c>
      <c r="O11" s="206">
        <f t="shared" si="0"/>
        <v>63.470000000000006</v>
      </c>
      <c r="P11" s="207">
        <f t="shared" si="0"/>
        <v>66.355000000000004</v>
      </c>
      <c r="Q11" s="197">
        <f t="shared" si="3"/>
        <v>64.912500000000009</v>
      </c>
      <c r="R11" s="208">
        <f t="shared" si="1"/>
        <v>7.2125000000000057</v>
      </c>
      <c r="S11" s="209">
        <f t="shared" si="2"/>
        <v>7.212500000000005E-2</v>
      </c>
    </row>
    <row r="12" spans="3:19" x14ac:dyDescent="0.25">
      <c r="C12" s="210"/>
      <c r="D12" s="211" t="s">
        <v>166</v>
      </c>
      <c r="E12" s="212">
        <f>'[4]Operating Cost Savings'!L6*100</f>
        <v>45</v>
      </c>
      <c r="F12" s="212">
        <f>AVERAGE(F7:F10)</f>
        <v>1.0150000000000001</v>
      </c>
      <c r="G12" s="212">
        <f>AVERAGE(G7:G10)</f>
        <v>1.0249999999999999</v>
      </c>
      <c r="H12" s="212">
        <f>AVERAGE(H7:H10)</f>
        <v>1.0674999999999999</v>
      </c>
      <c r="I12" s="212">
        <f>AVERAGE(I7:I10)</f>
        <v>1.145</v>
      </c>
      <c r="J12" s="212">
        <f>AVERAGE(J7:J10)</f>
        <v>1.23</v>
      </c>
      <c r="K12" s="213"/>
      <c r="L12" s="214">
        <f t="shared" si="0"/>
        <v>45.675000000000004</v>
      </c>
      <c r="M12" s="214">
        <f t="shared" si="0"/>
        <v>46.124999999999993</v>
      </c>
      <c r="N12" s="214">
        <f t="shared" si="0"/>
        <v>48.037499999999994</v>
      </c>
      <c r="O12" s="214">
        <f t="shared" si="0"/>
        <v>51.524999999999999</v>
      </c>
      <c r="P12" s="215">
        <f t="shared" si="0"/>
        <v>55.35</v>
      </c>
      <c r="Q12" s="216">
        <f t="shared" si="3"/>
        <v>53.4375</v>
      </c>
      <c r="R12" s="216">
        <f t="shared" si="1"/>
        <v>8.4375</v>
      </c>
      <c r="S12" s="217">
        <f t="shared" si="2"/>
        <v>8.4375000000000006E-2</v>
      </c>
    </row>
    <row r="13" spans="3:19" ht="15.75" thickBot="1" x14ac:dyDescent="0.3">
      <c r="C13" s="210"/>
      <c r="D13" s="218" t="s">
        <v>167</v>
      </c>
      <c r="E13" s="219">
        <f>'[4]Operating Cost Savings'!L7*100</f>
        <v>94</v>
      </c>
      <c r="F13" s="219">
        <f>F11</f>
        <v>1.01</v>
      </c>
      <c r="G13" s="219">
        <f>G11</f>
        <v>1.02</v>
      </c>
      <c r="H13" s="219">
        <f>H11</f>
        <v>1.05</v>
      </c>
      <c r="I13" s="219">
        <f>I11</f>
        <v>1.1000000000000001</v>
      </c>
      <c r="J13" s="219">
        <f>J11</f>
        <v>1.1499999999999999</v>
      </c>
      <c r="K13" s="220"/>
      <c r="L13" s="221">
        <f t="shared" si="0"/>
        <v>94.94</v>
      </c>
      <c r="M13" s="221">
        <f t="shared" si="0"/>
        <v>95.88</v>
      </c>
      <c r="N13" s="221">
        <f t="shared" si="0"/>
        <v>98.7</v>
      </c>
      <c r="O13" s="221">
        <f t="shared" si="0"/>
        <v>103.4</v>
      </c>
      <c r="P13" s="222">
        <f t="shared" si="0"/>
        <v>108.1</v>
      </c>
      <c r="Q13" s="223">
        <f t="shared" si="3"/>
        <v>105.75</v>
      </c>
      <c r="R13" s="223">
        <f t="shared" si="1"/>
        <v>11.75</v>
      </c>
      <c r="S13" s="224">
        <f t="shared" si="2"/>
        <v>0.11749999999999999</v>
      </c>
    </row>
    <row r="14" spans="3:19" ht="15" customHeight="1" x14ac:dyDescent="0.25"/>
    <row r="15" spans="3:19" x14ac:dyDescent="0.25">
      <c r="D15" t="s">
        <v>168</v>
      </c>
      <c r="E15">
        <v>63.4</v>
      </c>
      <c r="F15" t="s">
        <v>169</v>
      </c>
    </row>
    <row r="16" spans="3:19" x14ac:dyDescent="0.25">
      <c r="D16" t="s">
        <v>170</v>
      </c>
      <c r="E16">
        <f>E15*3</f>
        <v>190.2</v>
      </c>
      <c r="F16" t="s">
        <v>169</v>
      </c>
      <c r="G16" t="s">
        <v>171</v>
      </c>
    </row>
    <row r="17" spans="3:17" x14ac:dyDescent="0.25">
      <c r="D17" t="s">
        <v>172</v>
      </c>
      <c r="E17">
        <f>E15*4</f>
        <v>253.6</v>
      </c>
      <c r="F17" t="s">
        <v>169</v>
      </c>
      <c r="G17" t="s">
        <v>173</v>
      </c>
    </row>
    <row r="19" spans="3:17" x14ac:dyDescent="0.25">
      <c r="O19" s="225"/>
    </row>
    <row r="20" spans="3:17" x14ac:dyDescent="0.25">
      <c r="D20" t="s">
        <v>174</v>
      </c>
      <c r="O20" s="225"/>
    </row>
    <row r="21" spans="3:17" ht="14.25" customHeight="1" x14ac:dyDescent="0.25"/>
    <row r="22" spans="3:17" x14ac:dyDescent="0.25">
      <c r="C22" s="1" t="s">
        <v>175</v>
      </c>
      <c r="O22" s="226"/>
      <c r="P22" s="227"/>
      <c r="Q22" s="227"/>
    </row>
    <row r="23" spans="3:17" ht="15" customHeight="1" x14ac:dyDescent="0.25">
      <c r="C23" s="2" t="s">
        <v>17</v>
      </c>
      <c r="D23" s="315" t="s">
        <v>607</v>
      </c>
      <c r="E23" s="315"/>
      <c r="F23" s="315"/>
      <c r="G23" s="315"/>
      <c r="H23" s="315"/>
      <c r="I23" s="315"/>
      <c r="J23" s="315"/>
      <c r="K23" s="315"/>
      <c r="L23" s="315"/>
      <c r="M23" s="315"/>
      <c r="N23" s="315"/>
      <c r="O23" s="315"/>
      <c r="P23" s="228"/>
      <c r="Q23" s="228"/>
    </row>
    <row r="24" spans="3:17" x14ac:dyDescent="0.25">
      <c r="D24" s="315"/>
      <c r="E24" s="315"/>
      <c r="F24" s="315"/>
      <c r="G24" s="315"/>
      <c r="H24" s="315"/>
      <c r="I24" s="315"/>
      <c r="J24" s="315"/>
      <c r="K24" s="315"/>
      <c r="L24" s="315"/>
      <c r="M24" s="315"/>
      <c r="N24" s="315"/>
      <c r="O24" s="315"/>
      <c r="P24" s="228"/>
      <c r="Q24" s="228"/>
    </row>
    <row r="25" spans="3:17" x14ac:dyDescent="0.25">
      <c r="D25" s="315"/>
      <c r="E25" s="315"/>
      <c r="F25" s="315"/>
      <c r="G25" s="315"/>
      <c r="H25" s="315"/>
      <c r="I25" s="315"/>
      <c r="J25" s="315"/>
      <c r="K25" s="315"/>
      <c r="L25" s="315"/>
      <c r="M25" s="315"/>
      <c r="N25" s="315"/>
      <c r="O25" s="315"/>
      <c r="P25" s="228"/>
      <c r="Q25" s="228"/>
    </row>
    <row r="26" spans="3:17" x14ac:dyDescent="0.25">
      <c r="C26" s="2"/>
      <c r="D26" s="315"/>
      <c r="E26" s="315"/>
      <c r="F26" s="315"/>
      <c r="G26" s="315"/>
      <c r="H26" s="315"/>
      <c r="I26" s="315"/>
      <c r="J26" s="315"/>
      <c r="K26" s="315"/>
      <c r="L26" s="315"/>
      <c r="M26" s="315"/>
      <c r="N26" s="315"/>
      <c r="O26" s="315"/>
      <c r="P26" s="228"/>
      <c r="Q26" s="228"/>
    </row>
    <row r="28" spans="3:17" ht="15" customHeight="1" x14ac:dyDescent="0.25"/>
    <row r="29" spans="3:17" ht="15" customHeight="1" x14ac:dyDescent="0.25"/>
    <row r="32" spans="3:17" ht="15" customHeight="1" x14ac:dyDescent="0.25"/>
    <row r="33" spans="4:4" x14ac:dyDescent="0.25">
      <c r="D33" s="52"/>
    </row>
    <row r="36" spans="4:4" ht="15" customHeight="1" x14ac:dyDescent="0.25"/>
    <row r="37" spans="4:4" ht="15" customHeight="1" x14ac:dyDescent="0.25"/>
    <row r="38" spans="4:4" ht="15" customHeight="1" x14ac:dyDescent="0.25"/>
    <row r="39" spans="4:4" ht="15" customHeight="1" x14ac:dyDescent="0.25"/>
    <row r="42" spans="4:4" ht="15" customHeight="1" x14ac:dyDescent="0.25"/>
    <row r="43" spans="4:4" ht="15" customHeight="1" x14ac:dyDescent="0.25"/>
    <row r="44" spans="4:4" ht="15" customHeight="1" x14ac:dyDescent="0.25"/>
    <row r="45" spans="4:4" ht="15" customHeight="1" x14ac:dyDescent="0.25"/>
    <row r="49" spans="4:4" ht="15" customHeight="1" x14ac:dyDescent="0.25"/>
    <row r="51" spans="4:4" ht="15" customHeight="1" x14ac:dyDescent="0.25">
      <c r="D51" s="1"/>
    </row>
    <row r="52" spans="4:4" x14ac:dyDescent="0.25">
      <c r="D52" s="1"/>
    </row>
  </sheetData>
  <mergeCells count="10">
    <mergeCell ref="D23:O26"/>
    <mergeCell ref="R4:S4"/>
    <mergeCell ref="F5:J5"/>
    <mergeCell ref="L5:P5"/>
    <mergeCell ref="C4:C6"/>
    <mergeCell ref="C7:C11"/>
    <mergeCell ref="D4:D6"/>
    <mergeCell ref="E4:E6"/>
    <mergeCell ref="F4:J4"/>
    <mergeCell ref="L4:P4"/>
  </mergeCells>
  <pageMargins left="0.25" right="0.25" top="0.75" bottom="0.75" header="0.3" footer="0.3"/>
  <pageSetup scale="3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1276D-7B14-4C57-8DC9-FEB43BA2B3AC}">
  <sheetPr>
    <tabColor theme="0" tint="-0.249977111117893"/>
    <pageSetUpPr fitToPage="1"/>
  </sheetPr>
  <dimension ref="C3:S32"/>
  <sheetViews>
    <sheetView view="pageBreakPreview" zoomScale="70" zoomScaleNormal="40" zoomScaleSheetLayoutView="70" workbookViewId="0"/>
  </sheetViews>
  <sheetFormatPr defaultRowHeight="15" x14ac:dyDescent="0.25"/>
  <cols>
    <col min="3" max="4" width="12.42578125" customWidth="1"/>
    <col min="20" max="20" width="12.42578125" bestFit="1" customWidth="1"/>
  </cols>
  <sheetData>
    <row r="3" spans="3:19" x14ac:dyDescent="0.25">
      <c r="C3" s="61" t="s">
        <v>140</v>
      </c>
    </row>
    <row r="4" spans="3:19" x14ac:dyDescent="0.25">
      <c r="C4" s="1"/>
    </row>
    <row r="5" spans="3:19" ht="15" customHeight="1" x14ac:dyDescent="0.25">
      <c r="C5" s="315" t="s">
        <v>141</v>
      </c>
      <c r="D5" s="315"/>
      <c r="E5" s="315"/>
      <c r="F5" s="315"/>
      <c r="G5" s="315"/>
      <c r="H5" s="315"/>
      <c r="I5" s="315"/>
      <c r="J5" s="315"/>
      <c r="K5" s="315"/>
      <c r="L5" s="315"/>
      <c r="M5" s="7"/>
      <c r="N5" s="7"/>
      <c r="O5" s="7"/>
      <c r="P5" s="7"/>
      <c r="Q5" s="7"/>
      <c r="R5" s="7"/>
      <c r="S5" s="7"/>
    </row>
    <row r="6" spans="3:19" x14ac:dyDescent="0.25">
      <c r="C6" s="315"/>
      <c r="D6" s="315"/>
      <c r="E6" s="315"/>
      <c r="F6" s="315"/>
      <c r="G6" s="315"/>
      <c r="H6" s="315"/>
      <c r="I6" s="315"/>
      <c r="J6" s="315"/>
      <c r="K6" s="315"/>
      <c r="L6" s="315"/>
      <c r="M6" s="7"/>
      <c r="N6" s="7"/>
      <c r="O6" s="7"/>
      <c r="P6" s="7"/>
      <c r="Q6" s="7"/>
      <c r="R6" s="7"/>
      <c r="S6" s="7"/>
    </row>
    <row r="7" spans="3:19" x14ac:dyDescent="0.25">
      <c r="C7" s="315"/>
      <c r="D7" s="315"/>
      <c r="E7" s="315"/>
      <c r="F7" s="315"/>
      <c r="G7" s="315"/>
      <c r="H7" s="315"/>
      <c r="I7" s="315"/>
      <c r="J7" s="315"/>
      <c r="K7" s="315"/>
      <c r="L7" s="315"/>
      <c r="M7" s="7"/>
      <c r="N7" s="7"/>
      <c r="O7" s="7"/>
      <c r="P7" s="7"/>
      <c r="Q7" s="7"/>
      <c r="R7" s="7"/>
      <c r="S7" s="7"/>
    </row>
    <row r="9" spans="3:19" x14ac:dyDescent="0.25">
      <c r="C9" s="1" t="s">
        <v>142</v>
      </c>
      <c r="M9" s="1" t="s">
        <v>272</v>
      </c>
    </row>
    <row r="10" spans="3:19" x14ac:dyDescent="0.25">
      <c r="C10" s="23" t="s">
        <v>30</v>
      </c>
      <c r="D10" s="23" t="s">
        <v>44</v>
      </c>
    </row>
    <row r="11" spans="3:19" x14ac:dyDescent="0.25">
      <c r="C11" s="23">
        <v>2021</v>
      </c>
      <c r="D11" s="35">
        <v>1257</v>
      </c>
    </row>
    <row r="12" spans="3:19" x14ac:dyDescent="0.25">
      <c r="C12" s="23">
        <v>2041</v>
      </c>
      <c r="D12" s="35">
        <v>1982</v>
      </c>
    </row>
    <row r="13" spans="3:19" x14ac:dyDescent="0.25">
      <c r="C13" s="23" t="s">
        <v>143</v>
      </c>
      <c r="D13" s="35">
        <v>2.04</v>
      </c>
    </row>
    <row r="14" spans="3:19" x14ac:dyDescent="0.25">
      <c r="C14" s="23" t="s">
        <v>145</v>
      </c>
      <c r="D14" s="193">
        <f>D13/SUM($D$13,$D$20)</f>
        <v>0.12797992471769135</v>
      </c>
    </row>
    <row r="16" spans="3:19" x14ac:dyDescent="0.25">
      <c r="C16" s="1" t="s">
        <v>144</v>
      </c>
    </row>
    <row r="17" spans="3:5" x14ac:dyDescent="0.25">
      <c r="C17" s="23" t="s">
        <v>30</v>
      </c>
      <c r="D17" s="23" t="s">
        <v>44</v>
      </c>
    </row>
    <row r="18" spans="3:5" x14ac:dyDescent="0.25">
      <c r="C18" s="23">
        <v>2021</v>
      </c>
      <c r="D18" s="35">
        <v>680</v>
      </c>
    </row>
    <row r="19" spans="3:5" x14ac:dyDescent="0.25">
      <c r="C19" s="23">
        <v>2041</v>
      </c>
      <c r="D19" s="35">
        <v>1085</v>
      </c>
    </row>
    <row r="20" spans="3:5" x14ac:dyDescent="0.25">
      <c r="C20" s="23" t="s">
        <v>143</v>
      </c>
      <c r="D20" s="35">
        <v>13.9</v>
      </c>
    </row>
    <row r="21" spans="3:5" x14ac:dyDescent="0.25">
      <c r="C21" s="23" t="s">
        <v>145</v>
      </c>
      <c r="D21" s="193">
        <f>D20/SUM($D$13,$D$20)</f>
        <v>0.87202007528230863</v>
      </c>
    </row>
    <row r="23" spans="3:5" x14ac:dyDescent="0.25">
      <c r="C23" s="1" t="s">
        <v>146</v>
      </c>
    </row>
    <row r="24" spans="3:5" x14ac:dyDescent="0.25">
      <c r="C24" s="23" t="s">
        <v>30</v>
      </c>
      <c r="D24" s="23" t="s">
        <v>44</v>
      </c>
    </row>
    <row r="25" spans="3:5" x14ac:dyDescent="0.25">
      <c r="C25" s="23">
        <v>2021</v>
      </c>
      <c r="D25" s="158">
        <f>$D$11*$D$14+$D$18*$D$21</f>
        <v>753.84441656210788</v>
      </c>
    </row>
    <row r="26" spans="3:5" x14ac:dyDescent="0.25">
      <c r="C26" s="23">
        <v>2041</v>
      </c>
      <c r="D26" s="158">
        <f>$D$12*$D$14+$D$19*$D$21</f>
        <v>1199.7979924717692</v>
      </c>
    </row>
    <row r="27" spans="3:5" x14ac:dyDescent="0.25">
      <c r="C27" s="23" t="s">
        <v>143</v>
      </c>
      <c r="D27" s="51">
        <v>13.9</v>
      </c>
    </row>
    <row r="28" spans="3:5" x14ac:dyDescent="0.25">
      <c r="C28" s="23" t="s">
        <v>192</v>
      </c>
      <c r="D28" s="247">
        <f>(((D26-D25)/D25))/(C26-C25)</f>
        <v>2.9578621669934468E-2</v>
      </c>
    </row>
    <row r="32" spans="3:5" x14ac:dyDescent="0.25">
      <c r="D32" s="16"/>
      <c r="E32" s="52"/>
    </row>
  </sheetData>
  <mergeCells count="1">
    <mergeCell ref="C5:L7"/>
  </mergeCells>
  <pageMargins left="0.7" right="0.7" top="0.75" bottom="0.75" header="0.3" footer="0.3"/>
  <pageSetup scale="44"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652C0-21B7-47D1-A47C-8593551B6954}">
  <sheetPr codeName="Sheet1">
    <tabColor rgb="FF0070C0"/>
    <pageSetUpPr fitToPage="1"/>
  </sheetPr>
  <dimension ref="B2:M129"/>
  <sheetViews>
    <sheetView view="pageBreakPreview" zoomScale="70" zoomScaleNormal="40" zoomScaleSheetLayoutView="70" workbookViewId="0"/>
  </sheetViews>
  <sheetFormatPr defaultRowHeight="15" outlineLevelRow="1" x14ac:dyDescent="0.25"/>
  <cols>
    <col min="3" max="3" width="15.7109375" customWidth="1"/>
    <col min="4" max="10" width="17.140625" customWidth="1"/>
    <col min="11" max="14" width="15.7109375" customWidth="1"/>
  </cols>
  <sheetData>
    <row r="2" spans="3:13" ht="23.25" x14ac:dyDescent="0.35">
      <c r="C2" s="8" t="s">
        <v>139</v>
      </c>
      <c r="M2" s="3"/>
    </row>
    <row r="3" spans="3:13" x14ac:dyDescent="0.25">
      <c r="I3" s="9"/>
      <c r="J3" s="9"/>
    </row>
    <row r="4" spans="3:13" ht="15.75" thickBot="1" x14ac:dyDescent="0.3">
      <c r="C4" s="58" t="s">
        <v>5</v>
      </c>
    </row>
    <row r="5" spans="3:13" ht="16.5" customHeight="1" thickBot="1" x14ac:dyDescent="0.3">
      <c r="C5" s="58"/>
      <c r="D5" s="300" t="s">
        <v>7</v>
      </c>
      <c r="E5" s="301"/>
      <c r="F5" s="282" t="s">
        <v>8</v>
      </c>
      <c r="G5" s="300" t="s">
        <v>58</v>
      </c>
      <c r="H5" s="302"/>
      <c r="I5" s="305" t="s">
        <v>2</v>
      </c>
      <c r="J5" s="306"/>
    </row>
    <row r="6" spans="3:13" ht="35.1" customHeight="1" x14ac:dyDescent="0.25">
      <c r="C6" s="294" t="s">
        <v>0</v>
      </c>
      <c r="D6" s="296" t="s">
        <v>271</v>
      </c>
      <c r="E6" s="303" t="s">
        <v>180</v>
      </c>
      <c r="F6" s="309" t="s">
        <v>604</v>
      </c>
      <c r="G6" s="296" t="s">
        <v>40</v>
      </c>
      <c r="H6" s="307" t="s">
        <v>42</v>
      </c>
      <c r="I6" s="296" t="s">
        <v>80</v>
      </c>
      <c r="J6" s="303" t="s">
        <v>41</v>
      </c>
    </row>
    <row r="7" spans="3:13" ht="35.1" customHeight="1" thickBot="1" x14ac:dyDescent="0.3">
      <c r="C7" s="295"/>
      <c r="D7" s="297"/>
      <c r="E7" s="304"/>
      <c r="F7" s="310"/>
      <c r="G7" s="297"/>
      <c r="H7" s="308"/>
      <c r="I7" s="311"/>
      <c r="J7" s="312"/>
      <c r="M7" s="1"/>
    </row>
    <row r="8" spans="3:13" ht="15" hidden="1" customHeight="1" outlineLevel="1" x14ac:dyDescent="0.25">
      <c r="C8" s="124">
        <f>Assumptions!D11</f>
        <v>2023</v>
      </c>
      <c r="D8" s="150">
        <f>_xlfn.XLOOKUP(C8,'Travel Time Benefits'!$B$7:$B$36,'Travel Time Benefits'!$G$7:$G$36,0,0,1)</f>
        <v>0</v>
      </c>
      <c r="E8" s="151">
        <f>_xlfn.XLOOKUP(C8,VOC_Roughness!$B$6:$B$41,VOC_Roughness!$G$6:$G$41,0,0,1)</f>
        <v>0</v>
      </c>
      <c r="F8" s="96">
        <f>IFERROR(_xlfn.XLOOKUP($C8,'Safety Benefits'!B$6:B$35,'Safety Benefits'!E$6:E$35,0,0,1),0)</f>
        <v>0</v>
      </c>
      <c r="G8" s="150">
        <f>IFERROR(_xlfn.XLOOKUP($C8,'O&amp;M + Rehab'!$B$5:$B$40,'O&amp;M + Rehab'!$E$5:$E$40,0,0,1),0)</f>
        <v>0</v>
      </c>
      <c r="H8" s="286">
        <f>IFERROR(_xlfn.XLOOKUP($C8,'Capital Cost + RCV'!$B$6:$B$41,'Capital Cost + RCV'!$E$6:$E$41,0,0,1),0)</f>
        <v>0</v>
      </c>
      <c r="I8" s="98">
        <f>IFERROR(SUM(#REF!,F8:H8),0)</f>
        <v>0</v>
      </c>
      <c r="J8" s="97">
        <f>IFERROR(SUM(D8,E8,F8:H8)*(1+0.07)^-($C8-Assumptions!$D$12),0)</f>
        <v>0</v>
      </c>
    </row>
    <row r="9" spans="3:13" ht="15" hidden="1" customHeight="1" outlineLevel="1" x14ac:dyDescent="0.25">
      <c r="C9" s="125">
        <f>C8+1</f>
        <v>2024</v>
      </c>
      <c r="D9" s="85">
        <f>_xlfn.XLOOKUP(C9,'Travel Time Benefits'!$B$7:$B$36,'Travel Time Benefits'!$G$7:$G$36,0,0,1)</f>
        <v>0</v>
      </c>
      <c r="E9" s="84">
        <f>_xlfn.XLOOKUP(C9,VOC_Roughness!$B$6:$B$41,VOC_Roughness!$G$6:$G$41,0,0,1)</f>
        <v>0</v>
      </c>
      <c r="F9" s="83">
        <f>IFERROR(_xlfn.XLOOKUP($C9,'Safety Benefits'!B$6:B$35,'Safety Benefits'!E$6:E$35,0,0,1),0)</f>
        <v>0</v>
      </c>
      <c r="G9" s="85">
        <f>IFERROR(_xlfn.XLOOKUP($C9,'O&amp;M + Rehab'!$B$5:$B$40,'O&amp;M + Rehab'!$E$5:$E$40,0,0,1),0)</f>
        <v>444360</v>
      </c>
      <c r="H9" s="287">
        <f>IFERROR(_xlfn.XLOOKUP($C9,'Capital Cost + RCV'!$B$6:$B$41,'Capital Cost + RCV'!$E$6:$E$41,0,0,1),0)</f>
        <v>0</v>
      </c>
      <c r="I9" s="85">
        <f t="shared" ref="I9:I40" si="0">IFERROR(SUM(D9:E9,F9:H9),0)</f>
        <v>444360</v>
      </c>
      <c r="J9" s="84">
        <f>IFERROR(SUM(D9,E9,F9:H9)*(1+0.07)^-($C9-Assumptions!$D$12),0)</f>
        <v>362730.12457521894</v>
      </c>
    </row>
    <row r="10" spans="3:13" ht="15" hidden="1" customHeight="1" outlineLevel="1" x14ac:dyDescent="0.25">
      <c r="C10" s="125">
        <f>C9+1</f>
        <v>2025</v>
      </c>
      <c r="D10" s="85">
        <f>_xlfn.XLOOKUP(C10,'Travel Time Benefits'!$B$7:$B$36,'Travel Time Benefits'!$G$7:$G$36,0,0,1)</f>
        <v>0</v>
      </c>
      <c r="E10" s="84">
        <f>_xlfn.XLOOKUP(C10,VOC_Roughness!$B$6:$B$41,VOC_Roughness!$G$6:$G$41,0,0,1)</f>
        <v>0</v>
      </c>
      <c r="F10" s="83">
        <f>IFERROR(_xlfn.XLOOKUP($C10,'Safety Benefits'!B$6:B$35,'Safety Benefits'!E$6:E$35,0,0,1),0)</f>
        <v>0</v>
      </c>
      <c r="G10" s="85">
        <f>IFERROR(_xlfn.XLOOKUP($C10,'O&amp;M + Rehab'!$B$5:$B$40,'O&amp;M + Rehab'!$E$5:$E$40,0,0,1),0)</f>
        <v>0</v>
      </c>
      <c r="H10" s="287">
        <f>IFERROR(_xlfn.XLOOKUP($C10,'Capital Cost + RCV'!$B$6:$B$41,'Capital Cost + RCV'!$E$6:$E$41,0,0,1),0)</f>
        <v>0</v>
      </c>
      <c r="I10" s="85">
        <f t="shared" si="0"/>
        <v>0</v>
      </c>
      <c r="J10" s="84">
        <f>IFERROR(SUM(D10,E10,F10:H10)*(1+0.07)^-($C10-Assumptions!$D$12),0)</f>
        <v>0</v>
      </c>
    </row>
    <row r="11" spans="3:13" ht="15" hidden="1" customHeight="1" outlineLevel="1" x14ac:dyDescent="0.25">
      <c r="C11" s="125">
        <f>C10+1</f>
        <v>2026</v>
      </c>
      <c r="D11" s="85">
        <f>_xlfn.XLOOKUP(C11,'Travel Time Benefits'!$B$7:$B$36,'Travel Time Benefits'!$G$7:$G$36,0,0,1)</f>
        <v>0</v>
      </c>
      <c r="E11" s="84">
        <f>_xlfn.XLOOKUP(C11,VOC_Roughness!$B$6:$B$41,VOC_Roughness!$G$6:$G$41,0,0,1)</f>
        <v>0</v>
      </c>
      <c r="F11" s="83">
        <f>IFERROR(_xlfn.XLOOKUP($C11,'Safety Benefits'!B$6:B$35,'Safety Benefits'!E$6:E$35,0,0,1),0)</f>
        <v>0</v>
      </c>
      <c r="G11" s="85">
        <f>IFERROR(_xlfn.XLOOKUP($C11,'O&amp;M + Rehab'!$B$5:$B$40,'O&amp;M + Rehab'!$E$5:$E$40,0,0,1),0)</f>
        <v>0</v>
      </c>
      <c r="H11" s="287">
        <f>IFERROR(_xlfn.XLOOKUP($C11,'Capital Cost + RCV'!$B$6:$B$41,'Capital Cost + RCV'!$E$6:$E$41,0,0,1),0)</f>
        <v>0</v>
      </c>
      <c r="I11" s="85">
        <f t="shared" si="0"/>
        <v>0</v>
      </c>
      <c r="J11" s="84">
        <f>IFERROR(SUM(D11,E11,F11:H11)*(1+0.07)^-($C11-Assumptions!$D$12),0)</f>
        <v>0</v>
      </c>
    </row>
    <row r="12" spans="3:13" ht="15" hidden="1" customHeight="1" outlineLevel="1" x14ac:dyDescent="0.25">
      <c r="C12" s="125">
        <f t="shared" ref="C12:C68" si="1">C11+1</f>
        <v>2027</v>
      </c>
      <c r="D12" s="85">
        <f>_xlfn.XLOOKUP(C12,'Travel Time Benefits'!$B$7:$B$36,'Travel Time Benefits'!$G$7:$G$36,0,0,1)</f>
        <v>0</v>
      </c>
      <c r="E12" s="84">
        <f>_xlfn.XLOOKUP(C12,VOC_Roughness!$B$6:$B$41,VOC_Roughness!$G$6:$G$41,0,0,1)</f>
        <v>0</v>
      </c>
      <c r="F12" s="83">
        <f>IFERROR(_xlfn.XLOOKUP($C12,'Safety Benefits'!B$6:B$35,'Safety Benefits'!E$6:E$35,0,0,1),0)</f>
        <v>0</v>
      </c>
      <c r="G12" s="85">
        <f>IFERROR(_xlfn.XLOOKUP($C12,'O&amp;M + Rehab'!$B$5:$B$40,'O&amp;M + Rehab'!$E$5:$E$40,0,0,1),0)</f>
        <v>444360</v>
      </c>
      <c r="H12" s="287">
        <f>IFERROR(_xlfn.XLOOKUP($C12,'Capital Cost + RCV'!$B$6:$B$41,'Capital Cost + RCV'!$E$6:$E$41,0,0,1),0)</f>
        <v>0</v>
      </c>
      <c r="I12" s="85">
        <f t="shared" si="0"/>
        <v>444360</v>
      </c>
      <c r="J12" s="84">
        <f>IFERROR(SUM(D12,E12,F12:H12)*(1+0.07)^-($C12-Assumptions!$D$12),0)</f>
        <v>296095.8305751055</v>
      </c>
    </row>
    <row r="13" spans="3:13" ht="15" hidden="1" customHeight="1" outlineLevel="1" x14ac:dyDescent="0.25">
      <c r="C13" s="125">
        <f t="shared" si="1"/>
        <v>2028</v>
      </c>
      <c r="D13" s="85">
        <f>_xlfn.XLOOKUP(C13,'Travel Time Benefits'!$B$7:$B$36,'Travel Time Benefits'!$G$7:$G$36,0,0,1)</f>
        <v>0</v>
      </c>
      <c r="E13" s="84">
        <f>_xlfn.XLOOKUP(C13,VOC_Roughness!$B$6:$B$41,VOC_Roughness!$G$6:$G$41,0,0,1)</f>
        <v>0</v>
      </c>
      <c r="F13" s="83">
        <f>IFERROR(_xlfn.XLOOKUP($C13,'Safety Benefits'!B$6:B$35,'Safety Benefits'!E$6:E$35,0,0,1),0)</f>
        <v>0</v>
      </c>
      <c r="G13" s="85">
        <f>IFERROR(_xlfn.XLOOKUP($C13,'O&amp;M + Rehab'!$B$5:$B$40,'O&amp;M + Rehab'!$E$5:$E$40,0,0,1),0)</f>
        <v>0</v>
      </c>
      <c r="H13" s="287">
        <f>IFERROR(_xlfn.XLOOKUP($C13,'Capital Cost + RCV'!$B$6:$B$41,'Capital Cost + RCV'!$E$6:$E$41,0,0,1),0)</f>
        <v>0</v>
      </c>
      <c r="I13" s="85">
        <f t="shared" si="0"/>
        <v>0</v>
      </c>
      <c r="J13" s="84">
        <f>IFERROR(SUM(D13,E13,F13:H13)*(1+0.07)^-($C13-Assumptions!$D$12),0)</f>
        <v>0</v>
      </c>
    </row>
    <row r="14" spans="3:13" ht="15" hidden="1" customHeight="1" outlineLevel="1" x14ac:dyDescent="0.25">
      <c r="C14" s="125">
        <f t="shared" si="1"/>
        <v>2029</v>
      </c>
      <c r="D14" s="85">
        <f>_xlfn.XLOOKUP(C14,'Travel Time Benefits'!$B$7:$B$36,'Travel Time Benefits'!$G$7:$G$36,0,0,1)</f>
        <v>0</v>
      </c>
      <c r="E14" s="84">
        <f>_xlfn.XLOOKUP(C14,VOC_Roughness!$B$6:$B$41,VOC_Roughness!$G$6:$G$41,0,0,1)</f>
        <v>0</v>
      </c>
      <c r="F14" s="83">
        <f>IFERROR(_xlfn.XLOOKUP($C14,'Safety Benefits'!B$6:B$35,'Safety Benefits'!E$6:E$35,0,0,1),0)</f>
        <v>0</v>
      </c>
      <c r="G14" s="85">
        <f>IFERROR(_xlfn.XLOOKUP($C14,'O&amp;M + Rehab'!$B$5:$B$40,'O&amp;M + Rehab'!$E$5:$E$40,0,0,1),0)</f>
        <v>0</v>
      </c>
      <c r="H14" s="287">
        <f>IFERROR(_xlfn.XLOOKUP($C14,'Capital Cost + RCV'!$B$6:$B$41,'Capital Cost + RCV'!$E$6:$E$41,0,0,1),0)</f>
        <v>0</v>
      </c>
      <c r="I14" s="85">
        <f t="shared" si="0"/>
        <v>0</v>
      </c>
      <c r="J14" s="84">
        <f>IFERROR(SUM(D14,E14,F14:H14)*(1+0.07)^-($C14-Assumptions!$D$12),0)</f>
        <v>0</v>
      </c>
    </row>
    <row r="15" spans="3:13" ht="15" hidden="1" customHeight="1" outlineLevel="1" x14ac:dyDescent="0.25">
      <c r="C15" s="125">
        <f t="shared" si="1"/>
        <v>2030</v>
      </c>
      <c r="D15" s="85">
        <f>_xlfn.XLOOKUP(C15,'Travel Time Benefits'!$B$7:$B$36,'Travel Time Benefits'!$G$7:$G$36,0,0,1)</f>
        <v>0</v>
      </c>
      <c r="E15" s="84">
        <f>_xlfn.XLOOKUP(C15,VOC_Roughness!$B$6:$B$41,VOC_Roughness!$G$6:$G$41,0,0,1)</f>
        <v>0</v>
      </c>
      <c r="F15" s="83">
        <f>IFERROR(_xlfn.XLOOKUP($C15,'Safety Benefits'!B$6:B$35,'Safety Benefits'!E$6:E$35,0,0,1),0)</f>
        <v>0</v>
      </c>
      <c r="G15" s="85">
        <f>IFERROR(_xlfn.XLOOKUP($C15,'O&amp;M + Rehab'!$B$5:$B$40,'O&amp;M + Rehab'!$E$5:$E$40,0,0,1),0)</f>
        <v>444360</v>
      </c>
      <c r="H15" s="287">
        <f>IFERROR(_xlfn.XLOOKUP($C15,'Capital Cost + RCV'!$B$6:$B$41,'Capital Cost + RCV'!$E$6:$E$41,0,0,1),0)</f>
        <v>0</v>
      </c>
      <c r="I15" s="85">
        <f t="shared" si="0"/>
        <v>444360</v>
      </c>
      <c r="J15" s="84">
        <f>IFERROR(SUM(D15,E15,F15:H15)*(1+0.07)^-($C15-Assumptions!$D$12),0)</f>
        <v>241702.39785469204</v>
      </c>
    </row>
    <row r="16" spans="3:13" ht="15" hidden="1" customHeight="1" outlineLevel="1" x14ac:dyDescent="0.25">
      <c r="C16" s="125">
        <f t="shared" si="1"/>
        <v>2031</v>
      </c>
      <c r="D16" s="85">
        <f>_xlfn.XLOOKUP(C16,'Travel Time Benefits'!$B$7:$B$36,'Travel Time Benefits'!$G$7:$G$36,0,0,1)</f>
        <v>0</v>
      </c>
      <c r="E16" s="84">
        <f>_xlfn.XLOOKUP(C16,VOC_Roughness!$B$6:$B$41,VOC_Roughness!$G$6:$G$41,0,0,1)</f>
        <v>0</v>
      </c>
      <c r="F16" s="83">
        <f>IFERROR(_xlfn.XLOOKUP($C16,'Safety Benefits'!B$6:B$35,'Safety Benefits'!E$6:E$35,0,0,1),0)</f>
        <v>0</v>
      </c>
      <c r="G16" s="85">
        <f>IFERROR(_xlfn.XLOOKUP($C16,'O&amp;M + Rehab'!$B$5:$B$40,'O&amp;M + Rehab'!$E$5:$E$40,0,0,1),0)</f>
        <v>0</v>
      </c>
      <c r="H16" s="287">
        <f>IFERROR(_xlfn.XLOOKUP($C16,'Capital Cost + RCV'!$B$6:$B$41,'Capital Cost + RCV'!$E$6:$E$41,0,0,1),0)</f>
        <v>0</v>
      </c>
      <c r="I16" s="85">
        <f t="shared" si="0"/>
        <v>0</v>
      </c>
      <c r="J16" s="84">
        <f>IFERROR(SUM(D16,E16,F16:H16)*(1+0.07)^-($C16-Assumptions!$D$12),0)</f>
        <v>0</v>
      </c>
    </row>
    <row r="17" spans="3:10" ht="15" customHeight="1" collapsed="1" x14ac:dyDescent="0.25">
      <c r="C17" s="125">
        <f t="shared" si="1"/>
        <v>2032</v>
      </c>
      <c r="D17" s="85">
        <f>_xlfn.XLOOKUP(C17,'Travel Time Benefits'!$B$7:$B$36,'Travel Time Benefits'!$G$7:$G$36,0,0,1)</f>
        <v>0</v>
      </c>
      <c r="E17" s="84">
        <f>_xlfn.XLOOKUP(C17,VOC_Roughness!$B$6:$B$41,VOC_Roughness!$G$6:$G$41,0,0,1)</f>
        <v>0</v>
      </c>
      <c r="F17" s="83">
        <f>IFERROR(_xlfn.XLOOKUP($C17,'Safety Benefits'!B$6:B$35,'Safety Benefits'!E$6:E$35,0,0,1),0)</f>
        <v>0</v>
      </c>
      <c r="G17" s="85">
        <f>IFERROR(_xlfn.XLOOKUP($C17,'O&amp;M + Rehab'!$B$5:$B$40,'O&amp;M + Rehab'!$E$5:$E$40,0,0,1),0)</f>
        <v>0</v>
      </c>
      <c r="H17" s="287">
        <f>IFERROR(_xlfn.XLOOKUP($C17,'Capital Cost + RCV'!$B$6:$B$41,'Capital Cost + RCV'!$E$6:$E$41,0,0,1),0)</f>
        <v>0</v>
      </c>
      <c r="I17" s="85">
        <f t="shared" si="0"/>
        <v>0</v>
      </c>
      <c r="J17" s="84">
        <f>IFERROR(SUM(D17,E17,F17:H17)*(1+0.07)^-($C17-Assumptions!$D$12),0)</f>
        <v>0</v>
      </c>
    </row>
    <row r="18" spans="3:10" ht="15" customHeight="1" x14ac:dyDescent="0.25">
      <c r="C18" s="125">
        <f t="shared" si="1"/>
        <v>2033</v>
      </c>
      <c r="D18" s="85">
        <f>_xlfn.XLOOKUP(C18,'Travel Time Benefits'!$B$7:$B$36,'Travel Time Benefits'!$G$7:$G$36,0,0,1)</f>
        <v>0</v>
      </c>
      <c r="E18" s="84">
        <f>_xlfn.XLOOKUP(C18,VOC_Roughness!$B$6:$B$41,VOC_Roughness!$G$6:$G$41,0,0,1)</f>
        <v>0</v>
      </c>
      <c r="F18" s="83">
        <f>IFERROR(_xlfn.XLOOKUP($C18,'Safety Benefits'!B$6:B$35,'Safety Benefits'!E$6:E$35,0,0,1),0)</f>
        <v>0</v>
      </c>
      <c r="G18" s="85">
        <f>IFERROR(_xlfn.XLOOKUP($C18,'O&amp;M + Rehab'!$B$5:$B$40,'O&amp;M + Rehab'!$E$5:$E$40,0,0,1),0)</f>
        <v>444360</v>
      </c>
      <c r="H18" s="287">
        <f>IFERROR(_xlfn.XLOOKUP($C18,'Capital Cost + RCV'!$B$6:$B$41,'Capital Cost + RCV'!$E$6:$E$41,0,0,1),0)</f>
        <v>0</v>
      </c>
      <c r="I18" s="85">
        <f t="shared" si="0"/>
        <v>444360</v>
      </c>
      <c r="J18" s="84">
        <f>IFERROR(SUM(D18,E18,F18:H18)*(1+0.07)^-($C18-Assumptions!$D$12),0)</f>
        <v>197301.15420821312</v>
      </c>
    </row>
    <row r="19" spans="3:10" ht="15" customHeight="1" x14ac:dyDescent="0.25">
      <c r="C19" s="125">
        <f t="shared" si="1"/>
        <v>2034</v>
      </c>
      <c r="D19" s="85">
        <f>_xlfn.XLOOKUP(C19,'Travel Time Benefits'!$B$7:$B$36,'Travel Time Benefits'!$G$7:$G$36,0,0,1)</f>
        <v>0</v>
      </c>
      <c r="E19" s="84">
        <f>_xlfn.XLOOKUP(C19,VOC_Roughness!$B$6:$B$41,VOC_Roughness!$G$6:$G$41,0,0,1)</f>
        <v>0</v>
      </c>
      <c r="F19" s="83">
        <f>IFERROR(_xlfn.XLOOKUP($C19,'Safety Benefits'!B$6:B$35,'Safety Benefits'!E$6:E$35,0,0,1),0)</f>
        <v>0</v>
      </c>
      <c r="G19" s="85">
        <f>IFERROR(_xlfn.XLOOKUP($C19,'O&amp;M + Rehab'!$B$5:$B$40,'O&amp;M + Rehab'!$E$5:$E$40,0,0,1),0)</f>
        <v>0</v>
      </c>
      <c r="H19" s="287">
        <f>IFERROR(_xlfn.XLOOKUP($C19,'Capital Cost + RCV'!$B$6:$B$41,'Capital Cost + RCV'!$E$6:$E$41,0,0,1),0)</f>
        <v>0</v>
      </c>
      <c r="I19" s="85">
        <f t="shared" si="0"/>
        <v>0</v>
      </c>
      <c r="J19" s="84">
        <f>IFERROR(SUM(D19,E19,F19:H19)*(1+0.07)^-($C19-Assumptions!$D$12),0)</f>
        <v>0</v>
      </c>
    </row>
    <row r="20" spans="3:10" ht="15" customHeight="1" x14ac:dyDescent="0.25">
      <c r="C20" s="125">
        <f t="shared" si="1"/>
        <v>2035</v>
      </c>
      <c r="D20" s="85">
        <f>_xlfn.XLOOKUP(C20,'Travel Time Benefits'!$B$7:$B$36,'Travel Time Benefits'!$G$7:$G$36,0,0,1)</f>
        <v>0</v>
      </c>
      <c r="E20" s="84">
        <f>_xlfn.XLOOKUP(C20,VOC_Roughness!$B$6:$B$41,VOC_Roughness!$G$6:$G$41,0,0,1)</f>
        <v>0</v>
      </c>
      <c r="F20" s="83">
        <f>IFERROR(_xlfn.XLOOKUP($C20,'Safety Benefits'!B$6:B$35,'Safety Benefits'!E$6:E$35,0,0,1),0)</f>
        <v>0</v>
      </c>
      <c r="G20" s="85">
        <f>IFERROR(_xlfn.XLOOKUP($C20,'O&amp;M + Rehab'!$B$5:$B$40,'O&amp;M + Rehab'!$E$5:$E$40,0,0,1),0)</f>
        <v>0</v>
      </c>
      <c r="H20" s="287">
        <f>IFERROR(_xlfn.XLOOKUP($C20,'Capital Cost + RCV'!$B$6:$B$41,'Capital Cost + RCV'!$E$6:$E$41,0,0,1),0)</f>
        <v>0</v>
      </c>
      <c r="I20" s="85">
        <f t="shared" si="0"/>
        <v>0</v>
      </c>
      <c r="J20" s="84">
        <f>IFERROR(SUM(D20,E20,F20:H20)*(1+0.07)^-($C20-Assumptions!$D$12),0)</f>
        <v>0</v>
      </c>
    </row>
    <row r="21" spans="3:10" ht="15" customHeight="1" x14ac:dyDescent="0.25">
      <c r="C21" s="125">
        <f t="shared" si="1"/>
        <v>2036</v>
      </c>
      <c r="D21" s="85">
        <f>_xlfn.XLOOKUP(C21,'Travel Time Benefits'!$B$7:$B$36,'Travel Time Benefits'!$G$7:$G$36,0,0,1)</f>
        <v>0</v>
      </c>
      <c r="E21" s="84">
        <f>_xlfn.XLOOKUP(C21,VOC_Roughness!$B$6:$B$41,VOC_Roughness!$G$6:$G$41,0,0,1)</f>
        <v>0</v>
      </c>
      <c r="F21" s="83">
        <f>IFERROR(_xlfn.XLOOKUP($C21,'Safety Benefits'!B$6:B$35,'Safety Benefits'!E$6:E$35,0,0,1),0)</f>
        <v>0</v>
      </c>
      <c r="G21" s="85">
        <f>IFERROR(_xlfn.XLOOKUP($C21,'O&amp;M + Rehab'!$B$5:$B$40,'O&amp;M + Rehab'!$E$5:$E$40,0,0,1),0)</f>
        <v>444360</v>
      </c>
      <c r="H21" s="287">
        <f>IFERROR(_xlfn.XLOOKUP($C21,'Capital Cost + RCV'!$B$6:$B$41,'Capital Cost + RCV'!$E$6:$E$41,0,0,1),0)</f>
        <v>0</v>
      </c>
      <c r="I21" s="85">
        <f t="shared" si="0"/>
        <v>444360</v>
      </c>
      <c r="J21" s="84">
        <f>IFERROR(SUM(D21,E21,F21:H21)*(1+0.07)^-($C21-Assumptions!$D$12),0)</f>
        <v>161056.51328827895</v>
      </c>
    </row>
    <row r="22" spans="3:10" ht="15" customHeight="1" x14ac:dyDescent="0.25">
      <c r="C22" s="125">
        <f t="shared" si="1"/>
        <v>2037</v>
      </c>
      <c r="D22" s="85">
        <f>_xlfn.XLOOKUP(C22,'Travel Time Benefits'!$B$7:$B$36,'Travel Time Benefits'!$G$7:$G$36,0,0,1)</f>
        <v>0</v>
      </c>
      <c r="E22" s="84">
        <f>_xlfn.XLOOKUP(C22,VOC_Roughness!$B$6:$B$41,VOC_Roughness!$G$6:$G$41,0,0,1)</f>
        <v>0</v>
      </c>
      <c r="F22" s="83">
        <f>IFERROR(_xlfn.XLOOKUP($C22,'Safety Benefits'!B$6:B$35,'Safety Benefits'!E$6:E$35,0,0,1),0)</f>
        <v>0</v>
      </c>
      <c r="G22" s="85">
        <f>IFERROR(_xlfn.XLOOKUP($C22,'O&amp;M + Rehab'!$B$5:$B$40,'O&amp;M + Rehab'!$E$5:$E$40,0,0,1),0)</f>
        <v>0</v>
      </c>
      <c r="H22" s="287">
        <f>IFERROR(_xlfn.XLOOKUP($C22,'Capital Cost + RCV'!$B$6:$B$41,'Capital Cost + RCV'!$E$6:$E$41,0,0,1),0)</f>
        <v>0</v>
      </c>
      <c r="I22" s="85">
        <f t="shared" si="0"/>
        <v>0</v>
      </c>
      <c r="J22" s="84">
        <f>IFERROR(SUM(D22,E22,F22:H22)*(1+0.07)^-($C22-Assumptions!$D$12),0)</f>
        <v>0</v>
      </c>
    </row>
    <row r="23" spans="3:10" ht="15" customHeight="1" x14ac:dyDescent="0.25">
      <c r="C23" s="125">
        <f t="shared" si="1"/>
        <v>2038</v>
      </c>
      <c r="D23" s="85">
        <f>_xlfn.XLOOKUP(C23,'Travel Time Benefits'!$B$7:$B$36,'Travel Time Benefits'!$G$7:$G$36,0,0,1)</f>
        <v>1708814.6981744105</v>
      </c>
      <c r="E23" s="84">
        <f>_xlfn.XLOOKUP(C23,VOC_Roughness!$B$6:$B$41,VOC_Roughness!$G$6:$G$41,0,0,1)</f>
        <v>1304267.1676454628</v>
      </c>
      <c r="F23" s="83">
        <f>IFERROR(_xlfn.XLOOKUP($C23,'Safety Benefits'!B$6:B$35,'Safety Benefits'!E$6:E$35,0,0,1),0)</f>
        <v>3468917.4116072059</v>
      </c>
      <c r="G23" s="85">
        <f>IFERROR(_xlfn.XLOOKUP($C23,'O&amp;M + Rehab'!$B$5:$B$40,'O&amp;M + Rehab'!$E$5:$E$40,0,0,1),0)</f>
        <v>0</v>
      </c>
      <c r="H23" s="287">
        <f>IFERROR(_xlfn.XLOOKUP($C23,'Capital Cost + RCV'!$B$6:$B$41,'Capital Cost + RCV'!$E$6:$E$41,0,0,1),0)</f>
        <v>0</v>
      </c>
      <c r="I23" s="85">
        <f t="shared" si="0"/>
        <v>6481999.2774270792</v>
      </c>
      <c r="J23" s="84">
        <f>IFERROR(SUM(D23,E23,F23:H23)*(1+0.07)^-($C23-Assumptions!$D$12),0)</f>
        <v>2052034.9702402803</v>
      </c>
    </row>
    <row r="24" spans="3:10" ht="15" customHeight="1" x14ac:dyDescent="0.25">
      <c r="C24" s="125">
        <f t="shared" si="1"/>
        <v>2039</v>
      </c>
      <c r="D24" s="85">
        <f>_xlfn.XLOOKUP(C24,'Travel Time Benefits'!$B$7:$B$36,'Travel Time Benefits'!$G$7:$G$36,0,0,1)</f>
        <v>1742447.3529317779</v>
      </c>
      <c r="E24" s="84">
        <f>_xlfn.XLOOKUP(C24,VOC_Roughness!$B$6:$B$41,VOC_Roughness!$G$6:$G$41,0,0,1)</f>
        <v>1329937.5738092293</v>
      </c>
      <c r="F24" s="83">
        <f>IFERROR(_xlfn.XLOOKUP($C24,'Safety Benefits'!B$6:B$35,'Safety Benefits'!E$6:E$35,0,0,1),0)</f>
        <v>3537192.1647510231</v>
      </c>
      <c r="G24" s="85">
        <f>IFERROR(_xlfn.XLOOKUP($C24,'O&amp;M + Rehab'!$B$5:$B$40,'O&amp;M + Rehab'!$E$5:$E$40,0,0,1),0)</f>
        <v>444360</v>
      </c>
      <c r="H24" s="287">
        <f>IFERROR(_xlfn.XLOOKUP($C24,'Capital Cost + RCV'!$B$6:$B$41,'Capital Cost + RCV'!$E$6:$E$41,0,0,1),0)</f>
        <v>0</v>
      </c>
      <c r="I24" s="85">
        <f t="shared" si="0"/>
        <v>7053937.0914920308</v>
      </c>
      <c r="J24" s="84">
        <f>IFERROR(SUM(D24,E24,F24:H24)*(1+0.07)^-($C24-Assumptions!$D$12),0)</f>
        <v>2087005.4533750163</v>
      </c>
    </row>
    <row r="25" spans="3:10" ht="15" customHeight="1" x14ac:dyDescent="0.25">
      <c r="C25" s="125">
        <f t="shared" si="1"/>
        <v>2040</v>
      </c>
      <c r="D25" s="85">
        <f>_xlfn.XLOOKUP(C25,'Travel Time Benefits'!$B$7:$B$36,'Travel Time Benefits'!$G$7:$G$36,0,0,1)</f>
        <v>1776080.0076890858</v>
      </c>
      <c r="E25" s="84">
        <f>_xlfn.XLOOKUP(C25,VOC_Roughness!$B$6:$B$41,VOC_Roughness!$G$6:$G$41,0,0,1)</f>
        <v>1355607.9799729961</v>
      </c>
      <c r="F25" s="83">
        <f>IFERROR(_xlfn.XLOOKUP($C25,'Safety Benefits'!B$6:B$35,'Safety Benefits'!E$6:E$35,0,0,1),0)</f>
        <v>3605466.9178947508</v>
      </c>
      <c r="G25" s="85">
        <f>IFERROR(_xlfn.XLOOKUP($C25,'O&amp;M + Rehab'!$B$5:$B$40,'O&amp;M + Rehab'!$E$5:$E$40,0,0,1),0)</f>
        <v>0</v>
      </c>
      <c r="H25" s="287">
        <f>IFERROR(_xlfn.XLOOKUP($C25,'Capital Cost + RCV'!$B$6:$B$41,'Capital Cost + RCV'!$E$6:$E$41,0,0,1),0)</f>
        <v>0</v>
      </c>
      <c r="I25" s="85">
        <f t="shared" si="0"/>
        <v>6737154.9055568324</v>
      </c>
      <c r="J25" s="84">
        <f>IFERROR(SUM(D25,E25,F25:H25)*(1+0.07)^-($C25-Assumptions!$D$12),0)</f>
        <v>1862879.4721713194</v>
      </c>
    </row>
    <row r="26" spans="3:10" ht="15" customHeight="1" x14ac:dyDescent="0.25">
      <c r="C26" s="125">
        <f t="shared" si="1"/>
        <v>2041</v>
      </c>
      <c r="D26" s="85">
        <f>_xlfn.XLOOKUP(C26,'Travel Time Benefits'!$B$7:$B$36,'Travel Time Benefits'!$G$7:$G$36,0,0,1)</f>
        <v>1809712.6624464532</v>
      </c>
      <c r="E26" s="84">
        <f>_xlfn.XLOOKUP(C26,VOC_Roughness!$B$6:$B$41,VOC_Roughness!$G$6:$G$41,0,0,1)</f>
        <v>1381278.386136763</v>
      </c>
      <c r="F26" s="83">
        <f>IFERROR(_xlfn.XLOOKUP($C26,'Safety Benefits'!B$6:B$35,'Safety Benefits'!E$6:E$35,0,0,1),0)</f>
        <v>3673741.6710385084</v>
      </c>
      <c r="G26" s="85">
        <f>IFERROR(_xlfn.XLOOKUP($C26,'O&amp;M + Rehab'!$B$5:$B$40,'O&amp;M + Rehab'!$E$5:$E$40,0,0,1),0)</f>
        <v>0</v>
      </c>
      <c r="H26" s="287">
        <f>IFERROR(_xlfn.XLOOKUP($C26,'Capital Cost + RCV'!$B$6:$B$41,'Capital Cost + RCV'!$E$6:$E$41,0,0,1),0)</f>
        <v>0</v>
      </c>
      <c r="I26" s="85">
        <f t="shared" si="0"/>
        <v>6864732.7196217244</v>
      </c>
      <c r="J26" s="84">
        <f>IFERROR(SUM(D26,E26,F26:H26)*(1+0.07)^-($C26-Assumptions!$D$12),0)</f>
        <v>1773977.383988383</v>
      </c>
    </row>
    <row r="27" spans="3:10" ht="15" customHeight="1" x14ac:dyDescent="0.25">
      <c r="C27" s="125">
        <f t="shared" si="1"/>
        <v>2042</v>
      </c>
      <c r="D27" s="85">
        <f>_xlfn.XLOOKUP(C27,'Travel Time Benefits'!$B$7:$B$36,'Travel Time Benefits'!$G$7:$G$36,0,0,1)</f>
        <v>1843345.3172037611</v>
      </c>
      <c r="E27" s="84">
        <f>_xlfn.XLOOKUP(C27,VOC_Roughness!$B$6:$B$41,VOC_Roughness!$G$6:$G$41,0,0,1)</f>
        <v>1406948.792300524</v>
      </c>
      <c r="F27" s="83">
        <f>IFERROR(_xlfn.XLOOKUP($C27,'Safety Benefits'!B$6:B$35,'Safety Benefits'!E$6:E$35,0,0,1),0)</f>
        <v>3742016.424182266</v>
      </c>
      <c r="G27" s="85">
        <f>IFERROR(_xlfn.XLOOKUP($C27,'O&amp;M + Rehab'!$B$5:$B$40,'O&amp;M + Rehab'!$E$5:$E$40,0,0,1),0)</f>
        <v>444360</v>
      </c>
      <c r="H27" s="287">
        <f>IFERROR(_xlfn.XLOOKUP($C27,'Capital Cost + RCV'!$B$6:$B$41,'Capital Cost + RCV'!$E$6:$E$41,0,0,1),0)</f>
        <v>0</v>
      </c>
      <c r="I27" s="85">
        <f t="shared" si="0"/>
        <v>7436670.5336865513</v>
      </c>
      <c r="J27" s="84">
        <f>IFERROR(SUM(D27,E27,F27:H27)*(1+0.07)^-($C27-Assumptions!$D$12),0)</f>
        <v>1796053.2556734199</v>
      </c>
    </row>
    <row r="28" spans="3:10" ht="15" customHeight="1" x14ac:dyDescent="0.25">
      <c r="C28" s="125">
        <f t="shared" si="1"/>
        <v>2043</v>
      </c>
      <c r="D28" s="85">
        <f>_xlfn.XLOOKUP(C28,'Travel Time Benefits'!$B$7:$B$36,'Travel Time Benefits'!$G$7:$G$36,0,0,1)</f>
        <v>1876977.9719611257</v>
      </c>
      <c r="E28" s="84">
        <f>_xlfn.XLOOKUP(C28,VOC_Roughness!$B$6:$B$41,VOC_Roughness!$G$6:$G$41,0,0,1)</f>
        <v>1432619.1984642907</v>
      </c>
      <c r="F28" s="83">
        <f>IFERROR(_xlfn.XLOOKUP($C28,'Safety Benefits'!B$6:B$35,'Safety Benefits'!E$6:E$35,0,0,1),0)</f>
        <v>3810291.1773260832</v>
      </c>
      <c r="G28" s="85">
        <f>IFERROR(_xlfn.XLOOKUP($C28,'O&amp;M + Rehab'!$B$5:$B$40,'O&amp;M + Rehab'!$E$5:$E$40,0,0,1),0)</f>
        <v>0</v>
      </c>
      <c r="H28" s="287">
        <f>IFERROR(_xlfn.XLOOKUP($C28,'Capital Cost + RCV'!$B$6:$B$41,'Capital Cost + RCV'!$E$6:$E$41,0,0,1),0)</f>
        <v>0</v>
      </c>
      <c r="I28" s="85">
        <f t="shared" si="0"/>
        <v>7119888.3477515001</v>
      </c>
      <c r="J28" s="84">
        <f>IFERROR(SUM(D28,E28,F28:H28)*(1+0.07)^-($C28-Assumptions!$D$12),0)</f>
        <v>1607052.5346947557</v>
      </c>
    </row>
    <row r="29" spans="3:10" ht="15" customHeight="1" x14ac:dyDescent="0.25">
      <c r="C29" s="125">
        <f t="shared" si="1"/>
        <v>2044</v>
      </c>
      <c r="D29" s="85">
        <f>_xlfn.XLOOKUP(C29,'Travel Time Benefits'!$B$7:$B$36,'Travel Time Benefits'!$G$7:$G$36,0,0,1)</f>
        <v>1910610.6267184336</v>
      </c>
      <c r="E29" s="84">
        <f>_xlfn.XLOOKUP(C29,VOC_Roughness!$B$6:$B$41,VOC_Roughness!$G$6:$G$41,0,0,1)</f>
        <v>1458289.6046280577</v>
      </c>
      <c r="F29" s="83">
        <f>IFERROR(_xlfn.XLOOKUP($C29,'Safety Benefits'!B$6:B$35,'Safety Benefits'!E$6:E$35,0,0,1),0)</f>
        <v>3878565.9304698408</v>
      </c>
      <c r="G29" s="85">
        <f>IFERROR(_xlfn.XLOOKUP($C29,'O&amp;M + Rehab'!$B$5:$B$40,'O&amp;M + Rehab'!$E$5:$E$40,0,0,1),0)</f>
        <v>0</v>
      </c>
      <c r="H29" s="287">
        <f>IFERROR(_xlfn.XLOOKUP($C29,'Capital Cost + RCV'!$B$6:$B$41,'Capital Cost + RCV'!$E$6:$E$41,0,0,1),0)</f>
        <v>0</v>
      </c>
      <c r="I29" s="85">
        <f t="shared" si="0"/>
        <v>7247466.1618163325</v>
      </c>
      <c r="J29" s="84">
        <f>IFERROR(SUM(D29,E29,F29:H29)*(1+0.07)^-($C29-Assumptions!$D$12),0)</f>
        <v>1528830.398985042</v>
      </c>
    </row>
    <row r="30" spans="3:10" ht="15" customHeight="1" x14ac:dyDescent="0.25">
      <c r="C30" s="125">
        <f>C29+1</f>
        <v>2045</v>
      </c>
      <c r="D30" s="85">
        <f>_xlfn.XLOOKUP(C30,'Travel Time Benefits'!$B$7:$B$36,'Travel Time Benefits'!$G$7:$G$36,0,0,1)</f>
        <v>1944243.281475801</v>
      </c>
      <c r="E30" s="84">
        <f>_xlfn.XLOOKUP(C30,VOC_Roughness!$B$6:$B$41,VOC_Roughness!$G$6:$G$41,0,0,1)</f>
        <v>1483960.0107918242</v>
      </c>
      <c r="F30" s="83">
        <f>IFERROR(_xlfn.XLOOKUP($C30,'Safety Benefits'!B$6:B$35,'Safety Benefits'!E$6:E$35,0,0,1),0)</f>
        <v>3946840.6836135983</v>
      </c>
      <c r="G30" s="85">
        <f>IFERROR(_xlfn.XLOOKUP($C30,'O&amp;M + Rehab'!$B$5:$B$40,'O&amp;M + Rehab'!$E$5:$E$40,0,0,1),0)</f>
        <v>444360</v>
      </c>
      <c r="H30" s="287">
        <f>IFERROR(_xlfn.XLOOKUP($C30,'Capital Cost + RCV'!$B$6:$B$41,'Capital Cost + RCV'!$E$6:$E$41,0,0,1),0)</f>
        <v>0</v>
      </c>
      <c r="I30" s="85">
        <f t="shared" si="0"/>
        <v>7819403.9758812236</v>
      </c>
      <c r="J30" s="84">
        <f>IFERROR(SUM(D30,E30,F30:H30)*(1+0.07)^-($C30-Assumptions!$D$12),0)</f>
        <v>1541569.0638591629</v>
      </c>
    </row>
    <row r="31" spans="3:10" ht="15" customHeight="1" x14ac:dyDescent="0.25">
      <c r="C31" s="125">
        <f>C30+1</f>
        <v>2046</v>
      </c>
      <c r="D31" s="85">
        <f>_xlfn.XLOOKUP(C31,'Travel Time Benefits'!$B$7:$B$36,'Travel Time Benefits'!$G$7:$G$36,0,0,1)</f>
        <v>1977875.9362331089</v>
      </c>
      <c r="E31" s="84">
        <f>_xlfn.XLOOKUP(C31,VOC_Roughness!$B$6:$B$41,VOC_Roughness!$G$6:$G$41,0,0,1)</f>
        <v>1509630.4169555856</v>
      </c>
      <c r="F31" s="83">
        <f>IFERROR(_xlfn.XLOOKUP($C31,'Safety Benefits'!B$6:B$35,'Safety Benefits'!E$6:E$35,0,0,1),0)</f>
        <v>4015115.4367573261</v>
      </c>
      <c r="G31" s="85">
        <f>IFERROR(_xlfn.XLOOKUP($C31,'O&amp;M + Rehab'!$B$5:$B$40,'O&amp;M + Rehab'!$E$5:$E$40,0,0,1),0)</f>
        <v>-444360</v>
      </c>
      <c r="H31" s="287">
        <f>IFERROR(_xlfn.XLOOKUP($C31,'Capital Cost + RCV'!$B$6:$B$41,'Capital Cost + RCV'!$E$6:$E$41,0,0,1),0)</f>
        <v>0</v>
      </c>
      <c r="I31" s="85">
        <f t="shared" si="0"/>
        <v>7058261.7899460206</v>
      </c>
      <c r="J31" s="84">
        <f>IFERROR(SUM(D31,E31,F31:H31)*(1+0.07)^-($C31-Assumptions!$D$12),0)</f>
        <v>1300478.9295342048</v>
      </c>
    </row>
    <row r="32" spans="3:10" ht="15" customHeight="1" x14ac:dyDescent="0.25">
      <c r="C32" s="125">
        <f t="shared" si="1"/>
        <v>2047</v>
      </c>
      <c r="D32" s="85">
        <f>_xlfn.XLOOKUP(C32,'Travel Time Benefits'!$B$7:$B$36,'Travel Time Benefits'!$G$7:$G$36,0,0,1)</f>
        <v>2011508.5909904763</v>
      </c>
      <c r="E32" s="84">
        <f>_xlfn.XLOOKUP(C32,VOC_Roughness!$B$6:$B$41,VOC_Roughness!$G$6:$G$41,0,0,1)</f>
        <v>1535300.8231193523</v>
      </c>
      <c r="F32" s="83">
        <f>IFERROR(_xlfn.XLOOKUP($C32,'Safety Benefits'!B$6:B$35,'Safety Benefits'!E$6:E$35,0,0,1),0)</f>
        <v>4083390.1899011433</v>
      </c>
      <c r="G32" s="85">
        <f>IFERROR(_xlfn.XLOOKUP($C32,'O&amp;M + Rehab'!$B$5:$B$40,'O&amp;M + Rehab'!$E$5:$E$40,0,0,1),0)</f>
        <v>0</v>
      </c>
      <c r="H32" s="287">
        <f>IFERROR(_xlfn.XLOOKUP($C32,'Capital Cost + RCV'!$B$6:$B$41,'Capital Cost + RCV'!$E$6:$E$41,0,0,1),0)</f>
        <v>0</v>
      </c>
      <c r="I32" s="85">
        <f t="shared" si="0"/>
        <v>7630199.6040109722</v>
      </c>
      <c r="J32" s="84">
        <f>IFERROR(SUM(D32,E32,F32:H32)*(1+0.07)^-($C32-Assumptions!$D$12),0)</f>
        <v>1313885.9825883552</v>
      </c>
    </row>
    <row r="33" spans="3:10" ht="15" customHeight="1" x14ac:dyDescent="0.25">
      <c r="C33" s="125">
        <f t="shared" si="1"/>
        <v>2048</v>
      </c>
      <c r="D33" s="85">
        <f>_xlfn.XLOOKUP(C33,'Travel Time Benefits'!$B$7:$B$36,'Travel Time Benefits'!$G$7:$G$36,0,0,1)</f>
        <v>2045141.2457477842</v>
      </c>
      <c r="E33" s="84">
        <f>_xlfn.XLOOKUP(C33,VOC_Roughness!$B$6:$B$41,VOC_Roughness!$G$6:$G$41,0,0,1)</f>
        <v>1560971.2292831191</v>
      </c>
      <c r="F33" s="83">
        <f>IFERROR(_xlfn.XLOOKUP($C33,'Safety Benefits'!B$6:B$35,'Safety Benefits'!E$6:E$35,0,0,1),0)</f>
        <v>4151664.9430449009</v>
      </c>
      <c r="G33" s="85">
        <f>IFERROR(_xlfn.XLOOKUP($C33,'O&amp;M + Rehab'!$B$5:$B$40,'O&amp;M + Rehab'!$E$5:$E$40,0,0,1),0)</f>
        <v>444360</v>
      </c>
      <c r="H33" s="287">
        <f>IFERROR(_xlfn.XLOOKUP($C33,'Capital Cost + RCV'!$B$6:$B$41,'Capital Cost + RCV'!$E$6:$E$41,0,0,1),0)</f>
        <v>0</v>
      </c>
      <c r="I33" s="85">
        <f t="shared" si="0"/>
        <v>8202137.4180758037</v>
      </c>
      <c r="J33" s="84">
        <f>IFERROR(SUM(D33,E33,F33:H33)*(1+0.07)^-($C33-Assumptions!$D$12),0)</f>
        <v>1319972.9873393767</v>
      </c>
    </row>
    <row r="34" spans="3:10" ht="15" customHeight="1" x14ac:dyDescent="0.25">
      <c r="C34" s="125">
        <f t="shared" si="1"/>
        <v>2049</v>
      </c>
      <c r="D34" s="85">
        <f>_xlfn.XLOOKUP(C34,'Travel Time Benefits'!$B$7:$B$36,'Travel Time Benefits'!$G$7:$G$36,0,0,1)</f>
        <v>2078773.900505092</v>
      </c>
      <c r="E34" s="84">
        <f>_xlfn.XLOOKUP(C34,VOC_Roughness!$B$6:$B$41,VOC_Roughness!$G$6:$G$41,0,0,1)</f>
        <v>1586641.6354468856</v>
      </c>
      <c r="F34" s="83">
        <f>IFERROR(_xlfn.XLOOKUP($C34,'Safety Benefits'!B$6:B$35,'Safety Benefits'!E$6:E$35,0,0,1),0)</f>
        <v>4219939.6961886585</v>
      </c>
      <c r="G34" s="85">
        <f>IFERROR(_xlfn.XLOOKUP($C34,'O&amp;M + Rehab'!$B$5:$B$40,'O&amp;M + Rehab'!$E$5:$E$40,0,0,1),0)</f>
        <v>0</v>
      </c>
      <c r="H34" s="287">
        <f>IFERROR(_xlfn.XLOOKUP($C34,'Capital Cost + RCV'!$B$6:$B$41,'Capital Cost + RCV'!$E$6:$E$41,0,0,1),0)</f>
        <v>0</v>
      </c>
      <c r="I34" s="85">
        <f t="shared" si="0"/>
        <v>7885355.2321406361</v>
      </c>
      <c r="J34" s="84">
        <f>IFERROR(SUM(D34,E34,F34:H34)*(1+0.07)^-($C34-Assumptions!$D$12),0)</f>
        <v>1185974.8727127137</v>
      </c>
    </row>
    <row r="35" spans="3:10" ht="15" customHeight="1" x14ac:dyDescent="0.25">
      <c r="C35" s="125">
        <f t="shared" si="1"/>
        <v>2050</v>
      </c>
      <c r="D35" s="85">
        <f>_xlfn.XLOOKUP(C35,'Travel Time Benefits'!$B$7:$B$36,'Travel Time Benefits'!$G$7:$G$36,0,0,1)</f>
        <v>2112406.5552624594</v>
      </c>
      <c r="E35" s="84">
        <f>_xlfn.XLOOKUP(C35,VOC_Roughness!$B$6:$B$41,VOC_Roughness!$G$6:$G$41,0,0,1)</f>
        <v>1612312.0416106523</v>
      </c>
      <c r="F35" s="83">
        <f>IFERROR(_xlfn.XLOOKUP($C35,'Safety Benefits'!B$6:B$35,'Safety Benefits'!E$6:E$35,0,0,1),0)</f>
        <v>4288214.4493324757</v>
      </c>
      <c r="G35" s="85">
        <f>IFERROR(_xlfn.XLOOKUP($C35,'O&amp;M + Rehab'!$B$5:$B$40,'O&amp;M + Rehab'!$E$5:$E$40,0,0,1),0)</f>
        <v>-1110900</v>
      </c>
      <c r="H35" s="287">
        <f>IFERROR(_xlfn.XLOOKUP($C35,'Capital Cost + RCV'!$B$6:$B$41,'Capital Cost + RCV'!$E$6:$E$41,0,0,1),0)</f>
        <v>0</v>
      </c>
      <c r="I35" s="85">
        <f t="shared" si="0"/>
        <v>6902033.0462055877</v>
      </c>
      <c r="J35" s="84">
        <f>IFERROR(SUM(D35,E35,F35:H35)*(1+0.07)^-($C35-Assumptions!$D$12),0)</f>
        <v>970169.19665074162</v>
      </c>
    </row>
    <row r="36" spans="3:10" ht="15" customHeight="1" x14ac:dyDescent="0.25">
      <c r="C36" s="125">
        <f t="shared" si="1"/>
        <v>2051</v>
      </c>
      <c r="D36" s="85">
        <f>_xlfn.XLOOKUP(C36,'Travel Time Benefits'!$B$7:$B$36,'Travel Time Benefits'!$G$7:$G$36,0,0,1)</f>
        <v>2146039.2100197673</v>
      </c>
      <c r="E36" s="84">
        <f>_xlfn.XLOOKUP(C36,VOC_Roughness!$B$6:$B$41,VOC_Roughness!$G$6:$G$41,0,0,1)</f>
        <v>1637982.4477744137</v>
      </c>
      <c r="F36" s="83">
        <f>IFERROR(_xlfn.XLOOKUP($C36,'Safety Benefits'!B$6:B$35,'Safety Benefits'!E$6:E$35,0,0,1),0)</f>
        <v>4356489.2024762034</v>
      </c>
      <c r="G36" s="85">
        <f>IFERROR(_xlfn.XLOOKUP($C36,'O&amp;M + Rehab'!$B$5:$B$40,'O&amp;M + Rehab'!$E$5:$E$40,0,0,1),0)</f>
        <v>0</v>
      </c>
      <c r="H36" s="287">
        <f>IFERROR(_xlfn.XLOOKUP($C36,'Capital Cost + RCV'!$B$6:$B$41,'Capital Cost + RCV'!$E$6:$E$41,0,0,1),0)</f>
        <v>0</v>
      </c>
      <c r="I36" s="85">
        <f t="shared" si="0"/>
        <v>8140510.8602703847</v>
      </c>
      <c r="J36" s="84">
        <f>IFERROR(SUM(D36,E36,F36:H36)*(1+0.07)^-($C36-Assumptions!$D$12),0)</f>
        <v>1069395.4438793503</v>
      </c>
    </row>
    <row r="37" spans="3:10" ht="15" customHeight="1" x14ac:dyDescent="0.25">
      <c r="C37" s="125">
        <f t="shared" si="1"/>
        <v>2052</v>
      </c>
      <c r="D37" s="85">
        <f>_xlfn.XLOOKUP(C37,'Travel Time Benefits'!$B$7:$B$36,'Travel Time Benefits'!$G$7:$G$36,0,0,1)</f>
        <v>2179671.8647771347</v>
      </c>
      <c r="E37" s="84">
        <f>_xlfn.XLOOKUP(C37,VOC_Roughness!$B$6:$B$41,VOC_Roughness!$G$6:$G$41,0,0,1)</f>
        <v>1663652.8539381805</v>
      </c>
      <c r="F37" s="83">
        <f>IFERROR(_xlfn.XLOOKUP($C37,'Safety Benefits'!B$6:B$35,'Safety Benefits'!E$6:E$35,0,0,1),0)</f>
        <v>4424763.955619961</v>
      </c>
      <c r="G37" s="85">
        <f>IFERROR(_xlfn.XLOOKUP($C37,'O&amp;M + Rehab'!$B$5:$B$40,'O&amp;M + Rehab'!$E$5:$E$40,0,0,1),0)</f>
        <v>0</v>
      </c>
      <c r="H37" s="287">
        <f>IFERROR(_xlfn.XLOOKUP($C37,'Capital Cost + RCV'!$B$6:$B$41,'Capital Cost + RCV'!$E$6:$E$41,0,0,1),0)</f>
        <v>0</v>
      </c>
      <c r="I37" s="85">
        <f t="shared" si="0"/>
        <v>8268088.6743352767</v>
      </c>
      <c r="J37" s="84">
        <f>IFERROR(SUM(D37,E37,F37:H37)*(1+0.07)^-($C37-Assumptions!$D$12),0)</f>
        <v>1015098.1060990086</v>
      </c>
    </row>
    <row r="38" spans="3:10" ht="15" customHeight="1" x14ac:dyDescent="0.25">
      <c r="C38" s="67">
        <f t="shared" si="1"/>
        <v>2053</v>
      </c>
      <c r="D38" s="85">
        <f>_xlfn.XLOOKUP(C38,'Travel Time Benefits'!$B$7:$B$36,'Travel Time Benefits'!$G$7:$G$36,0,0,1)</f>
        <v>2213304.5195344426</v>
      </c>
      <c r="E38" s="84">
        <f>_xlfn.XLOOKUP(C38,VOC_Roughness!$B$6:$B$41,VOC_Roughness!$G$6:$G$41,0,0,1)</f>
        <v>1689323.260101947</v>
      </c>
      <c r="F38" s="83">
        <f>IFERROR(_xlfn.XLOOKUP($C38,'Safety Benefits'!B$6:B$35,'Safety Benefits'!E$6:E$35,0,0,1),0)</f>
        <v>4493038.7087637186</v>
      </c>
      <c r="G38" s="85">
        <f>IFERROR(_xlfn.XLOOKUP($C38,'O&amp;M + Rehab'!$B$5:$B$40,'O&amp;M + Rehab'!$E$5:$E$40,0,0,1),0)</f>
        <v>0</v>
      </c>
      <c r="H38" s="287">
        <f>IFERROR(_xlfn.XLOOKUP($C38,'Capital Cost + RCV'!$B$6:$B$41,'Capital Cost + RCV'!$E$6:$E$41,0,0,1),0)</f>
        <v>0</v>
      </c>
      <c r="I38" s="85">
        <f t="shared" si="0"/>
        <v>8395666.4884001091</v>
      </c>
      <c r="J38" s="84">
        <f>IFERROR(SUM(D38,E38,F38:H38)*(1+0.07)^-($C38-Assumptions!$D$12),0)</f>
        <v>963328.24104508746</v>
      </c>
    </row>
    <row r="39" spans="3:10" ht="15" customHeight="1" x14ac:dyDescent="0.25">
      <c r="C39" s="67">
        <f t="shared" si="1"/>
        <v>2054</v>
      </c>
      <c r="D39" s="85">
        <f>_xlfn.XLOOKUP(C39,'Travel Time Benefits'!$B$7:$B$36,'Travel Time Benefits'!$G$7:$G$36,0,0,1)</f>
        <v>2246937.17429181</v>
      </c>
      <c r="E39" s="84">
        <f>_xlfn.XLOOKUP(C39,VOC_Roughness!$B$6:$B$41,VOC_Roughness!$G$6:$G$41,0,0,1)</f>
        <v>1714993.6662657137</v>
      </c>
      <c r="F39" s="83">
        <f>IFERROR(_xlfn.XLOOKUP($C39,'Safety Benefits'!B$6:B$35,'Safety Benefits'!E$6:E$35,0,0,1),0)</f>
        <v>4561313.4619075358</v>
      </c>
      <c r="G39" s="85">
        <f>IFERROR(_xlfn.XLOOKUP($C39,'O&amp;M + Rehab'!$B$5:$B$40,'O&amp;M + Rehab'!$E$5:$E$40,0,0,1),0)</f>
        <v>0</v>
      </c>
      <c r="H39" s="287">
        <f>IFERROR(_xlfn.XLOOKUP($C39,'Capital Cost + RCV'!$B$6:$B$41,'Capital Cost + RCV'!$E$6:$E$41,0,0,1),0)</f>
        <v>0</v>
      </c>
      <c r="I39" s="85">
        <f t="shared" si="0"/>
        <v>8523244.3024650589</v>
      </c>
      <c r="J39" s="84">
        <f>IFERROR(SUM(D39,E39,F39:H39)*(1+0.07)^-($C39-Assumptions!$D$12),0)</f>
        <v>913987.53580006363</v>
      </c>
    </row>
    <row r="40" spans="3:10" ht="15" customHeight="1" x14ac:dyDescent="0.25">
      <c r="C40" s="67">
        <f t="shared" si="1"/>
        <v>2055</v>
      </c>
      <c r="D40" s="85">
        <f>_xlfn.XLOOKUP(C40,'Travel Time Benefits'!$B$7:$B$36,'Travel Time Benefits'!$G$7:$G$36,0,0,1)</f>
        <v>2280569.8290491179</v>
      </c>
      <c r="E40" s="84">
        <f>_xlfn.XLOOKUP(C40,VOC_Roughness!$B$6:$B$41,VOC_Roughness!$G$6:$G$41,0,0,1)</f>
        <v>1740664.0724294749</v>
      </c>
      <c r="F40" s="83">
        <f>IFERROR(_xlfn.XLOOKUP($C40,'Safety Benefits'!B$6:B$35,'Safety Benefits'!E$6:E$35,0,0,1),0)</f>
        <v>4629588.2150512934</v>
      </c>
      <c r="G40" s="85">
        <f>IFERROR(_xlfn.XLOOKUP($C40,'O&amp;M + Rehab'!$B$5:$B$40,'O&amp;M + Rehab'!$E$5:$E$40,0,0,1),0)</f>
        <v>0</v>
      </c>
      <c r="H40" s="287">
        <f>IFERROR(_xlfn.XLOOKUP($C40,'Capital Cost + RCV'!$B$6:$B$41,'Capital Cost + RCV'!$E$6:$E$41,0,0,1),0)</f>
        <v>0</v>
      </c>
      <c r="I40" s="85">
        <f t="shared" si="0"/>
        <v>8650822.1165298857</v>
      </c>
      <c r="J40" s="84">
        <f>IFERROR(SUM(D40,E40,F40:H40)*(1+0.07)^-($C40-Assumptions!$D$12),0)</f>
        <v>866979.72361519327</v>
      </c>
    </row>
    <row r="41" spans="3:10" ht="15" customHeight="1" x14ac:dyDescent="0.25">
      <c r="C41" s="67">
        <f t="shared" si="1"/>
        <v>2056</v>
      </c>
      <c r="D41" s="85">
        <f>_xlfn.XLOOKUP(C41,'Travel Time Benefits'!$B$7:$B$36,'Travel Time Benefits'!$G$7:$G$36,0,0,1)</f>
        <v>2314202.4838064834</v>
      </c>
      <c r="E41" s="84">
        <f>_xlfn.XLOOKUP(C41,VOC_Roughness!$B$6:$B$41,VOC_Roughness!$G$6:$G$41,0,0,1)</f>
        <v>1766334.4785932419</v>
      </c>
      <c r="F41" s="83">
        <f>IFERROR(_xlfn.XLOOKUP($C41,'Safety Benefits'!B$6:B$35,'Safety Benefits'!E$6:E$35,0,0,1),0)</f>
        <v>4697862.968195051</v>
      </c>
      <c r="G41" s="85">
        <f>IFERROR(_xlfn.XLOOKUP($C41,'O&amp;M + Rehab'!$B$5:$B$40,'O&amp;M + Rehab'!$E$5:$E$40,0,0,1),0)</f>
        <v>0</v>
      </c>
      <c r="H41" s="287">
        <f>IFERROR(_xlfn.XLOOKUP($C41,'Capital Cost + RCV'!$B$6:$B$41,'Capital Cost + RCV'!$E$6:$E$41,0,0,1),0)</f>
        <v>0</v>
      </c>
      <c r="I41" s="85">
        <f t="shared" ref="I41:I68" si="2">IFERROR(SUM(D41:E41,F41:H41),0)</f>
        <v>8778399.9305947758</v>
      </c>
      <c r="J41" s="84">
        <f>IFERROR(SUM(D41,E41,F41:H41)*(1+0.07)^-($C41-Assumptions!$D$12),0)</f>
        <v>822210.7369520975</v>
      </c>
    </row>
    <row r="42" spans="3:10" ht="15" customHeight="1" thickBot="1" x14ac:dyDescent="0.3">
      <c r="C42" s="62">
        <f t="shared" si="1"/>
        <v>2057</v>
      </c>
      <c r="D42" s="88">
        <f>_xlfn.XLOOKUP(C42,'Travel Time Benefits'!$B$7:$B$36,'Travel Time Benefits'!$G$7:$G$36,0,0,1)</f>
        <v>2347835.1385637932</v>
      </c>
      <c r="E42" s="87">
        <f>_xlfn.XLOOKUP(C42,VOC_Roughness!$B$6:$B$41,VOC_Roughness!$G$6:$G$41,0,0,1)</f>
        <v>1792004.8847570086</v>
      </c>
      <c r="F42" s="86">
        <f>IFERROR(_xlfn.XLOOKUP($C42,'Safety Benefits'!B$6:B$35,'Safety Benefits'!E$6:E$35,0,0,1),0)</f>
        <v>4766137.7213387787</v>
      </c>
      <c r="G42" s="88">
        <f>IFERROR(_xlfn.XLOOKUP($C42,'O&amp;M + Rehab'!$B$5:$B$40,'O&amp;M + Rehab'!$E$5:$E$40,0,0,1),0)</f>
        <v>0</v>
      </c>
      <c r="H42" s="288">
        <f>IFERROR(_xlfn.XLOOKUP($C42,'Capital Cost + RCV'!$B$6:$B$41,'Capital Cost + RCV'!$E$6:$E$41,0,0,1),0)</f>
        <v>2884397.0638864143</v>
      </c>
      <c r="I42" s="88">
        <f t="shared" si="2"/>
        <v>11790374.808545996</v>
      </c>
      <c r="J42" s="87">
        <f>IFERROR(SUM(D42,E42,F42:H42)*(1+0.07)^-($C42-Assumptions!$D$12),0)</f>
        <v>1032075.8468451563</v>
      </c>
    </row>
    <row r="43" spans="3:10" ht="15" hidden="1" customHeight="1" outlineLevel="1" x14ac:dyDescent="0.25">
      <c r="C43" s="290">
        <f t="shared" si="1"/>
        <v>2058</v>
      </c>
      <c r="D43" s="150">
        <f>_xlfn.XLOOKUP(C43,'Travel Time Benefits'!$B$7:$B$36,'Travel Time Benefits'!$G$7:$G$36,0,0,1)</f>
        <v>0</v>
      </c>
      <c r="E43" s="151">
        <f>_xlfn.XLOOKUP(C43,VOC_Roughness!$B$6:$B$41,VOC_Roughness!$G$6:$G$41,0,0,1)</f>
        <v>0</v>
      </c>
      <c r="F43" s="291">
        <f>IFERROR(_xlfn.XLOOKUP($C43,'Safety Benefits'!B$6:B$35,'Safety Benefits'!E$6:E$35,0,0,1),0)</f>
        <v>0</v>
      </c>
      <c r="G43" s="150">
        <f>IFERROR(_xlfn.XLOOKUP($C43,'O&amp;M + Rehab'!$B$5:$B$40,'O&amp;M + Rehab'!$E$5:$E$40,0,0,1),0)</f>
        <v>0</v>
      </c>
      <c r="H43" s="286">
        <f>IFERROR(_xlfn.XLOOKUP($C43,'Capital Cost + RCV'!$B$6:$B$41,'Capital Cost + RCV'!$E$6:$E$41,0,0,1),0)</f>
        <v>0</v>
      </c>
      <c r="I43" s="150">
        <f t="shared" si="2"/>
        <v>0</v>
      </c>
      <c r="J43" s="151">
        <f>IFERROR(SUM(D43,E43,F43:H43)*(1+0.07)^-($C43-Assumptions!$D$12),0)</f>
        <v>0</v>
      </c>
    </row>
    <row r="44" spans="3:10" ht="15" hidden="1" customHeight="1" outlineLevel="1" x14ac:dyDescent="0.25">
      <c r="C44" s="67">
        <f t="shared" si="1"/>
        <v>2059</v>
      </c>
      <c r="D44" s="85">
        <f>_xlfn.XLOOKUP(C44,'Travel Time Benefits'!$B$7:$B$36,'Travel Time Benefits'!$G$7:$G$36,0,0,1)</f>
        <v>0</v>
      </c>
      <c r="E44" s="84">
        <f>_xlfn.XLOOKUP(C44,VOC_Roughness!$B$6:$B$41,VOC_Roughness!$G$6:$G$41,0,0,1)</f>
        <v>0</v>
      </c>
      <c r="F44" s="83">
        <f>IFERROR(_xlfn.XLOOKUP($C44,'Safety Benefits'!B$6:B$35,'Safety Benefits'!E$6:E$35,0,0,1),0)</f>
        <v>0</v>
      </c>
      <c r="G44" s="85">
        <f>IFERROR(_xlfn.XLOOKUP($C44,'O&amp;M + Rehab'!$B$5:$B$40,'O&amp;M + Rehab'!$E$5:$E$40,0,0,1),0)</f>
        <v>0</v>
      </c>
      <c r="H44" s="287">
        <f>IFERROR(_xlfn.XLOOKUP($C44,'Capital Cost + RCV'!$B$6:$B$41,'Capital Cost + RCV'!$E$6:$E$41,0,0,1),0)</f>
        <v>0</v>
      </c>
      <c r="I44" s="85">
        <f t="shared" si="2"/>
        <v>0</v>
      </c>
      <c r="J44" s="84">
        <f>IFERROR(SUM(D44,E44,F44:H44)*(1+0.07)^-($C44-Assumptions!$D$12),0)</f>
        <v>0</v>
      </c>
    </row>
    <row r="45" spans="3:10" ht="15" hidden="1" customHeight="1" outlineLevel="1" x14ac:dyDescent="0.25">
      <c r="C45" s="67">
        <f t="shared" si="1"/>
        <v>2060</v>
      </c>
      <c r="D45" s="85">
        <f>_xlfn.XLOOKUP(C45,'Travel Time Benefits'!$B$7:$B$36,'Travel Time Benefits'!$G$7:$G$36,0,0,1)</f>
        <v>0</v>
      </c>
      <c r="E45" s="84">
        <f>_xlfn.XLOOKUP(C45,VOC_Roughness!$B$6:$B$41,VOC_Roughness!$G$6:$G$41,0,0,1)</f>
        <v>0</v>
      </c>
      <c r="F45" s="83">
        <f>IFERROR(_xlfn.XLOOKUP($C45,'Safety Benefits'!B$6:B$35,'Safety Benefits'!E$6:E$35,0,0,1),0)</f>
        <v>0</v>
      </c>
      <c r="G45" s="85">
        <f>IFERROR(_xlfn.XLOOKUP($C45,'O&amp;M + Rehab'!$B$5:$B$40,'O&amp;M + Rehab'!$E$5:$E$40,0,0,1),0)</f>
        <v>0</v>
      </c>
      <c r="H45" s="287">
        <f>IFERROR(_xlfn.XLOOKUP($C45,'Capital Cost + RCV'!$B$6:$B$41,'Capital Cost + RCV'!$E$6:$E$41,0,0,1),0)</f>
        <v>0</v>
      </c>
      <c r="I45" s="85">
        <f t="shared" si="2"/>
        <v>0</v>
      </c>
      <c r="J45" s="84">
        <f>IFERROR(SUM(D45,E45,F45:H45)*(1+0.07)^-($C45-Assumptions!$D$12),0)</f>
        <v>0</v>
      </c>
    </row>
    <row r="46" spans="3:10" ht="15" hidden="1" customHeight="1" outlineLevel="1" x14ac:dyDescent="0.25">
      <c r="C46" s="67">
        <f t="shared" si="1"/>
        <v>2061</v>
      </c>
      <c r="D46" s="85">
        <f>_xlfn.XLOOKUP(C46,'Travel Time Benefits'!$B$7:$B$36,'Travel Time Benefits'!$G$7:$G$36,0,0,1)</f>
        <v>0</v>
      </c>
      <c r="E46" s="84">
        <f>_xlfn.XLOOKUP(C46,VOC_Roughness!$B$6:$B$41,VOC_Roughness!$G$6:$G$41,0,0,1)</f>
        <v>0</v>
      </c>
      <c r="F46" s="83">
        <f>IFERROR(_xlfn.XLOOKUP($C46,'Safety Benefits'!B$6:B$35,'Safety Benefits'!E$6:E$35,0,0,1),0)</f>
        <v>0</v>
      </c>
      <c r="G46" s="85">
        <f>IFERROR(_xlfn.XLOOKUP($C46,'O&amp;M + Rehab'!$B$5:$B$40,'O&amp;M + Rehab'!$E$5:$E$40,0,0,1),0)</f>
        <v>0</v>
      </c>
      <c r="H46" s="287">
        <f>IFERROR(_xlfn.XLOOKUP($C46,'Capital Cost + RCV'!$B$6:$B$41,'Capital Cost + RCV'!$E$6:$E$41,0,0,1),0)</f>
        <v>0</v>
      </c>
      <c r="I46" s="85">
        <f t="shared" si="2"/>
        <v>0</v>
      </c>
      <c r="J46" s="84">
        <f>IFERROR(SUM(D46,E46,F46:H46)*(1+0.07)^-($C46-Assumptions!$D$12),0)</f>
        <v>0</v>
      </c>
    </row>
    <row r="47" spans="3:10" ht="15" hidden="1" customHeight="1" outlineLevel="1" x14ac:dyDescent="0.25">
      <c r="C47" s="67">
        <f t="shared" si="1"/>
        <v>2062</v>
      </c>
      <c r="D47" s="85">
        <f>_xlfn.XLOOKUP(C47,'Travel Time Benefits'!$B$7:$B$36,'Travel Time Benefits'!$G$7:$G$36,0,0,1)</f>
        <v>0</v>
      </c>
      <c r="E47" s="84">
        <f>_xlfn.XLOOKUP(C47,VOC_Roughness!$B$6:$B$41,VOC_Roughness!$G$6:$G$41,0,0,1)</f>
        <v>0</v>
      </c>
      <c r="F47" s="83">
        <f>IFERROR(_xlfn.XLOOKUP($C47,'Safety Benefits'!B$6:B$35,'Safety Benefits'!E$6:E$35,0,0,1),0)</f>
        <v>0</v>
      </c>
      <c r="G47" s="85">
        <f>IFERROR(_xlfn.XLOOKUP($C47,'O&amp;M + Rehab'!$B$5:$B$40,'O&amp;M + Rehab'!$E$5:$E$40,0,0,1),0)</f>
        <v>0</v>
      </c>
      <c r="H47" s="287">
        <f>IFERROR(_xlfn.XLOOKUP($C47,'Capital Cost + RCV'!$B$6:$B$41,'Capital Cost + RCV'!$E$6:$E$41,0,0,1),0)</f>
        <v>0</v>
      </c>
      <c r="I47" s="85">
        <f t="shared" si="2"/>
        <v>0</v>
      </c>
      <c r="J47" s="84">
        <f>IFERROR(SUM(D47,E47,F47:H47)*(1+0.07)^-($C47-Assumptions!$D$12),0)</f>
        <v>0</v>
      </c>
    </row>
    <row r="48" spans="3:10" ht="15" hidden="1" customHeight="1" outlineLevel="1" x14ac:dyDescent="0.25">
      <c r="C48" s="67">
        <f t="shared" si="1"/>
        <v>2063</v>
      </c>
      <c r="D48" s="85">
        <f>_xlfn.XLOOKUP(C48,'Travel Time Benefits'!$B$7:$B$36,'Travel Time Benefits'!$G$7:$G$36,0,0,1)</f>
        <v>0</v>
      </c>
      <c r="E48" s="84">
        <f>_xlfn.XLOOKUP(C48,VOC_Roughness!$B$6:$B$41,VOC_Roughness!$G$6:$G$41,0,0,1)</f>
        <v>0</v>
      </c>
      <c r="F48" s="83">
        <f>IFERROR(_xlfn.XLOOKUP($C48,'Safety Benefits'!B$6:B$35,'Safety Benefits'!E$6:E$35,0,0,1),0)</f>
        <v>0</v>
      </c>
      <c r="G48" s="85">
        <f>IFERROR(_xlfn.XLOOKUP($C48,'O&amp;M + Rehab'!$B$5:$B$40,'O&amp;M + Rehab'!$E$5:$E$40,0,0,1),0)</f>
        <v>0</v>
      </c>
      <c r="H48" s="287">
        <f>IFERROR(_xlfn.XLOOKUP($C48,'Capital Cost + RCV'!$B$6:$B$41,'Capital Cost + RCV'!$E$6:$E$41,0,0,1),0)</f>
        <v>0</v>
      </c>
      <c r="I48" s="85">
        <f t="shared" si="2"/>
        <v>0</v>
      </c>
      <c r="J48" s="84">
        <f>IFERROR(SUM(D48,E48,F48:H48)*(1+0.07)^-($C48-Assumptions!$D$12),0)</f>
        <v>0</v>
      </c>
    </row>
    <row r="49" spans="3:10" ht="15" hidden="1" customHeight="1" outlineLevel="1" x14ac:dyDescent="0.25">
      <c r="C49" s="67">
        <f t="shared" si="1"/>
        <v>2064</v>
      </c>
      <c r="D49" s="85">
        <f>_xlfn.XLOOKUP(C49,'Travel Time Benefits'!$B$7:$B$36,'Travel Time Benefits'!$G$7:$G$36,0,0,1)</f>
        <v>0</v>
      </c>
      <c r="E49" s="84">
        <f>_xlfn.XLOOKUP(C49,VOC_Roughness!$B$6:$B$41,VOC_Roughness!$G$6:$G$41,0,0,1)</f>
        <v>0</v>
      </c>
      <c r="F49" s="83">
        <f>IFERROR(_xlfn.XLOOKUP($C49,'Safety Benefits'!B$6:B$35,'Safety Benefits'!E$6:E$35,0,0,1),0)</f>
        <v>0</v>
      </c>
      <c r="G49" s="85">
        <f>IFERROR(_xlfn.XLOOKUP($C49,'O&amp;M + Rehab'!$B$5:$B$40,'O&amp;M + Rehab'!$E$5:$E$40,0,0,1),0)</f>
        <v>0</v>
      </c>
      <c r="H49" s="287">
        <f>IFERROR(_xlfn.XLOOKUP($C49,'Capital Cost + RCV'!$B$6:$B$41,'Capital Cost + RCV'!$E$6:$E$41,0,0,1),0)</f>
        <v>0</v>
      </c>
      <c r="I49" s="85">
        <f t="shared" si="2"/>
        <v>0</v>
      </c>
      <c r="J49" s="84">
        <f>IFERROR(SUM(D49,E49,F49:H49)*(1+0.07)^-($C49-Assumptions!$D$12),0)</f>
        <v>0</v>
      </c>
    </row>
    <row r="50" spans="3:10" ht="15" hidden="1" customHeight="1" outlineLevel="1" x14ac:dyDescent="0.25">
      <c r="C50" s="67">
        <f t="shared" si="1"/>
        <v>2065</v>
      </c>
      <c r="D50" s="85">
        <f>_xlfn.XLOOKUP(C50,'Travel Time Benefits'!$B$7:$B$36,'Travel Time Benefits'!$G$7:$G$36,0,0,1)</f>
        <v>0</v>
      </c>
      <c r="E50" s="84">
        <f>_xlfn.XLOOKUP(C50,VOC_Roughness!$B$6:$B$41,VOC_Roughness!$G$6:$G$41,0,0,1)</f>
        <v>0</v>
      </c>
      <c r="F50" s="83">
        <f>IFERROR(_xlfn.XLOOKUP($C50,'Safety Benefits'!B$6:B$35,'Safety Benefits'!E$6:E$35,0,0,1),0)</f>
        <v>0</v>
      </c>
      <c r="G50" s="85">
        <f>IFERROR(_xlfn.XLOOKUP($C50,'O&amp;M + Rehab'!$B$5:$B$40,'O&amp;M + Rehab'!$E$5:$E$40,0,0,1),0)</f>
        <v>0</v>
      </c>
      <c r="H50" s="287">
        <f>IFERROR(_xlfn.XLOOKUP($C50,'Capital Cost + RCV'!$B$6:$B$41,'Capital Cost + RCV'!$E$6:$E$41,0,0,1),0)</f>
        <v>0</v>
      </c>
      <c r="I50" s="85">
        <f t="shared" si="2"/>
        <v>0</v>
      </c>
      <c r="J50" s="84">
        <f>IFERROR(SUM(D50,E50,F50:H50)*(1+0.07)^-($C50-Assumptions!$D$12),0)</f>
        <v>0</v>
      </c>
    </row>
    <row r="51" spans="3:10" ht="15" hidden="1" customHeight="1" outlineLevel="1" x14ac:dyDescent="0.25">
      <c r="C51" s="67">
        <f t="shared" si="1"/>
        <v>2066</v>
      </c>
      <c r="D51" s="85">
        <f>_xlfn.XLOOKUP(C51,'Travel Time Benefits'!$B$7:$B$36,'Travel Time Benefits'!$G$7:$G$36,0,0,1)</f>
        <v>0</v>
      </c>
      <c r="E51" s="84">
        <f>_xlfn.XLOOKUP(C51,VOC_Roughness!$B$6:$B$41,VOC_Roughness!$G$6:$G$41,0,0,1)</f>
        <v>0</v>
      </c>
      <c r="F51" s="83">
        <f>IFERROR(_xlfn.XLOOKUP($C51,'Safety Benefits'!B$6:B$35,'Safety Benefits'!E$6:E$35,0,0,1),0)</f>
        <v>0</v>
      </c>
      <c r="G51" s="85">
        <f>IFERROR(_xlfn.XLOOKUP($C51,'O&amp;M + Rehab'!$B$5:$B$40,'O&amp;M + Rehab'!$E$5:$E$40,0,0,1),0)</f>
        <v>0</v>
      </c>
      <c r="H51" s="287">
        <f>IFERROR(_xlfn.XLOOKUP($C51,'Capital Cost + RCV'!$B$6:$B$41,'Capital Cost + RCV'!$E$6:$E$41,0,0,1),0)</f>
        <v>0</v>
      </c>
      <c r="I51" s="85">
        <f t="shared" si="2"/>
        <v>0</v>
      </c>
      <c r="J51" s="84">
        <f>IFERROR(SUM(D51,E51,F51:H51)*(1+0.07)^-($C51-Assumptions!$D$12),0)</f>
        <v>0</v>
      </c>
    </row>
    <row r="52" spans="3:10" ht="15" hidden="1" customHeight="1" outlineLevel="1" x14ac:dyDescent="0.25">
      <c r="C52" s="67">
        <f t="shared" si="1"/>
        <v>2067</v>
      </c>
      <c r="D52" s="85">
        <f>_xlfn.XLOOKUP(C52,'Travel Time Benefits'!$B$7:$B$36,'Travel Time Benefits'!$G$7:$G$36,0,0,1)</f>
        <v>0</v>
      </c>
      <c r="E52" s="84">
        <f>_xlfn.XLOOKUP(C52,VOC_Roughness!$B$6:$B$41,VOC_Roughness!$G$6:$G$41,0,0,1)</f>
        <v>0</v>
      </c>
      <c r="F52" s="83">
        <f>IFERROR(_xlfn.XLOOKUP($C52,'Safety Benefits'!B$6:B$35,'Safety Benefits'!E$6:E$35,0,0,1),0)</f>
        <v>0</v>
      </c>
      <c r="G52" s="85">
        <f>IFERROR(_xlfn.XLOOKUP($C52,'O&amp;M + Rehab'!$B$5:$B$40,'O&amp;M + Rehab'!$E$5:$E$40,0,0,1),0)</f>
        <v>0</v>
      </c>
      <c r="H52" s="287">
        <f>IFERROR(_xlfn.XLOOKUP($C52,'Capital Cost + RCV'!$B$6:$B$41,'Capital Cost + RCV'!$E$6:$E$41,0,0,1),0)</f>
        <v>0</v>
      </c>
      <c r="I52" s="85">
        <f t="shared" si="2"/>
        <v>0</v>
      </c>
      <c r="J52" s="84">
        <f>IFERROR(SUM(D52,E52,F52:H52)*(1+0.07)^-($C52-Assumptions!$D$12),0)</f>
        <v>0</v>
      </c>
    </row>
    <row r="53" spans="3:10" ht="15" hidden="1" customHeight="1" outlineLevel="1" x14ac:dyDescent="0.25">
      <c r="C53" s="67">
        <f t="shared" si="1"/>
        <v>2068</v>
      </c>
      <c r="D53" s="85">
        <f>_xlfn.XLOOKUP(C53,'Travel Time Benefits'!$B$7:$B$36,'Travel Time Benefits'!$G$7:$G$36,0,0,1)</f>
        <v>0</v>
      </c>
      <c r="E53" s="84">
        <f>_xlfn.XLOOKUP(C53,VOC_Roughness!$B$6:$B$41,VOC_Roughness!$G$6:$G$41,0,0,1)</f>
        <v>0</v>
      </c>
      <c r="F53" s="83">
        <f>IFERROR(_xlfn.XLOOKUP($C53,'Safety Benefits'!B$6:B$35,'Safety Benefits'!E$6:E$35,0,0,1),0)</f>
        <v>0</v>
      </c>
      <c r="G53" s="85">
        <f>IFERROR(_xlfn.XLOOKUP($C53,'O&amp;M + Rehab'!$B$5:$B$40,'O&amp;M + Rehab'!$E$5:$E$40,0,0,1),0)</f>
        <v>0</v>
      </c>
      <c r="H53" s="287">
        <f>IFERROR(_xlfn.XLOOKUP($C53,'Capital Cost + RCV'!$B$6:$B$41,'Capital Cost + RCV'!$E$6:$E$41,0,0,1),0)</f>
        <v>0</v>
      </c>
      <c r="I53" s="85">
        <f t="shared" si="2"/>
        <v>0</v>
      </c>
      <c r="J53" s="84">
        <f>IFERROR(SUM(D53,E53,F53:H53)*(1+0.07)^-($C53-Assumptions!$D$12),0)</f>
        <v>0</v>
      </c>
    </row>
    <row r="54" spans="3:10" ht="15" hidden="1" customHeight="1" outlineLevel="1" x14ac:dyDescent="0.25">
      <c r="C54" s="67">
        <f t="shared" si="1"/>
        <v>2069</v>
      </c>
      <c r="D54" s="85">
        <f>_xlfn.XLOOKUP(C54,'Travel Time Benefits'!$B$7:$B$36,'Travel Time Benefits'!$G$7:$G$36,0,0,1)</f>
        <v>0</v>
      </c>
      <c r="E54" s="84">
        <f>_xlfn.XLOOKUP(C54,VOC_Roughness!$B$6:$B$41,VOC_Roughness!$G$6:$G$41,0,0,1)</f>
        <v>0</v>
      </c>
      <c r="F54" s="83">
        <f>IFERROR(_xlfn.XLOOKUP($C54,'Safety Benefits'!B$6:B$35,'Safety Benefits'!E$6:E$35,0,0,1),0)</f>
        <v>0</v>
      </c>
      <c r="G54" s="85">
        <f>IFERROR(_xlfn.XLOOKUP($C54,'O&amp;M + Rehab'!$B$5:$B$40,'O&amp;M + Rehab'!$E$5:$E$40,0,0,1),0)</f>
        <v>0</v>
      </c>
      <c r="H54" s="287">
        <f>IFERROR(_xlfn.XLOOKUP($C54,'Capital Cost + RCV'!$B$6:$B$41,'Capital Cost + RCV'!$E$6:$E$41,0,0,1),0)</f>
        <v>0</v>
      </c>
      <c r="I54" s="85">
        <f t="shared" si="2"/>
        <v>0</v>
      </c>
      <c r="J54" s="84">
        <f>IFERROR(SUM(D54,E54,F54:H54)*(1+0.07)^-($C54-Assumptions!$D$12),0)</f>
        <v>0</v>
      </c>
    </row>
    <row r="55" spans="3:10" ht="15" hidden="1" customHeight="1" outlineLevel="1" x14ac:dyDescent="0.25">
      <c r="C55" s="67">
        <f t="shared" si="1"/>
        <v>2070</v>
      </c>
      <c r="D55" s="85">
        <f>_xlfn.XLOOKUP(C55,'Travel Time Benefits'!$B$7:$B$36,'Travel Time Benefits'!$G$7:$G$36,0,0,1)</f>
        <v>0</v>
      </c>
      <c r="E55" s="84">
        <f>_xlfn.XLOOKUP(C55,VOC_Roughness!$B$6:$B$41,VOC_Roughness!$G$6:$G$41,0,0,1)</f>
        <v>0</v>
      </c>
      <c r="F55" s="83">
        <f>IFERROR(_xlfn.XLOOKUP($C55,'Safety Benefits'!B$6:B$35,'Safety Benefits'!E$6:E$35,0,0,1),0)</f>
        <v>0</v>
      </c>
      <c r="G55" s="85">
        <f>IFERROR(_xlfn.XLOOKUP($C55,'O&amp;M + Rehab'!$B$5:$B$40,'O&amp;M + Rehab'!$E$5:$E$40,0,0,1),0)</f>
        <v>0</v>
      </c>
      <c r="H55" s="287">
        <f>IFERROR(_xlfn.XLOOKUP($C55,'Capital Cost + RCV'!$B$6:$B$41,'Capital Cost + RCV'!$E$6:$E$41,0,0,1),0)</f>
        <v>0</v>
      </c>
      <c r="I55" s="85">
        <f t="shared" si="2"/>
        <v>0</v>
      </c>
      <c r="J55" s="84">
        <f>IFERROR(SUM(D55,E55,F55:H55)*(1+0.07)^-($C55-Assumptions!$D$12),0)</f>
        <v>0</v>
      </c>
    </row>
    <row r="56" spans="3:10" ht="15" hidden="1" customHeight="1" outlineLevel="1" x14ac:dyDescent="0.25">
      <c r="C56" s="67">
        <f t="shared" si="1"/>
        <v>2071</v>
      </c>
      <c r="D56" s="85">
        <f>_xlfn.XLOOKUP(C56,'Travel Time Benefits'!$B$7:$B$36,'Travel Time Benefits'!$G$7:$G$36,0,0,1)</f>
        <v>0</v>
      </c>
      <c r="E56" s="84">
        <f>_xlfn.XLOOKUP(C56,VOC_Roughness!$B$6:$B$41,VOC_Roughness!$G$6:$G$41,0,0,1)</f>
        <v>0</v>
      </c>
      <c r="F56" s="83">
        <f>IFERROR(_xlfn.XLOOKUP($C56,'Safety Benefits'!B$6:B$35,'Safety Benefits'!E$6:E$35,0,0,1),0)</f>
        <v>0</v>
      </c>
      <c r="G56" s="85">
        <f>IFERROR(_xlfn.XLOOKUP($C56,'O&amp;M + Rehab'!$B$5:$B$40,'O&amp;M + Rehab'!$E$5:$E$40,0,0,1),0)</f>
        <v>0</v>
      </c>
      <c r="H56" s="287">
        <f>IFERROR(_xlfn.XLOOKUP($C56,'Capital Cost + RCV'!$B$6:$B$41,'Capital Cost + RCV'!$E$6:$E$41,0,0,1),0)</f>
        <v>0</v>
      </c>
      <c r="I56" s="85">
        <f t="shared" si="2"/>
        <v>0</v>
      </c>
      <c r="J56" s="84">
        <f>IFERROR(SUM(D56,E56,F56:H56)*(1+0.07)^-($C56-Assumptions!$D$12),0)</f>
        <v>0</v>
      </c>
    </row>
    <row r="57" spans="3:10" ht="15" hidden="1" customHeight="1" outlineLevel="1" x14ac:dyDescent="0.25">
      <c r="C57" s="67">
        <f t="shared" si="1"/>
        <v>2072</v>
      </c>
      <c r="D57" s="85">
        <f>_xlfn.XLOOKUP(C57,'Travel Time Benefits'!$B$7:$B$36,'Travel Time Benefits'!$G$7:$G$36,0,0,1)</f>
        <v>0</v>
      </c>
      <c r="E57" s="84">
        <f>_xlfn.XLOOKUP(C57,VOC_Roughness!$B$6:$B$41,VOC_Roughness!$G$6:$G$41,0,0,1)</f>
        <v>0</v>
      </c>
      <c r="F57" s="83">
        <f>IFERROR(_xlfn.XLOOKUP($C57,'Safety Benefits'!B$6:B$35,'Safety Benefits'!E$6:E$35,0,0,1),0)</f>
        <v>0</v>
      </c>
      <c r="G57" s="85">
        <f>IFERROR(_xlfn.XLOOKUP($C57,'O&amp;M + Rehab'!$B$5:$B$40,'O&amp;M + Rehab'!$E$5:$E$40,0,0,1),0)</f>
        <v>0</v>
      </c>
      <c r="H57" s="287">
        <f>IFERROR(_xlfn.XLOOKUP($C57,'Capital Cost + RCV'!$B$6:$B$41,'Capital Cost + RCV'!$E$6:$E$41,0,0,1),0)</f>
        <v>0</v>
      </c>
      <c r="I57" s="85">
        <f t="shared" si="2"/>
        <v>0</v>
      </c>
      <c r="J57" s="84">
        <f>IFERROR(SUM(D57,E57,F57:H57)*(1+0.07)^-($C57-Assumptions!$D$12),0)</f>
        <v>0</v>
      </c>
    </row>
    <row r="58" spans="3:10" ht="15" hidden="1" customHeight="1" outlineLevel="1" x14ac:dyDescent="0.25">
      <c r="C58" s="67">
        <f t="shared" si="1"/>
        <v>2073</v>
      </c>
      <c r="D58" s="85">
        <f>_xlfn.XLOOKUP(C58,'Travel Time Benefits'!$B$7:$B$36,'Travel Time Benefits'!$G$7:$G$36,0,0,1)</f>
        <v>0</v>
      </c>
      <c r="E58" s="84">
        <f>_xlfn.XLOOKUP(C58,VOC_Roughness!$B$6:$B$41,VOC_Roughness!$G$6:$G$41,0,0,1)</f>
        <v>0</v>
      </c>
      <c r="F58" s="83">
        <f>IFERROR(_xlfn.XLOOKUP($C58,'Safety Benefits'!B$6:B$35,'Safety Benefits'!E$6:E$35,0,0,1),0)</f>
        <v>0</v>
      </c>
      <c r="G58" s="85">
        <f>IFERROR(_xlfn.XLOOKUP($C58,'O&amp;M + Rehab'!$B$5:$B$40,'O&amp;M + Rehab'!$E$5:$E$40,0,0,1),0)</f>
        <v>0</v>
      </c>
      <c r="H58" s="287">
        <f>IFERROR(_xlfn.XLOOKUP($C58,'Capital Cost + RCV'!$B$6:$B$41,'Capital Cost + RCV'!$E$6:$E$41,0,0,1),0)</f>
        <v>0</v>
      </c>
      <c r="I58" s="85">
        <f t="shared" si="2"/>
        <v>0</v>
      </c>
      <c r="J58" s="84">
        <f>IFERROR(SUM(D58,E58,F58:H58)*(1+0.07)^-($C58-Assumptions!$D$12),0)</f>
        <v>0</v>
      </c>
    </row>
    <row r="59" spans="3:10" ht="15" hidden="1" customHeight="1" outlineLevel="1" x14ac:dyDescent="0.25">
      <c r="C59" s="67">
        <f t="shared" si="1"/>
        <v>2074</v>
      </c>
      <c r="D59" s="85">
        <f>_xlfn.XLOOKUP(C59,'Travel Time Benefits'!$B$7:$B$36,'Travel Time Benefits'!$G$7:$G$36,0,0,1)</f>
        <v>0</v>
      </c>
      <c r="E59" s="84">
        <f>_xlfn.XLOOKUP(C59,VOC_Roughness!$B$6:$B$41,VOC_Roughness!$G$6:$G$41,0,0,1)</f>
        <v>0</v>
      </c>
      <c r="F59" s="83">
        <f>IFERROR(_xlfn.XLOOKUP($C59,'Safety Benefits'!B$6:B$35,'Safety Benefits'!E$6:E$35,0,0,1),0)</f>
        <v>0</v>
      </c>
      <c r="G59" s="85">
        <f>IFERROR(_xlfn.XLOOKUP($C59,'O&amp;M + Rehab'!$B$5:$B$40,'O&amp;M + Rehab'!$E$5:$E$40,0,0,1),0)</f>
        <v>0</v>
      </c>
      <c r="H59" s="287">
        <f>IFERROR(_xlfn.XLOOKUP($C59,'Capital Cost + RCV'!$B$6:$B$41,'Capital Cost + RCV'!$E$6:$E$41,0,0,1),0)</f>
        <v>0</v>
      </c>
      <c r="I59" s="85">
        <f t="shared" si="2"/>
        <v>0</v>
      </c>
      <c r="J59" s="84">
        <f>IFERROR(SUM(D59,E59,F59:H59)*(1+0.07)^-($C59-Assumptions!$D$12),0)</f>
        <v>0</v>
      </c>
    </row>
    <row r="60" spans="3:10" ht="15" hidden="1" customHeight="1" outlineLevel="1" x14ac:dyDescent="0.25">
      <c r="C60" s="67">
        <f t="shared" si="1"/>
        <v>2075</v>
      </c>
      <c r="D60" s="85">
        <f>_xlfn.XLOOKUP(C60,'Travel Time Benefits'!$B$7:$B$36,'Travel Time Benefits'!$G$7:$G$36,0,0,1)</f>
        <v>0</v>
      </c>
      <c r="E60" s="84">
        <f>_xlfn.XLOOKUP(C60,VOC_Roughness!$B$6:$B$41,VOC_Roughness!$G$6:$G$41,0,0,1)</f>
        <v>0</v>
      </c>
      <c r="F60" s="83">
        <f>IFERROR(_xlfn.XLOOKUP($C60,'Safety Benefits'!B$6:B$35,'Safety Benefits'!E$6:E$35,0,0,1),0)</f>
        <v>0</v>
      </c>
      <c r="G60" s="85">
        <f>IFERROR(_xlfn.XLOOKUP($C60,'O&amp;M + Rehab'!$B$5:$B$40,'O&amp;M + Rehab'!$E$5:$E$40,0,0,1),0)</f>
        <v>0</v>
      </c>
      <c r="H60" s="287">
        <f>IFERROR(_xlfn.XLOOKUP($C60,'Capital Cost + RCV'!$B$6:$B$41,'Capital Cost + RCV'!$E$6:$E$41,0,0,1),0)</f>
        <v>0</v>
      </c>
      <c r="I60" s="85">
        <f t="shared" si="2"/>
        <v>0</v>
      </c>
      <c r="J60" s="84">
        <f>IFERROR(SUM(D60,E60,F60:H60)*(1+0.07)^-($C60-Assumptions!$D$12),0)</f>
        <v>0</v>
      </c>
    </row>
    <row r="61" spans="3:10" ht="15" hidden="1" customHeight="1" outlineLevel="1" x14ac:dyDescent="0.25">
      <c r="C61" s="67">
        <f t="shared" si="1"/>
        <v>2076</v>
      </c>
      <c r="D61" s="85">
        <f>_xlfn.XLOOKUP(C61,'Travel Time Benefits'!$B$7:$B$36,'Travel Time Benefits'!$G$7:$G$36,0,0,1)</f>
        <v>0</v>
      </c>
      <c r="E61" s="84">
        <f>_xlfn.XLOOKUP(C61,VOC_Roughness!$B$6:$B$41,VOC_Roughness!$G$6:$G$41,0,0,1)</f>
        <v>0</v>
      </c>
      <c r="F61" s="83">
        <f>IFERROR(_xlfn.XLOOKUP($C61,'Safety Benefits'!B$6:B$35,'Safety Benefits'!E$6:E$35,0,0,1),0)</f>
        <v>0</v>
      </c>
      <c r="G61" s="85">
        <f>IFERROR(_xlfn.XLOOKUP($C61,'O&amp;M + Rehab'!$B$5:$B$40,'O&amp;M + Rehab'!$E$5:$E$40,0,0,1),0)</f>
        <v>0</v>
      </c>
      <c r="H61" s="287">
        <f>IFERROR(_xlfn.XLOOKUP($C61,'Capital Cost + RCV'!$B$6:$B$41,'Capital Cost + RCV'!$E$6:$E$41,0,0,1),0)</f>
        <v>0</v>
      </c>
      <c r="I61" s="85">
        <f t="shared" si="2"/>
        <v>0</v>
      </c>
      <c r="J61" s="84">
        <f>IFERROR(SUM(D61,E61,F61:H61)*(1+0.07)^-($C61-Assumptions!$D$12),0)</f>
        <v>0</v>
      </c>
    </row>
    <row r="62" spans="3:10" ht="15" hidden="1" customHeight="1" outlineLevel="1" x14ac:dyDescent="0.25">
      <c r="C62" s="67">
        <f t="shared" si="1"/>
        <v>2077</v>
      </c>
      <c r="D62" s="85">
        <f>_xlfn.XLOOKUP(C62,'Travel Time Benefits'!$B$7:$B$36,'Travel Time Benefits'!$G$7:$G$36,0,0,1)</f>
        <v>0</v>
      </c>
      <c r="E62" s="84">
        <f>_xlfn.XLOOKUP(C62,VOC_Roughness!$B$6:$B$41,VOC_Roughness!$G$6:$G$41,0,0,1)</f>
        <v>0</v>
      </c>
      <c r="F62" s="83">
        <f>IFERROR(_xlfn.XLOOKUP($C62,'Safety Benefits'!B$6:B$35,'Safety Benefits'!E$6:E$35,0,0,1),0)</f>
        <v>0</v>
      </c>
      <c r="G62" s="85">
        <f>IFERROR(_xlfn.XLOOKUP($C62,'O&amp;M + Rehab'!$B$5:$B$40,'O&amp;M + Rehab'!$E$5:$E$40,0,0,1),0)</f>
        <v>0</v>
      </c>
      <c r="H62" s="287">
        <f>IFERROR(_xlfn.XLOOKUP($C62,'Capital Cost + RCV'!$B$6:$B$41,'Capital Cost + RCV'!$E$6:$E$41,0,0,1),0)</f>
        <v>0</v>
      </c>
      <c r="I62" s="85">
        <f t="shared" si="2"/>
        <v>0</v>
      </c>
      <c r="J62" s="84">
        <f>IFERROR(SUM(D62,E62,F62:H62)*(1+0.07)^-($C62-Assumptions!$D$12),0)</f>
        <v>0</v>
      </c>
    </row>
    <row r="63" spans="3:10" ht="15" hidden="1" customHeight="1" outlineLevel="1" x14ac:dyDescent="0.25">
      <c r="C63" s="67">
        <f t="shared" si="1"/>
        <v>2078</v>
      </c>
      <c r="D63" s="85">
        <f>_xlfn.XLOOKUP(C63,'Travel Time Benefits'!$B$7:$B$36,'Travel Time Benefits'!$G$7:$G$36,0,0,1)</f>
        <v>0</v>
      </c>
      <c r="E63" s="84">
        <f>_xlfn.XLOOKUP(C63,VOC_Roughness!$B$6:$B$41,VOC_Roughness!$G$6:$G$41,0,0,1)</f>
        <v>0</v>
      </c>
      <c r="F63" s="83">
        <f>IFERROR(_xlfn.XLOOKUP($C63,'Safety Benefits'!B$6:B$35,'Safety Benefits'!E$6:E$35,0,0,1),0)</f>
        <v>0</v>
      </c>
      <c r="G63" s="85">
        <f>IFERROR(_xlfn.XLOOKUP($C63,'O&amp;M + Rehab'!$B$5:$B$40,'O&amp;M + Rehab'!$E$5:$E$40,0,0,1),0)</f>
        <v>0</v>
      </c>
      <c r="H63" s="287">
        <f>IFERROR(_xlfn.XLOOKUP($C63,'Capital Cost + RCV'!$B$6:$B$41,'Capital Cost + RCV'!$E$6:$E$41,0,0,1),0)</f>
        <v>0</v>
      </c>
      <c r="I63" s="85">
        <f t="shared" si="2"/>
        <v>0</v>
      </c>
      <c r="J63" s="84">
        <f>IFERROR(SUM(D63,E63,F63:H63)*(1+0.07)^-($C63-Assumptions!$D$12),0)</f>
        <v>0</v>
      </c>
    </row>
    <row r="64" spans="3:10" ht="15" hidden="1" customHeight="1" outlineLevel="1" x14ac:dyDescent="0.25">
      <c r="C64" s="67">
        <f t="shared" si="1"/>
        <v>2079</v>
      </c>
      <c r="D64" s="85">
        <f>_xlfn.XLOOKUP(C64,'Travel Time Benefits'!$B$7:$B$36,'Travel Time Benefits'!$G$7:$G$36,0,0,1)</f>
        <v>0</v>
      </c>
      <c r="E64" s="84">
        <f>_xlfn.XLOOKUP(C64,VOC_Roughness!$B$6:$B$41,VOC_Roughness!$G$6:$G$41,0,0,1)</f>
        <v>0</v>
      </c>
      <c r="F64" s="83">
        <f>IFERROR(_xlfn.XLOOKUP($C64,'Safety Benefits'!B$6:B$35,'Safety Benefits'!E$6:E$35,0,0,1),0)</f>
        <v>0</v>
      </c>
      <c r="G64" s="85">
        <f>IFERROR(_xlfn.XLOOKUP($C64,'O&amp;M + Rehab'!$B$5:$B$40,'O&amp;M + Rehab'!$E$5:$E$40,0,0,1),0)</f>
        <v>0</v>
      </c>
      <c r="H64" s="287">
        <f>IFERROR(_xlfn.XLOOKUP($C64,'Capital Cost + RCV'!$B$6:$B$41,'Capital Cost + RCV'!$E$6:$E$41,0,0,1),0)</f>
        <v>0</v>
      </c>
      <c r="I64" s="85">
        <f t="shared" si="2"/>
        <v>0</v>
      </c>
      <c r="J64" s="84">
        <f>IFERROR(SUM(D64,E64,F64:H64)*(1+0.07)^-($C64-Assumptions!$D$12),0)</f>
        <v>0</v>
      </c>
    </row>
    <row r="65" spans="2:10" ht="15" hidden="1" customHeight="1" outlineLevel="1" x14ac:dyDescent="0.25">
      <c r="C65" s="67">
        <f t="shared" si="1"/>
        <v>2080</v>
      </c>
      <c r="D65" s="85">
        <f>_xlfn.XLOOKUP(C65,'Travel Time Benefits'!$B$7:$B$36,'Travel Time Benefits'!$G$7:$G$36,0,0,1)</f>
        <v>0</v>
      </c>
      <c r="E65" s="84">
        <f>_xlfn.XLOOKUP(C65,VOC_Roughness!$B$6:$B$41,VOC_Roughness!$G$6:$G$41,0,0,1)</f>
        <v>0</v>
      </c>
      <c r="F65" s="83">
        <f>IFERROR(_xlfn.XLOOKUP($C65,'Safety Benefits'!B$6:B$35,'Safety Benefits'!E$6:E$35,0,0,1),0)</f>
        <v>0</v>
      </c>
      <c r="G65" s="85">
        <f>IFERROR(_xlfn.XLOOKUP($C65,'O&amp;M + Rehab'!$B$5:$B$40,'O&amp;M + Rehab'!$E$5:$E$40,0,0,1),0)</f>
        <v>0</v>
      </c>
      <c r="H65" s="287">
        <f>IFERROR(_xlfn.XLOOKUP($C65,'Capital Cost + RCV'!$B$6:$B$41,'Capital Cost + RCV'!$E$6:$E$41,0,0,1),0)</f>
        <v>0</v>
      </c>
      <c r="I65" s="85">
        <f t="shared" si="2"/>
        <v>0</v>
      </c>
      <c r="J65" s="84">
        <f>IFERROR(SUM(D65,E65,F65:H65)*(1+0.07)^-($C65-Assumptions!$D$12),0)</f>
        <v>0</v>
      </c>
    </row>
    <row r="66" spans="2:10" ht="15" hidden="1" customHeight="1" outlineLevel="1" x14ac:dyDescent="0.25">
      <c r="C66" s="67">
        <f t="shared" si="1"/>
        <v>2081</v>
      </c>
      <c r="D66" s="85">
        <f>_xlfn.XLOOKUP(C66,'Travel Time Benefits'!$B$7:$B$36,'Travel Time Benefits'!$G$7:$G$36,0,0,1)</f>
        <v>0</v>
      </c>
      <c r="E66" s="84">
        <f>_xlfn.XLOOKUP(C66,VOC_Roughness!$B$6:$B$41,VOC_Roughness!$G$6:$G$41,0,0,1)</f>
        <v>0</v>
      </c>
      <c r="F66" s="83">
        <f>IFERROR(_xlfn.XLOOKUP($C66,'Safety Benefits'!B$6:B$35,'Safety Benefits'!E$6:E$35,0,0,1),0)</f>
        <v>0</v>
      </c>
      <c r="G66" s="85">
        <f>IFERROR(_xlfn.XLOOKUP($C66,'O&amp;M + Rehab'!$B$5:$B$40,'O&amp;M + Rehab'!$E$5:$E$40,0,0,1),0)</f>
        <v>0</v>
      </c>
      <c r="H66" s="287">
        <f>IFERROR(_xlfn.XLOOKUP($C66,'Capital Cost + RCV'!$B$6:$B$41,'Capital Cost + RCV'!$E$6:$E$41,0,0,1),0)</f>
        <v>0</v>
      </c>
      <c r="I66" s="85">
        <f t="shared" si="2"/>
        <v>0</v>
      </c>
      <c r="J66" s="84">
        <f>IFERROR(SUM(D66,E66,F66:H66)*(1+0.07)^-($C66-Assumptions!$D$12),0)</f>
        <v>0</v>
      </c>
    </row>
    <row r="67" spans="2:10" ht="15" hidden="1" customHeight="1" outlineLevel="1" x14ac:dyDescent="0.25">
      <c r="C67" s="67">
        <f t="shared" si="1"/>
        <v>2082</v>
      </c>
      <c r="D67" s="85">
        <f>_xlfn.XLOOKUP(C67,'Travel Time Benefits'!$B$7:$B$36,'Travel Time Benefits'!$G$7:$G$36,0,0,1)</f>
        <v>0</v>
      </c>
      <c r="E67" s="84">
        <f>_xlfn.XLOOKUP(C67,VOC_Roughness!$B$6:$B$41,VOC_Roughness!$G$6:$G$41,0,0,1)</f>
        <v>0</v>
      </c>
      <c r="F67" s="83">
        <f>IFERROR(_xlfn.XLOOKUP($C67,'Safety Benefits'!B$6:B$35,'Safety Benefits'!E$6:E$35,0,0,1),0)</f>
        <v>0</v>
      </c>
      <c r="G67" s="85">
        <f>IFERROR(_xlfn.XLOOKUP($C67,'O&amp;M + Rehab'!$B$5:$B$40,'O&amp;M + Rehab'!$E$5:$E$40,0,0,1),0)</f>
        <v>0</v>
      </c>
      <c r="H67" s="287">
        <f>IFERROR(_xlfn.XLOOKUP($C67,'Capital Cost + RCV'!$B$6:$B$41,'Capital Cost + RCV'!$E$6:$E$41,0,0,1),0)</f>
        <v>0</v>
      </c>
      <c r="I67" s="85">
        <f t="shared" si="2"/>
        <v>0</v>
      </c>
      <c r="J67" s="84">
        <f>IFERROR(SUM(D67,E67,F67:H67)*(1+0.07)^-($C67-Assumptions!$D$12),0)</f>
        <v>0</v>
      </c>
    </row>
    <row r="68" spans="2:10" ht="15" hidden="1" customHeight="1" outlineLevel="1" thickBot="1" x14ac:dyDescent="0.3">
      <c r="C68" s="62">
        <f t="shared" si="1"/>
        <v>2083</v>
      </c>
      <c r="D68" s="88">
        <f>_xlfn.XLOOKUP(C68,'Travel Time Benefits'!$B$7:$B$36,'Travel Time Benefits'!$G$7:$G$36,0,0,1)</f>
        <v>0</v>
      </c>
      <c r="E68" s="87">
        <f>_xlfn.XLOOKUP(C68,VOC_Roughness!$B$6:$B$41,VOC_Roughness!$G$6:$G$41,0,0,1)</f>
        <v>0</v>
      </c>
      <c r="F68" s="86">
        <f>IFERROR(_xlfn.XLOOKUP($C68,'Safety Benefits'!B$6:B$35,'Safety Benefits'!E$6:E$35,0,0,1),0)</f>
        <v>0</v>
      </c>
      <c r="G68" s="88">
        <f>IFERROR(_xlfn.XLOOKUP($C68,'O&amp;M + Rehab'!$B$5:$B$40,'O&amp;M + Rehab'!$E$5:$E$40,0,0,1),0)</f>
        <v>0</v>
      </c>
      <c r="H68" s="288">
        <f>IFERROR(_xlfn.XLOOKUP($C68,'Capital Cost + RCV'!$B$6:$B$41,'Capital Cost + RCV'!$E$6:$E$41,0,0,1),0)</f>
        <v>0</v>
      </c>
      <c r="I68" s="88">
        <f t="shared" si="2"/>
        <v>0</v>
      </c>
      <c r="J68" s="87">
        <f>IFERROR(SUM(D68,E68,F68:H68)*(1+0.07)^-($C68-Assumptions!$D$12),0)</f>
        <v>0</v>
      </c>
    </row>
    <row r="69" spans="2:10" collapsed="1" x14ac:dyDescent="0.25">
      <c r="C69" s="3"/>
      <c r="H69" s="16" t="s">
        <v>117</v>
      </c>
      <c r="I69" s="76">
        <f>SUM(I8:I68)</f>
        <v>159208147.28475377</v>
      </c>
      <c r="J69" s="76">
        <f>SUM(J8:J68)</f>
        <v>28281846.156550236</v>
      </c>
    </row>
    <row r="70" spans="2:10" x14ac:dyDescent="0.25">
      <c r="B70" s="36"/>
      <c r="I70" s="126"/>
      <c r="J70" s="38"/>
    </row>
    <row r="71" spans="2:10" x14ac:dyDescent="0.25">
      <c r="C71" s="2"/>
      <c r="D71" s="49"/>
      <c r="E71" s="49"/>
      <c r="F71" s="49"/>
      <c r="G71" s="49"/>
      <c r="H71" s="49"/>
      <c r="I71" s="49"/>
      <c r="J71" s="49"/>
    </row>
    <row r="72" spans="2:10" x14ac:dyDescent="0.25">
      <c r="C72" s="50"/>
      <c r="D72" s="42"/>
      <c r="E72" s="42"/>
      <c r="F72" s="42"/>
      <c r="G72" s="42"/>
      <c r="H72" s="42"/>
      <c r="I72" s="42"/>
      <c r="J72" s="42"/>
    </row>
    <row r="75" spans="2:10" ht="15.75" thickBot="1" x14ac:dyDescent="0.3">
      <c r="D75" s="58" t="s">
        <v>6</v>
      </c>
      <c r="E75" s="127"/>
      <c r="F75" s="127"/>
    </row>
    <row r="76" spans="2:10" x14ac:dyDescent="0.25">
      <c r="D76" s="294" t="s">
        <v>0</v>
      </c>
      <c r="E76" s="298" t="s">
        <v>32</v>
      </c>
      <c r="F76" s="298" t="s">
        <v>29</v>
      </c>
    </row>
    <row r="77" spans="2:10" ht="15.75" thickBot="1" x14ac:dyDescent="0.3">
      <c r="D77" s="295"/>
      <c r="E77" s="299"/>
      <c r="F77" s="299"/>
    </row>
    <row r="78" spans="2:10" hidden="1" outlineLevel="1" x14ac:dyDescent="0.25">
      <c r="C78" s="229"/>
      <c r="D78" s="124">
        <f>Assumptions!$D$13</f>
        <v>2024</v>
      </c>
      <c r="E78" s="186">
        <f>_xlfn.XLOOKUP($D78,'Capital Cost + RCV'!$B$6:$B$41,'Capital Cost + RCV'!$C$6:$C$41)</f>
        <v>0</v>
      </c>
      <c r="F78" s="187">
        <f>E78*(1+0.07)^-($D78-Assumptions!$D$12)</f>
        <v>0</v>
      </c>
    </row>
    <row r="79" spans="2:10" collapsed="1" x14ac:dyDescent="0.25">
      <c r="C79" s="229"/>
      <c r="D79" s="125">
        <f>D78+1</f>
        <v>2025</v>
      </c>
      <c r="E79" s="188">
        <f>_xlfn.XLOOKUP($D79,'Capital Cost + RCV'!$B$6:$B$41,'Capital Cost + RCV'!$C$6:$C$41)</f>
        <v>2553076.7896368266</v>
      </c>
      <c r="F79" s="189">
        <f>E79*(1+0.07)^-($D79-Assumptions!$D$12)</f>
        <v>1947730.0588036017</v>
      </c>
    </row>
    <row r="80" spans="2:10" ht="15" customHeight="1" x14ac:dyDescent="0.25">
      <c r="C80" s="229"/>
      <c r="D80" s="125">
        <f>D79+1</f>
        <v>2026</v>
      </c>
      <c r="E80" s="190">
        <f>_xlfn.XLOOKUP($D80,'Capital Cost + RCV'!$B$6:$B$41,'Capital Cost + RCV'!$C$6:$C$41)</f>
        <v>0</v>
      </c>
      <c r="F80" s="191">
        <f>E80*(1+0.07)^-($D80-Assumptions!$D$12)</f>
        <v>0</v>
      </c>
    </row>
    <row r="81" spans="2:6" ht="15.75" customHeight="1" x14ac:dyDescent="0.25">
      <c r="C81" s="229"/>
      <c r="D81" s="125">
        <f>D80+1</f>
        <v>2027</v>
      </c>
      <c r="E81" s="190">
        <f>_xlfn.XLOOKUP($D81,'Capital Cost + RCV'!$B$6:$B$41,'Capital Cost + RCV'!$C$6:$C$41)</f>
        <v>0</v>
      </c>
      <c r="F81" s="191">
        <f>E81*(1+0.07)^-($D81-Assumptions!$D$12)</f>
        <v>0</v>
      </c>
    </row>
    <row r="82" spans="2:6" ht="15.75" customHeight="1" x14ac:dyDescent="0.25">
      <c r="B82" s="2"/>
      <c r="C82" s="229"/>
      <c r="D82" s="125">
        <f t="shared" ref="D82:D113" si="3">D81+1</f>
        <v>2028</v>
      </c>
      <c r="E82" s="190">
        <f>_xlfn.XLOOKUP($D82,'Capital Cost + RCV'!$B$6:$B$41,'Capital Cost + RCV'!$C$6:$C$41)</f>
        <v>0</v>
      </c>
      <c r="F82" s="191">
        <f>E82*(1+0.07)^-($D82-Assumptions!$D$12)</f>
        <v>0</v>
      </c>
    </row>
    <row r="83" spans="2:6" ht="15.75" customHeight="1" x14ac:dyDescent="0.25">
      <c r="C83" s="229"/>
      <c r="D83" s="125">
        <f t="shared" si="3"/>
        <v>2029</v>
      </c>
      <c r="E83" s="190">
        <f>_xlfn.XLOOKUP($D83,'Capital Cost + RCV'!$B$6:$B$41,'Capital Cost + RCV'!$C$6:$C$41)</f>
        <v>0</v>
      </c>
      <c r="F83" s="191">
        <f>E83*(1+0.07)^-($D83-Assumptions!$D$12)</f>
        <v>0</v>
      </c>
    </row>
    <row r="84" spans="2:6" ht="15.75" customHeight="1" x14ac:dyDescent="0.25">
      <c r="C84" s="229"/>
      <c r="D84" s="125">
        <f t="shared" si="3"/>
        <v>2030</v>
      </c>
      <c r="E84" s="190">
        <f>_xlfn.XLOOKUP($D84,'Capital Cost + RCV'!$B$6:$B$41,'Capital Cost + RCV'!$C$6:$C$41)</f>
        <v>0</v>
      </c>
      <c r="F84" s="191">
        <f>E84*(1+0.07)^-($D84-Assumptions!$D$12)</f>
        <v>0</v>
      </c>
    </row>
    <row r="85" spans="2:6" ht="15.75" customHeight="1" x14ac:dyDescent="0.25">
      <c r="C85" s="229"/>
      <c r="D85" s="125">
        <f t="shared" si="3"/>
        <v>2031</v>
      </c>
      <c r="E85" s="190">
        <f>_xlfn.XLOOKUP($D85,'Capital Cost + RCV'!$B$6:$B$41,'Capital Cost + RCV'!$C$6:$C$41)</f>
        <v>0</v>
      </c>
      <c r="F85" s="191">
        <f>E85*(1+0.07)^-($D85-Assumptions!$D$12)</f>
        <v>0</v>
      </c>
    </row>
    <row r="86" spans="2:6" ht="15.75" customHeight="1" x14ac:dyDescent="0.25">
      <c r="C86" s="229"/>
      <c r="D86" s="125">
        <f t="shared" si="3"/>
        <v>2032</v>
      </c>
      <c r="E86" s="190">
        <f>_xlfn.XLOOKUP($D86,'Capital Cost + RCV'!$B$6:$B$41,'Capital Cost + RCV'!$C$6:$C$41)</f>
        <v>23022752.710717097</v>
      </c>
      <c r="F86" s="191">
        <f>E86*(1+0.07)^-($D86-Assumptions!$D$12)</f>
        <v>10937943.965874476</v>
      </c>
    </row>
    <row r="87" spans="2:6" ht="15.75" customHeight="1" x14ac:dyDescent="0.25">
      <c r="C87" s="229"/>
      <c r="D87" s="125">
        <f t="shared" si="3"/>
        <v>2033</v>
      </c>
      <c r="E87" s="190">
        <f>_xlfn.XLOOKUP($D87,'Capital Cost + RCV'!$B$6:$B$41,'Capital Cost + RCV'!$C$6:$C$41)</f>
        <v>8166027.6794655211</v>
      </c>
      <c r="F87" s="191">
        <f>E87*(1+0.07)^-($D87-Assumptions!$D$12)</f>
        <v>3625813.9491735608</v>
      </c>
    </row>
    <row r="88" spans="2:6" ht="15.75" customHeight="1" x14ac:dyDescent="0.25">
      <c r="C88" s="229"/>
      <c r="D88" s="125">
        <f t="shared" si="3"/>
        <v>2034</v>
      </c>
      <c r="E88" s="190">
        <f>_xlfn.XLOOKUP($D88,'Capital Cost + RCV'!$B$6:$B$41,'Capital Cost + RCV'!$C$6:$C$41)</f>
        <v>0</v>
      </c>
      <c r="F88" s="191">
        <f>E88*(1+0.07)^-($D88-Assumptions!$D$12)</f>
        <v>0</v>
      </c>
    </row>
    <row r="89" spans="2:6" ht="15.75" customHeight="1" x14ac:dyDescent="0.25">
      <c r="C89" s="229"/>
      <c r="D89" s="125">
        <f t="shared" si="3"/>
        <v>2035</v>
      </c>
      <c r="E89" s="190">
        <f>_xlfn.XLOOKUP($D89,'Capital Cost + RCV'!$B$6:$B$41,'Capital Cost + RCV'!$C$6:$C$41)</f>
        <v>0</v>
      </c>
      <c r="F89" s="191">
        <f>E89*(1+0.07)^-($D89-Assumptions!$D$12)</f>
        <v>0</v>
      </c>
    </row>
    <row r="90" spans="2:6" ht="15.75" customHeight="1" x14ac:dyDescent="0.25">
      <c r="C90" s="229"/>
      <c r="D90" s="125">
        <f t="shared" si="3"/>
        <v>2036</v>
      </c>
      <c r="E90" s="190">
        <f>_xlfn.XLOOKUP($D90,'Capital Cost + RCV'!$B$6:$B$41,'Capital Cost + RCV'!$C$6:$C$41)</f>
        <v>23489781.248348862</v>
      </c>
      <c r="F90" s="191">
        <f>E90*(1+0.07)^-($D90-Assumptions!$D$12)</f>
        <v>8513777.7157337833</v>
      </c>
    </row>
    <row r="91" spans="2:6" ht="15.75" customHeight="1" thickBot="1" x14ac:dyDescent="0.3">
      <c r="C91" s="229"/>
      <c r="D91" s="125">
        <f t="shared" si="3"/>
        <v>2037</v>
      </c>
      <c r="E91" s="190">
        <f>_xlfn.XLOOKUP($D91,'Capital Cost + RCV'!$B$6:$B$41,'Capital Cost + RCV'!$C$6:$C$41)</f>
        <v>2199619.7563045123</v>
      </c>
      <c r="F91" s="191">
        <f>E91*(1+0.07)^-($D91-Assumptions!$D$12)</f>
        <v>745087.31345725956</v>
      </c>
    </row>
    <row r="92" spans="2:6" ht="15.75" hidden="1" customHeight="1" outlineLevel="1" thickBot="1" x14ac:dyDescent="0.3">
      <c r="C92" s="229"/>
      <c r="D92" s="125">
        <f t="shared" si="3"/>
        <v>2038</v>
      </c>
      <c r="E92" s="190">
        <f>_xlfn.XLOOKUP($D92,'Capital Cost + RCV'!$B$6:$B$41,'Capital Cost + RCV'!$C$6:$C$41)</f>
        <v>0</v>
      </c>
      <c r="F92" s="191">
        <f>E92*(1+0.07)^-($D92-Assumptions!$D$12)</f>
        <v>0</v>
      </c>
    </row>
    <row r="93" spans="2:6" ht="15.75" hidden="1" customHeight="1" outlineLevel="1" x14ac:dyDescent="0.25">
      <c r="C93" s="229"/>
      <c r="D93" s="125">
        <f t="shared" si="3"/>
        <v>2039</v>
      </c>
      <c r="E93" s="190">
        <f>_xlfn.XLOOKUP($D93,'Capital Cost + RCV'!$B$6:$B$41,'Capital Cost + RCV'!$C$6:$C$41)</f>
        <v>0</v>
      </c>
      <c r="F93" s="191">
        <f>E93*(1+0.07)^-($D93-Assumptions!$D$12)</f>
        <v>0</v>
      </c>
    </row>
    <row r="94" spans="2:6" ht="15.75" hidden="1" customHeight="1" outlineLevel="1" thickBot="1" x14ac:dyDescent="0.3">
      <c r="C94" s="229"/>
      <c r="D94" s="125">
        <f t="shared" si="3"/>
        <v>2040</v>
      </c>
      <c r="E94" s="190">
        <f>_xlfn.XLOOKUP($D94,'Capital Cost + RCV'!$B$6:$B$41,'Capital Cost + RCV'!$C$6:$C$41)</f>
        <v>0</v>
      </c>
      <c r="F94" s="191">
        <f>E94*(1+0.07)^-($D94-Assumptions!$D$12)</f>
        <v>0</v>
      </c>
    </row>
    <row r="95" spans="2:6" ht="15.75" hidden="1" customHeight="1" outlineLevel="1" thickBot="1" x14ac:dyDescent="0.3">
      <c r="C95" s="229"/>
      <c r="D95" s="125">
        <f t="shared" si="3"/>
        <v>2041</v>
      </c>
      <c r="E95" s="190">
        <f>_xlfn.XLOOKUP($D95,'Capital Cost + RCV'!$B$6:$B$41,'Capital Cost + RCV'!$C$6:$C$41)</f>
        <v>0</v>
      </c>
      <c r="F95" s="191">
        <f>E95*(1+0.07)^-($D95-Assumptions!$D$12)</f>
        <v>0</v>
      </c>
    </row>
    <row r="96" spans="2:6" ht="15.75" hidden="1" customHeight="1" outlineLevel="1" thickBot="1" x14ac:dyDescent="0.3">
      <c r="C96" s="229"/>
      <c r="D96" s="125">
        <f t="shared" si="3"/>
        <v>2042</v>
      </c>
      <c r="E96" s="190">
        <f>_xlfn.XLOOKUP($D96,'Capital Cost + RCV'!$B$6:$B$41,'Capital Cost + RCV'!$C$6:$C$41)</f>
        <v>0</v>
      </c>
      <c r="F96" s="191">
        <f>E96*(1+0.07)^-($D96-Assumptions!$D$12)</f>
        <v>0</v>
      </c>
    </row>
    <row r="97" spans="3:6" ht="15.75" hidden="1" customHeight="1" outlineLevel="1" thickBot="1" x14ac:dyDescent="0.3">
      <c r="C97" s="229"/>
      <c r="D97" s="125">
        <f t="shared" si="3"/>
        <v>2043</v>
      </c>
      <c r="E97" s="190">
        <f>_xlfn.XLOOKUP($D97,'Capital Cost + RCV'!$B$6:$B$41,'Capital Cost + RCV'!$C$6:$C$41)</f>
        <v>0</v>
      </c>
      <c r="F97" s="191">
        <f>E97*(1+0.07)^-($D97-Assumptions!$D$12)</f>
        <v>0</v>
      </c>
    </row>
    <row r="98" spans="3:6" ht="15.75" hidden="1" customHeight="1" outlineLevel="1" thickBot="1" x14ac:dyDescent="0.3">
      <c r="C98" s="229"/>
      <c r="D98" s="125">
        <f t="shared" si="3"/>
        <v>2044</v>
      </c>
      <c r="E98" s="190">
        <f>_xlfn.XLOOKUP($D98,'Capital Cost + RCV'!$B$6:$B$41,'Capital Cost + RCV'!$C$6:$C$41)</f>
        <v>0</v>
      </c>
      <c r="F98" s="191">
        <f>E98*(1+0.07)^-($D98-Assumptions!$D$12)</f>
        <v>0</v>
      </c>
    </row>
    <row r="99" spans="3:6" ht="15.75" hidden="1" customHeight="1" outlineLevel="1" thickBot="1" x14ac:dyDescent="0.3">
      <c r="C99" s="229"/>
      <c r="D99" s="125">
        <f t="shared" si="3"/>
        <v>2045</v>
      </c>
      <c r="E99" s="190">
        <f>_xlfn.XLOOKUP($D99,'Capital Cost + RCV'!$B$6:$B$41,'Capital Cost + RCV'!$C$6:$C$41)</f>
        <v>0</v>
      </c>
      <c r="F99" s="191">
        <f>E99*(1+0.07)^-($D99-Assumptions!$D$12)</f>
        <v>0</v>
      </c>
    </row>
    <row r="100" spans="3:6" ht="15.75" hidden="1" customHeight="1" outlineLevel="1" thickBot="1" x14ac:dyDescent="0.3">
      <c r="C100" s="229"/>
      <c r="D100" s="125">
        <f>D99+1</f>
        <v>2046</v>
      </c>
      <c r="E100" s="190">
        <f>_xlfn.XLOOKUP($D100,'Capital Cost + RCV'!$B$6:$B$41,'Capital Cost + RCV'!$C$6:$C$41)</f>
        <v>0</v>
      </c>
      <c r="F100" s="191">
        <f>E100*(1+0.07)^-($D100-Assumptions!$D$12)</f>
        <v>0</v>
      </c>
    </row>
    <row r="101" spans="3:6" ht="15.75" hidden="1" customHeight="1" outlineLevel="1" thickBot="1" x14ac:dyDescent="0.3">
      <c r="C101" s="229"/>
      <c r="D101" s="125">
        <f>D100+1</f>
        <v>2047</v>
      </c>
      <c r="E101" s="190">
        <f>_xlfn.XLOOKUP($D101,'Capital Cost + RCV'!$B$6:$B$41,'Capital Cost + RCV'!$C$6:$C$41)</f>
        <v>0</v>
      </c>
      <c r="F101" s="191">
        <f>E101*(1+0.07)^-($D101-Assumptions!$D$12)</f>
        <v>0</v>
      </c>
    </row>
    <row r="102" spans="3:6" ht="15.75" hidden="1" customHeight="1" outlineLevel="1" thickBot="1" x14ac:dyDescent="0.3">
      <c r="C102" s="229"/>
      <c r="D102" s="125">
        <f t="shared" si="3"/>
        <v>2048</v>
      </c>
      <c r="E102" s="190">
        <f>_xlfn.XLOOKUP($D102,'Capital Cost + RCV'!$B$6:$B$41,'Capital Cost + RCV'!$C$6:$C$41)</f>
        <v>0</v>
      </c>
      <c r="F102" s="191">
        <f>E102*(1+0.07)^-($D102-Assumptions!$D$12)</f>
        <v>0</v>
      </c>
    </row>
    <row r="103" spans="3:6" ht="15.75" hidden="1" customHeight="1" outlineLevel="1" thickBot="1" x14ac:dyDescent="0.3">
      <c r="C103" s="229"/>
      <c r="D103" s="125">
        <f t="shared" si="3"/>
        <v>2049</v>
      </c>
      <c r="E103" s="190">
        <f>_xlfn.XLOOKUP($D103,'Capital Cost + RCV'!$B$6:$B$41,'Capital Cost + RCV'!$C$6:$C$41)</f>
        <v>0</v>
      </c>
      <c r="F103" s="191">
        <f>E103*(1+0.07)^-($D103-Assumptions!$D$12)</f>
        <v>0</v>
      </c>
    </row>
    <row r="104" spans="3:6" ht="15.75" hidden="1" customHeight="1" outlineLevel="1" thickBot="1" x14ac:dyDescent="0.3">
      <c r="C104" s="229"/>
      <c r="D104" s="125">
        <f t="shared" si="3"/>
        <v>2050</v>
      </c>
      <c r="E104" s="190">
        <f>_xlfn.XLOOKUP($D104,'Capital Cost + RCV'!$B$6:$B$41,'Capital Cost + RCV'!$C$6:$C$41)</f>
        <v>0</v>
      </c>
      <c r="F104" s="191">
        <f>E104*(1+0.07)^-($D104-Assumptions!$D$12)</f>
        <v>0</v>
      </c>
    </row>
    <row r="105" spans="3:6" ht="15.75" hidden="1" customHeight="1" outlineLevel="1" thickBot="1" x14ac:dyDescent="0.3">
      <c r="C105" s="229"/>
      <c r="D105" s="125">
        <f t="shared" si="3"/>
        <v>2051</v>
      </c>
      <c r="E105" s="190">
        <f>_xlfn.XLOOKUP($D105,'Capital Cost + RCV'!$B$6:$B$41,'Capital Cost + RCV'!$C$6:$C$41)</f>
        <v>0</v>
      </c>
      <c r="F105" s="191">
        <f>E105*(1+0.07)^-($D105-Assumptions!$D$12)</f>
        <v>0</v>
      </c>
    </row>
    <row r="106" spans="3:6" ht="15.75" hidden="1" customHeight="1" outlineLevel="1" thickBot="1" x14ac:dyDescent="0.3">
      <c r="C106" s="229"/>
      <c r="D106" s="125">
        <f t="shared" si="3"/>
        <v>2052</v>
      </c>
      <c r="E106" s="190">
        <f>_xlfn.XLOOKUP($D106,'Capital Cost + RCV'!$B$6:$B$41,'Capital Cost + RCV'!$C$6:$C$41)</f>
        <v>0</v>
      </c>
      <c r="F106" s="191">
        <f>E106*(1+0.07)^-($D106-Assumptions!$D$12)</f>
        <v>0</v>
      </c>
    </row>
    <row r="107" spans="3:6" ht="15.75" hidden="1" customHeight="1" outlineLevel="1" thickBot="1" x14ac:dyDescent="0.3">
      <c r="C107" s="229"/>
      <c r="D107" s="125">
        <f t="shared" si="3"/>
        <v>2053</v>
      </c>
      <c r="E107" s="190">
        <f>_xlfn.XLOOKUP($D107,'Capital Cost + RCV'!$B$6:$B$41,'Capital Cost + RCV'!$C$6:$C$41)</f>
        <v>0</v>
      </c>
      <c r="F107" s="191">
        <f>E107*(1+0.07)^-($D107-Assumptions!$D$12)</f>
        <v>0</v>
      </c>
    </row>
    <row r="108" spans="3:6" ht="15.75" hidden="1" customHeight="1" outlineLevel="1" thickBot="1" x14ac:dyDescent="0.3">
      <c r="C108" s="229"/>
      <c r="D108" s="67">
        <f t="shared" si="3"/>
        <v>2054</v>
      </c>
      <c r="E108" s="190">
        <f>_xlfn.XLOOKUP($D108,'Capital Cost + RCV'!$B$6:$B$41,'Capital Cost + RCV'!$C$6:$C$41)</f>
        <v>0</v>
      </c>
      <c r="F108" s="191">
        <f>E108*(1+0.07)^-($D108-Assumptions!$D$12)</f>
        <v>0</v>
      </c>
    </row>
    <row r="109" spans="3:6" ht="15.75" hidden="1" customHeight="1" outlineLevel="1" thickBot="1" x14ac:dyDescent="0.3">
      <c r="C109" s="229"/>
      <c r="D109" s="67">
        <f t="shared" si="3"/>
        <v>2055</v>
      </c>
      <c r="E109" s="190">
        <f>_xlfn.XLOOKUP($D109,'Capital Cost + RCV'!$B$6:$B$41,'Capital Cost + RCV'!$C$6:$C$41)</f>
        <v>0</v>
      </c>
      <c r="F109" s="191">
        <f>E109*(1+0.07)^-($D109-Assumptions!$D$12)</f>
        <v>0</v>
      </c>
    </row>
    <row r="110" spans="3:6" ht="15.75" hidden="1" customHeight="1" outlineLevel="1" thickBot="1" x14ac:dyDescent="0.3">
      <c r="C110" s="229"/>
      <c r="D110" s="67">
        <f t="shared" si="3"/>
        <v>2056</v>
      </c>
      <c r="E110" s="190">
        <f>_xlfn.XLOOKUP($D110,'Capital Cost + RCV'!$B$6:$B$41,'Capital Cost + RCV'!$C$6:$C$41)</f>
        <v>0</v>
      </c>
      <c r="F110" s="191">
        <f>E110*(1+0.07)^-($D110-Assumptions!$D$12)</f>
        <v>0</v>
      </c>
    </row>
    <row r="111" spans="3:6" ht="15.75" hidden="1" customHeight="1" outlineLevel="1" thickBot="1" x14ac:dyDescent="0.3">
      <c r="C111" s="229"/>
      <c r="D111" s="67">
        <f t="shared" si="3"/>
        <v>2057</v>
      </c>
      <c r="E111" s="190">
        <f>_xlfn.XLOOKUP($D111,'Capital Cost + RCV'!$B$6:$B$41,'Capital Cost + RCV'!$C$6:$C$41)</f>
        <v>0</v>
      </c>
      <c r="F111" s="191">
        <f>E111*(1+0.07)^-($D111-Assumptions!$D$12)</f>
        <v>0</v>
      </c>
    </row>
    <row r="112" spans="3:6" ht="15.75" hidden="1" customHeight="1" outlineLevel="1" thickBot="1" x14ac:dyDescent="0.3">
      <c r="C112" s="229"/>
      <c r="D112" s="67">
        <f t="shared" si="3"/>
        <v>2058</v>
      </c>
      <c r="E112" s="190">
        <f>_xlfn.XLOOKUP($D112,'Capital Cost + RCV'!$B$6:$B$41,'Capital Cost + RCV'!$C$6:$C$41)</f>
        <v>0</v>
      </c>
      <c r="F112" s="191">
        <f>E112*(1+0.07)^-($D112-Assumptions!$D$12)</f>
        <v>0</v>
      </c>
    </row>
    <row r="113" spans="3:11" ht="15.75" hidden="1" customHeight="1" outlineLevel="1" thickBot="1" x14ac:dyDescent="0.3">
      <c r="C113" s="229"/>
      <c r="D113" s="67">
        <f t="shared" si="3"/>
        <v>2059</v>
      </c>
      <c r="E113" s="190">
        <f>_xlfn.XLOOKUP($D113,'Capital Cost + RCV'!$B$6:$B$41,'Capital Cost + RCV'!$C$6:$C$41)</f>
        <v>0</v>
      </c>
      <c r="F113" s="191">
        <f>E113*(1+0.07)^-($D113-Assumptions!$D$12)</f>
        <v>0</v>
      </c>
    </row>
    <row r="114" spans="3:11" ht="15.75" collapsed="1" thickBot="1" x14ac:dyDescent="0.3">
      <c r="C114" s="76"/>
      <c r="D114" s="31" t="s">
        <v>43</v>
      </c>
      <c r="E114" s="129">
        <f>SUM(E78:E113)</f>
        <v>59431258.184472822</v>
      </c>
      <c r="F114" s="130">
        <f>SUM(F78:F113)</f>
        <v>25770353.003042679</v>
      </c>
      <c r="G114" s="131"/>
    </row>
    <row r="115" spans="3:11" x14ac:dyDescent="0.25">
      <c r="C115" s="38"/>
      <c r="E115" s="126"/>
      <c r="F115" s="38"/>
      <c r="G115" s="131"/>
    </row>
    <row r="116" spans="3:11" ht="15.75" thickBot="1" x14ac:dyDescent="0.3">
      <c r="C116" s="19"/>
      <c r="D116" s="28" t="s">
        <v>12</v>
      </c>
      <c r="F116" s="19"/>
    </row>
    <row r="117" spans="3:11" ht="15.75" thickBot="1" x14ac:dyDescent="0.3">
      <c r="C117" s="19"/>
      <c r="D117" s="132"/>
      <c r="E117" s="6">
        <v>7.0000000000000007E-2</v>
      </c>
      <c r="F117" s="19"/>
    </row>
    <row r="118" spans="3:11" x14ac:dyDescent="0.25">
      <c r="C118" s="128"/>
      <c r="D118" s="4" t="s">
        <v>9</v>
      </c>
      <c r="E118" s="133">
        <f>J69</f>
        <v>28281846.156550236</v>
      </c>
      <c r="F118" s="128"/>
      <c r="G118" s="19"/>
      <c r="H118" s="19"/>
      <c r="I118" s="19"/>
      <c r="J118" s="19"/>
      <c r="K118" s="19"/>
    </row>
    <row r="119" spans="3:11" ht="15.75" thickBot="1" x14ac:dyDescent="0.3">
      <c r="D119" s="5" t="s">
        <v>10</v>
      </c>
      <c r="E119" s="134">
        <f>F114</f>
        <v>25770353.003042679</v>
      </c>
    </row>
    <row r="120" spans="3:11" ht="15.75" thickTop="1" x14ac:dyDescent="0.25">
      <c r="D120" s="20" t="s">
        <v>11</v>
      </c>
      <c r="E120" s="40">
        <f>E118/E119</f>
        <v>1.0974566841676956</v>
      </c>
    </row>
    <row r="121" spans="3:11" ht="15.75" thickBot="1" x14ac:dyDescent="0.3">
      <c r="D121" s="21" t="s">
        <v>31</v>
      </c>
      <c r="E121" s="135">
        <f>E118-E119</f>
        <v>2511493.1535075568</v>
      </c>
    </row>
    <row r="123" spans="3:11" x14ac:dyDescent="0.25">
      <c r="D123" s="126"/>
      <c r="E123" s="38"/>
    </row>
    <row r="124" spans="3:11" ht="15.75" thickBot="1" x14ac:dyDescent="0.3">
      <c r="D124" s="28" t="s">
        <v>75</v>
      </c>
    </row>
    <row r="125" spans="3:11" ht="15.75" thickBot="1" x14ac:dyDescent="0.3">
      <c r="D125" s="132"/>
      <c r="E125" s="6">
        <v>7.0000000000000007E-2</v>
      </c>
    </row>
    <row r="126" spans="3:11" x14ac:dyDescent="0.25">
      <c r="D126" s="4" t="s">
        <v>9</v>
      </c>
      <c r="E126" s="133">
        <f>MROUND(E118,50000)</f>
        <v>28300000</v>
      </c>
    </row>
    <row r="127" spans="3:11" ht="15.75" thickBot="1" x14ac:dyDescent="0.3">
      <c r="D127" s="5" t="s">
        <v>10</v>
      </c>
      <c r="E127" s="134">
        <f>MROUND(E119,50000)</f>
        <v>25750000</v>
      </c>
    </row>
    <row r="128" spans="3:11" ht="15.75" thickTop="1" x14ac:dyDescent="0.25">
      <c r="D128" s="20" t="s">
        <v>11</v>
      </c>
      <c r="E128" s="40">
        <f>E126/E127</f>
        <v>1.0990291262135923</v>
      </c>
    </row>
    <row r="129" spans="4:5" ht="15.75" thickBot="1" x14ac:dyDescent="0.3">
      <c r="D129" s="21" t="s">
        <v>31</v>
      </c>
      <c r="E129" s="135">
        <f>E126-E127</f>
        <v>2550000</v>
      </c>
    </row>
  </sheetData>
  <mergeCells count="14">
    <mergeCell ref="D5:E5"/>
    <mergeCell ref="G5:H5"/>
    <mergeCell ref="E6:E7"/>
    <mergeCell ref="I5:J5"/>
    <mergeCell ref="H6:H7"/>
    <mergeCell ref="F6:F7"/>
    <mergeCell ref="G6:G7"/>
    <mergeCell ref="I6:I7"/>
    <mergeCell ref="J6:J7"/>
    <mergeCell ref="C6:C7"/>
    <mergeCell ref="D6:D7"/>
    <mergeCell ref="D76:D77"/>
    <mergeCell ref="E76:E77"/>
    <mergeCell ref="F76:F77"/>
  </mergeCells>
  <pageMargins left="0.25" right="0.25" top="0.75" bottom="0.75" header="0.3" footer="0.3"/>
  <pageSetup paperSize="3" scale="6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520E9-F4E0-403F-9BD5-6F9596B40C12}">
  <sheetPr>
    <tabColor theme="6" tint="0.79998168889431442"/>
    <pageSetUpPr fitToPage="1"/>
  </sheetPr>
  <dimension ref="A2:Q65"/>
  <sheetViews>
    <sheetView view="pageBreakPreview" zoomScale="70" zoomScaleNormal="70" zoomScaleSheetLayoutView="70" workbookViewId="0"/>
  </sheetViews>
  <sheetFormatPr defaultColWidth="9.140625" defaultRowHeight="15" x14ac:dyDescent="0.25"/>
  <cols>
    <col min="1" max="1" width="3.7109375" customWidth="1"/>
    <col min="2" max="8" width="15.7109375" customWidth="1"/>
    <col min="9" max="9" width="5.7109375" customWidth="1"/>
    <col min="10" max="10" width="35" customWidth="1"/>
    <col min="11" max="12" width="20.7109375" customWidth="1"/>
    <col min="15" max="15" width="14" customWidth="1"/>
    <col min="16" max="16" width="20.5703125" customWidth="1"/>
  </cols>
  <sheetData>
    <row r="2" spans="2:17" x14ac:dyDescent="0.25">
      <c r="B2" s="1" t="s">
        <v>104</v>
      </c>
      <c r="C2" s="1"/>
      <c r="D2" s="1"/>
      <c r="E2" s="1"/>
      <c r="F2" s="1"/>
      <c r="G2" s="1"/>
    </row>
    <row r="3" spans="2:17" x14ac:dyDescent="0.25">
      <c r="B3" s="1"/>
      <c r="C3" s="1"/>
      <c r="D3" s="1"/>
      <c r="E3" s="1"/>
      <c r="F3" s="1"/>
      <c r="G3" s="1"/>
    </row>
    <row r="4" spans="2:17" ht="15.75" thickBot="1" x14ac:dyDescent="0.3">
      <c r="K4" s="14"/>
    </row>
    <row r="5" spans="2:17" ht="35.1" customHeight="1" x14ac:dyDescent="0.25">
      <c r="B5" s="316" t="s">
        <v>0</v>
      </c>
      <c r="C5" s="324" t="s">
        <v>568</v>
      </c>
      <c r="D5" s="318" t="s">
        <v>569</v>
      </c>
      <c r="E5" s="324" t="s">
        <v>570</v>
      </c>
      <c r="F5" s="318" t="s">
        <v>571</v>
      </c>
      <c r="G5" s="320" t="s">
        <v>28</v>
      </c>
      <c r="H5" s="322" t="s">
        <v>1</v>
      </c>
      <c r="J5" s="28"/>
    </row>
    <row r="6" spans="2:17" ht="43.5" customHeight="1" thickBot="1" x14ac:dyDescent="0.3">
      <c r="B6" s="317"/>
      <c r="C6" s="325"/>
      <c r="D6" s="319"/>
      <c r="E6" s="325"/>
      <c r="F6" s="319"/>
      <c r="G6" s="321"/>
      <c r="H6" s="323"/>
      <c r="J6" s="1" t="s">
        <v>50</v>
      </c>
      <c r="K6" s="1"/>
      <c r="L6" s="1"/>
      <c r="Q6" s="1"/>
    </row>
    <row r="7" spans="2:17" ht="18" customHeight="1" x14ac:dyDescent="0.25">
      <c r="B7" s="261">
        <f>Assumptions!$D$15</f>
        <v>2038</v>
      </c>
      <c r="C7" s="266">
        <f>IF(B7&lt;=Assumptions!$D$16,TREND($K$30:$K$31,$J$30:$J$31,B7),0)</f>
        <v>295889.5988637954</v>
      </c>
      <c r="D7" s="246">
        <f>C7*$K$23</f>
        <v>9398480.839959139</v>
      </c>
      <c r="E7" s="266">
        <f>IF(B7&lt;=Assumptions!$D$16,TREND($L$30:$L$31,$J$30:$J$31,B7),0)</f>
        <v>242091.48997946829</v>
      </c>
      <c r="F7" s="246">
        <f>E7*$K$23</f>
        <v>7689666.1417847285</v>
      </c>
      <c r="G7" s="266">
        <f>D7-F7</f>
        <v>1708814.6981744105</v>
      </c>
      <c r="H7" s="246">
        <f>G7*(1+0.07)^-($B7-Assumptions!$D$12)</f>
        <v>540966.9714906764</v>
      </c>
      <c r="J7" s="24" t="s">
        <v>191</v>
      </c>
      <c r="K7" s="245">
        <f>Assumptions!$D$27</f>
        <v>18.8</v>
      </c>
    </row>
    <row r="8" spans="2:17" x14ac:dyDescent="0.25">
      <c r="B8" s="262">
        <f t="shared" ref="B8:B36" si="0">B7+1</f>
        <v>2039</v>
      </c>
      <c r="C8" s="264">
        <f>IF(B8&lt;=Assumptions!$D$16,TREND($K$30:$K$31,$J$30:$J$31,B8),0)</f>
        <v>301713.25706120208</v>
      </c>
      <c r="D8" s="267">
        <f t="shared" ref="D8:D36" si="1">C8*$K$23</f>
        <v>9583460.4411244802</v>
      </c>
      <c r="E8" s="264">
        <f>IF(B8&lt;=Assumptions!$D$16,TREND($L$30:$L$31,$J$30:$J$31,B8),0)</f>
        <v>246856.30123189092</v>
      </c>
      <c r="F8" s="267">
        <f t="shared" ref="F8:F36" si="2">E8*$K$23</f>
        <v>7841013.0881927023</v>
      </c>
      <c r="G8" s="264">
        <f t="shared" ref="G8:G36" si="3">D8-F8</f>
        <v>1742447.3529317779</v>
      </c>
      <c r="H8" s="267">
        <f>G8*(1+0.07)^-($B8-Assumptions!$D$12)</f>
        <v>515527.2978225979</v>
      </c>
      <c r="J8" s="24" t="s">
        <v>190</v>
      </c>
      <c r="K8" s="245">
        <f>Assumptions!$D$28</f>
        <v>34</v>
      </c>
      <c r="L8" s="3"/>
    </row>
    <row r="9" spans="2:17" x14ac:dyDescent="0.25">
      <c r="B9" s="262">
        <f t="shared" si="0"/>
        <v>2040</v>
      </c>
      <c r="C9" s="264">
        <f>IF(B9&lt;=Assumptions!$D$16,TREND($K$30:$K$31,$J$30:$J$31,B9),0)</f>
        <v>307536.91525860876</v>
      </c>
      <c r="D9" s="267">
        <f t="shared" si="1"/>
        <v>9768440.0422898214</v>
      </c>
      <c r="E9" s="264">
        <f>IF(B9&lt;=Assumptions!$D$16,TREND($L$30:$L$31,$J$30:$J$31,B9),0)</f>
        <v>251621.11248431541</v>
      </c>
      <c r="F9" s="267">
        <f t="shared" si="2"/>
        <v>7992360.0346007356</v>
      </c>
      <c r="G9" s="264">
        <f t="shared" si="3"/>
        <v>1776080.0076890858</v>
      </c>
      <c r="H9" s="267">
        <f>G9*(1+0.07)^-($B9-Assumptions!$D$12)</f>
        <v>491100.92221998808</v>
      </c>
      <c r="I9" s="15"/>
      <c r="J9" s="14"/>
      <c r="K9" s="244"/>
      <c r="L9" s="3"/>
    </row>
    <row r="10" spans="2:17" ht="14.25" customHeight="1" x14ac:dyDescent="0.25">
      <c r="B10" s="262">
        <f t="shared" si="0"/>
        <v>2041</v>
      </c>
      <c r="C10" s="264">
        <f>IF(B10&lt;=Assumptions!$D$16,TREND($K$30:$K$31,$J$30:$J$31,B10),0)</f>
        <v>313360.57345601544</v>
      </c>
      <c r="D10" s="267">
        <f t="shared" si="1"/>
        <v>9953419.6434551626</v>
      </c>
      <c r="E10" s="264">
        <f>IF(B10&lt;=Assumptions!$D$16,TREND($L$30:$L$31,$J$30:$J$31,B10),0)</f>
        <v>256385.92373673804</v>
      </c>
      <c r="F10" s="267">
        <f t="shared" si="2"/>
        <v>8143706.9810087094</v>
      </c>
      <c r="G10" s="264">
        <f t="shared" si="3"/>
        <v>1809712.6624464532</v>
      </c>
      <c r="H10" s="267">
        <f>G10*(1+0.07)^-($B10-Assumptions!$D$12)</f>
        <v>467664.14160904381</v>
      </c>
      <c r="J10" s="313" t="s">
        <v>51</v>
      </c>
      <c r="K10" s="313"/>
    </row>
    <row r="11" spans="2:17" x14ac:dyDescent="0.25">
      <c r="B11" s="262">
        <f t="shared" si="0"/>
        <v>2042</v>
      </c>
      <c r="C11" s="264">
        <f>IF(B11&lt;=Assumptions!$D$16,TREND($K$30:$K$31,$J$30:$J$31,B11),0)</f>
        <v>319184.23165342212</v>
      </c>
      <c r="D11" s="267">
        <f t="shared" si="1"/>
        <v>10138399.244620504</v>
      </c>
      <c r="E11" s="264">
        <f>IF(B11&lt;=Assumptions!$D$16,TREND($L$30:$L$31,$J$30:$J$31,B11),0)</f>
        <v>261150.73498916253</v>
      </c>
      <c r="F11" s="267">
        <f t="shared" si="2"/>
        <v>8295053.9274167428</v>
      </c>
      <c r="G11" s="264">
        <f t="shared" si="3"/>
        <v>1843345.3172037611</v>
      </c>
      <c r="H11" s="267">
        <f>G11*(1+0.07)^-($B11-Assumptions!$D$12)</f>
        <v>445192.01748916862</v>
      </c>
      <c r="J11" s="24" t="s">
        <v>48</v>
      </c>
      <c r="K11" s="242">
        <f>Assumptions!$D$21</f>
        <v>0.85888191334760455</v>
      </c>
      <c r="L11" s="243"/>
    </row>
    <row r="12" spans="2:17" x14ac:dyDescent="0.25">
      <c r="B12" s="262">
        <f t="shared" si="0"/>
        <v>2043</v>
      </c>
      <c r="C12" s="264">
        <f>IF(B12&lt;=Assumptions!$D$16,TREND($K$30:$K$31,$J$30:$J$31,B12),0)</f>
        <v>325007.8898508288</v>
      </c>
      <c r="D12" s="267">
        <f t="shared" si="1"/>
        <v>10323378.845785843</v>
      </c>
      <c r="E12" s="264">
        <f>IF(B12&lt;=Assumptions!$D$16,TREND($L$30:$L$31,$J$30:$J$31,B12),0)</f>
        <v>265915.54624158517</v>
      </c>
      <c r="F12" s="267">
        <f t="shared" si="2"/>
        <v>8446400.8738247175</v>
      </c>
      <c r="G12" s="264">
        <f t="shared" si="3"/>
        <v>1876977.9719611257</v>
      </c>
      <c r="H12" s="267">
        <f>G12*(1+0.07)^-($B12-Assumptions!$D$12)</f>
        <v>423658.63902331359</v>
      </c>
      <c r="J12" s="24" t="s">
        <v>46</v>
      </c>
      <c r="K12" s="242">
        <f>Assumptions!$D$20</f>
        <v>0.14111808665239542</v>
      </c>
      <c r="L12" s="241"/>
    </row>
    <row r="13" spans="2:17" x14ac:dyDescent="0.25">
      <c r="B13" s="262">
        <f t="shared" si="0"/>
        <v>2044</v>
      </c>
      <c r="C13" s="264">
        <f>IF(B13&lt;=Assumptions!$D$16,TREND($K$30:$K$31,$J$30:$J$31,B13),0)</f>
        <v>330831.54804823548</v>
      </c>
      <c r="D13" s="267">
        <f t="shared" si="1"/>
        <v>10508358.446951184</v>
      </c>
      <c r="E13" s="264">
        <f>IF(B13&lt;=Assumptions!$D$16,TREND($L$30:$L$31,$J$30:$J$31,B13),0)</f>
        <v>270680.35749400966</v>
      </c>
      <c r="F13" s="267">
        <f t="shared" si="2"/>
        <v>8597747.8202327508</v>
      </c>
      <c r="G13" s="264">
        <f t="shared" si="3"/>
        <v>1910610.6267184336</v>
      </c>
      <c r="H13" s="267">
        <f>G13*(1+0.07)^-($B13-Assumptions!$D$12)</f>
        <v>403037.356992496</v>
      </c>
      <c r="J13" s="14"/>
      <c r="K13" s="237"/>
    </row>
    <row r="14" spans="2:17" ht="15" customHeight="1" x14ac:dyDescent="0.25">
      <c r="B14" s="262">
        <f t="shared" si="0"/>
        <v>2045</v>
      </c>
      <c r="C14" s="264">
        <f>IF(B14&lt;=Assumptions!$D$16,TREND($K$30:$K$31,$J$30:$J$31,B14),0)</f>
        <v>336655.20624564216</v>
      </c>
      <c r="D14" s="267">
        <f t="shared" si="1"/>
        <v>10693338.048116526</v>
      </c>
      <c r="E14" s="264">
        <f>IF(B14&lt;=Assumptions!$D$16,TREND($L$30:$L$31,$J$30:$J$31,B14),0)</f>
        <v>275445.16874643229</v>
      </c>
      <c r="F14" s="267">
        <f t="shared" si="2"/>
        <v>8749094.7666407246</v>
      </c>
      <c r="G14" s="264">
        <f t="shared" si="3"/>
        <v>1944243.281475801</v>
      </c>
      <c r="H14" s="267">
        <f>G14*(1+0.07)^-($B14-Assumptions!$D$12)</f>
        <v>383300.99130111048</v>
      </c>
      <c r="J14" s="314" t="s">
        <v>52</v>
      </c>
      <c r="K14" s="314"/>
    </row>
    <row r="15" spans="2:17" x14ac:dyDescent="0.25">
      <c r="B15" s="262">
        <f t="shared" si="0"/>
        <v>2046</v>
      </c>
      <c r="C15" s="264">
        <f>IF(B15&lt;=Assumptions!$D$16,TREND($K$30:$K$31,$J$30:$J$31,B15),0)</f>
        <v>342478.86444304883</v>
      </c>
      <c r="D15" s="267">
        <f t="shared" si="1"/>
        <v>10878317.649281867</v>
      </c>
      <c r="E15" s="264">
        <f>IF(B15&lt;=Assumptions!$D$16,TREND($L$30:$L$31,$J$30:$J$31,B15),0)</f>
        <v>280209.97999885678</v>
      </c>
      <c r="F15" s="267">
        <f t="shared" si="2"/>
        <v>8900441.713048758</v>
      </c>
      <c r="G15" s="264">
        <f t="shared" si="3"/>
        <v>1977875.9362331089</v>
      </c>
      <c r="H15" s="267">
        <f>G15*(1+0.07)^-($B15-Assumptions!$D$12)</f>
        <v>364422.01449197985</v>
      </c>
      <c r="J15" s="24" t="s">
        <v>49</v>
      </c>
      <c r="K15" s="240">
        <f>[12]Assumptions!$D$39</f>
        <v>1.67</v>
      </c>
      <c r="L15" s="41"/>
    </row>
    <row r="16" spans="2:17" x14ac:dyDescent="0.25">
      <c r="B16" s="262">
        <f t="shared" si="0"/>
        <v>2047</v>
      </c>
      <c r="C16" s="264">
        <f>IF(B16&lt;=Assumptions!$D$16,TREND($K$30:$K$31,$J$30:$J$31,B16),0)</f>
        <v>348302.52264045551</v>
      </c>
      <c r="D16" s="267">
        <f t="shared" si="1"/>
        <v>11063297.250447208</v>
      </c>
      <c r="E16" s="264">
        <f>IF(B16&lt;=Assumptions!$D$16,TREND($L$30:$L$31,$J$30:$J$31,B16),0)</f>
        <v>284974.79125127941</v>
      </c>
      <c r="F16" s="267">
        <f t="shared" si="2"/>
        <v>9051788.6594567318</v>
      </c>
      <c r="G16" s="264">
        <f t="shared" si="3"/>
        <v>2011508.5909904763</v>
      </c>
      <c r="H16" s="267">
        <f>G16*(1+0.07)^-($B16-Assumptions!$D$12)</f>
        <v>346372.71352234983</v>
      </c>
      <c r="J16" s="24" t="s">
        <v>27</v>
      </c>
      <c r="K16" s="240">
        <f>[12]Assumptions!$D$40</f>
        <v>1</v>
      </c>
    </row>
    <row r="17" spans="2:13" x14ac:dyDescent="0.25">
      <c r="B17" s="262">
        <f t="shared" si="0"/>
        <v>2048</v>
      </c>
      <c r="C17" s="264">
        <f>IF(B17&lt;=Assumptions!$D$16,TREND($K$30:$K$31,$J$30:$J$31,B17),0)</f>
        <v>354126.18083786219</v>
      </c>
      <c r="D17" s="267">
        <f t="shared" si="1"/>
        <v>11248276.851612549</v>
      </c>
      <c r="E17" s="264">
        <f>IF(B17&lt;=Assumptions!$D$16,TREND($L$30:$L$31,$J$30:$J$31,B17),0)</f>
        <v>289739.60250370391</v>
      </c>
      <c r="F17" s="267">
        <f t="shared" si="2"/>
        <v>9203135.6058647651</v>
      </c>
      <c r="G17" s="264">
        <f t="shared" si="3"/>
        <v>2045141.2457477842</v>
      </c>
      <c r="H17" s="267">
        <f>G17*(1+0.07)^-($B17-Assumptions!$D$12)</f>
        <v>329125.33185940923</v>
      </c>
      <c r="L17" s="3"/>
    </row>
    <row r="18" spans="2:13" x14ac:dyDescent="0.25">
      <c r="B18" s="262">
        <f t="shared" si="0"/>
        <v>2049</v>
      </c>
      <c r="C18" s="264">
        <f>IF(B18&lt;=Assumptions!$D$16,TREND($K$30:$K$31,$J$30:$J$31,B18),0)</f>
        <v>359949.83903526887</v>
      </c>
      <c r="D18" s="267">
        <f t="shared" si="1"/>
        <v>11433256.45277789</v>
      </c>
      <c r="E18" s="264">
        <f>IF(B18&lt;=Assumptions!$D$16,TREND($L$30:$L$31,$J$30:$J$31,B18),0)</f>
        <v>294504.4137561284</v>
      </c>
      <c r="F18" s="267">
        <f t="shared" si="2"/>
        <v>9354482.5522727985</v>
      </c>
      <c r="G18" s="264">
        <f t="shared" si="3"/>
        <v>2078773.900505092</v>
      </c>
      <c r="H18" s="267">
        <f>G18*(1+0.07)^-($B18-Assumptions!$D$12)</f>
        <v>312652.1937783091</v>
      </c>
      <c r="J18" s="314" t="s">
        <v>572</v>
      </c>
      <c r="K18" s="314"/>
      <c r="L18" s="3"/>
    </row>
    <row r="19" spans="2:13" x14ac:dyDescent="0.25">
      <c r="B19" s="262">
        <f t="shared" si="0"/>
        <v>2050</v>
      </c>
      <c r="C19" s="264">
        <f>IF(B19&lt;=Assumptions!$D$16,TREND($K$30:$K$31,$J$30:$J$31,B19),0)</f>
        <v>365773.49723267555</v>
      </c>
      <c r="D19" s="267">
        <f t="shared" si="1"/>
        <v>11618236.053943232</v>
      </c>
      <c r="E19" s="264">
        <f>IF(B19&lt;=Assumptions!$D$16,TREND($L$30:$L$31,$J$30:$J$31,B19),0)</f>
        <v>299269.22500855103</v>
      </c>
      <c r="F19" s="267">
        <f t="shared" si="2"/>
        <v>9505829.4986807723</v>
      </c>
      <c r="G19" s="264">
        <f t="shared" si="3"/>
        <v>2112406.5552624594</v>
      </c>
      <c r="H19" s="267">
        <f>G19*(1+0.07)^-($B19-Assumptions!$D$12)</f>
        <v>296925.8125829171</v>
      </c>
      <c r="J19" s="23">
        <f>Assumptions!$C$31</f>
        <v>2021</v>
      </c>
      <c r="K19" s="258">
        <f>'Traffic Data - Project AADT'!$D$25</f>
        <v>753.84441656210788</v>
      </c>
      <c r="L19" s="238"/>
    </row>
    <row r="20" spans="2:13" x14ac:dyDescent="0.25">
      <c r="B20" s="262">
        <f t="shared" si="0"/>
        <v>2051</v>
      </c>
      <c r="C20" s="264">
        <f>IF(B20&lt;=Assumptions!$D$16,TREND($K$30:$K$31,$J$30:$J$31,B20),0)</f>
        <v>371597.15543008223</v>
      </c>
      <c r="D20" s="267">
        <f t="shared" si="1"/>
        <v>11803215.655108573</v>
      </c>
      <c r="E20" s="264">
        <f>IF(B20&lt;=Assumptions!$D$16,TREND($L$30:$L$31,$J$30:$J$31,B20),0)</f>
        <v>304034.03626097552</v>
      </c>
      <c r="F20" s="267">
        <f t="shared" si="2"/>
        <v>9657176.4450888056</v>
      </c>
      <c r="G20" s="264">
        <f t="shared" si="3"/>
        <v>2146039.2100197673</v>
      </c>
      <c r="H20" s="267">
        <f>G20*(1+0.07)^-($B20-Assumptions!$D$12)</f>
        <v>281918.98432101012</v>
      </c>
      <c r="J20" s="23">
        <f>Assumptions!$C$32</f>
        <v>2041</v>
      </c>
      <c r="K20" s="258">
        <f>'Traffic Data - Project AADT'!$D$26</f>
        <v>1199.7979924717692</v>
      </c>
      <c r="M20" s="236"/>
    </row>
    <row r="21" spans="2:13" ht="14.25" customHeight="1" x14ac:dyDescent="0.25">
      <c r="B21" s="262">
        <f t="shared" si="0"/>
        <v>2052</v>
      </c>
      <c r="C21" s="264">
        <f>IF(B21&lt;=Assumptions!$D$16,TREND($K$30:$K$31,$J$30:$J$31,B21),0)</f>
        <v>377420.81362748891</v>
      </c>
      <c r="D21" s="267">
        <f t="shared" si="1"/>
        <v>11988195.256273914</v>
      </c>
      <c r="E21" s="264">
        <f>IF(B21&lt;=Assumptions!$D$16,TREND($L$30:$L$31,$J$30:$J$31,B21),0)</f>
        <v>308798.84751339816</v>
      </c>
      <c r="F21" s="267">
        <f t="shared" si="2"/>
        <v>9808523.3914967794</v>
      </c>
      <c r="G21" s="264">
        <f t="shared" si="3"/>
        <v>2179671.8647771347</v>
      </c>
      <c r="H21" s="267">
        <f>G21*(1+0.07)^-($B21-Assumptions!$D$12)</f>
        <v>267604.86842872994</v>
      </c>
    </row>
    <row r="22" spans="2:13" x14ac:dyDescent="0.25">
      <c r="B22" s="262">
        <f t="shared" si="0"/>
        <v>2053</v>
      </c>
      <c r="C22" s="264">
        <f>IF(B22&lt;=Assumptions!$D$16,TREND($K$30:$K$31,$J$30:$J$31,B22),0)</f>
        <v>383244.47182489559</v>
      </c>
      <c r="D22" s="267">
        <f t="shared" si="1"/>
        <v>12173174.857439255</v>
      </c>
      <c r="E22" s="264">
        <f>IF(B22&lt;=Assumptions!$D$16,TREND($L$30:$L$31,$J$30:$J$31,B22),0)</f>
        <v>313563.65876582265</v>
      </c>
      <c r="F22" s="267">
        <f t="shared" si="2"/>
        <v>9959870.3379048128</v>
      </c>
      <c r="G22" s="264">
        <f t="shared" si="3"/>
        <v>2213304.5195344426</v>
      </c>
      <c r="H22" s="267">
        <f>G22*(1+0.07)^-($B22-Assumptions!$D$12)</f>
        <v>253957.05661321004</v>
      </c>
      <c r="J22" s="28" t="s">
        <v>573</v>
      </c>
      <c r="K22" s="3"/>
    </row>
    <row r="23" spans="2:13" x14ac:dyDescent="0.25">
      <c r="B23" s="262">
        <f t="shared" si="0"/>
        <v>2054</v>
      </c>
      <c r="C23" s="264">
        <f>IF(B23&lt;=Assumptions!$D$16,TREND($K$30:$K$31,$J$30:$J$31,B23),0)</f>
        <v>389068.13002230227</v>
      </c>
      <c r="D23" s="267">
        <f t="shared" si="1"/>
        <v>12358154.458604597</v>
      </c>
      <c r="E23" s="264">
        <f>IF(B23&lt;=Assumptions!$D$16,TREND($L$30:$L$31,$J$30:$J$31,B23),0)</f>
        <v>318328.47001824528</v>
      </c>
      <c r="F23" s="267">
        <f t="shared" si="2"/>
        <v>10111217.284312787</v>
      </c>
      <c r="G23" s="264">
        <f t="shared" si="3"/>
        <v>2246937.17429181</v>
      </c>
      <c r="H23" s="267">
        <f>G23*(1+0.07)^-($B23-Assumptions!$D$12)</f>
        <v>240949.63116739181</v>
      </c>
      <c r="J23" s="22" t="s">
        <v>189</v>
      </c>
      <c r="K23" s="239">
        <f>$K$7*$K$11*$K$15+$K$8*$K$12*$K$16</f>
        <v>31.76347149764284</v>
      </c>
    </row>
    <row r="24" spans="2:13" x14ac:dyDescent="0.25">
      <c r="B24" s="262">
        <f t="shared" si="0"/>
        <v>2055</v>
      </c>
      <c r="C24" s="264">
        <f>IF(B24&lt;=Assumptions!$D$16,TREND($K$30:$K$31,$J$30:$J$31,B24),0)</f>
        <v>394891.78821970895</v>
      </c>
      <c r="D24" s="267">
        <f t="shared" si="1"/>
        <v>12543134.059769938</v>
      </c>
      <c r="E24" s="264">
        <f>IF(B24&lt;=Assumptions!$D$16,TREND($L$30:$L$31,$J$30:$J$31,B24),0)</f>
        <v>323093.28127066977</v>
      </c>
      <c r="F24" s="267">
        <f t="shared" si="2"/>
        <v>10262564.23072082</v>
      </c>
      <c r="G24" s="264">
        <f t="shared" si="3"/>
        <v>2280569.8290491179</v>
      </c>
      <c r="H24" s="267">
        <f>G24*(1+0.07)^-($B24-Assumptions!$D$12)</f>
        <v>228557.2138047005</v>
      </c>
    </row>
    <row r="25" spans="2:13" x14ac:dyDescent="0.25">
      <c r="B25" s="262">
        <f t="shared" si="0"/>
        <v>2056</v>
      </c>
      <c r="C25" s="264">
        <f>IF(B25&lt;=Assumptions!$D$16,TREND($K$30:$K$31,$J$30:$J$31,B25),0)</f>
        <v>400715.44641711563</v>
      </c>
      <c r="D25" s="267">
        <f t="shared" si="1"/>
        <v>12728113.660935279</v>
      </c>
      <c r="E25" s="264">
        <f>IF(B25&lt;=Assumptions!$D$16,TREND($L$30:$L$31,$J$30:$J$31,B25),0)</f>
        <v>327858.0925230924</v>
      </c>
      <c r="F25" s="267">
        <f t="shared" si="2"/>
        <v>10413911.177128796</v>
      </c>
      <c r="G25" s="264">
        <f t="shared" si="3"/>
        <v>2314202.4838064834</v>
      </c>
      <c r="H25" s="267">
        <f>G25*(1+0.07)^-($B25-Assumptions!$D$12)</f>
        <v>216755.00600460597</v>
      </c>
      <c r="J25" s="28" t="s">
        <v>574</v>
      </c>
      <c r="K25" s="23" t="s">
        <v>100</v>
      </c>
      <c r="L25" s="23" t="s">
        <v>13</v>
      </c>
    </row>
    <row r="26" spans="2:13" ht="15" customHeight="1" x14ac:dyDescent="0.25">
      <c r="B26" s="262">
        <f t="shared" si="0"/>
        <v>2057</v>
      </c>
      <c r="C26" s="264">
        <f>IF(B26&lt;=Assumptions!$D$16,TREND($K$30:$K$31,$J$30:$J$31,B26),0)</f>
        <v>406539.10461452231</v>
      </c>
      <c r="D26" s="267">
        <f t="shared" si="1"/>
        <v>12913093.26210062</v>
      </c>
      <c r="E26" s="264">
        <f>IF(B26&lt;=Assumptions!$D$16,TREND($L$30:$L$31,$J$30:$J$31,B26),0)</f>
        <v>332622.9037755169</v>
      </c>
      <c r="F26" s="267">
        <f t="shared" si="2"/>
        <v>10565258.123536827</v>
      </c>
      <c r="G26" s="264">
        <f t="shared" si="3"/>
        <v>2347835.1385637932</v>
      </c>
      <c r="H26" s="267">
        <f>G26*(1+0.07)^-($B26-Assumptions!$D$12)</f>
        <v>205518.82177059195</v>
      </c>
      <c r="J26" s="260" t="s">
        <v>567</v>
      </c>
      <c r="K26" s="259">
        <v>45</v>
      </c>
      <c r="L26" s="259">
        <v>55</v>
      </c>
    </row>
    <row r="27" spans="2:13" ht="15" customHeight="1" x14ac:dyDescent="0.25">
      <c r="B27" s="262">
        <f t="shared" si="0"/>
        <v>2058</v>
      </c>
      <c r="C27" s="264">
        <f>IF(B27&lt;=Assumptions!$D$16,TREND($K$30:$K$31,$J$30:$J$31,B27),0)</f>
        <v>0</v>
      </c>
      <c r="D27" s="267">
        <f t="shared" si="1"/>
        <v>0</v>
      </c>
      <c r="E27" s="264">
        <f>IF(B27&lt;=Assumptions!$D$16,TREND($L$30:$L$31,$J$30:$J$31,B27),0)</f>
        <v>0</v>
      </c>
      <c r="F27" s="267">
        <f t="shared" si="2"/>
        <v>0</v>
      </c>
      <c r="G27" s="264">
        <f t="shared" si="3"/>
        <v>0</v>
      </c>
      <c r="H27" s="267">
        <f>G27*(1+0.07)^-($B27-Assumptions!$D$12)</f>
        <v>0</v>
      </c>
    </row>
    <row r="28" spans="2:13" ht="15" customHeight="1" x14ac:dyDescent="0.25">
      <c r="B28" s="262">
        <f t="shared" si="0"/>
        <v>2059</v>
      </c>
      <c r="C28" s="264">
        <f>IF(B28&lt;=Assumptions!$D$16,TREND($K$30:$K$31,$J$30:$J$31,B28),0)</f>
        <v>0</v>
      </c>
      <c r="D28" s="267">
        <f t="shared" si="1"/>
        <v>0</v>
      </c>
      <c r="E28" s="264">
        <f>IF(B28&lt;=Assumptions!$D$16,TREND($L$30:$L$31,$J$30:$J$31,B28),0)</f>
        <v>0</v>
      </c>
      <c r="F28" s="267">
        <f t="shared" si="2"/>
        <v>0</v>
      </c>
      <c r="G28" s="264">
        <f t="shared" si="3"/>
        <v>0</v>
      </c>
      <c r="H28" s="267">
        <f>G28*(1+0.07)^-($B28-Assumptions!$D$12)</f>
        <v>0</v>
      </c>
    </row>
    <row r="29" spans="2:13" ht="15" customHeight="1" x14ac:dyDescent="0.25">
      <c r="B29" s="262">
        <f t="shared" si="0"/>
        <v>2060</v>
      </c>
      <c r="C29" s="264">
        <f>IF(B29&lt;=Assumptions!$D$16,TREND($K$30:$K$31,$J$30:$J$31,B29),0)</f>
        <v>0</v>
      </c>
      <c r="D29" s="267">
        <f t="shared" si="1"/>
        <v>0</v>
      </c>
      <c r="E29" s="264">
        <f>IF(B29&lt;=Assumptions!$D$16,TREND($L$30:$L$31,$J$30:$J$31,B29),0)</f>
        <v>0</v>
      </c>
      <c r="F29" s="267">
        <f t="shared" si="2"/>
        <v>0</v>
      </c>
      <c r="G29" s="264">
        <f t="shared" si="3"/>
        <v>0</v>
      </c>
      <c r="H29" s="267">
        <f>G29*(1+0.07)^-($B29-Assumptions!$D$12)</f>
        <v>0</v>
      </c>
      <c r="J29" s="28" t="s">
        <v>575</v>
      </c>
      <c r="K29" s="23" t="s">
        <v>100</v>
      </c>
      <c r="L29" s="23" t="s">
        <v>13</v>
      </c>
      <c r="M29" s="1"/>
    </row>
    <row r="30" spans="2:13" ht="15" customHeight="1" x14ac:dyDescent="0.25">
      <c r="B30" s="262">
        <f t="shared" si="0"/>
        <v>2061</v>
      </c>
      <c r="C30" s="264">
        <f>IF(B30&lt;=Assumptions!$D$16,TREND($K$30:$K$31,$J$30:$J$31,B30),0)</f>
        <v>0</v>
      </c>
      <c r="D30" s="267">
        <f t="shared" si="1"/>
        <v>0</v>
      </c>
      <c r="E30" s="264">
        <f>IF(B30&lt;=Assumptions!$D$16,TREND($L$30:$L$31,$J$30:$J$31,B30),0)</f>
        <v>0</v>
      </c>
      <c r="F30" s="267">
        <f t="shared" si="2"/>
        <v>0</v>
      </c>
      <c r="G30" s="264">
        <f t="shared" si="3"/>
        <v>0</v>
      </c>
      <c r="H30" s="267">
        <f>G30*(1+0.07)^-($B30-Assumptions!$D$12)</f>
        <v>0</v>
      </c>
      <c r="J30" s="285">
        <f>Assumptions!$D$15</f>
        <v>2038</v>
      </c>
      <c r="K30" s="258">
        <f>(Assumptions!$D$33/'Travel Time Benefits'!$K$26)*(TREND($K$19:$K$20,$J$19:$J$20,J30)*365)</f>
        <v>295889.59886379581</v>
      </c>
      <c r="L30" s="258">
        <f>(Assumptions!$D$33/'Travel Time Benefits'!$L$26)*(TREND($K$19:$K$20,$J$19:$J$20,J30)*365)</f>
        <v>242091.4899794693</v>
      </c>
      <c r="M30" s="1"/>
    </row>
    <row r="31" spans="2:13" ht="15.75" customHeight="1" x14ac:dyDescent="0.25">
      <c r="B31" s="262">
        <f t="shared" si="0"/>
        <v>2062</v>
      </c>
      <c r="C31" s="264">
        <f>IF(B31&lt;=Assumptions!$D$16,TREND($K$30:$K$31,$J$30:$J$31,B31),0)</f>
        <v>0</v>
      </c>
      <c r="D31" s="267">
        <f t="shared" si="1"/>
        <v>0</v>
      </c>
      <c r="E31" s="264">
        <f>IF(B31&lt;=Assumptions!$D$16,TREND($L$30:$L$31,$J$30:$J$31,B31),0)</f>
        <v>0</v>
      </c>
      <c r="F31" s="267">
        <f t="shared" si="2"/>
        <v>0</v>
      </c>
      <c r="G31" s="264">
        <f t="shared" si="3"/>
        <v>0</v>
      </c>
      <c r="H31" s="267">
        <f>G31*(1+0.07)^-($B31-Assumptions!$D$12)</f>
        <v>0</v>
      </c>
      <c r="J31" s="23">
        <f>Assumptions!$C$32</f>
        <v>2041</v>
      </c>
      <c r="K31" s="258">
        <f>(Assumptions!$D$33/'Travel Time Benefits'!$K$26)*K20*365</f>
        <v>313360.57345601567</v>
      </c>
      <c r="L31" s="258">
        <f>(Assumptions!$D$33/'Travel Time Benefits'!$L$26)*K20*365</f>
        <v>256385.92373674014</v>
      </c>
      <c r="M31" s="1"/>
    </row>
    <row r="32" spans="2:13" ht="15" customHeight="1" x14ac:dyDescent="0.25">
      <c r="B32" s="262">
        <f t="shared" si="0"/>
        <v>2063</v>
      </c>
      <c r="C32" s="264">
        <f>IF(B32&lt;=Assumptions!$D$16,TREND($K$30:$K$31,$J$30:$J$31,B32),0)</f>
        <v>0</v>
      </c>
      <c r="D32" s="267">
        <f t="shared" si="1"/>
        <v>0</v>
      </c>
      <c r="E32" s="264">
        <f>IF(B32&lt;=Assumptions!$D$16,TREND($L$30:$L$31,$J$30:$J$31,B32),0)</f>
        <v>0</v>
      </c>
      <c r="F32" s="267">
        <f t="shared" si="2"/>
        <v>0</v>
      </c>
      <c r="G32" s="264">
        <f t="shared" si="3"/>
        <v>0</v>
      </c>
      <c r="H32" s="267">
        <f>G32*(1+0.07)^-($B32-Assumptions!$D$12)</f>
        <v>0</v>
      </c>
      <c r="J32" s="1"/>
      <c r="K32" s="1"/>
      <c r="L32" s="1"/>
      <c r="M32" s="1"/>
    </row>
    <row r="33" spans="1:16" ht="15" customHeight="1" x14ac:dyDescent="0.25">
      <c r="B33" s="262">
        <f t="shared" si="0"/>
        <v>2064</v>
      </c>
      <c r="C33" s="264">
        <f>IF(B33&lt;=Assumptions!$D$16,TREND($K$30:$K$31,$J$30:$J$31,B33),0)</f>
        <v>0</v>
      </c>
      <c r="D33" s="267">
        <f t="shared" si="1"/>
        <v>0</v>
      </c>
      <c r="E33" s="264">
        <f>IF(B33&lt;=Assumptions!$D$16,TREND($L$30:$L$31,$J$30:$J$31,B33),0)</f>
        <v>0</v>
      </c>
      <c r="F33" s="267">
        <f t="shared" si="2"/>
        <v>0</v>
      </c>
      <c r="G33" s="264">
        <f t="shared" si="3"/>
        <v>0</v>
      </c>
      <c r="H33" s="267">
        <f>G33*(1+0.07)^-($B33-Assumptions!$D$12)</f>
        <v>0</v>
      </c>
      <c r="J33" s="1"/>
      <c r="K33" s="1"/>
      <c r="L33" s="1"/>
      <c r="M33" s="1"/>
    </row>
    <row r="34" spans="1:16" ht="15" customHeight="1" x14ac:dyDescent="0.25">
      <c r="B34" s="262">
        <f t="shared" si="0"/>
        <v>2065</v>
      </c>
      <c r="C34" s="264">
        <f>IF(B34&lt;=Assumptions!$D$16,TREND($K$30:$K$31,$J$30:$J$31,B34),0)</f>
        <v>0</v>
      </c>
      <c r="D34" s="267">
        <f t="shared" si="1"/>
        <v>0</v>
      </c>
      <c r="E34" s="264">
        <f>IF(B34&lt;=Assumptions!$D$16,TREND($L$30:$L$31,$J$30:$J$31,B34),0)</f>
        <v>0</v>
      </c>
      <c r="F34" s="267">
        <f t="shared" si="2"/>
        <v>0</v>
      </c>
      <c r="G34" s="264">
        <f t="shared" si="3"/>
        <v>0</v>
      </c>
      <c r="H34" s="267">
        <f>G34*(1+0.07)^-($B34-Assumptions!$D$12)</f>
        <v>0</v>
      </c>
      <c r="J34" s="1"/>
      <c r="K34" s="1"/>
      <c r="L34" s="1"/>
      <c r="M34" s="1"/>
      <c r="N34" s="1"/>
      <c r="O34" s="1"/>
      <c r="P34" s="1"/>
    </row>
    <row r="35" spans="1:16" ht="15" customHeight="1" x14ac:dyDescent="0.25">
      <c r="B35" s="262">
        <f t="shared" si="0"/>
        <v>2066</v>
      </c>
      <c r="C35" s="264">
        <f>IF(B35&lt;=Assumptions!$D$16,TREND($K$30:$K$31,$J$30:$J$31,B35),0)</f>
        <v>0</v>
      </c>
      <c r="D35" s="267">
        <f t="shared" si="1"/>
        <v>0</v>
      </c>
      <c r="E35" s="264">
        <f>IF(B35&lt;=Assumptions!$D$16,TREND($L$30:$L$31,$J$30:$J$31,B35),0)</f>
        <v>0</v>
      </c>
      <c r="F35" s="267">
        <f t="shared" si="2"/>
        <v>0</v>
      </c>
      <c r="G35" s="264">
        <f t="shared" si="3"/>
        <v>0</v>
      </c>
      <c r="H35" s="267">
        <f>G35*(1+0.07)^-($B35-Assumptions!$D$12)</f>
        <v>0</v>
      </c>
    </row>
    <row r="36" spans="1:16" ht="15.75" thickBot="1" x14ac:dyDescent="0.3">
      <c r="B36" s="263">
        <f t="shared" si="0"/>
        <v>2067</v>
      </c>
      <c r="C36" s="265">
        <f>IF(B36&lt;=Assumptions!$D$16,TREND($K$30:$K$31,$J$30:$J$31,B36),0)</f>
        <v>0</v>
      </c>
      <c r="D36" s="268">
        <f t="shared" si="1"/>
        <v>0</v>
      </c>
      <c r="E36" s="265">
        <f>IF(B36&lt;=Assumptions!$D$16,TREND($L$30:$L$31,$J$30:$J$31,B36),0)</f>
        <v>0</v>
      </c>
      <c r="F36" s="268">
        <f t="shared" si="2"/>
        <v>0</v>
      </c>
      <c r="G36" s="265">
        <f t="shared" si="3"/>
        <v>0</v>
      </c>
      <c r="H36" s="268">
        <f>G36*(1+0.07)^-($B36-Assumptions!$D$12)</f>
        <v>0</v>
      </c>
    </row>
    <row r="37" spans="1:16" ht="15" customHeight="1" thickBot="1" x14ac:dyDescent="0.3">
      <c r="B37" s="162"/>
      <c r="C37" s="162"/>
      <c r="D37" s="162"/>
      <c r="E37" s="162"/>
      <c r="F37" s="235"/>
      <c r="G37" s="234" t="s">
        <v>2</v>
      </c>
      <c r="H37" s="233">
        <f>SUM(H7:H36)</f>
        <v>7015207.9862936009</v>
      </c>
    </row>
    <row r="38" spans="1:16" ht="15" customHeight="1" x14ac:dyDescent="0.25">
      <c r="B38" s="1" t="s">
        <v>3</v>
      </c>
      <c r="C38" s="1"/>
      <c r="D38" s="1"/>
      <c r="E38" s="1"/>
    </row>
    <row r="39" spans="1:16" ht="15" customHeight="1" x14ac:dyDescent="0.25">
      <c r="A39" s="2" t="s">
        <v>17</v>
      </c>
      <c r="B39" s="315" t="s">
        <v>610</v>
      </c>
      <c r="C39" s="315"/>
      <c r="D39" s="315"/>
      <c r="E39" s="315"/>
      <c r="F39" s="315"/>
      <c r="G39" s="315"/>
      <c r="H39" s="315"/>
    </row>
    <row r="40" spans="1:16" ht="15" customHeight="1" x14ac:dyDescent="0.25">
      <c r="B40" s="315"/>
      <c r="C40" s="315"/>
      <c r="D40" s="315"/>
      <c r="E40" s="315"/>
      <c r="F40" s="315"/>
      <c r="G40" s="315"/>
      <c r="H40" s="315"/>
    </row>
    <row r="41" spans="1:16" x14ac:dyDescent="0.25">
      <c r="B41" s="315"/>
      <c r="C41" s="315"/>
      <c r="D41" s="315"/>
      <c r="E41" s="315"/>
      <c r="F41" s="315"/>
      <c r="G41" s="315"/>
      <c r="H41" s="315"/>
    </row>
    <row r="42" spans="1:16" x14ac:dyDescent="0.25">
      <c r="B42" s="7"/>
      <c r="C42" s="7"/>
      <c r="D42" s="7"/>
      <c r="E42" s="7"/>
      <c r="F42" s="7"/>
      <c r="G42" s="7"/>
      <c r="H42" s="7"/>
    </row>
    <row r="43" spans="1:16" ht="15" customHeight="1" x14ac:dyDescent="0.25">
      <c r="A43" s="2" t="s">
        <v>23</v>
      </c>
      <c r="B43" s="293" t="s">
        <v>611</v>
      </c>
      <c r="C43" s="293"/>
      <c r="D43" s="293"/>
      <c r="E43" s="293"/>
      <c r="F43" s="293"/>
      <c r="G43" s="293"/>
      <c r="H43" s="293"/>
      <c r="I43" s="7"/>
    </row>
    <row r="44" spans="1:16" x14ac:dyDescent="0.25">
      <c r="B44" s="293"/>
      <c r="C44" s="293"/>
      <c r="D44" s="293"/>
      <c r="E44" s="293"/>
      <c r="F44" s="293"/>
      <c r="G44" s="293"/>
      <c r="H44" s="293"/>
      <c r="I44" s="7"/>
    </row>
    <row r="45" spans="1:16" x14ac:dyDescent="0.25">
      <c r="B45" s="293"/>
      <c r="C45" s="293"/>
      <c r="D45" s="293"/>
      <c r="E45" s="293"/>
      <c r="F45" s="293"/>
      <c r="G45" s="293"/>
      <c r="H45" s="293"/>
      <c r="I45" s="7"/>
      <c r="J45" s="1"/>
      <c r="K45" s="1"/>
      <c r="L45" s="1"/>
    </row>
    <row r="46" spans="1:16" ht="15" customHeight="1" x14ac:dyDescent="0.25">
      <c r="B46" s="293"/>
      <c r="C46" s="293"/>
      <c r="D46" s="293"/>
      <c r="E46" s="293"/>
      <c r="F46" s="293"/>
      <c r="G46" s="293"/>
      <c r="H46" s="293"/>
      <c r="I46" s="7"/>
      <c r="J46" s="1"/>
      <c r="K46" s="1"/>
      <c r="L46" s="1"/>
    </row>
    <row r="47" spans="1:16" x14ac:dyDescent="0.25">
      <c r="B47" s="293"/>
      <c r="C47" s="293"/>
      <c r="D47" s="293"/>
      <c r="E47" s="293"/>
      <c r="F47" s="293"/>
      <c r="G47" s="293"/>
      <c r="H47" s="293"/>
      <c r="I47" s="7"/>
      <c r="J47" s="1"/>
      <c r="K47" s="1"/>
      <c r="L47" s="1"/>
    </row>
    <row r="48" spans="1:16" x14ac:dyDescent="0.25">
      <c r="B48" s="293"/>
      <c r="C48" s="293"/>
      <c r="D48" s="293"/>
      <c r="E48" s="293"/>
      <c r="F48" s="293"/>
      <c r="G48" s="293"/>
      <c r="H48" s="293"/>
      <c r="J48" s="1"/>
      <c r="K48" s="1"/>
      <c r="L48" s="1"/>
    </row>
    <row r="49" spans="1:12" ht="15" customHeight="1" x14ac:dyDescent="0.25">
      <c r="A49" s="2"/>
      <c r="B49" s="293"/>
      <c r="C49" s="293"/>
      <c r="D49" s="293"/>
      <c r="E49" s="293"/>
      <c r="F49" s="293"/>
      <c r="G49" s="293"/>
      <c r="H49" s="293"/>
      <c r="J49" s="1"/>
      <c r="K49" s="1"/>
      <c r="L49" s="1"/>
    </row>
    <row r="50" spans="1:12" x14ac:dyDescent="0.25">
      <c r="B50" s="293"/>
      <c r="C50" s="293"/>
      <c r="D50" s="293"/>
      <c r="E50" s="293"/>
      <c r="F50" s="293"/>
      <c r="G50" s="293"/>
      <c r="H50" s="293"/>
      <c r="J50" s="1"/>
      <c r="K50" s="1"/>
      <c r="L50" s="1"/>
    </row>
    <row r="51" spans="1:12" x14ac:dyDescent="0.25">
      <c r="B51" s="293"/>
      <c r="C51" s="293"/>
      <c r="D51" s="293"/>
      <c r="E51" s="293"/>
      <c r="F51" s="293"/>
      <c r="G51" s="293"/>
      <c r="H51" s="293"/>
    </row>
    <row r="52" spans="1:12" x14ac:dyDescent="0.25">
      <c r="B52" s="17"/>
      <c r="C52" s="17"/>
      <c r="D52" s="17"/>
      <c r="E52" s="17"/>
      <c r="F52" s="17"/>
      <c r="G52" s="17"/>
      <c r="H52" s="17"/>
    </row>
    <row r="53" spans="1:12" x14ac:dyDescent="0.25">
      <c r="B53" s="17"/>
      <c r="C53" s="17"/>
      <c r="D53" s="17"/>
      <c r="E53" s="17"/>
      <c r="F53" s="17"/>
      <c r="G53" s="17"/>
      <c r="H53" s="17"/>
    </row>
    <row r="54" spans="1:12" x14ac:dyDescent="0.25">
      <c r="B54" s="17"/>
      <c r="C54" s="17"/>
      <c r="D54" s="17"/>
      <c r="E54" s="17"/>
      <c r="F54" s="17"/>
      <c r="G54" s="17"/>
      <c r="H54" s="17"/>
    </row>
    <row r="55" spans="1:12" x14ac:dyDescent="0.25">
      <c r="B55" s="17"/>
      <c r="C55" s="17"/>
      <c r="D55" s="17"/>
      <c r="E55" s="17"/>
      <c r="F55" s="17"/>
      <c r="G55" s="17"/>
      <c r="H55" s="17"/>
    </row>
    <row r="56" spans="1:12" x14ac:dyDescent="0.25">
      <c r="B56" s="17"/>
      <c r="C56" s="17"/>
      <c r="D56" s="17"/>
      <c r="E56" s="17"/>
      <c r="F56" s="17"/>
      <c r="G56" s="17"/>
      <c r="H56" s="17"/>
    </row>
    <row r="57" spans="1:12" x14ac:dyDescent="0.25">
      <c r="B57" s="17"/>
      <c r="C57" s="17"/>
      <c r="D57" s="17"/>
      <c r="E57" s="17"/>
      <c r="F57" s="17"/>
      <c r="G57" s="17"/>
      <c r="H57" s="17"/>
    </row>
    <row r="58" spans="1:12" x14ac:dyDescent="0.25">
      <c r="B58" s="17"/>
      <c r="C58" s="17"/>
      <c r="D58" s="17"/>
      <c r="E58" s="17"/>
      <c r="F58" s="17"/>
      <c r="G58" s="17"/>
      <c r="H58" s="17"/>
    </row>
    <row r="59" spans="1:12" x14ac:dyDescent="0.25">
      <c r="B59" s="17"/>
      <c r="C59" s="17"/>
      <c r="D59" s="17"/>
      <c r="E59" s="17"/>
      <c r="F59" s="17"/>
      <c r="G59" s="17"/>
      <c r="H59" s="17"/>
    </row>
    <row r="60" spans="1:12" x14ac:dyDescent="0.25">
      <c r="B60" s="17"/>
      <c r="C60" s="17"/>
      <c r="D60" s="17"/>
      <c r="E60" s="17"/>
      <c r="F60" s="17"/>
      <c r="G60" s="17"/>
      <c r="H60" s="17"/>
    </row>
    <row r="61" spans="1:12" x14ac:dyDescent="0.25">
      <c r="B61" s="17"/>
      <c r="C61" s="17"/>
      <c r="D61" s="17"/>
      <c r="E61" s="17"/>
      <c r="F61" s="17"/>
      <c r="G61" s="17"/>
      <c r="H61" s="17"/>
    </row>
    <row r="62" spans="1:12" x14ac:dyDescent="0.25">
      <c r="B62" s="17"/>
      <c r="C62" s="17"/>
      <c r="D62" s="17"/>
      <c r="E62" s="17"/>
      <c r="F62" s="17"/>
      <c r="G62" s="17"/>
      <c r="H62" s="17"/>
    </row>
    <row r="63" spans="1:12" x14ac:dyDescent="0.25">
      <c r="B63" s="17"/>
      <c r="C63" s="17"/>
      <c r="D63" s="17"/>
      <c r="E63" s="17"/>
      <c r="F63" s="17"/>
      <c r="G63" s="17"/>
      <c r="H63" s="17"/>
    </row>
    <row r="64" spans="1:12" x14ac:dyDescent="0.25">
      <c r="B64" s="17"/>
      <c r="C64" s="17"/>
      <c r="D64" s="17"/>
      <c r="E64" s="17"/>
      <c r="F64" s="17"/>
      <c r="G64" s="17"/>
      <c r="H64" s="17"/>
    </row>
    <row r="65" spans="2:8" x14ac:dyDescent="0.25">
      <c r="B65" s="17"/>
      <c r="C65" s="17"/>
      <c r="D65" s="17"/>
      <c r="E65" s="17"/>
      <c r="F65" s="17"/>
      <c r="G65" s="17"/>
      <c r="H65" s="17"/>
    </row>
  </sheetData>
  <mergeCells count="12">
    <mergeCell ref="B43:H51"/>
    <mergeCell ref="J10:K10"/>
    <mergeCell ref="J14:K14"/>
    <mergeCell ref="B39:H41"/>
    <mergeCell ref="B5:B6"/>
    <mergeCell ref="F5:F6"/>
    <mergeCell ref="G5:G6"/>
    <mergeCell ref="H5:H6"/>
    <mergeCell ref="J18:K18"/>
    <mergeCell ref="C5:C6"/>
    <mergeCell ref="D5:D6"/>
    <mergeCell ref="E5:E6"/>
  </mergeCells>
  <pageMargins left="0.25" right="0.25" top="0.75" bottom="0.75" header="0.3" footer="0.3"/>
  <pageSetup paperSize="119" scale="5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6" tint="0.79998168889431442"/>
    <pageSetUpPr fitToPage="1"/>
  </sheetPr>
  <dimension ref="A1:P66"/>
  <sheetViews>
    <sheetView view="pageBreakPreview" zoomScale="55" zoomScaleNormal="70" zoomScaleSheetLayoutView="55" workbookViewId="0"/>
  </sheetViews>
  <sheetFormatPr defaultRowHeight="15" x14ac:dyDescent="0.25"/>
  <cols>
    <col min="1" max="1" width="7.7109375" customWidth="1"/>
    <col min="2" max="6" width="20.7109375" customWidth="1"/>
    <col min="7" max="7" width="20.140625" customWidth="1"/>
    <col min="8" max="8" width="40.85546875" customWidth="1"/>
    <col min="9" max="14" width="20.140625" customWidth="1"/>
    <col min="15" max="15" width="29.42578125" bestFit="1" customWidth="1"/>
    <col min="16" max="16" width="20.140625" customWidth="1"/>
  </cols>
  <sheetData>
    <row r="1" spans="1:16" ht="15" customHeight="1" x14ac:dyDescent="0.25">
      <c r="A1" s="73"/>
      <c r="B1" s="39"/>
      <c r="C1" s="39"/>
      <c r="D1" s="39"/>
      <c r="E1" s="39"/>
      <c r="F1" s="39"/>
      <c r="G1" s="39"/>
      <c r="H1" s="39"/>
      <c r="I1" s="39"/>
      <c r="J1" s="39"/>
      <c r="K1" s="39"/>
      <c r="L1" s="39"/>
      <c r="M1" s="39"/>
      <c r="N1" s="39"/>
      <c r="O1" s="39"/>
      <c r="P1" s="39"/>
    </row>
    <row r="2" spans="1:16" ht="15.75" thickBot="1" x14ac:dyDescent="0.3">
      <c r="B2" s="1" t="s">
        <v>594</v>
      </c>
      <c r="C2" s="1"/>
      <c r="D2" s="1"/>
    </row>
    <row r="3" spans="1:16" ht="15.75" thickBot="1" x14ac:dyDescent="0.3">
      <c r="B3" s="1"/>
      <c r="C3" s="326" t="s">
        <v>61</v>
      </c>
      <c r="D3" s="327"/>
      <c r="E3" s="327"/>
      <c r="F3" s="328"/>
      <c r="G3" s="58"/>
      <c r="H3" s="58"/>
      <c r="I3" s="58"/>
      <c r="J3" s="58"/>
      <c r="K3" s="58"/>
      <c r="L3" s="58"/>
      <c r="M3" s="58"/>
      <c r="N3" s="58"/>
      <c r="O3" s="58"/>
      <c r="P3" s="58"/>
    </row>
    <row r="4" spans="1:16" ht="30" customHeight="1" x14ac:dyDescent="0.25">
      <c r="B4" s="333" t="s">
        <v>0</v>
      </c>
      <c r="C4" s="333" t="s">
        <v>36</v>
      </c>
      <c r="D4" s="333" t="s">
        <v>37</v>
      </c>
      <c r="E4" s="329" t="s">
        <v>34</v>
      </c>
      <c r="F4" s="331" t="s">
        <v>1</v>
      </c>
      <c r="G4" s="210"/>
      <c r="H4" s="210"/>
      <c r="I4" s="210"/>
      <c r="J4" s="210"/>
      <c r="K4" s="210"/>
      <c r="L4" s="210"/>
      <c r="M4" s="210"/>
      <c r="N4" s="210"/>
      <c r="O4" s="210"/>
      <c r="P4" s="210"/>
    </row>
    <row r="5" spans="1:16" ht="30" customHeight="1" thickBot="1" x14ac:dyDescent="0.3">
      <c r="B5" s="334"/>
      <c r="C5" s="334"/>
      <c r="D5" s="334"/>
      <c r="E5" s="330"/>
      <c r="F5" s="332"/>
      <c r="G5" s="210"/>
      <c r="H5" s="1" t="s">
        <v>581</v>
      </c>
      <c r="P5" s="210"/>
    </row>
    <row r="6" spans="1:16" ht="15" customHeight="1" x14ac:dyDescent="0.25">
      <c r="B6" s="74">
        <f>Assumptions!$D$15</f>
        <v>2038</v>
      </c>
      <c r="C6" s="99">
        <f>IF(B6&lt;=Assumptions!$D$16,TREND('Safety Benefits'!$N$32:$N$33,'Safety Benefits'!$H$32:$H$33,'Safety Benefits'!B6),0)</f>
        <v>7094493.0552247167</v>
      </c>
      <c r="D6" s="99">
        <f>IF(B6&lt;=Assumptions!$D$16,TREND('Safety Benefits'!$N$37:$N$38,'Safety Benefits'!$H$37:$H$38,'Safety Benefits'!B6),0)</f>
        <v>3625575.6436175108</v>
      </c>
      <c r="E6" s="100">
        <f t="shared" ref="E6" si="0">C6-D6</f>
        <v>3468917.4116072059</v>
      </c>
      <c r="F6" s="101">
        <f>E6*(1+0.07)^-(B6-Assumptions!$D$12)</f>
        <v>1098170.4151498899</v>
      </c>
      <c r="G6" s="19"/>
      <c r="H6" s="23" t="s">
        <v>30</v>
      </c>
      <c r="I6" s="23" t="s">
        <v>44</v>
      </c>
      <c r="P6" s="19"/>
    </row>
    <row r="7" spans="1:16" x14ac:dyDescent="0.25">
      <c r="B7" s="59">
        <f>B6+1</f>
        <v>2039</v>
      </c>
      <c r="C7" s="102">
        <f>IF(B7&lt;=Assumptions!$D$16,TREND('Safety Benefits'!$N$32:$N$33,'Safety Benefits'!$H$32:$H$33,'Safety Benefits'!B7),0)</f>
        <v>7234125.8871869445</v>
      </c>
      <c r="D7" s="102">
        <f>IF(B7&lt;=Assumptions!$D$16,TREND('Safety Benefits'!$N$37:$N$38,'Safety Benefits'!$H$37:$H$38,'Safety Benefits'!B7),0)</f>
        <v>3696933.7224359214</v>
      </c>
      <c r="E7" s="103">
        <f t="shared" ref="E7:E35" si="1">C7-D7</f>
        <v>3537192.1647510231</v>
      </c>
      <c r="F7" s="104">
        <f>E7*(1+0.07)^-(B7-Assumptions!$D$12)</f>
        <v>1046527.5266453096</v>
      </c>
      <c r="G7" s="19"/>
      <c r="H7" s="273">
        <v>2017.5</v>
      </c>
      <c r="I7" s="275">
        <f>TREND($I$8:$I$9,$H$8:$H$9,H7)</f>
        <v>675.80254077792051</v>
      </c>
      <c r="P7" s="19"/>
    </row>
    <row r="8" spans="1:16" ht="15" customHeight="1" x14ac:dyDescent="0.25">
      <c r="B8" s="59">
        <f t="shared" ref="B8:B35" si="2">B7+1</f>
        <v>2040</v>
      </c>
      <c r="C8" s="102">
        <f>IF(B8&lt;=Assumptions!$D$16,TREND('Safety Benefits'!$N$32:$N$33,'Safety Benefits'!$H$32:$H$33,'Safety Benefits'!B8),0)</f>
        <v>7373758.7191491127</v>
      </c>
      <c r="D8" s="102">
        <f>IF(B8&lt;=Assumptions!$D$16,TREND('Safety Benefits'!$N$37:$N$38,'Safety Benefits'!$H$37:$H$38,'Safety Benefits'!B8),0)</f>
        <v>3768291.8012543619</v>
      </c>
      <c r="E8" s="103">
        <f t="shared" si="1"/>
        <v>3605466.9178947508</v>
      </c>
      <c r="F8" s="104">
        <f>E8*(1+0.07)^-(B8-Assumptions!$D$12)</f>
        <v>996941.64719280682</v>
      </c>
      <c r="G8" s="19"/>
      <c r="H8" s="23">
        <v>2021</v>
      </c>
      <c r="I8" s="275">
        <f>Assumptions!$D$31</f>
        <v>753.84441656210788</v>
      </c>
      <c r="P8" s="19"/>
    </row>
    <row r="9" spans="1:16" x14ac:dyDescent="0.25">
      <c r="B9" s="59">
        <f t="shared" si="2"/>
        <v>2041</v>
      </c>
      <c r="C9" s="102">
        <f>IF(B9&lt;=Assumptions!$D$16,TREND('Safety Benefits'!$N$32:$N$33,'Safety Benefits'!$H$32:$H$33,'Safety Benefits'!B9),0)</f>
        <v>7513391.5511112809</v>
      </c>
      <c r="D9" s="102">
        <f>IF(B9&lt;=Assumptions!$D$16,TREND('Safety Benefits'!$N$37:$N$38,'Safety Benefits'!$H$37:$H$38,'Safety Benefits'!B9),0)</f>
        <v>3839649.8800727725</v>
      </c>
      <c r="E9" s="103">
        <f t="shared" si="1"/>
        <v>3673741.6710385084</v>
      </c>
      <c r="F9" s="104">
        <f>E9*(1+0.07)^-(B9-Assumptions!$D$12)</f>
        <v>949364.65922552696</v>
      </c>
      <c r="G9" s="19"/>
      <c r="H9" s="23">
        <v>2041</v>
      </c>
      <c r="I9" s="275">
        <f>Assumptions!$D$32</f>
        <v>1199.7979924717692</v>
      </c>
      <c r="P9" s="19"/>
    </row>
    <row r="10" spans="1:16" x14ac:dyDescent="0.25">
      <c r="B10" s="59">
        <f t="shared" si="2"/>
        <v>2042</v>
      </c>
      <c r="C10" s="102">
        <f>IF(B10&lt;=Assumptions!$D$16,TREND('Safety Benefits'!$N$32:$N$33,'Safety Benefits'!$H$32:$H$33,'Safety Benefits'!B10),0)</f>
        <v>7653024.3830734491</v>
      </c>
      <c r="D10" s="102">
        <f>IF(B10&lt;=Assumptions!$D$16,TREND('Safety Benefits'!$N$37:$N$38,'Safety Benefits'!$H$37:$H$38,'Safety Benefits'!B10),0)</f>
        <v>3911007.9588911831</v>
      </c>
      <c r="E10" s="103">
        <f t="shared" si="1"/>
        <v>3742016.424182266</v>
      </c>
      <c r="F10" s="104">
        <f>E10*(1+0.07)^-(B10-Assumptions!$D$12)</f>
        <v>903745.93724327092</v>
      </c>
      <c r="G10" s="19"/>
      <c r="P10" s="19"/>
    </row>
    <row r="11" spans="1:16" x14ac:dyDescent="0.25">
      <c r="B11" s="59">
        <f t="shared" si="2"/>
        <v>2043</v>
      </c>
      <c r="C11" s="102">
        <f>IF(B11&lt;=Assumptions!$D$16,TREND('Safety Benefits'!$N$32:$N$33,'Safety Benefits'!$H$32:$H$33,'Safety Benefits'!B11),0)</f>
        <v>7792657.215035677</v>
      </c>
      <c r="D11" s="102">
        <f>IF(B11&lt;=Assumptions!$D$16,TREND('Safety Benefits'!$N$37:$N$38,'Safety Benefits'!$H$37:$H$38,'Safety Benefits'!B11),0)</f>
        <v>3982366.0377095938</v>
      </c>
      <c r="E11" s="103">
        <f t="shared" si="1"/>
        <v>3810291.1773260832</v>
      </c>
      <c r="F11" s="104">
        <f>E11*(1+0.07)^-(B11-Assumptions!$D$12)</f>
        <v>860032.88188932498</v>
      </c>
      <c r="G11" s="19"/>
      <c r="H11" s="30" t="s">
        <v>582</v>
      </c>
      <c r="I11" s="38"/>
      <c r="J11" s="38"/>
      <c r="K11" s="38"/>
      <c r="L11" s="38"/>
      <c r="M11" s="38"/>
      <c r="N11" s="160"/>
      <c r="P11" s="19"/>
    </row>
    <row r="12" spans="1:16" x14ac:dyDescent="0.25">
      <c r="B12" s="59">
        <f t="shared" si="2"/>
        <v>2044</v>
      </c>
      <c r="C12" s="102">
        <f>IF(B12&lt;=Assumptions!$D$16,TREND('Safety Benefits'!$N$32:$N$33,'Safety Benefits'!$H$32:$H$33,'Safety Benefits'!B12),0)</f>
        <v>7932290.0469978452</v>
      </c>
      <c r="D12" s="102">
        <f>IF(B12&lt;=Assumptions!$D$16,TREND('Safety Benefits'!$N$37:$N$38,'Safety Benefits'!$H$37:$H$38,'Safety Benefits'!B12),0)</f>
        <v>4053724.1165280044</v>
      </c>
      <c r="E12" s="103">
        <f t="shared" si="1"/>
        <v>3878565.9304698408</v>
      </c>
      <c r="F12" s="104">
        <f>E12*(1+0.07)^-(B12-Assumptions!$D$12)</f>
        <v>818171.39488153555</v>
      </c>
      <c r="G12" s="19"/>
      <c r="H12" s="23" t="s">
        <v>53</v>
      </c>
      <c r="I12" s="23" t="s">
        <v>18</v>
      </c>
      <c r="J12" s="23" t="s">
        <v>19</v>
      </c>
      <c r="K12" s="23" t="s">
        <v>20</v>
      </c>
      <c r="L12" s="23" t="s">
        <v>21</v>
      </c>
      <c r="M12" s="23" t="s">
        <v>22</v>
      </c>
      <c r="N12" s="160"/>
      <c r="P12" s="19"/>
    </row>
    <row r="13" spans="1:16" x14ac:dyDescent="0.25">
      <c r="B13" s="59">
        <f t="shared" si="2"/>
        <v>2045</v>
      </c>
      <c r="C13" s="102">
        <f>IF(B13&lt;=Assumptions!$D$16,TREND('Safety Benefits'!$N$32:$N$33,'Safety Benefits'!$H$32:$H$33,'Safety Benefits'!B13),0)</f>
        <v>8071922.8789600134</v>
      </c>
      <c r="D13" s="102">
        <f>IF(B13&lt;=Assumptions!$D$16,TREND('Safety Benefits'!$N$37:$N$38,'Safety Benefits'!$H$37:$H$38,'Safety Benefits'!B13),0)</f>
        <v>4125082.195346415</v>
      </c>
      <c r="E13" s="103">
        <f t="shared" si="1"/>
        <v>3946840.6836135983</v>
      </c>
      <c r="F13" s="104">
        <f>E13*(1+0.07)^-(B13-Assumptions!$D$12)</f>
        <v>778106.30025081767</v>
      </c>
      <c r="G13" s="19"/>
      <c r="H13" s="23" t="s">
        <v>39</v>
      </c>
      <c r="I13" s="159">
        <v>11800000</v>
      </c>
      <c r="J13" s="159">
        <v>564300</v>
      </c>
      <c r="K13" s="159">
        <v>153700</v>
      </c>
      <c r="L13" s="159">
        <v>78500</v>
      </c>
      <c r="M13" s="159">
        <v>4000</v>
      </c>
      <c r="N13" s="160"/>
      <c r="P13" s="19"/>
    </row>
    <row r="14" spans="1:16" ht="15" customHeight="1" x14ac:dyDescent="0.25">
      <c r="B14" s="59">
        <f t="shared" si="2"/>
        <v>2046</v>
      </c>
      <c r="C14" s="102">
        <f>IF(B14&lt;=Assumptions!$D$16,TREND('Safety Benefits'!$N$32:$N$33,'Safety Benefits'!$H$32:$H$33,'Safety Benefits'!B14),0)</f>
        <v>8211555.7109221816</v>
      </c>
      <c r="D14" s="102">
        <f>IF(B14&lt;=Assumptions!$D$16,TREND('Safety Benefits'!$N$37:$N$38,'Safety Benefits'!$H$37:$H$38,'Safety Benefits'!B14),0)</f>
        <v>4196440.2741648555</v>
      </c>
      <c r="E14" s="103">
        <f t="shared" si="1"/>
        <v>4015115.4367573261</v>
      </c>
      <c r="F14" s="104">
        <f>E14*(1+0.07)^-(B14-Assumptions!$D$12)</f>
        <v>739781.71687938506</v>
      </c>
      <c r="G14" s="19"/>
      <c r="N14" s="160"/>
      <c r="P14" s="19"/>
    </row>
    <row r="15" spans="1:16" x14ac:dyDescent="0.25">
      <c r="B15" s="59">
        <f t="shared" si="2"/>
        <v>2047</v>
      </c>
      <c r="C15" s="102">
        <f>IF(B15&lt;=Assumptions!$D$16,TREND('Safety Benefits'!$N$32:$N$33,'Safety Benefits'!$H$32:$H$33,'Safety Benefits'!B15),0)</f>
        <v>8351188.5428844094</v>
      </c>
      <c r="D15" s="102">
        <f>IF(B15&lt;=Assumptions!$D$16,TREND('Safety Benefits'!$N$37:$N$38,'Safety Benefits'!$H$37:$H$38,'Safety Benefits'!B15),0)</f>
        <v>4267798.3529832661</v>
      </c>
      <c r="E15" s="103">
        <f t="shared" si="1"/>
        <v>4083390.1899011433</v>
      </c>
      <c r="F15" s="104">
        <f>E15*(1+0.07)^-(B15-Assumptions!$D$12)</f>
        <v>703141.38690810045</v>
      </c>
      <c r="G15" s="19"/>
      <c r="H15" s="1" t="s">
        <v>583</v>
      </c>
      <c r="N15" s="160"/>
      <c r="P15" s="19"/>
    </row>
    <row r="16" spans="1:16" x14ac:dyDescent="0.25">
      <c r="B16" s="59">
        <f t="shared" si="2"/>
        <v>2048</v>
      </c>
      <c r="C16" s="102">
        <f>IF(B16&lt;=Assumptions!$D$16,TREND('Safety Benefits'!$N$32:$N$33,'Safety Benefits'!$H$32:$H$33,'Safety Benefits'!B16),0)</f>
        <v>8490821.3748465776</v>
      </c>
      <c r="D16" s="102">
        <f>IF(B16&lt;=Assumptions!$D$16,TREND('Safety Benefits'!$N$37:$N$38,'Safety Benefits'!$H$37:$H$38,'Safety Benefits'!B16),0)</f>
        <v>4339156.4318016768</v>
      </c>
      <c r="E16" s="103">
        <f t="shared" si="1"/>
        <v>4151664.9430449009</v>
      </c>
      <c r="F16" s="104">
        <f>E16*(1+0.07)^-(B16-Assumptions!$D$12)</f>
        <v>668128.96419245226</v>
      </c>
      <c r="G16" s="19"/>
      <c r="H16" s="23" t="s">
        <v>38</v>
      </c>
      <c r="I16" s="23" t="s">
        <v>18</v>
      </c>
      <c r="J16" s="27" t="s">
        <v>19</v>
      </c>
      <c r="K16" s="27" t="s">
        <v>20</v>
      </c>
      <c r="L16" s="27" t="s">
        <v>21</v>
      </c>
      <c r="M16" s="27" t="s">
        <v>22</v>
      </c>
      <c r="N16" s="160"/>
      <c r="P16" s="19"/>
    </row>
    <row r="17" spans="1:16" ht="15" customHeight="1" x14ac:dyDescent="0.25">
      <c r="B17" s="59">
        <f t="shared" si="2"/>
        <v>2049</v>
      </c>
      <c r="C17" s="102">
        <f>IF(B17&lt;=Assumptions!$D$16,TREND('Safety Benefits'!$N$32:$N$33,'Safety Benefits'!$H$32:$H$33,'Safety Benefits'!B17),0)</f>
        <v>8630454.2068087459</v>
      </c>
      <c r="D17" s="102">
        <f>IF(B17&lt;=Assumptions!$D$16,TREND('Safety Benefits'!$N$37:$N$38,'Safety Benefits'!$H$37:$H$38,'Safety Benefits'!B17),0)</f>
        <v>4410514.5106200874</v>
      </c>
      <c r="E17" s="103">
        <f t="shared" si="1"/>
        <v>4219939.6961886585</v>
      </c>
      <c r="F17" s="104">
        <f>E17*(1+0.07)^-(B17-Assumptions!$D$12)</f>
        <v>634688.26662917947</v>
      </c>
      <c r="G17" s="19"/>
      <c r="H17" s="23" t="s">
        <v>120</v>
      </c>
      <c r="I17" s="158">
        <f>'Crash Data'!C122</f>
        <v>3</v>
      </c>
      <c r="J17" s="158">
        <f>'Crash Data'!C123</f>
        <v>8</v>
      </c>
      <c r="K17" s="51">
        <f>'Crash Data'!C124</f>
        <v>9</v>
      </c>
      <c r="L17" s="51">
        <f>'Crash Data'!C125</f>
        <v>9</v>
      </c>
      <c r="M17" s="51">
        <f>'Crash Data'!C126</f>
        <v>79</v>
      </c>
      <c r="N17" s="49"/>
      <c r="P17" s="19"/>
    </row>
    <row r="18" spans="1:16" ht="15" customHeight="1" x14ac:dyDescent="0.25">
      <c r="B18" s="59">
        <f t="shared" si="2"/>
        <v>2050</v>
      </c>
      <c r="C18" s="102">
        <f>IF(B18&lt;=Assumptions!$D$16,TREND('Safety Benefits'!$N$32:$N$33,'Safety Benefits'!$H$32:$H$33,'Safety Benefits'!B18),0)</f>
        <v>8770087.0387709737</v>
      </c>
      <c r="D18" s="102">
        <f>IF(B18&lt;=Assumptions!$D$16,TREND('Safety Benefits'!$N$37:$N$38,'Safety Benefits'!$H$37:$H$38,'Safety Benefits'!B18),0)</f>
        <v>4481872.589438498</v>
      </c>
      <c r="E18" s="103">
        <f t="shared" si="1"/>
        <v>4288214.4493324757</v>
      </c>
      <c r="F18" s="104">
        <f>E18*(1+0.07)^-(B18-Assumptions!$D$12)</f>
        <v>602763.49584592669</v>
      </c>
      <c r="G18" s="19"/>
      <c r="I18" s="155"/>
      <c r="J18" s="155"/>
      <c r="K18" s="155"/>
      <c r="N18" s="160"/>
      <c r="P18" s="19"/>
    </row>
    <row r="19" spans="1:16" ht="15" customHeight="1" x14ac:dyDescent="0.25">
      <c r="B19" s="59">
        <f t="shared" si="2"/>
        <v>2051</v>
      </c>
      <c r="C19" s="102">
        <f>IF(B19&lt;=Assumptions!$D$16,TREND('Safety Benefits'!$N$32:$N$33,'Safety Benefits'!$H$32:$H$33,'Safety Benefits'!B19),0)</f>
        <v>8909719.8707331419</v>
      </c>
      <c r="D19" s="102">
        <f>IF(B19&lt;=Assumptions!$D$16,TREND('Safety Benefits'!$N$37:$N$38,'Safety Benefits'!$H$37:$H$38,'Safety Benefits'!B19),0)</f>
        <v>4553230.6682569385</v>
      </c>
      <c r="E19" s="103">
        <f t="shared" si="1"/>
        <v>4356489.2024762034</v>
      </c>
      <c r="F19" s="104">
        <f>E19*(1+0.07)^-(B19-Assumptions!$D$12)</f>
        <v>572299.42744439701</v>
      </c>
      <c r="G19" s="19"/>
      <c r="H19" s="1" t="s">
        <v>592</v>
      </c>
      <c r="L19" s="1"/>
      <c r="M19" s="1"/>
      <c r="N19" s="160"/>
      <c r="P19" s="19"/>
    </row>
    <row r="20" spans="1:16" x14ac:dyDescent="0.25">
      <c r="B20" s="59">
        <f t="shared" si="2"/>
        <v>2052</v>
      </c>
      <c r="C20" s="102">
        <f>IF(B20&lt;=Assumptions!$D$16,TREND('Safety Benefits'!$N$32:$N$33,'Safety Benefits'!$H$32:$H$33,'Safety Benefits'!B20),0)</f>
        <v>9049352.7026953101</v>
      </c>
      <c r="D20" s="102">
        <f>IF(B20&lt;=Assumptions!$D$16,TREND('Safety Benefits'!$N$37:$N$38,'Safety Benefits'!$H$37:$H$38,'Safety Benefits'!B20),0)</f>
        <v>4624588.7470753491</v>
      </c>
      <c r="E20" s="103">
        <f t="shared" si="1"/>
        <v>4424763.955619961</v>
      </c>
      <c r="F20" s="104">
        <f>E20*(1+0.07)^-(B20-Assumptions!$D$12)</f>
        <v>543241.57470965746</v>
      </c>
      <c r="G20" s="19"/>
      <c r="H20" s="23" t="s">
        <v>576</v>
      </c>
      <c r="I20" s="23" t="s">
        <v>18</v>
      </c>
      <c r="J20" s="27" t="s">
        <v>19</v>
      </c>
      <c r="K20" s="27" t="s">
        <v>20</v>
      </c>
      <c r="L20" s="27" t="s">
        <v>21</v>
      </c>
      <c r="M20" s="27" t="s">
        <v>22</v>
      </c>
      <c r="N20" s="27" t="s">
        <v>577</v>
      </c>
      <c r="O20" s="27" t="s">
        <v>620</v>
      </c>
      <c r="P20" s="19"/>
    </row>
    <row r="21" spans="1:16" x14ac:dyDescent="0.25">
      <c r="B21" s="59">
        <f t="shared" si="2"/>
        <v>2053</v>
      </c>
      <c r="C21" s="102">
        <f>IF(B21&lt;=Assumptions!$D$16,TREND('Safety Benefits'!$N$32:$N$33,'Safety Benefits'!$H$32:$H$33,'Safety Benefits'!B21),0)</f>
        <v>9188985.5346574783</v>
      </c>
      <c r="D21" s="102">
        <f>IF(B21&lt;=Assumptions!$D$16,TREND('Safety Benefits'!$N$37:$N$38,'Safety Benefits'!$H$37:$H$38,'Safety Benefits'!B21),0)</f>
        <v>4695946.8258937597</v>
      </c>
      <c r="E21" s="103">
        <f t="shared" si="1"/>
        <v>4493038.7087637186</v>
      </c>
      <c r="F21" s="104">
        <f>E21*(1+0.07)^-(B21-Assumptions!$D$12)</f>
        <v>515536.3284428948</v>
      </c>
      <c r="G21" s="19"/>
      <c r="H21" s="24" t="s">
        <v>149</v>
      </c>
      <c r="I21" s="200">
        <v>0.55800000000000005</v>
      </c>
      <c r="J21" s="200">
        <v>0.55800000000000005</v>
      </c>
      <c r="K21" s="200">
        <v>0.55800000000000005</v>
      </c>
      <c r="L21" s="200">
        <v>0.55800000000000005</v>
      </c>
      <c r="M21" s="200">
        <v>0.65300000000000002</v>
      </c>
      <c r="N21" s="269" t="s">
        <v>578</v>
      </c>
      <c r="O21" s="35" t="s">
        <v>579</v>
      </c>
      <c r="P21" s="19"/>
    </row>
    <row r="22" spans="1:16" x14ac:dyDescent="0.25">
      <c r="B22" s="59">
        <f t="shared" si="2"/>
        <v>2054</v>
      </c>
      <c r="C22" s="102">
        <f>IF(B22&lt;=Assumptions!$D$16,TREND('Safety Benefits'!$N$32:$N$33,'Safety Benefits'!$H$32:$H$33,'Safety Benefits'!B22),0)</f>
        <v>9328618.3666197062</v>
      </c>
      <c r="D22" s="102">
        <f>IF(B22&lt;=Assumptions!$D$16,TREND('Safety Benefits'!$N$37:$N$38,'Safety Benefits'!$H$37:$H$38,'Safety Benefits'!B22),0)</f>
        <v>4767304.9047121704</v>
      </c>
      <c r="E22" s="103">
        <f t="shared" si="1"/>
        <v>4561313.4619075358</v>
      </c>
      <c r="F22" s="104">
        <f>E22*(1+0.07)^-(B22-Assumptions!$D$12)</f>
        <v>489131.07534120418</v>
      </c>
      <c r="G22" s="19"/>
      <c r="H22" s="24" t="s">
        <v>587</v>
      </c>
      <c r="I22" s="194">
        <v>0.95</v>
      </c>
      <c r="J22" s="194">
        <v>0.95</v>
      </c>
      <c r="K22" s="194">
        <v>1</v>
      </c>
      <c r="L22" s="194">
        <v>1</v>
      </c>
      <c r="M22" s="194">
        <v>1</v>
      </c>
      <c r="N22" s="201" t="s">
        <v>588</v>
      </c>
      <c r="O22" s="35" t="s">
        <v>593</v>
      </c>
      <c r="P22" s="19"/>
    </row>
    <row r="23" spans="1:16" x14ac:dyDescent="0.25">
      <c r="B23" s="59">
        <f t="shared" si="2"/>
        <v>2055</v>
      </c>
      <c r="C23" s="102">
        <f>IF(B23&lt;=Assumptions!$D$16,TREND('Safety Benefits'!$N$32:$N$33,'Safety Benefits'!$H$32:$H$33,'Safety Benefits'!B23),0)</f>
        <v>9468251.1985818744</v>
      </c>
      <c r="D23" s="102">
        <f>IF(B23&lt;=Assumptions!$D$16,TREND('Safety Benefits'!$N$37:$N$38,'Safety Benefits'!$H$37:$H$38,'Safety Benefits'!B23),0)</f>
        <v>4838662.983530581</v>
      </c>
      <c r="E23" s="103">
        <f t="shared" si="1"/>
        <v>4629588.2150512934</v>
      </c>
      <c r="F23" s="104">
        <f>E23*(1+0.07)^-(B23-Assumptions!$D$12)</f>
        <v>463974.29713274119</v>
      </c>
      <c r="G23" s="19"/>
      <c r="H23" s="24" t="s">
        <v>621</v>
      </c>
      <c r="I23" s="194">
        <v>1</v>
      </c>
      <c r="J23" s="194">
        <v>0.76</v>
      </c>
      <c r="K23" s="194">
        <v>0.76</v>
      </c>
      <c r="L23" s="194">
        <v>0.76</v>
      </c>
      <c r="M23" s="194">
        <v>0.76</v>
      </c>
      <c r="N23" s="201" t="s">
        <v>150</v>
      </c>
      <c r="O23" s="35" t="s">
        <v>580</v>
      </c>
      <c r="P23" s="19"/>
    </row>
    <row r="24" spans="1:16" x14ac:dyDescent="0.25">
      <c r="B24" s="59">
        <f t="shared" si="2"/>
        <v>2056</v>
      </c>
      <c r="C24" s="102">
        <f>IF(B24&lt;=Assumptions!$D$16,TREND('Safety Benefits'!$N$32:$N$33,'Safety Benefits'!$H$32:$H$33,'Safety Benefits'!B24),0)</f>
        <v>9607884.0305440426</v>
      </c>
      <c r="D24" s="102">
        <f>IF(B24&lt;=Assumptions!$D$16,TREND('Safety Benefits'!$N$37:$N$38,'Safety Benefits'!$H$37:$H$38,'Safety Benefits'!B24),0)</f>
        <v>4910021.0623489916</v>
      </c>
      <c r="E24" s="103">
        <f t="shared" si="1"/>
        <v>4697862.968195051</v>
      </c>
      <c r="F24" s="104">
        <f>E24*(1+0.07)^-(B24-Assumptions!$D$12)</f>
        <v>440015.65247869835</v>
      </c>
      <c r="G24" s="19"/>
      <c r="H24" s="276" t="s">
        <v>137</v>
      </c>
      <c r="I24" s="270">
        <f>PRODUCT(I21:I23)</f>
        <v>0.53010000000000002</v>
      </c>
      <c r="J24" s="270">
        <f>PRODUCT(J21:J23)</f>
        <v>0.40287600000000001</v>
      </c>
      <c r="K24" s="270">
        <f t="shared" ref="K24:M24" si="3">PRODUCT(K21:K23)</f>
        <v>0.42408000000000007</v>
      </c>
      <c r="L24" s="270">
        <f t="shared" si="3"/>
        <v>0.42408000000000007</v>
      </c>
      <c r="M24" s="270">
        <f t="shared" si="3"/>
        <v>0.49628</v>
      </c>
      <c r="N24" s="271" t="s">
        <v>56</v>
      </c>
      <c r="O24" s="271" t="s">
        <v>56</v>
      </c>
      <c r="P24" s="19"/>
    </row>
    <row r="25" spans="1:16" x14ac:dyDescent="0.25">
      <c r="B25" s="59">
        <f t="shared" si="2"/>
        <v>2057</v>
      </c>
      <c r="C25" s="102">
        <f>IF(B25&lt;=Assumptions!$D$16,TREND('Safety Benefits'!$N$32:$N$33,'Safety Benefits'!$H$32:$H$33,'Safety Benefits'!B25),0)</f>
        <v>9747516.8625062108</v>
      </c>
      <c r="D25" s="102">
        <f>IF(B25&lt;=Assumptions!$D$16,TREND('Safety Benefits'!$N$37:$N$38,'Safety Benefits'!$H$37:$H$38,'Safety Benefits'!B25),0)</f>
        <v>4981379.1411674321</v>
      </c>
      <c r="E25" s="103">
        <f t="shared" si="1"/>
        <v>4766137.7213387787</v>
      </c>
      <c r="F25" s="104">
        <f>E25*(1+0.07)^-(B25-Assumptions!$D$12)</f>
        <v>417206.04347250459</v>
      </c>
      <c r="G25" s="19"/>
      <c r="I25" s="155"/>
      <c r="J25" s="155"/>
      <c r="K25" s="155"/>
      <c r="P25" s="19"/>
    </row>
    <row r="26" spans="1:16" x14ac:dyDescent="0.25">
      <c r="B26" s="59">
        <f t="shared" si="2"/>
        <v>2058</v>
      </c>
      <c r="C26" s="102">
        <f>IF(B26&lt;=Assumptions!$D$16,TREND('Safety Benefits'!$N$32:$N$33,'Safety Benefits'!$H$32:$H$33,'Safety Benefits'!B26),0)</f>
        <v>0</v>
      </c>
      <c r="D26" s="102">
        <f>IF(B26&lt;=Assumptions!$D$16,TREND('Safety Benefits'!$N$37:$N$38,'Safety Benefits'!$H$37:$H$38,'Safety Benefits'!B26),0)</f>
        <v>0</v>
      </c>
      <c r="E26" s="103">
        <f t="shared" si="1"/>
        <v>0</v>
      </c>
      <c r="F26" s="104">
        <f>E26*(1+0.07)^-(B26-Assumptions!$D$12)</f>
        <v>0</v>
      </c>
      <c r="G26" s="19"/>
      <c r="H26" s="1" t="s">
        <v>584</v>
      </c>
      <c r="P26" s="19"/>
    </row>
    <row r="27" spans="1:16" x14ac:dyDescent="0.25">
      <c r="B27" s="59">
        <f t="shared" si="2"/>
        <v>2059</v>
      </c>
      <c r="C27" s="102">
        <f>IF(B27&lt;=Assumptions!$D$16,TREND('Safety Benefits'!$N$32:$N$33,'Safety Benefits'!$H$32:$H$33,'Safety Benefits'!B27),0)</f>
        <v>0</v>
      </c>
      <c r="D27" s="102">
        <f>IF(B27&lt;=Assumptions!$D$16,TREND('Safety Benefits'!$N$37:$N$38,'Safety Benefits'!$H$37:$H$38,'Safety Benefits'!B27),0)</f>
        <v>0</v>
      </c>
      <c r="E27" s="103">
        <f t="shared" si="1"/>
        <v>0</v>
      </c>
      <c r="F27" s="104">
        <f>E27*(1+0.07)^-(B27-Assumptions!$D$12)</f>
        <v>0</v>
      </c>
      <c r="G27" s="19"/>
      <c r="H27" s="29" t="s">
        <v>30</v>
      </c>
      <c r="I27" s="29" t="s">
        <v>18</v>
      </c>
      <c r="J27" s="274" t="s">
        <v>19</v>
      </c>
      <c r="K27" s="274" t="s">
        <v>20</v>
      </c>
      <c r="L27" s="274" t="s">
        <v>21</v>
      </c>
      <c r="M27" s="274" t="s">
        <v>22</v>
      </c>
      <c r="P27" s="19"/>
    </row>
    <row r="28" spans="1:16" x14ac:dyDescent="0.25">
      <c r="B28" s="59">
        <f t="shared" si="2"/>
        <v>2060</v>
      </c>
      <c r="C28" s="102">
        <f>IF(B28&lt;=Assumptions!$D$16,TREND('Safety Benefits'!$N$32:$N$33,'Safety Benefits'!$H$32:$H$33,'Safety Benefits'!B28),0)</f>
        <v>0</v>
      </c>
      <c r="D28" s="102">
        <f>IF(B28&lt;=Assumptions!$D$16,TREND('Safety Benefits'!$N$37:$N$38,'Safety Benefits'!$H$37:$H$38,'Safety Benefits'!B28),0)</f>
        <v>0</v>
      </c>
      <c r="E28" s="103">
        <f t="shared" si="1"/>
        <v>0</v>
      </c>
      <c r="F28" s="104">
        <f>E28*(1+0.07)^-(B28-Assumptions!$D$12)</f>
        <v>0</v>
      </c>
      <c r="G28" s="19"/>
      <c r="H28" s="273">
        <v>2017.5</v>
      </c>
      <c r="I28" s="51">
        <f>I17/10</f>
        <v>0.3</v>
      </c>
      <c r="J28" s="51">
        <f t="shared" ref="J28:M28" si="4">J17/10</f>
        <v>0.8</v>
      </c>
      <c r="K28" s="51">
        <f t="shared" si="4"/>
        <v>0.9</v>
      </c>
      <c r="L28" s="51">
        <f t="shared" si="4"/>
        <v>0.9</v>
      </c>
      <c r="M28" s="51">
        <f t="shared" si="4"/>
        <v>7.9</v>
      </c>
      <c r="P28" s="19"/>
    </row>
    <row r="29" spans="1:16" ht="15" customHeight="1" x14ac:dyDescent="0.25">
      <c r="B29" s="59">
        <f t="shared" si="2"/>
        <v>2061</v>
      </c>
      <c r="C29" s="102">
        <f>IF(B29&lt;=Assumptions!$D$16,TREND('Safety Benefits'!$N$32:$N$33,'Safety Benefits'!$H$32:$H$33,'Safety Benefits'!B29),0)</f>
        <v>0</v>
      </c>
      <c r="D29" s="102">
        <f>IF(B29&lt;=Assumptions!$D$16,TREND('Safety Benefits'!$N$37:$N$38,'Safety Benefits'!$H$37:$H$38,'Safety Benefits'!B29),0)</f>
        <v>0</v>
      </c>
      <c r="E29" s="103">
        <f t="shared" si="1"/>
        <v>0</v>
      </c>
      <c r="F29" s="104">
        <f>E29*(1+0.07)^-(B29-Assumptions!$D$12)</f>
        <v>0</v>
      </c>
      <c r="G29" s="272"/>
      <c r="P29" s="19"/>
    </row>
    <row r="30" spans="1:16" ht="15.75" customHeight="1" x14ac:dyDescent="0.25">
      <c r="B30" s="59">
        <f t="shared" si="2"/>
        <v>2062</v>
      </c>
      <c r="C30" s="102">
        <f>IF(B30&lt;=Assumptions!$D$16,TREND('Safety Benefits'!$N$32:$N$33,'Safety Benefits'!$H$32:$H$33,'Safety Benefits'!B30),0)</f>
        <v>0</v>
      </c>
      <c r="D30" s="102">
        <f>IF(B30&lt;=Assumptions!$D$16,TREND('Safety Benefits'!$N$37:$N$38,'Safety Benefits'!$H$37:$H$38,'Safety Benefits'!B30),0)</f>
        <v>0</v>
      </c>
      <c r="E30" s="103">
        <f t="shared" si="1"/>
        <v>0</v>
      </c>
      <c r="F30" s="104">
        <f>E30*(1+0.07)^-(B30-Assumptions!$D$12)</f>
        <v>0</v>
      </c>
      <c r="G30" s="272"/>
      <c r="H30" s="1" t="s">
        <v>585</v>
      </c>
      <c r="N30" s="1"/>
      <c r="P30" s="19"/>
    </row>
    <row r="31" spans="1:16" ht="15" customHeight="1" x14ac:dyDescent="0.25">
      <c r="B31" s="59">
        <f t="shared" si="2"/>
        <v>2063</v>
      </c>
      <c r="C31" s="102">
        <f>IF(B31&lt;=Assumptions!$D$16,TREND('Safety Benefits'!$N$32:$N$33,'Safety Benefits'!$H$32:$H$33,'Safety Benefits'!B31),0)</f>
        <v>0</v>
      </c>
      <c r="D31" s="102">
        <f>IF(B31&lt;=Assumptions!$D$16,TREND('Safety Benefits'!$N$37:$N$38,'Safety Benefits'!$H$37:$H$38,'Safety Benefits'!B31),0)</f>
        <v>0</v>
      </c>
      <c r="E31" s="103">
        <f t="shared" si="1"/>
        <v>0</v>
      </c>
      <c r="F31" s="104">
        <f>E31*(1+0.07)^-(B31-Assumptions!$D$12)</f>
        <v>0</v>
      </c>
      <c r="G31" s="272"/>
      <c r="H31" s="29" t="s">
        <v>30</v>
      </c>
      <c r="I31" s="29" t="s">
        <v>18</v>
      </c>
      <c r="J31" s="274" t="s">
        <v>19</v>
      </c>
      <c r="K31" s="274" t="s">
        <v>20</v>
      </c>
      <c r="L31" s="274" t="s">
        <v>21</v>
      </c>
      <c r="M31" s="274" t="s">
        <v>22</v>
      </c>
      <c r="N31" s="274" t="s">
        <v>586</v>
      </c>
      <c r="P31" s="19"/>
    </row>
    <row r="32" spans="1:16" ht="15" customHeight="1" x14ac:dyDescent="0.25">
      <c r="A32" s="2"/>
      <c r="B32" s="59">
        <f t="shared" si="2"/>
        <v>2064</v>
      </c>
      <c r="C32" s="102">
        <f>IF(B32&lt;=Assumptions!$D$16,TREND('Safety Benefits'!$N$32:$N$33,'Safety Benefits'!$H$32:$H$33,'Safety Benefits'!B32),0)</f>
        <v>0</v>
      </c>
      <c r="D32" s="102">
        <f>IF(B32&lt;=Assumptions!$D$16,TREND('Safety Benefits'!$N$37:$N$38,'Safety Benefits'!$H$37:$H$38,'Safety Benefits'!B32),0)</f>
        <v>0</v>
      </c>
      <c r="E32" s="103">
        <f t="shared" si="1"/>
        <v>0</v>
      </c>
      <c r="F32" s="104">
        <f>E32*(1+0.07)^-(B32-Assumptions!$D$12)</f>
        <v>0</v>
      </c>
      <c r="G32" s="19"/>
      <c r="H32" s="273">
        <v>2021</v>
      </c>
      <c r="I32" s="277">
        <f>$I$8/$I$7*I28</f>
        <v>0.33464408806203338</v>
      </c>
      <c r="J32" s="277">
        <f t="shared" ref="J32:M32" si="5">$I$8/$I$7*J28</f>
        <v>0.89238423483208917</v>
      </c>
      <c r="K32" s="277">
        <f t="shared" si="5"/>
        <v>1.0039322641861002</v>
      </c>
      <c r="L32" s="277">
        <f t="shared" si="5"/>
        <v>1.0039322641861002</v>
      </c>
      <c r="M32" s="277">
        <f t="shared" si="5"/>
        <v>8.812294318966881</v>
      </c>
      <c r="N32" s="278">
        <f>SUMPRODUCT($I$13:$M$13,$I$32:$M$32)</f>
        <v>4720734.9118676223</v>
      </c>
      <c r="P32" s="19"/>
    </row>
    <row r="33" spans="1:16" ht="15" customHeight="1" x14ac:dyDescent="0.25">
      <c r="B33" s="59">
        <f t="shared" si="2"/>
        <v>2065</v>
      </c>
      <c r="C33" s="102">
        <f>IF(B33&lt;=Assumptions!$D$16,TREND('Safety Benefits'!$N$32:$N$33,'Safety Benefits'!$H$32:$H$33,'Safety Benefits'!B33),0)</f>
        <v>0</v>
      </c>
      <c r="D33" s="102">
        <f>IF(B33&lt;=Assumptions!$D$16,TREND('Safety Benefits'!$N$37:$N$38,'Safety Benefits'!$H$37:$H$38,'Safety Benefits'!B33),0)</f>
        <v>0</v>
      </c>
      <c r="E33" s="103">
        <f t="shared" si="1"/>
        <v>0</v>
      </c>
      <c r="F33" s="104">
        <f>E33*(1+0.07)^-(B33-Assumptions!$D$12)</f>
        <v>0</v>
      </c>
      <c r="G33" s="19"/>
      <c r="H33" s="273">
        <v>2041</v>
      </c>
      <c r="I33" s="277">
        <f>$I$9/$I$7*I28</f>
        <v>0.53261030555937583</v>
      </c>
      <c r="J33" s="277">
        <f t="shared" ref="J33:M33" si="6">$I$9/$I$7*J28</f>
        <v>1.4202941481583355</v>
      </c>
      <c r="K33" s="277">
        <f t="shared" si="6"/>
        <v>1.5978309166781275</v>
      </c>
      <c r="L33" s="277">
        <f t="shared" si="6"/>
        <v>1.5978309166781275</v>
      </c>
      <c r="M33" s="277">
        <f t="shared" si="6"/>
        <v>14.025404713063564</v>
      </c>
      <c r="N33" s="278">
        <f>SUMPRODUCT($I$13:$M$13,$I$33:$M$33)</f>
        <v>7513391.5511112986</v>
      </c>
      <c r="P33" s="19"/>
    </row>
    <row r="34" spans="1:16" ht="15" customHeight="1" x14ac:dyDescent="0.25">
      <c r="B34" s="59">
        <f t="shared" si="2"/>
        <v>2066</v>
      </c>
      <c r="C34" s="102">
        <f>IF(B34&lt;=Assumptions!$D$16,TREND('Safety Benefits'!$N$32:$N$33,'Safety Benefits'!$H$32:$H$33,'Safety Benefits'!B34),0)</f>
        <v>0</v>
      </c>
      <c r="D34" s="102">
        <f>IF(B34&lt;=Assumptions!$D$16,TREND('Safety Benefits'!$N$37:$N$38,'Safety Benefits'!$H$37:$H$38,'Safety Benefits'!B34),0)</f>
        <v>0</v>
      </c>
      <c r="E34" s="103">
        <f t="shared" si="1"/>
        <v>0</v>
      </c>
      <c r="F34" s="104">
        <f>E34*(1+0.07)^-(B34-Assumptions!$D$12)</f>
        <v>0</v>
      </c>
      <c r="G34" s="19"/>
      <c r="P34" s="19"/>
    </row>
    <row r="35" spans="1:16" ht="15" customHeight="1" thickBot="1" x14ac:dyDescent="0.3">
      <c r="B35" s="60">
        <f t="shared" si="2"/>
        <v>2067</v>
      </c>
      <c r="C35" s="105">
        <f>IF(B35&lt;=Assumptions!$D$16,TREND('Safety Benefits'!$N$32:$N$33,'Safety Benefits'!$H$32:$H$33,'Safety Benefits'!B35),0)</f>
        <v>0</v>
      </c>
      <c r="D35" s="105">
        <f>IF(B35&lt;=Assumptions!$D$16,TREND('Safety Benefits'!$N$37:$N$38,'Safety Benefits'!$H$37:$H$38,'Safety Benefits'!B35),0)</f>
        <v>0</v>
      </c>
      <c r="E35" s="106">
        <f t="shared" si="1"/>
        <v>0</v>
      </c>
      <c r="F35" s="107">
        <f>E35*(1+0.07)^-(B35-Assumptions!$D$12)</f>
        <v>0</v>
      </c>
      <c r="G35" s="19"/>
      <c r="H35" s="1" t="s">
        <v>585</v>
      </c>
      <c r="N35" s="1"/>
      <c r="P35" s="19"/>
    </row>
    <row r="36" spans="1:16" ht="15" customHeight="1" thickBot="1" x14ac:dyDescent="0.3">
      <c r="A36" s="2"/>
      <c r="E36" s="66" t="s">
        <v>2</v>
      </c>
      <c r="F36" s="108">
        <f>SUM(F6:F35)</f>
        <v>14240968.991955623</v>
      </c>
      <c r="G36" s="19"/>
      <c r="H36" s="29" t="s">
        <v>30</v>
      </c>
      <c r="I36" s="29" t="s">
        <v>18</v>
      </c>
      <c r="J36" s="274" t="s">
        <v>19</v>
      </c>
      <c r="K36" s="274" t="s">
        <v>20</v>
      </c>
      <c r="L36" s="274" t="s">
        <v>21</v>
      </c>
      <c r="M36" s="274" t="s">
        <v>22</v>
      </c>
      <c r="N36" s="274" t="s">
        <v>586</v>
      </c>
      <c r="P36" s="19"/>
    </row>
    <row r="37" spans="1:16" ht="15" customHeight="1" x14ac:dyDescent="0.25">
      <c r="B37" s="36"/>
      <c r="C37" s="34"/>
      <c r="D37" s="68"/>
      <c r="E37" s="68"/>
      <c r="F37" s="68"/>
      <c r="G37" s="68"/>
      <c r="H37" s="273">
        <v>2021</v>
      </c>
      <c r="I37" s="277">
        <f>I32*I24</f>
        <v>0.17739483108168391</v>
      </c>
      <c r="J37" s="277">
        <f t="shared" ref="J37:M37" si="7">J32*J24</f>
        <v>0.35952019099221277</v>
      </c>
      <c r="K37" s="277">
        <f t="shared" si="7"/>
        <v>0.42574759459604145</v>
      </c>
      <c r="L37" s="277">
        <f t="shared" si="7"/>
        <v>0.42574759459604145</v>
      </c>
      <c r="M37" s="277">
        <f t="shared" si="7"/>
        <v>4.3733654246168836</v>
      </c>
      <c r="N37" s="278">
        <f>SUMPRODUCT($I$13:$M$13,$I$37:$M$37)</f>
        <v>2412488.3037044439</v>
      </c>
      <c r="P37" s="19"/>
    </row>
    <row r="38" spans="1:16" x14ac:dyDescent="0.25">
      <c r="A38" s="2"/>
      <c r="D38" s="68"/>
      <c r="E38" s="68"/>
      <c r="F38" s="68"/>
      <c r="G38" s="68"/>
      <c r="H38" s="273">
        <v>2041</v>
      </c>
      <c r="I38" s="277">
        <f>I33*I24</f>
        <v>0.28233672297702511</v>
      </c>
      <c r="J38" s="277">
        <f t="shared" ref="J38:M38" si="8">J33*J24</f>
        <v>0.57220242523343756</v>
      </c>
      <c r="K38" s="277">
        <f t="shared" si="8"/>
        <v>0.6776081351448604</v>
      </c>
      <c r="L38" s="277">
        <f t="shared" si="8"/>
        <v>0.6776081351448604</v>
      </c>
      <c r="M38" s="277">
        <f t="shared" si="8"/>
        <v>6.9605278509991857</v>
      </c>
      <c r="N38" s="278">
        <f>SUMPRODUCT($I$13:$M$13,$I$38:$M$38)</f>
        <v>3839649.8800727581</v>
      </c>
      <c r="P38" s="19"/>
    </row>
    <row r="39" spans="1:16" ht="15" customHeight="1" x14ac:dyDescent="0.25">
      <c r="H39" s="19"/>
      <c r="I39" s="19"/>
      <c r="J39" s="19"/>
      <c r="K39" s="19"/>
      <c r="L39" s="19"/>
      <c r="M39" s="19"/>
      <c r="N39" s="19"/>
      <c r="O39" s="19"/>
      <c r="P39" s="19"/>
    </row>
    <row r="40" spans="1:16" ht="15" customHeight="1" x14ac:dyDescent="0.25">
      <c r="B40" s="1" t="s">
        <v>3</v>
      </c>
      <c r="C40" s="1"/>
      <c r="D40" s="1"/>
    </row>
    <row r="41" spans="1:16" ht="15" customHeight="1" x14ac:dyDescent="0.25">
      <c r="A41" s="2" t="s">
        <v>17</v>
      </c>
      <c r="B41" s="315" t="s">
        <v>612</v>
      </c>
      <c r="C41" s="315"/>
      <c r="D41" s="315"/>
      <c r="E41" s="315"/>
      <c r="F41" s="315"/>
    </row>
    <row r="42" spans="1:16" ht="15" customHeight="1" x14ac:dyDescent="0.25">
      <c r="B42" s="315"/>
      <c r="C42" s="315"/>
      <c r="D42" s="315"/>
      <c r="E42" s="315"/>
      <c r="F42" s="315"/>
    </row>
    <row r="43" spans="1:16" x14ac:dyDescent="0.25">
      <c r="A43" s="2"/>
      <c r="B43" s="315"/>
      <c r="C43" s="315"/>
      <c r="D43" s="315"/>
      <c r="E43" s="315"/>
      <c r="F43" s="315"/>
    </row>
    <row r="44" spans="1:16" ht="15" customHeight="1" x14ac:dyDescent="0.25">
      <c r="B44" s="315"/>
      <c r="C44" s="315"/>
      <c r="D44" s="315"/>
      <c r="E44" s="315"/>
      <c r="F44" s="315"/>
    </row>
    <row r="45" spans="1:16" ht="15" customHeight="1" x14ac:dyDescent="0.25">
      <c r="B45" s="315"/>
      <c r="C45" s="315"/>
      <c r="D45" s="315"/>
      <c r="E45" s="315"/>
      <c r="F45" s="315"/>
    </row>
    <row r="46" spans="1:16" x14ac:dyDescent="0.25">
      <c r="B46" s="7"/>
      <c r="C46" s="7"/>
      <c r="D46" s="7"/>
      <c r="E46" s="7"/>
      <c r="F46" s="7"/>
    </row>
    <row r="47" spans="1:16" ht="15" customHeight="1" x14ac:dyDescent="0.25">
      <c r="A47" s="2" t="s">
        <v>23</v>
      </c>
      <c r="B47" s="315" t="s">
        <v>622</v>
      </c>
      <c r="C47" s="315"/>
      <c r="D47" s="315"/>
      <c r="E47" s="315"/>
      <c r="F47" s="315"/>
    </row>
    <row r="48" spans="1:16" x14ac:dyDescent="0.25">
      <c r="B48" s="315"/>
      <c r="C48" s="315"/>
      <c r="D48" s="315"/>
      <c r="E48" s="315"/>
      <c r="F48" s="315"/>
    </row>
    <row r="49" spans="1:6" ht="15" customHeight="1" x14ac:dyDescent="0.25">
      <c r="A49" s="2"/>
      <c r="B49" s="315"/>
      <c r="C49" s="315"/>
      <c r="D49" s="315"/>
      <c r="E49" s="315"/>
      <c r="F49" s="315"/>
    </row>
    <row r="50" spans="1:6" ht="15" customHeight="1" x14ac:dyDescent="0.25">
      <c r="B50" s="315"/>
      <c r="C50" s="315"/>
      <c r="D50" s="315"/>
      <c r="E50" s="315"/>
      <c r="F50" s="315"/>
    </row>
    <row r="51" spans="1:6" ht="15" customHeight="1" x14ac:dyDescent="0.25">
      <c r="B51" s="315"/>
      <c r="C51" s="315"/>
      <c r="D51" s="315"/>
      <c r="E51" s="315"/>
      <c r="F51" s="315"/>
    </row>
    <row r="52" spans="1:6" x14ac:dyDescent="0.25">
      <c r="B52" s="315"/>
      <c r="C52" s="315"/>
      <c r="D52" s="315"/>
      <c r="E52" s="315"/>
      <c r="F52" s="315"/>
    </row>
    <row r="53" spans="1:6" ht="15" customHeight="1" x14ac:dyDescent="0.25"/>
    <row r="54" spans="1:6" ht="15" customHeight="1" x14ac:dyDescent="0.25">
      <c r="A54" s="2" t="s">
        <v>24</v>
      </c>
      <c r="B54" s="315" t="s">
        <v>613</v>
      </c>
      <c r="C54" s="315"/>
      <c r="D54" s="315"/>
      <c r="E54" s="315"/>
      <c r="F54" s="315"/>
    </row>
    <row r="55" spans="1:6" x14ac:dyDescent="0.25">
      <c r="B55" s="315"/>
      <c r="C55" s="315"/>
      <c r="D55" s="315"/>
      <c r="E55" s="315"/>
      <c r="F55" s="315"/>
    </row>
    <row r="56" spans="1:6" ht="15" customHeight="1" x14ac:dyDescent="0.25">
      <c r="B56" s="315"/>
      <c r="C56" s="315"/>
      <c r="D56" s="315"/>
      <c r="E56" s="315"/>
      <c r="F56" s="315"/>
    </row>
    <row r="57" spans="1:6" x14ac:dyDescent="0.25">
      <c r="B57" s="315"/>
      <c r="C57" s="315"/>
      <c r="D57" s="315"/>
      <c r="E57" s="315"/>
      <c r="F57" s="315"/>
    </row>
    <row r="58" spans="1:6" ht="15" customHeight="1" x14ac:dyDescent="0.25">
      <c r="B58" s="315"/>
      <c r="C58" s="315"/>
      <c r="D58" s="315"/>
      <c r="E58" s="315"/>
      <c r="F58" s="315"/>
    </row>
    <row r="61" spans="1:6" ht="15" customHeight="1" x14ac:dyDescent="0.25"/>
    <row r="66" spans="2:16" x14ac:dyDescent="0.25">
      <c r="B66" s="7"/>
      <c r="C66" s="7"/>
      <c r="D66" s="7"/>
      <c r="E66" s="7"/>
      <c r="F66" s="7"/>
      <c r="G66" s="7"/>
      <c r="H66" s="7"/>
      <c r="I66" s="7"/>
      <c r="J66" s="7"/>
      <c r="K66" s="7"/>
      <c r="L66" s="7"/>
      <c r="M66" s="7"/>
      <c r="N66" s="7"/>
      <c r="O66" s="7"/>
      <c r="P66" s="7"/>
    </row>
  </sheetData>
  <mergeCells count="9">
    <mergeCell ref="B54:F58"/>
    <mergeCell ref="B41:F45"/>
    <mergeCell ref="B47:F52"/>
    <mergeCell ref="C3:F3"/>
    <mergeCell ref="E4:E5"/>
    <mergeCell ref="F4:F5"/>
    <mergeCell ref="B4:B5"/>
    <mergeCell ref="C4:C5"/>
    <mergeCell ref="D4:D5"/>
  </mergeCells>
  <phoneticPr fontId="14" type="noConversion"/>
  <hyperlinks>
    <hyperlink ref="N21" r:id="rId1" xr:uid="{12BA53CF-8919-4839-BE57-3155825E6392}"/>
    <hyperlink ref="N23" r:id="rId2" xr:uid="{88601113-DF85-4D5E-AAB4-14D9F5C84462}"/>
    <hyperlink ref="N22" r:id="rId3" xr:uid="{55BBB21D-9B22-457E-A604-D008990A1138}"/>
  </hyperlinks>
  <pageMargins left="0.25" right="0.25" top="0.75" bottom="0.75" header="0.3" footer="0.3"/>
  <pageSetup paperSize="3" scale="59" orientation="landscape"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1447E-4568-464D-AE1B-323783893167}">
  <sheetPr codeName="Sheet10">
    <tabColor theme="5" tint="0.59999389629810485"/>
    <pageSetUpPr fitToPage="1"/>
  </sheetPr>
  <dimension ref="A1:AJ70"/>
  <sheetViews>
    <sheetView view="pageBreakPreview" topLeftCell="A3" zoomScale="70" zoomScaleNormal="70" zoomScaleSheetLayoutView="70" workbookViewId="0">
      <selection activeCell="K22" sqref="K22:L26"/>
    </sheetView>
  </sheetViews>
  <sheetFormatPr defaultRowHeight="15" x14ac:dyDescent="0.25"/>
  <cols>
    <col min="2" max="7" width="15.7109375" customWidth="1"/>
    <col min="8" max="8" width="56.28515625" bestFit="1" customWidth="1"/>
    <col min="9" max="9" width="29" bestFit="1" customWidth="1"/>
    <col min="10" max="10" width="29.28515625" customWidth="1"/>
    <col min="11" max="11" width="28" customWidth="1"/>
    <col min="12" max="13" width="26" customWidth="1"/>
    <col min="14" max="14" width="8.140625" bestFit="1" customWidth="1"/>
    <col min="15" max="15" width="35.85546875" bestFit="1" customWidth="1"/>
    <col min="16" max="16" width="51.5703125" bestFit="1" customWidth="1"/>
  </cols>
  <sheetData>
    <row r="1" spans="2:36" x14ac:dyDescent="0.25">
      <c r="B1" s="39"/>
      <c r="C1" s="39"/>
      <c r="D1" s="39"/>
      <c r="E1" s="39"/>
      <c r="F1" s="39"/>
    </row>
    <row r="2" spans="2:36" x14ac:dyDescent="0.25">
      <c r="B2" s="1" t="s">
        <v>98</v>
      </c>
    </row>
    <row r="3" spans="2:36" ht="15.75" thickBot="1" x14ac:dyDescent="0.3">
      <c r="B3" s="1"/>
    </row>
    <row r="4" spans="2:36" ht="22.5" customHeight="1" x14ac:dyDescent="0.25">
      <c r="B4" s="333" t="s">
        <v>0</v>
      </c>
      <c r="C4" s="329" t="s">
        <v>92</v>
      </c>
      <c r="D4" s="336" t="s">
        <v>1</v>
      </c>
      <c r="E4" s="338" t="s">
        <v>4</v>
      </c>
      <c r="F4" s="336" t="s">
        <v>1</v>
      </c>
    </row>
    <row r="5" spans="2:36" ht="22.5" customHeight="1" thickBot="1" x14ac:dyDescent="0.3">
      <c r="B5" s="335"/>
      <c r="C5" s="330"/>
      <c r="D5" s="337"/>
      <c r="E5" s="339"/>
      <c r="F5" s="337"/>
    </row>
    <row r="6" spans="2:36" ht="15.75" customHeight="1" x14ac:dyDescent="0.25">
      <c r="B6" s="149">
        <f>Assumptions!$D$13</f>
        <v>2024</v>
      </c>
      <c r="C6" s="184">
        <f t="shared" ref="C6:C41" si="0">_xlfn.XLOOKUP(B6,$I$8:$I$20,$K$8:$K$20,0,0,1)</f>
        <v>0</v>
      </c>
      <c r="D6" s="90">
        <f>C6*(1+0.07)^-($B6-Assumptions!$D$12)</f>
        <v>0</v>
      </c>
      <c r="E6" s="91">
        <f>IF(B6=Assumptions!$D$16,$M$35,0)</f>
        <v>0</v>
      </c>
      <c r="F6" s="92">
        <f>E6*(1+0.07)^-($B6-Assumptions!$D$12)</f>
        <v>0</v>
      </c>
      <c r="H6" s="1" t="s">
        <v>147</v>
      </c>
      <c r="Q6" s="15"/>
      <c r="R6" s="15"/>
      <c r="S6" s="15"/>
      <c r="T6" s="15"/>
      <c r="U6" s="15"/>
      <c r="V6" s="15"/>
      <c r="W6" s="15"/>
      <c r="X6" s="15"/>
      <c r="Y6" s="15"/>
      <c r="Z6" s="15"/>
      <c r="AA6" s="15"/>
      <c r="AB6" s="15"/>
      <c r="AC6" s="15"/>
      <c r="AD6" s="15"/>
      <c r="AE6" s="15"/>
      <c r="AF6" s="15"/>
      <c r="AG6" s="15"/>
      <c r="AH6" s="15"/>
      <c r="AI6" s="15"/>
      <c r="AJ6" s="15"/>
    </row>
    <row r="7" spans="2:36" ht="15.75" customHeight="1" x14ac:dyDescent="0.25">
      <c r="B7" s="59">
        <f>B6+1</f>
        <v>2025</v>
      </c>
      <c r="C7" s="184">
        <f t="shared" si="0"/>
        <v>2553076.7896368266</v>
      </c>
      <c r="D7" s="90">
        <f>C7*(1+0.07)^-($B7-Assumptions!$D$12)</f>
        <v>1947730.0588036017</v>
      </c>
      <c r="E7" s="91">
        <f>IF(B7=Assumptions!$D$16,$M$35,0)</f>
        <v>0</v>
      </c>
      <c r="F7" s="92">
        <f>E7*(1+0.07)^-($B7-Assumptions!$D$12)</f>
        <v>0</v>
      </c>
      <c r="H7" s="23" t="s">
        <v>134</v>
      </c>
      <c r="I7" s="23" t="s">
        <v>30</v>
      </c>
      <c r="J7" s="292" t="s">
        <v>135</v>
      </c>
      <c r="K7" s="292" t="s">
        <v>115</v>
      </c>
    </row>
    <row r="8" spans="2:36" ht="15.75" customHeight="1" x14ac:dyDescent="0.25">
      <c r="B8" s="59">
        <f t="shared" ref="B8:B41" si="1">B7+1</f>
        <v>2026</v>
      </c>
      <c r="C8" s="184">
        <f t="shared" si="0"/>
        <v>0</v>
      </c>
      <c r="D8" s="90">
        <f>C8*(1+0.07)^-($B8-Assumptions!$D$12)</f>
        <v>0</v>
      </c>
      <c r="E8" s="91">
        <f>IF(B8=Assumptions!$D$16,$M$35,0)</f>
        <v>0</v>
      </c>
      <c r="F8" s="92">
        <f>E8*(1+0.07)^-($B8-Assumptions!$D$12)</f>
        <v>0</v>
      </c>
      <c r="H8" s="23" t="s">
        <v>121</v>
      </c>
      <c r="I8" s="35">
        <v>2025</v>
      </c>
      <c r="J8" s="195">
        <v>2809125.3000000003</v>
      </c>
      <c r="K8" s="196">
        <f>J8*$I$24</f>
        <v>2553076.7896368266</v>
      </c>
      <c r="L8" s="19"/>
    </row>
    <row r="9" spans="2:36" ht="15.75" customHeight="1" x14ac:dyDescent="0.25">
      <c r="B9" s="59">
        <f t="shared" si="1"/>
        <v>2027</v>
      </c>
      <c r="C9" s="184">
        <f t="shared" si="0"/>
        <v>0</v>
      </c>
      <c r="D9" s="90">
        <f>C9*(1+0.07)^-($B9-Assumptions!$D$12)</f>
        <v>0</v>
      </c>
      <c r="E9" s="91">
        <f>IF(B9=Assumptions!$D$16,$M$35,0)</f>
        <v>0</v>
      </c>
      <c r="F9" s="92">
        <f>E9*(1+0.07)^-($B9-Assumptions!$D$12)</f>
        <v>0</v>
      </c>
      <c r="H9" s="23" t="s">
        <v>122</v>
      </c>
      <c r="I9" s="35">
        <v>2026</v>
      </c>
      <c r="J9" s="195"/>
      <c r="K9" s="196">
        <f t="shared" ref="K9:K20" si="2">J9*$I$24</f>
        <v>0</v>
      </c>
    </row>
    <row r="10" spans="2:36" ht="15.75" customHeight="1" x14ac:dyDescent="0.25">
      <c r="B10" s="59">
        <f t="shared" si="1"/>
        <v>2028</v>
      </c>
      <c r="C10" s="184">
        <f t="shared" si="0"/>
        <v>0</v>
      </c>
      <c r="D10" s="90">
        <f>C10*(1+0.07)^-($B10-Assumptions!$D$12)</f>
        <v>0</v>
      </c>
      <c r="E10" s="91">
        <f>IF(B10=Assumptions!$D$16,$M$35,0)</f>
        <v>0</v>
      </c>
      <c r="F10" s="92">
        <f>E10*(1+0.07)^-($B10-Assumptions!$D$12)</f>
        <v>0</v>
      </c>
      <c r="H10" s="23" t="s">
        <v>123</v>
      </c>
      <c r="I10" s="35">
        <v>2027</v>
      </c>
      <c r="J10" s="195"/>
      <c r="K10" s="196">
        <f t="shared" si="2"/>
        <v>0</v>
      </c>
    </row>
    <row r="11" spans="2:36" ht="15.75" customHeight="1" x14ac:dyDescent="0.25">
      <c r="B11" s="59">
        <f t="shared" si="1"/>
        <v>2029</v>
      </c>
      <c r="C11" s="184">
        <f t="shared" si="0"/>
        <v>0</v>
      </c>
      <c r="D11" s="90">
        <f>C11*(1+0.07)^-($B11-Assumptions!$D$12)</f>
        <v>0</v>
      </c>
      <c r="E11" s="91">
        <f>IF(B11=Assumptions!$D$16,$M$35,0)</f>
        <v>0</v>
      </c>
      <c r="F11" s="92">
        <f>E11*(1+0.07)^-($B11-Assumptions!$D$12)</f>
        <v>0</v>
      </c>
      <c r="H11" s="23" t="s">
        <v>124</v>
      </c>
      <c r="I11" s="35">
        <v>2028</v>
      </c>
      <c r="J11" s="195"/>
      <c r="K11" s="196">
        <f t="shared" si="2"/>
        <v>0</v>
      </c>
    </row>
    <row r="12" spans="2:36" ht="15.75" customHeight="1" x14ac:dyDescent="0.25">
      <c r="B12" s="59">
        <f t="shared" si="1"/>
        <v>2030</v>
      </c>
      <c r="C12" s="184">
        <f t="shared" si="0"/>
        <v>0</v>
      </c>
      <c r="D12" s="90">
        <f>C12*(1+0.07)^-($B12-Assumptions!$D$12)</f>
        <v>0</v>
      </c>
      <c r="E12" s="91">
        <f>IF(B12=Assumptions!$D$16,$M$35,0)</f>
        <v>0</v>
      </c>
      <c r="F12" s="92">
        <f>E12*(1+0.07)^-($B12-Assumptions!$D$12)</f>
        <v>0</v>
      </c>
      <c r="H12" s="23" t="s">
        <v>125</v>
      </c>
      <c r="I12" s="35">
        <v>2029</v>
      </c>
      <c r="J12" s="195"/>
      <c r="K12" s="196">
        <f t="shared" si="2"/>
        <v>0</v>
      </c>
    </row>
    <row r="13" spans="2:36" ht="15.75" customHeight="1" x14ac:dyDescent="0.25">
      <c r="B13" s="59">
        <f t="shared" si="1"/>
        <v>2031</v>
      </c>
      <c r="C13" s="184">
        <f t="shared" si="0"/>
        <v>0</v>
      </c>
      <c r="D13" s="90">
        <f>C13*(1+0.07)^-($B13-Assumptions!$D$12)</f>
        <v>0</v>
      </c>
      <c r="E13" s="91">
        <f>IF(B13=Assumptions!$D$16,$M$35,0)</f>
        <v>0</v>
      </c>
      <c r="F13" s="92">
        <f>E13*(1+0.07)^-($B13-Assumptions!$D$12)</f>
        <v>0</v>
      </c>
      <c r="H13" s="23" t="s">
        <v>126</v>
      </c>
      <c r="I13" s="35">
        <v>2030</v>
      </c>
      <c r="J13" s="195"/>
      <c r="K13" s="196">
        <f t="shared" si="2"/>
        <v>0</v>
      </c>
    </row>
    <row r="14" spans="2:36" ht="15.75" customHeight="1" x14ac:dyDescent="0.25">
      <c r="B14" s="59">
        <f t="shared" si="1"/>
        <v>2032</v>
      </c>
      <c r="C14" s="184">
        <f t="shared" si="0"/>
        <v>23022752.710717097</v>
      </c>
      <c r="D14" s="90">
        <f>C14*(1+0.07)^-($B14-Assumptions!$D$12)</f>
        <v>10937943.965874476</v>
      </c>
      <c r="E14" s="91">
        <f>IF(B14=Assumptions!$D$16,$M$35,0)</f>
        <v>0</v>
      </c>
      <c r="F14" s="92">
        <f>E14*(1+0.07)^-($B14-Assumptions!$D$12)</f>
        <v>0</v>
      </c>
      <c r="H14" s="23" t="s">
        <v>127</v>
      </c>
      <c r="I14" s="35">
        <v>2031</v>
      </c>
      <c r="J14" s="195"/>
      <c r="K14" s="196">
        <f t="shared" si="2"/>
        <v>0</v>
      </c>
    </row>
    <row r="15" spans="2:36" ht="15.75" customHeight="1" x14ac:dyDescent="0.25">
      <c r="B15" s="59">
        <f t="shared" si="1"/>
        <v>2033</v>
      </c>
      <c r="C15" s="184">
        <f t="shared" si="0"/>
        <v>8166027.6794655211</v>
      </c>
      <c r="D15" s="90">
        <f>C15*(1+0.07)^-($B15-Assumptions!$D$12)</f>
        <v>3625813.9491735608</v>
      </c>
      <c r="E15" s="91">
        <f>IF(B15=Assumptions!$D$16,$M$35,0)</f>
        <v>0</v>
      </c>
      <c r="F15" s="92">
        <f>E15*(1+0.07)^-($B15-Assumptions!$D$12)</f>
        <v>0</v>
      </c>
      <c r="H15" s="23" t="s">
        <v>128</v>
      </c>
      <c r="I15" s="35">
        <v>2032</v>
      </c>
      <c r="J15" s="195">
        <v>25331708.539999999</v>
      </c>
      <c r="K15" s="196">
        <f t="shared" si="2"/>
        <v>23022752.710717097</v>
      </c>
      <c r="L15" s="19"/>
    </row>
    <row r="16" spans="2:36" ht="15.75" customHeight="1" x14ac:dyDescent="0.25">
      <c r="B16" s="59">
        <f t="shared" si="1"/>
        <v>2034</v>
      </c>
      <c r="C16" s="184">
        <f t="shared" si="0"/>
        <v>0</v>
      </c>
      <c r="D16" s="90">
        <f>C16*(1+0.07)^-($B16-Assumptions!$D$12)</f>
        <v>0</v>
      </c>
      <c r="E16" s="91">
        <f>IF(B16=Assumptions!$D$16,$M$35,0)</f>
        <v>0</v>
      </c>
      <c r="F16" s="92">
        <f>E16*(1+0.07)^-($B16-Assumptions!$D$12)</f>
        <v>0</v>
      </c>
      <c r="H16" s="23" t="s">
        <v>129</v>
      </c>
      <c r="I16" s="35">
        <v>2033</v>
      </c>
      <c r="J16" s="195">
        <v>8985000</v>
      </c>
      <c r="K16" s="196">
        <f t="shared" si="2"/>
        <v>8166027.6794655211</v>
      </c>
      <c r="L16" s="19"/>
    </row>
    <row r="17" spans="2:36" ht="15.75" customHeight="1" x14ac:dyDescent="0.25">
      <c r="B17" s="59">
        <f t="shared" si="1"/>
        <v>2035</v>
      </c>
      <c r="C17" s="184">
        <f t="shared" si="0"/>
        <v>0</v>
      </c>
      <c r="D17" s="90">
        <f>C17*(1+0.07)^-($B17-Assumptions!$D$12)</f>
        <v>0</v>
      </c>
      <c r="E17" s="91">
        <f>IF(B17=Assumptions!$D$16,$M$35,0)</f>
        <v>0</v>
      </c>
      <c r="F17" s="92">
        <f>E17*(1+0.07)^-($B17-Assumptions!$D$12)</f>
        <v>0</v>
      </c>
      <c r="H17" s="23" t="s">
        <v>130</v>
      </c>
      <c r="I17" s="35">
        <v>2034</v>
      </c>
      <c r="J17" s="195"/>
      <c r="K17" s="196">
        <f t="shared" si="2"/>
        <v>0</v>
      </c>
    </row>
    <row r="18" spans="2:36" ht="15.75" customHeight="1" x14ac:dyDescent="0.25">
      <c r="B18" s="59">
        <f t="shared" si="1"/>
        <v>2036</v>
      </c>
      <c r="C18" s="184">
        <f t="shared" si="0"/>
        <v>23489781.248348862</v>
      </c>
      <c r="D18" s="90">
        <f>C18*(1+0.07)^-($B18-Assumptions!$D$12)</f>
        <v>8513777.7157337833</v>
      </c>
      <c r="E18" s="91">
        <f>IF(B18=Assumptions!$D$16,$M$35,0)</f>
        <v>0</v>
      </c>
      <c r="F18" s="92">
        <f>E18*(1+0.07)^-($B18-Assumptions!$D$12)</f>
        <v>0</v>
      </c>
      <c r="H18" s="23" t="s">
        <v>131</v>
      </c>
      <c r="I18" s="35">
        <v>2035</v>
      </c>
      <c r="J18" s="195"/>
      <c r="K18" s="196">
        <f t="shared" si="2"/>
        <v>0</v>
      </c>
      <c r="Q18" s="15"/>
      <c r="R18" s="15"/>
      <c r="S18" s="15"/>
      <c r="T18" s="15"/>
      <c r="U18" s="15"/>
      <c r="V18" s="15"/>
      <c r="W18" s="15"/>
      <c r="X18" s="15"/>
      <c r="Y18" s="15"/>
      <c r="Z18" s="15"/>
      <c r="AA18" s="15"/>
      <c r="AB18" s="15"/>
      <c r="AC18" s="15"/>
      <c r="AD18" s="15"/>
      <c r="AE18" s="15"/>
      <c r="AF18" s="15"/>
      <c r="AG18" s="15"/>
      <c r="AH18" s="15"/>
      <c r="AI18" s="15"/>
      <c r="AJ18" s="15"/>
    </row>
    <row r="19" spans="2:36" ht="15.75" customHeight="1" x14ac:dyDescent="0.25">
      <c r="B19" s="59">
        <f t="shared" si="1"/>
        <v>2037</v>
      </c>
      <c r="C19" s="184">
        <f t="shared" si="0"/>
        <v>2199619.7563045123</v>
      </c>
      <c r="D19" s="90">
        <f>C19*(1+0.07)^-($B19-Assumptions!$D$12)</f>
        <v>745087.31345725956</v>
      </c>
      <c r="E19" s="91">
        <f>IF(B19=Assumptions!$D$16,$M$35,0)</f>
        <v>0</v>
      </c>
      <c r="F19" s="92">
        <f>E19*(1+0.07)^-($B19-Assumptions!$D$12)</f>
        <v>0</v>
      </c>
      <c r="H19" s="23" t="s">
        <v>132</v>
      </c>
      <c r="I19" s="35">
        <v>2036</v>
      </c>
      <c r="J19" s="195">
        <v>25845575.449999999</v>
      </c>
      <c r="K19" s="196">
        <f t="shared" si="2"/>
        <v>23489781.248348862</v>
      </c>
      <c r="L19" s="19"/>
    </row>
    <row r="20" spans="2:36" ht="15.75" customHeight="1" x14ac:dyDescent="0.25">
      <c r="B20" s="59">
        <f t="shared" si="1"/>
        <v>2038</v>
      </c>
      <c r="C20" s="184">
        <f t="shared" si="0"/>
        <v>0</v>
      </c>
      <c r="D20" s="90">
        <f>C20*(1+0.07)^-($B20-Assumptions!$D$12)</f>
        <v>0</v>
      </c>
      <c r="E20" s="91">
        <f>IF(B20=Assumptions!$D$16,$M$35,0)</f>
        <v>0</v>
      </c>
      <c r="F20" s="92">
        <f>E20*(1+0.07)^-($B20-Assumptions!$D$12)</f>
        <v>0</v>
      </c>
      <c r="H20" s="23" t="s">
        <v>133</v>
      </c>
      <c r="I20" s="35">
        <v>2037</v>
      </c>
      <c r="J20" s="195">
        <v>2420220</v>
      </c>
      <c r="K20" s="196">
        <f t="shared" si="2"/>
        <v>2199619.7563045123</v>
      </c>
      <c r="L20" s="19"/>
    </row>
    <row r="21" spans="2:36" ht="15.75" customHeight="1" x14ac:dyDescent="0.25">
      <c r="B21" s="59">
        <f t="shared" si="1"/>
        <v>2039</v>
      </c>
      <c r="C21" s="184">
        <f t="shared" si="0"/>
        <v>0</v>
      </c>
      <c r="D21" s="90">
        <f>C21*(1+0.07)^-($B21-Assumptions!$D$12)</f>
        <v>0</v>
      </c>
      <c r="E21" s="91">
        <f>IF(B21=Assumptions!$D$16,$M$35,0)</f>
        <v>0</v>
      </c>
      <c r="F21" s="92">
        <f>E21*(1+0.07)^-($B21-Assumptions!$D$12)</f>
        <v>0</v>
      </c>
    </row>
    <row r="22" spans="2:36" ht="15.75" customHeight="1" x14ac:dyDescent="0.25">
      <c r="B22" s="59">
        <f t="shared" si="1"/>
        <v>2040</v>
      </c>
      <c r="C22" s="184">
        <f t="shared" si="0"/>
        <v>0</v>
      </c>
      <c r="D22" s="90">
        <f>C22*(1+0.07)^-($B22-Assumptions!$D$12)</f>
        <v>0</v>
      </c>
      <c r="E22" s="91">
        <f>IF(B22=Assumptions!$D$16,$M$35,0)</f>
        <v>0</v>
      </c>
      <c r="F22" s="92">
        <f>E22*(1+0.07)^-($B22-Assumptions!$D$12)</f>
        <v>0</v>
      </c>
      <c r="H22" s="1" t="s">
        <v>148</v>
      </c>
      <c r="J22" s="1"/>
      <c r="K22" s="1"/>
    </row>
    <row r="23" spans="2:36" ht="15.75" customHeight="1" x14ac:dyDescent="0.25">
      <c r="B23" s="59">
        <f t="shared" si="1"/>
        <v>2041</v>
      </c>
      <c r="C23" s="184">
        <f t="shared" si="0"/>
        <v>0</v>
      </c>
      <c r="D23" s="90">
        <f>C23*(1+0.07)^-($B23-Assumptions!$D$12)</f>
        <v>0</v>
      </c>
      <c r="E23" s="91">
        <f>IF(B23=Assumptions!$D$16,$M$35,0)</f>
        <v>0</v>
      </c>
      <c r="F23" s="92">
        <f>E23*(1+0.07)^-($B23-Assumptions!$D$12)</f>
        <v>0</v>
      </c>
      <c r="H23" s="23" t="s">
        <v>95</v>
      </c>
      <c r="I23" s="70" t="s">
        <v>96</v>
      </c>
      <c r="J23" s="1"/>
      <c r="K23" s="359"/>
    </row>
    <row r="24" spans="2:36" ht="15.75" customHeight="1" x14ac:dyDescent="0.25">
      <c r="B24" s="59">
        <f t="shared" si="1"/>
        <v>2042</v>
      </c>
      <c r="C24" s="184">
        <f t="shared" si="0"/>
        <v>0</v>
      </c>
      <c r="D24" s="90">
        <f>C24*(1+0.07)^-($B24-Assumptions!$D$12)</f>
        <v>0</v>
      </c>
      <c r="E24" s="91">
        <f>IF(B24=Assumptions!$D$16,$M$35,0)</f>
        <v>0</v>
      </c>
      <c r="F24" s="92">
        <f>E24*(1+0.07)^-($B24-Assumptions!$D$12)</f>
        <v>0</v>
      </c>
      <c r="H24" s="75" t="s">
        <v>136</v>
      </c>
      <c r="I24" s="69">
        <f>118.895/130.819</f>
        <v>0.90885116076410921</v>
      </c>
      <c r="J24" s="1"/>
      <c r="K24" s="1"/>
    </row>
    <row r="25" spans="2:36" ht="15.75" customHeight="1" x14ac:dyDescent="0.25">
      <c r="B25" s="59">
        <f t="shared" si="1"/>
        <v>2043</v>
      </c>
      <c r="C25" s="184">
        <f t="shared" si="0"/>
        <v>0</v>
      </c>
      <c r="D25" s="90">
        <f>C25*(1+0.07)^-($B25-Assumptions!$D$12)</f>
        <v>0</v>
      </c>
      <c r="E25" s="91">
        <f>IF(B25=Assumptions!$D$16,$M$35,0)</f>
        <v>0</v>
      </c>
      <c r="F25" s="92">
        <f>E25*(1+0.07)^-($B25-Assumptions!$D$12)</f>
        <v>0</v>
      </c>
      <c r="P25" s="15"/>
    </row>
    <row r="26" spans="2:36" ht="15.75" customHeight="1" x14ac:dyDescent="0.25">
      <c r="B26" s="59">
        <f t="shared" si="1"/>
        <v>2044</v>
      </c>
      <c r="C26" s="184">
        <f t="shared" si="0"/>
        <v>0</v>
      </c>
      <c r="D26" s="90">
        <f>C26*(1+0.07)^-($B26-Assumptions!$D$12)</f>
        <v>0</v>
      </c>
      <c r="E26" s="91">
        <f>IF(B26=Assumptions!$D$16,$M$35,0)</f>
        <v>0</v>
      </c>
      <c r="F26" s="92">
        <f>E26*(1+0.07)^-($B26-Assumptions!$D$12)</f>
        <v>0</v>
      </c>
      <c r="H26" s="1" t="s">
        <v>562</v>
      </c>
      <c r="N26" s="1"/>
      <c r="P26" s="15"/>
    </row>
    <row r="27" spans="2:36" ht="15.75" customHeight="1" x14ac:dyDescent="0.25">
      <c r="B27" s="59">
        <f t="shared" si="1"/>
        <v>2045</v>
      </c>
      <c r="C27" s="184">
        <f t="shared" si="0"/>
        <v>0</v>
      </c>
      <c r="D27" s="90">
        <f>C27*(1+0.07)^-($B27-Assumptions!$D$12)</f>
        <v>0</v>
      </c>
      <c r="E27" s="91">
        <f>IF(B27=Assumptions!$D$16,$M$35,0)</f>
        <v>0</v>
      </c>
      <c r="F27" s="92">
        <f>E27*(1+0.07)^-($B27-Assumptions!$D$12)</f>
        <v>0</v>
      </c>
      <c r="H27" s="23" t="s">
        <v>557</v>
      </c>
      <c r="I27" s="70" t="s">
        <v>96</v>
      </c>
      <c r="N27" s="1"/>
      <c r="P27" s="15"/>
    </row>
    <row r="28" spans="2:36" ht="15.75" customHeight="1" x14ac:dyDescent="0.25">
      <c r="B28" s="59">
        <f t="shared" si="1"/>
        <v>2046</v>
      </c>
      <c r="C28" s="184">
        <f t="shared" si="0"/>
        <v>0</v>
      </c>
      <c r="D28" s="90">
        <f>C28*(1+0.07)^-($B28-Assumptions!$D$12)</f>
        <v>0</v>
      </c>
      <c r="E28" s="91">
        <f>IF(B28=Assumptions!$D$16,$M$35,0)</f>
        <v>0</v>
      </c>
      <c r="F28" s="92">
        <f>E28*(1+0.07)^-($B28-Assumptions!$D$12)</f>
        <v>0</v>
      </c>
      <c r="H28" s="252" t="s">
        <v>561</v>
      </c>
      <c r="I28" s="256">
        <f>1-I29</f>
        <v>0.92999999999999994</v>
      </c>
      <c r="N28" s="1"/>
      <c r="P28" s="15"/>
    </row>
    <row r="29" spans="2:36" ht="15.75" customHeight="1" x14ac:dyDescent="0.25">
      <c r="B29" s="59">
        <f t="shared" si="1"/>
        <v>2047</v>
      </c>
      <c r="C29" s="184">
        <f t="shared" si="0"/>
        <v>0</v>
      </c>
      <c r="D29" s="90">
        <f>C29*(1+0.07)^-($B29-Assumptions!$D$12)</f>
        <v>0</v>
      </c>
      <c r="E29" s="91">
        <f>IF(B29=Assumptions!$D$16,$M$35,0)</f>
        <v>0</v>
      </c>
      <c r="F29" s="92">
        <f>E29*(1+0.07)^-($B29-Assumptions!$D$12)</f>
        <v>0</v>
      </c>
      <c r="H29" s="252" t="s">
        <v>563</v>
      </c>
      <c r="I29" s="256">
        <v>7.0000000000000007E-2</v>
      </c>
      <c r="N29" s="1"/>
      <c r="P29" s="15"/>
    </row>
    <row r="30" spans="2:36" ht="15.75" customHeight="1" x14ac:dyDescent="0.25">
      <c r="B30" s="59">
        <f t="shared" si="1"/>
        <v>2048</v>
      </c>
      <c r="C30" s="184">
        <f t="shared" si="0"/>
        <v>0</v>
      </c>
      <c r="D30" s="90">
        <f>C30*(1+0.07)^-($B30-Assumptions!$D$12)</f>
        <v>0</v>
      </c>
      <c r="E30" s="91">
        <f>IF(B30=Assumptions!$D$16,$M$35,0)</f>
        <v>0</v>
      </c>
      <c r="F30" s="92">
        <f>E30*(1+0.07)^-($B30-Assumptions!$D$12)</f>
        <v>0</v>
      </c>
      <c r="G30" s="157"/>
      <c r="P30" s="15"/>
    </row>
    <row r="31" spans="2:36" ht="15.75" customHeight="1" x14ac:dyDescent="0.25">
      <c r="B31" s="59">
        <f t="shared" si="1"/>
        <v>2049</v>
      </c>
      <c r="C31" s="184">
        <f t="shared" si="0"/>
        <v>0</v>
      </c>
      <c r="D31" s="90">
        <f>C31*(1+0.07)^-($B31-Assumptions!$D$12)</f>
        <v>0</v>
      </c>
      <c r="E31" s="91">
        <f>IF(B31=Assumptions!$D$16,$M$35,0)</f>
        <v>0</v>
      </c>
      <c r="F31" s="92">
        <f>E31*(1+0.07)^-($B31-Assumptions!$D$12)</f>
        <v>0</v>
      </c>
      <c r="G31" s="157"/>
      <c r="H31" s="1" t="s">
        <v>564</v>
      </c>
      <c r="P31" s="15"/>
    </row>
    <row r="32" spans="2:36" ht="15.75" customHeight="1" x14ac:dyDescent="0.25">
      <c r="B32" s="59">
        <f t="shared" si="1"/>
        <v>2050</v>
      </c>
      <c r="C32" s="184">
        <f t="shared" si="0"/>
        <v>0</v>
      </c>
      <c r="D32" s="90">
        <f>C32*(1+0.07)^-($B32-Assumptions!$D$12)</f>
        <v>0</v>
      </c>
      <c r="E32" s="91">
        <f>IF(B32=Assumptions!$D$16,$M$35,0)</f>
        <v>0</v>
      </c>
      <c r="F32" s="92">
        <f>E32*(1+0.07)^-($B32-Assumptions!$D$12)</f>
        <v>0</v>
      </c>
      <c r="G32" s="157"/>
      <c r="H32" s="70" t="s">
        <v>557</v>
      </c>
      <c r="I32" s="23" t="s">
        <v>39</v>
      </c>
      <c r="J32" s="70" t="s">
        <v>558</v>
      </c>
      <c r="K32" s="70" t="s">
        <v>559</v>
      </c>
      <c r="L32" s="251" t="s">
        <v>560</v>
      </c>
      <c r="M32" s="70" t="s">
        <v>4</v>
      </c>
      <c r="P32" s="15"/>
    </row>
    <row r="33" spans="1:16" ht="15.75" customHeight="1" x14ac:dyDescent="0.25">
      <c r="B33" s="59">
        <f t="shared" si="1"/>
        <v>2051</v>
      </c>
      <c r="C33" s="184">
        <f t="shared" si="0"/>
        <v>0</v>
      </c>
      <c r="D33" s="90">
        <f>C33*(1+0.07)^-($B33-Assumptions!$D$12)</f>
        <v>0</v>
      </c>
      <c r="E33" s="91">
        <f>IF(B33=Assumptions!$D$16,$M$35,0)</f>
        <v>0</v>
      </c>
      <c r="F33" s="92">
        <f>E33*(1+0.07)^-($B33-Assumptions!$D$12)</f>
        <v>0</v>
      </c>
      <c r="G33" s="157"/>
      <c r="H33" s="252" t="s">
        <v>561</v>
      </c>
      <c r="I33" s="196">
        <f>SUM($K$8:$K$20)*$I$28</f>
        <v>55271070.111559719</v>
      </c>
      <c r="J33" s="253">
        <v>20</v>
      </c>
      <c r="K33" s="154">
        <f>Assumptions!$D$16</f>
        <v>2057</v>
      </c>
      <c r="L33" s="254">
        <f>IF(((I19+1)+J33-K33-1)/J33&lt;=0,0,(I17+J33-K33-1)/J33)</f>
        <v>0</v>
      </c>
      <c r="M33" s="255">
        <f>I33*L33</f>
        <v>0</v>
      </c>
      <c r="P33" s="15"/>
    </row>
    <row r="34" spans="1:16" ht="15.75" customHeight="1" x14ac:dyDescent="0.25">
      <c r="B34" s="59">
        <f t="shared" si="1"/>
        <v>2052</v>
      </c>
      <c r="C34" s="184">
        <f t="shared" si="0"/>
        <v>0</v>
      </c>
      <c r="D34" s="90">
        <f>C34*(1+0.07)^-($B34-Assumptions!$D$12)</f>
        <v>0</v>
      </c>
      <c r="E34" s="91">
        <f>IF(B34=Assumptions!$D$16,$M$35,0)</f>
        <v>0</v>
      </c>
      <c r="F34" s="92">
        <f>E34*(1+0.07)^-($B34-Assumptions!$D$12)</f>
        <v>0</v>
      </c>
      <c r="H34" s="252" t="s">
        <v>563</v>
      </c>
      <c r="I34" s="196">
        <f>SUM($K$8:$K$20)*$I$29</f>
        <v>4160188.0729130977</v>
      </c>
      <c r="J34" s="253">
        <v>75</v>
      </c>
      <c r="K34" s="154">
        <f>Assumptions!$D$16</f>
        <v>2057</v>
      </c>
      <c r="L34" s="254">
        <f>IF(((I20+1)+J34-K34-1)/J34&lt;=0,0,(I18+J34-K34-1)/J34)</f>
        <v>0.69333333333333336</v>
      </c>
      <c r="M34" s="255">
        <f>I34*L34</f>
        <v>2884397.0638864143</v>
      </c>
      <c r="P34" s="15"/>
    </row>
    <row r="35" spans="1:16" ht="15.75" customHeight="1" x14ac:dyDescent="0.25">
      <c r="B35" s="59">
        <f t="shared" si="1"/>
        <v>2053</v>
      </c>
      <c r="C35" s="184">
        <f t="shared" si="0"/>
        <v>0</v>
      </c>
      <c r="D35" s="90">
        <f>C35*(1+0.07)^-($B35-Assumptions!$D$12)</f>
        <v>0</v>
      </c>
      <c r="E35" s="91">
        <f>IF(B35=Assumptions!$D$16,$M$35,0)</f>
        <v>0</v>
      </c>
      <c r="F35" s="92">
        <f>E35*(1+0.07)^-($B35-Assumptions!$D$12)</f>
        <v>0</v>
      </c>
      <c r="H35" t="s">
        <v>566</v>
      </c>
      <c r="L35" s="16" t="s">
        <v>565</v>
      </c>
      <c r="M35" s="49">
        <f>SUM(M33:M34)</f>
        <v>2884397.0638864143</v>
      </c>
      <c r="P35" s="15"/>
    </row>
    <row r="36" spans="1:16" ht="15.75" customHeight="1" x14ac:dyDescent="0.25">
      <c r="B36" s="59">
        <f t="shared" si="1"/>
        <v>2054</v>
      </c>
      <c r="C36" s="184">
        <f t="shared" si="0"/>
        <v>0</v>
      </c>
      <c r="D36" s="90">
        <f>C36*(1+0.07)^-($B36-Assumptions!$D$12)</f>
        <v>0</v>
      </c>
      <c r="E36" s="91">
        <f>IF(B36=Assumptions!$D$16,$M$35,0)</f>
        <v>0</v>
      </c>
      <c r="F36" s="92">
        <f>E36*(1+0.07)^-($B36-Assumptions!$D$12)</f>
        <v>0</v>
      </c>
      <c r="P36" s="15"/>
    </row>
    <row r="37" spans="1:16" ht="15.75" customHeight="1" x14ac:dyDescent="0.25">
      <c r="B37" s="59">
        <f t="shared" si="1"/>
        <v>2055</v>
      </c>
      <c r="C37" s="184">
        <f t="shared" si="0"/>
        <v>0</v>
      </c>
      <c r="D37" s="90">
        <f>C37*(1+0.07)^-($B37-Assumptions!$D$12)</f>
        <v>0</v>
      </c>
      <c r="E37" s="91">
        <f>IF(B37=Assumptions!$D$16,$M$35,0)</f>
        <v>0</v>
      </c>
      <c r="F37" s="92">
        <f>E37*(1+0.07)^-($B37-Assumptions!$D$12)</f>
        <v>0</v>
      </c>
      <c r="P37" s="15"/>
    </row>
    <row r="38" spans="1:16" ht="15.75" customHeight="1" x14ac:dyDescent="0.25">
      <c r="B38" s="59">
        <f t="shared" si="1"/>
        <v>2056</v>
      </c>
      <c r="C38" s="184">
        <f t="shared" si="0"/>
        <v>0</v>
      </c>
      <c r="D38" s="90">
        <f>C38*(1+0.07)^-($B38-Assumptions!$D$12)</f>
        <v>0</v>
      </c>
      <c r="E38" s="91">
        <f>IF(B38=Assumptions!$D$16,$M$35,0)</f>
        <v>0</v>
      </c>
      <c r="F38" s="92">
        <f>E38*(1+0.07)^-($B38-Assumptions!$D$12)</f>
        <v>0</v>
      </c>
      <c r="P38" s="15"/>
    </row>
    <row r="39" spans="1:16" ht="15.75" customHeight="1" x14ac:dyDescent="0.25">
      <c r="B39" s="59">
        <f t="shared" si="1"/>
        <v>2057</v>
      </c>
      <c r="C39" s="184">
        <f t="shared" si="0"/>
        <v>0</v>
      </c>
      <c r="D39" s="90">
        <f>C39*(1+0.07)^-($B39-Assumptions!$D$12)</f>
        <v>0</v>
      </c>
      <c r="E39" s="91">
        <f>IF(B39=Assumptions!$D$16,$M$35,0)</f>
        <v>2884397.0638864143</v>
      </c>
      <c r="F39" s="92">
        <f>E39*(1+0.07)^-($B39-Assumptions!$D$12)</f>
        <v>252487.01510239526</v>
      </c>
      <c r="P39" s="15"/>
    </row>
    <row r="40" spans="1:16" ht="15.75" customHeight="1" x14ac:dyDescent="0.25">
      <c r="B40" s="59">
        <f t="shared" si="1"/>
        <v>2058</v>
      </c>
      <c r="C40" s="184">
        <f t="shared" si="0"/>
        <v>0</v>
      </c>
      <c r="D40" s="90">
        <f>C40*(1+0.07)^-($B40-Assumptions!$D$12)</f>
        <v>0</v>
      </c>
      <c r="E40" s="91">
        <f>IF(B40=Assumptions!$D$16,$M$35,0)</f>
        <v>0</v>
      </c>
      <c r="F40" s="92">
        <f>E40*(1+0.07)^-($B40-Assumptions!$D$12)</f>
        <v>0</v>
      </c>
      <c r="P40" s="15"/>
    </row>
    <row r="41" spans="1:16" ht="15.75" customHeight="1" thickBot="1" x14ac:dyDescent="0.3">
      <c r="B41" s="60">
        <f t="shared" si="1"/>
        <v>2059</v>
      </c>
      <c r="C41" s="185">
        <f t="shared" si="0"/>
        <v>0</v>
      </c>
      <c r="D41" s="93">
        <f>C41*(1+0.07)^-($B41-Assumptions!$D$12)</f>
        <v>0</v>
      </c>
      <c r="E41" s="94">
        <f>IF(B41=Assumptions!$D$16,$M$35,0)</f>
        <v>0</v>
      </c>
      <c r="F41" s="95">
        <f>E41*(1+0.07)^-($B41-Assumptions!$D$12)</f>
        <v>0</v>
      </c>
      <c r="P41" s="15"/>
    </row>
    <row r="42" spans="1:16" ht="15.75" customHeight="1" x14ac:dyDescent="0.25">
      <c r="B42" s="66"/>
      <c r="C42" s="192" t="s">
        <v>43</v>
      </c>
      <c r="D42" s="76">
        <f>SUM(D6:D41)</f>
        <v>25770353.003042679</v>
      </c>
      <c r="E42" s="192" t="s">
        <v>117</v>
      </c>
      <c r="F42" s="76">
        <f>SUM(F6:F41)</f>
        <v>252487.01510239526</v>
      </c>
    </row>
    <row r="43" spans="1:16" ht="15.75" customHeight="1" x14ac:dyDescent="0.25">
      <c r="B43" s="36"/>
      <c r="C43" s="77"/>
      <c r="D43" s="77"/>
      <c r="E43" s="77"/>
      <c r="F43" s="77"/>
    </row>
    <row r="44" spans="1:16" ht="15.75" customHeight="1" x14ac:dyDescent="0.25">
      <c r="B44" s="1" t="s">
        <v>3</v>
      </c>
    </row>
    <row r="45" spans="1:16" ht="15" customHeight="1" x14ac:dyDescent="0.25">
      <c r="A45" s="2" t="s">
        <v>17</v>
      </c>
      <c r="B45" s="315" t="s">
        <v>614</v>
      </c>
      <c r="C45" s="315"/>
      <c r="D45" s="315"/>
      <c r="E45" s="315"/>
      <c r="F45" s="315"/>
      <c r="H45" s="1"/>
      <c r="I45" s="1"/>
      <c r="J45" s="1"/>
    </row>
    <row r="46" spans="1:16" ht="15" customHeight="1" x14ac:dyDescent="0.25">
      <c r="B46" s="315"/>
      <c r="C46" s="315"/>
      <c r="D46" s="315"/>
      <c r="E46" s="315"/>
      <c r="F46" s="315"/>
    </row>
    <row r="47" spans="1:16" ht="15" customHeight="1" x14ac:dyDescent="0.25">
      <c r="B47" s="315"/>
      <c r="C47" s="315"/>
      <c r="D47" s="315"/>
      <c r="E47" s="315"/>
      <c r="F47" s="315"/>
    </row>
    <row r="48" spans="1:16" ht="15" customHeight="1" x14ac:dyDescent="0.25">
      <c r="B48" s="315"/>
      <c r="C48" s="315"/>
      <c r="D48" s="315"/>
      <c r="E48" s="315"/>
      <c r="F48" s="315"/>
    </row>
    <row r="49" spans="1:6" ht="15" customHeight="1" x14ac:dyDescent="0.25">
      <c r="B49" s="315"/>
      <c r="C49" s="315"/>
      <c r="D49" s="315"/>
      <c r="E49" s="315"/>
      <c r="F49" s="315"/>
    </row>
    <row r="50" spans="1:6" x14ac:dyDescent="0.25">
      <c r="B50" s="315"/>
      <c r="C50" s="315"/>
      <c r="D50" s="315"/>
      <c r="E50" s="315"/>
      <c r="F50" s="315"/>
    </row>
    <row r="51" spans="1:6" x14ac:dyDescent="0.25">
      <c r="B51" s="315"/>
      <c r="C51" s="315"/>
      <c r="D51" s="315"/>
      <c r="E51" s="315"/>
      <c r="F51" s="315"/>
    </row>
    <row r="52" spans="1:6" ht="15" customHeight="1" x14ac:dyDescent="0.25">
      <c r="B52" s="315"/>
      <c r="C52" s="315"/>
      <c r="D52" s="315"/>
      <c r="E52" s="315"/>
      <c r="F52" s="315"/>
    </row>
    <row r="53" spans="1:6" x14ac:dyDescent="0.25">
      <c r="B53" s="315"/>
      <c r="C53" s="315"/>
      <c r="D53" s="315"/>
      <c r="E53" s="315"/>
      <c r="F53" s="315"/>
    </row>
    <row r="54" spans="1:6" x14ac:dyDescent="0.25">
      <c r="B54" s="7"/>
      <c r="C54" s="7"/>
      <c r="D54" s="7"/>
      <c r="E54" s="7"/>
      <c r="F54" s="7"/>
    </row>
    <row r="55" spans="1:6" ht="15" customHeight="1" x14ac:dyDescent="0.25">
      <c r="A55" s="2" t="s">
        <v>23</v>
      </c>
      <c r="B55" s="315" t="s">
        <v>605</v>
      </c>
      <c r="C55" s="315"/>
      <c r="D55" s="315"/>
      <c r="E55" s="315"/>
      <c r="F55" s="315"/>
    </row>
    <row r="56" spans="1:6" ht="15" customHeight="1" x14ac:dyDescent="0.25">
      <c r="B56" s="315"/>
      <c r="C56" s="315"/>
      <c r="D56" s="315"/>
      <c r="E56" s="315"/>
      <c r="F56" s="315"/>
    </row>
    <row r="57" spans="1:6" ht="15" customHeight="1" x14ac:dyDescent="0.25">
      <c r="B57" s="315"/>
      <c r="C57" s="315"/>
      <c r="D57" s="315"/>
      <c r="E57" s="315"/>
      <c r="F57" s="315"/>
    </row>
    <row r="58" spans="1:6" ht="15" customHeight="1" x14ac:dyDescent="0.25">
      <c r="B58" s="315"/>
      <c r="C58" s="315"/>
      <c r="D58" s="315"/>
      <c r="E58" s="315"/>
      <c r="F58" s="315"/>
    </row>
    <row r="59" spans="1:6" ht="15" customHeight="1" x14ac:dyDescent="0.25">
      <c r="B59" s="315"/>
      <c r="C59" s="315"/>
      <c r="D59" s="315"/>
      <c r="E59" s="315"/>
      <c r="F59" s="315"/>
    </row>
    <row r="60" spans="1:6" ht="15" customHeight="1" x14ac:dyDescent="0.25">
      <c r="B60" s="315"/>
      <c r="C60" s="315"/>
      <c r="D60" s="315"/>
      <c r="E60" s="315"/>
      <c r="F60" s="315"/>
    </row>
    <row r="61" spans="1:6" ht="15" customHeight="1" x14ac:dyDescent="0.25"/>
    <row r="62" spans="1:6" ht="15" customHeight="1" x14ac:dyDescent="0.25">
      <c r="A62" s="2" t="s">
        <v>24</v>
      </c>
      <c r="B62" s="315" t="s">
        <v>625</v>
      </c>
      <c r="C62" s="315"/>
      <c r="D62" s="315"/>
      <c r="E62" s="315"/>
      <c r="F62" s="315"/>
    </row>
    <row r="63" spans="1:6" x14ac:dyDescent="0.25">
      <c r="B63" s="315"/>
      <c r="C63" s="315"/>
      <c r="D63" s="315"/>
      <c r="E63" s="315"/>
      <c r="F63" s="315"/>
    </row>
    <row r="64" spans="1:6" x14ac:dyDescent="0.25">
      <c r="A64" s="2"/>
      <c r="B64" s="315"/>
      <c r="C64" s="315"/>
      <c r="D64" s="315"/>
      <c r="E64" s="315"/>
      <c r="F64" s="315"/>
    </row>
    <row r="65" spans="1:6" x14ac:dyDescent="0.25">
      <c r="B65" s="315"/>
      <c r="C65" s="315"/>
      <c r="D65" s="315"/>
      <c r="E65" s="315"/>
      <c r="F65" s="315"/>
    </row>
    <row r="70" spans="1:6" x14ac:dyDescent="0.25">
      <c r="A70" s="2"/>
    </row>
  </sheetData>
  <mergeCells count="8">
    <mergeCell ref="B62:F65"/>
    <mergeCell ref="B55:F60"/>
    <mergeCell ref="B45:F53"/>
    <mergeCell ref="B4:B5"/>
    <mergeCell ref="C4:C5"/>
    <mergeCell ref="D4:D5"/>
    <mergeCell ref="F4:F5"/>
    <mergeCell ref="E4:E5"/>
  </mergeCells>
  <phoneticPr fontId="14" type="noConversion"/>
  <pageMargins left="0.25" right="0.25" top="0.75" bottom="0.75" header="0.3" footer="0.3"/>
  <pageSetup paperSize="3" scale="6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99A28-147D-4391-9F0E-76B81C4F630B}">
  <sheetPr>
    <tabColor theme="6" tint="0.79998168889431442"/>
    <pageSetUpPr fitToPage="1"/>
  </sheetPr>
  <dimension ref="A1:AA80"/>
  <sheetViews>
    <sheetView view="pageBreakPreview" zoomScale="55" zoomScaleNormal="40" zoomScaleSheetLayoutView="55" workbookViewId="0">
      <selection activeCell="C3" sqref="C3:C4"/>
    </sheetView>
  </sheetViews>
  <sheetFormatPr defaultRowHeight="15" x14ac:dyDescent="0.25"/>
  <cols>
    <col min="2" max="6" width="20.7109375" customWidth="1"/>
    <col min="7" max="7" width="24.140625" customWidth="1"/>
    <col min="8" max="8" width="37.5703125" customWidth="1"/>
    <col min="9" max="9" width="24.140625" customWidth="1"/>
    <col min="10" max="10" width="20.7109375" customWidth="1"/>
    <col min="11" max="18" width="30.42578125" customWidth="1"/>
    <col min="19" max="19" width="20.7109375" customWidth="1"/>
    <col min="20" max="26" width="30.42578125" customWidth="1"/>
    <col min="27" max="28" width="13.140625" bestFit="1" customWidth="1"/>
    <col min="29" max="29" width="13.7109375" bestFit="1" customWidth="1"/>
    <col min="30" max="31" width="13.85546875" bestFit="1" customWidth="1"/>
    <col min="32" max="32" width="14.42578125" bestFit="1" customWidth="1"/>
    <col min="33" max="33" width="13.85546875" bestFit="1" customWidth="1"/>
    <col min="34" max="34" width="13.7109375" bestFit="1" customWidth="1"/>
    <col min="35" max="35" width="13.85546875" bestFit="1" customWidth="1"/>
    <col min="36" max="37" width="13.42578125" bestFit="1" customWidth="1"/>
    <col min="38" max="38" width="13.85546875" bestFit="1" customWidth="1"/>
    <col min="39" max="39" width="13.7109375" bestFit="1" customWidth="1"/>
    <col min="40" max="41" width="13.85546875" bestFit="1" customWidth="1"/>
    <col min="42" max="42" width="14.140625" bestFit="1" customWidth="1"/>
    <col min="43" max="43" width="13.85546875" bestFit="1" customWidth="1"/>
    <col min="44" max="45" width="13.7109375" bestFit="1" customWidth="1"/>
    <col min="46" max="46" width="14.42578125" bestFit="1" customWidth="1"/>
    <col min="47" max="47" width="13.85546875" bestFit="1" customWidth="1"/>
    <col min="48" max="48" width="14.140625" bestFit="1" customWidth="1"/>
    <col min="49" max="49" width="13.42578125" bestFit="1" customWidth="1"/>
    <col min="50" max="51" width="13.7109375" bestFit="1" customWidth="1"/>
    <col min="52" max="53" width="13.85546875" bestFit="1" customWidth="1"/>
    <col min="54" max="54" width="14.140625" bestFit="1" customWidth="1"/>
    <col min="55" max="55" width="13.7109375" bestFit="1" customWidth="1"/>
    <col min="56" max="56" width="13.85546875" bestFit="1" customWidth="1"/>
    <col min="57" max="57" width="14.42578125" bestFit="1" customWidth="1"/>
    <col min="58" max="58" width="14.140625" bestFit="1" customWidth="1"/>
  </cols>
  <sheetData>
    <row r="1" spans="2:27" x14ac:dyDescent="0.25">
      <c r="B1" s="39"/>
      <c r="C1" s="39"/>
      <c r="D1" s="39"/>
      <c r="E1" s="39"/>
      <c r="F1" s="39"/>
      <c r="G1" s="3"/>
      <c r="H1" s="3"/>
      <c r="I1" s="3"/>
      <c r="J1" s="3"/>
      <c r="K1" s="3"/>
      <c r="L1" s="3"/>
      <c r="M1" s="3"/>
      <c r="N1" s="3"/>
      <c r="O1" s="3"/>
      <c r="P1" s="3"/>
      <c r="Q1" s="3"/>
      <c r="R1" s="3"/>
      <c r="S1" s="3"/>
      <c r="T1" s="3"/>
      <c r="U1" s="3"/>
      <c r="V1" s="3"/>
      <c r="W1" s="3"/>
      <c r="X1" s="3"/>
      <c r="Y1" s="3"/>
      <c r="Z1" s="3"/>
    </row>
    <row r="2" spans="2:27" ht="15.75" thickBot="1" x14ac:dyDescent="0.3">
      <c r="B2" s="1" t="s">
        <v>99</v>
      </c>
    </row>
    <row r="3" spans="2:27" ht="22.5" customHeight="1" x14ac:dyDescent="0.25">
      <c r="B3" s="333" t="s">
        <v>0</v>
      </c>
      <c r="C3" s="338" t="s">
        <v>73</v>
      </c>
      <c r="D3" s="340" t="s">
        <v>74</v>
      </c>
      <c r="E3" s="342" t="s">
        <v>60</v>
      </c>
      <c r="F3" s="340" t="s">
        <v>1</v>
      </c>
      <c r="G3" s="78"/>
      <c r="N3" s="78"/>
      <c r="O3" s="78"/>
      <c r="W3" s="78"/>
      <c r="X3" s="78"/>
    </row>
    <row r="4" spans="2:27" ht="22.5" customHeight="1" thickBot="1" x14ac:dyDescent="0.3">
      <c r="B4" s="334"/>
      <c r="C4" s="339"/>
      <c r="D4" s="341"/>
      <c r="E4" s="343"/>
      <c r="F4" s="341"/>
      <c r="G4" s="78"/>
      <c r="N4" s="79"/>
      <c r="O4" s="78"/>
      <c r="W4" s="79"/>
      <c r="X4" s="78"/>
      <c r="AA4" s="71"/>
    </row>
    <row r="5" spans="2:27" ht="15.75" customHeight="1" x14ac:dyDescent="0.25">
      <c r="B5" s="72">
        <f>Assumptions!$D$11</f>
        <v>2023</v>
      </c>
      <c r="C5" s="96" cm="1">
        <f t="array" ref="C5">IFERROR(_xlfn.XLOOKUP(B5,$K$7:K$77,$Q$7:$Q$77),0)</f>
        <v>0</v>
      </c>
      <c r="D5" s="97" cm="1">
        <f t="array" ref="D5">IFERROR(_xlfn.XLOOKUP(B5,$T$7:T$77,$Z$7:$Z$77),0)</f>
        <v>0</v>
      </c>
      <c r="E5" s="98">
        <f>C5-D5</f>
        <v>0</v>
      </c>
      <c r="F5" s="97">
        <f>E5*(1+0.07)^-($B5-Assumptions!$D$12)</f>
        <v>0</v>
      </c>
      <c r="G5" s="80"/>
      <c r="H5" s="28" t="s">
        <v>595</v>
      </c>
      <c r="I5" s="78"/>
      <c r="J5" s="199"/>
      <c r="K5" s="280" t="s">
        <v>602</v>
      </c>
      <c r="T5" s="280" t="s">
        <v>601</v>
      </c>
      <c r="AA5" s="71"/>
    </row>
    <row r="6" spans="2:27" ht="15.75" customHeight="1" x14ac:dyDescent="0.25">
      <c r="B6" s="74">
        <f>B5+1</f>
        <v>2024</v>
      </c>
      <c r="C6" s="83" cm="1">
        <f t="array" ref="C6">IFERROR(_xlfn.XLOOKUP(B6,$K$7:K$77,$Q$7:$Q$77),0)</f>
        <v>444360</v>
      </c>
      <c r="D6" s="84" cm="1">
        <f t="array" ref="D6">IFERROR(_xlfn.XLOOKUP(B6,$T$7:T$77,$Z$7:$Z$77),0)</f>
        <v>0</v>
      </c>
      <c r="E6" s="85">
        <f t="shared" ref="E6:E40" si="0">C6-D6</f>
        <v>444360</v>
      </c>
      <c r="F6" s="84">
        <f>E6*(1+0.07)^-($B6-Assumptions!$D$12)</f>
        <v>362730.12457521894</v>
      </c>
      <c r="G6" s="76"/>
      <c r="H6" s="82" t="s">
        <v>596</v>
      </c>
      <c r="I6" s="35">
        <v>1980</v>
      </c>
      <c r="J6" s="199"/>
      <c r="K6" s="23" t="s">
        <v>30</v>
      </c>
      <c r="L6" s="23" t="s">
        <v>266</v>
      </c>
      <c r="M6" s="23" t="s">
        <v>265</v>
      </c>
      <c r="N6" s="23" t="s">
        <v>264</v>
      </c>
      <c r="O6" s="23" t="s">
        <v>263</v>
      </c>
      <c r="P6" s="23" t="s">
        <v>262</v>
      </c>
      <c r="Q6" s="23" t="s">
        <v>599</v>
      </c>
      <c r="R6" s="3"/>
      <c r="T6" s="23" t="s">
        <v>30</v>
      </c>
      <c r="U6" s="23" t="s">
        <v>266</v>
      </c>
      <c r="V6" s="23" t="s">
        <v>265</v>
      </c>
      <c r="W6" s="23" t="s">
        <v>264</v>
      </c>
      <c r="X6" s="23" t="s">
        <v>263</v>
      </c>
      <c r="Y6" s="23" t="s">
        <v>262</v>
      </c>
      <c r="Z6" s="23" t="s">
        <v>599</v>
      </c>
      <c r="AA6" s="71"/>
    </row>
    <row r="7" spans="2:27" ht="15.75" customHeight="1" x14ac:dyDescent="0.25">
      <c r="B7" s="59">
        <f>+B6+1</f>
        <v>2025</v>
      </c>
      <c r="C7" s="83" cm="1">
        <f t="array" ref="C7">IFERROR(_xlfn.XLOOKUP(B7,$K$7:K$77,$Q$7:$Q$77),0)</f>
        <v>0</v>
      </c>
      <c r="D7" s="84" cm="1">
        <f t="array" ref="D7">IFERROR(_xlfn.XLOOKUP(B7,$T$7:T$77,$Z$7:$Z$77),0)</f>
        <v>0</v>
      </c>
      <c r="E7" s="85">
        <f t="shared" si="0"/>
        <v>0</v>
      </c>
      <c r="F7" s="84">
        <f>E7*(1+0.07)^-($B7-Assumptions!$D$12)</f>
        <v>0</v>
      </c>
      <c r="G7" s="157"/>
      <c r="H7" s="82" t="s">
        <v>598</v>
      </c>
      <c r="I7" s="35">
        <f>Assumptions!$D$15</f>
        <v>2038</v>
      </c>
      <c r="J7" s="199"/>
      <c r="K7" s="51">
        <f>I6</f>
        <v>1980</v>
      </c>
      <c r="L7" s="23" t="s">
        <v>261</v>
      </c>
      <c r="M7" s="23">
        <v>0</v>
      </c>
      <c r="N7" s="23" t="s">
        <v>260</v>
      </c>
      <c r="O7" s="23" t="s">
        <v>56</v>
      </c>
      <c r="P7" s="281">
        <v>0</v>
      </c>
      <c r="Q7" s="284">
        <f>IF(Assumptions!$D$15,$I$10*$I$11*$I$14*P7,0)</f>
        <v>0</v>
      </c>
      <c r="R7" s="229"/>
      <c r="S7" s="279"/>
      <c r="T7" s="51">
        <f>$I$7</f>
        <v>2038</v>
      </c>
      <c r="U7" s="23" t="s">
        <v>261</v>
      </c>
      <c r="V7" s="23">
        <v>0</v>
      </c>
      <c r="W7" s="23" t="s">
        <v>260</v>
      </c>
      <c r="X7" s="23" t="s">
        <v>56</v>
      </c>
      <c r="Y7" s="281">
        <v>0</v>
      </c>
      <c r="Z7" s="284">
        <f>IF(T7&lt;=Assumptions!$D$16,$I$10*$I$11*$I$14*Y7,0)</f>
        <v>0</v>
      </c>
    </row>
    <row r="8" spans="2:27" ht="15.75" customHeight="1" x14ac:dyDescent="0.25">
      <c r="B8" s="59">
        <f t="shared" ref="B8:B40" si="1">+B7+1</f>
        <v>2026</v>
      </c>
      <c r="C8" s="83" cm="1">
        <f t="array" ref="C8">IFERROR(_xlfn.XLOOKUP(B8,$K$7:K$77,$Q$7:$Q$77),0)</f>
        <v>0</v>
      </c>
      <c r="D8" s="84" cm="1">
        <f t="array" ref="D8">IFERROR(_xlfn.XLOOKUP(B8,$T$7:T$77,$Z$7:$Z$77),0)</f>
        <v>0</v>
      </c>
      <c r="E8" s="85">
        <f t="shared" si="0"/>
        <v>0</v>
      </c>
      <c r="F8" s="84">
        <f>E8*(1+0.07)^-($B8-Assumptions!$D$12)</f>
        <v>0</v>
      </c>
      <c r="G8" s="157"/>
      <c r="J8" s="199"/>
      <c r="K8" s="51">
        <f>K7+1</f>
        <v>1981</v>
      </c>
      <c r="L8" s="23" t="s">
        <v>121</v>
      </c>
      <c r="M8" s="23">
        <v>1</v>
      </c>
      <c r="N8" s="23" t="s">
        <v>56</v>
      </c>
      <c r="O8" s="23" t="s">
        <v>56</v>
      </c>
      <c r="P8" s="281">
        <v>0</v>
      </c>
      <c r="Q8" s="284">
        <f>IF(Assumptions!$D$15,$I$10*$I$11*$I$14*P8,0)</f>
        <v>0</v>
      </c>
      <c r="R8" s="229"/>
      <c r="T8" s="51">
        <f>T7+1</f>
        <v>2039</v>
      </c>
      <c r="U8" s="23" t="s">
        <v>121</v>
      </c>
      <c r="V8" s="23">
        <v>1</v>
      </c>
      <c r="W8" s="23" t="s">
        <v>56</v>
      </c>
      <c r="X8" s="23" t="s">
        <v>56</v>
      </c>
      <c r="Y8" s="281">
        <v>0</v>
      </c>
      <c r="Z8" s="284">
        <f>IF(T8&lt;=Assumptions!$D$16,$I$10*$I$11*$I$14*Y8,0)</f>
        <v>0</v>
      </c>
    </row>
    <row r="9" spans="2:27" ht="15.75" customHeight="1" x14ac:dyDescent="0.25">
      <c r="B9" s="59">
        <f t="shared" si="1"/>
        <v>2027</v>
      </c>
      <c r="C9" s="83" cm="1">
        <f t="array" ref="C9">IFERROR(_xlfn.XLOOKUP(B9,$K$7:K$77,$Q$7:$Q$77),0)</f>
        <v>444360</v>
      </c>
      <c r="D9" s="84" cm="1">
        <f t="array" ref="D9">IFERROR(_xlfn.XLOOKUP(B9,$T$7:T$77,$Z$7:$Z$77),0)</f>
        <v>0</v>
      </c>
      <c r="E9" s="85">
        <f t="shared" si="0"/>
        <v>444360</v>
      </c>
      <c r="F9" s="84">
        <f>E9*(1+0.07)^-($B9-Assumptions!$D$12)</f>
        <v>296095.8305751055</v>
      </c>
      <c r="G9" s="76"/>
      <c r="H9" s="28" t="s">
        <v>109</v>
      </c>
      <c r="J9" s="199"/>
      <c r="K9" s="51">
        <f t="shared" ref="K9:K72" si="2">K8+1</f>
        <v>1982</v>
      </c>
      <c r="L9" s="23" t="s">
        <v>122</v>
      </c>
      <c r="M9" s="23">
        <v>2</v>
      </c>
      <c r="N9" s="23" t="s">
        <v>56</v>
      </c>
      <c r="O9" s="23" t="s">
        <v>56</v>
      </c>
      <c r="P9" s="281">
        <v>0</v>
      </c>
      <c r="Q9" s="284">
        <f>IF(Assumptions!$D$15,$I$10*$I$11*$I$14*P9,0)</f>
        <v>0</v>
      </c>
      <c r="R9" s="229"/>
      <c r="T9" s="51">
        <f t="shared" ref="T9:T72" si="3">T8+1</f>
        <v>2040</v>
      </c>
      <c r="U9" s="23" t="s">
        <v>122</v>
      </c>
      <c r="V9" s="23">
        <v>2</v>
      </c>
      <c r="W9" s="23" t="s">
        <v>56</v>
      </c>
      <c r="X9" s="23" t="s">
        <v>56</v>
      </c>
      <c r="Y9" s="281">
        <v>0</v>
      </c>
      <c r="Z9" s="284">
        <f>IF(T9&lt;=Assumptions!$D$16,$I$10*$I$11*$I$14*Y9,0)</f>
        <v>0</v>
      </c>
    </row>
    <row r="10" spans="2:27" ht="15.75" customHeight="1" x14ac:dyDescent="0.25">
      <c r="B10" s="59">
        <f t="shared" si="1"/>
        <v>2028</v>
      </c>
      <c r="C10" s="83" cm="1">
        <f t="array" ref="C10">IFERROR(_xlfn.XLOOKUP(B10,$K$7:K$77,$Q$7:$Q$77),0)</f>
        <v>0</v>
      </c>
      <c r="D10" s="84" cm="1">
        <f t="array" ref="D10">IFERROR(_xlfn.XLOOKUP(B10,$T$7:T$77,$Z$7:$Z$77),0)</f>
        <v>0</v>
      </c>
      <c r="E10" s="85">
        <f t="shared" si="0"/>
        <v>0</v>
      </c>
      <c r="F10" s="84">
        <f>E10*(1+0.07)^-($B10-Assumptions!$D$12)</f>
        <v>0</v>
      </c>
      <c r="G10" s="123"/>
      <c r="H10" s="82" t="s">
        <v>108</v>
      </c>
      <c r="I10" s="35">
        <v>32.200000000000003</v>
      </c>
      <c r="J10" s="49"/>
      <c r="K10" s="51">
        <f t="shared" si="2"/>
        <v>1983</v>
      </c>
      <c r="L10" s="23" t="s">
        <v>123</v>
      </c>
      <c r="M10" s="23">
        <v>3</v>
      </c>
      <c r="N10" s="23" t="s">
        <v>56</v>
      </c>
      <c r="O10" s="23" t="s">
        <v>56</v>
      </c>
      <c r="P10" s="281">
        <v>0</v>
      </c>
      <c r="Q10" s="284">
        <f>IF(Assumptions!$D$15,$I$10*$I$11*$I$14*P10,0)</f>
        <v>0</v>
      </c>
      <c r="R10" s="229"/>
      <c r="T10" s="51">
        <f t="shared" si="3"/>
        <v>2041</v>
      </c>
      <c r="U10" s="23" t="s">
        <v>123</v>
      </c>
      <c r="V10" s="23">
        <v>3</v>
      </c>
      <c r="W10" s="23" t="s">
        <v>56</v>
      </c>
      <c r="X10" s="23" t="s">
        <v>56</v>
      </c>
      <c r="Y10" s="281">
        <v>0</v>
      </c>
      <c r="Z10" s="284">
        <f>IF(T10&lt;=Assumptions!$D$16,$I$10*$I$11*$I$14*Y10,0)</f>
        <v>0</v>
      </c>
    </row>
    <row r="11" spans="2:27" ht="15.75" customHeight="1" x14ac:dyDescent="0.25">
      <c r="B11" s="59">
        <f t="shared" si="1"/>
        <v>2029</v>
      </c>
      <c r="C11" s="83" cm="1">
        <f t="array" ref="C11">IFERROR(_xlfn.XLOOKUP(B11,$K$7:K$77,$Q$7:$Q$77),0)</f>
        <v>0</v>
      </c>
      <c r="D11" s="84" cm="1">
        <f t="array" ref="D11">IFERROR(_xlfn.XLOOKUP(B11,$T$7:T$77,$Z$7:$Z$77),0)</f>
        <v>0</v>
      </c>
      <c r="E11" s="85">
        <f t="shared" si="0"/>
        <v>0</v>
      </c>
      <c r="F11" s="84">
        <f>E11*(1+0.07)^-($B11-Assumptions!$D$12)</f>
        <v>0</v>
      </c>
      <c r="G11" s="123"/>
      <c r="H11" s="82" t="s">
        <v>600</v>
      </c>
      <c r="I11" s="35">
        <v>2</v>
      </c>
      <c r="J11" s="49"/>
      <c r="K11" s="51">
        <f t="shared" si="2"/>
        <v>1984</v>
      </c>
      <c r="L11" s="23" t="s">
        <v>124</v>
      </c>
      <c r="M11" s="23">
        <v>4</v>
      </c>
      <c r="N11" s="23" t="s">
        <v>56</v>
      </c>
      <c r="O11" s="23" t="s">
        <v>56</v>
      </c>
      <c r="P11" s="281">
        <v>0</v>
      </c>
      <c r="Q11" s="284">
        <f>IF(Assumptions!$D$15,$I$10*$I$11*$I$14*P11,0)</f>
        <v>0</v>
      </c>
      <c r="R11" s="229"/>
      <c r="T11" s="51">
        <f t="shared" si="3"/>
        <v>2042</v>
      </c>
      <c r="U11" s="23" t="s">
        <v>124</v>
      </c>
      <c r="V11" s="23">
        <v>4</v>
      </c>
      <c r="W11" s="23" t="s">
        <v>56</v>
      </c>
      <c r="X11" s="23" t="s">
        <v>56</v>
      </c>
      <c r="Y11" s="281">
        <v>0</v>
      </c>
      <c r="Z11" s="284">
        <f>IF(T11&lt;=Assumptions!$D$16,$I$10*$I$11*$I$14*Y11,0)</f>
        <v>0</v>
      </c>
    </row>
    <row r="12" spans="2:27" ht="15.75" customHeight="1" x14ac:dyDescent="0.25">
      <c r="B12" s="59">
        <f t="shared" si="1"/>
        <v>2030</v>
      </c>
      <c r="C12" s="83" cm="1">
        <f t="array" ref="C12">IFERROR(_xlfn.XLOOKUP(B12,$K$7:K$77,$Q$7:$Q$77),0)</f>
        <v>444360</v>
      </c>
      <c r="D12" s="84" cm="1">
        <f t="array" ref="D12">IFERROR(_xlfn.XLOOKUP(B12,$T$7:T$77,$Z$7:$Z$77),0)</f>
        <v>0</v>
      </c>
      <c r="E12" s="85">
        <f t="shared" si="0"/>
        <v>444360</v>
      </c>
      <c r="F12" s="84">
        <f>E12*(1+0.07)^-($B12-Assumptions!$D$12)</f>
        <v>241702.39785469204</v>
      </c>
      <c r="G12" s="123"/>
      <c r="J12" s="49"/>
      <c r="K12" s="51">
        <f t="shared" si="2"/>
        <v>1985</v>
      </c>
      <c r="L12" s="23" t="s">
        <v>125</v>
      </c>
      <c r="M12" s="23">
        <v>5</v>
      </c>
      <c r="N12" s="23" t="s">
        <v>56</v>
      </c>
      <c r="O12" s="23" t="s">
        <v>56</v>
      </c>
      <c r="P12" s="281">
        <v>0</v>
      </c>
      <c r="Q12" s="284">
        <f>IF(Assumptions!$D$15,$I$10*$I$11*$I$14*P12,0)</f>
        <v>0</v>
      </c>
      <c r="R12" s="229"/>
      <c r="T12" s="51">
        <f t="shared" si="3"/>
        <v>2043</v>
      </c>
      <c r="U12" s="23" t="s">
        <v>125</v>
      </c>
      <c r="V12" s="23">
        <v>5</v>
      </c>
      <c r="W12" s="23" t="s">
        <v>56</v>
      </c>
      <c r="X12" s="23" t="s">
        <v>56</v>
      </c>
      <c r="Y12" s="281">
        <v>0</v>
      </c>
      <c r="Z12" s="284">
        <f>IF(T12&lt;=Assumptions!$D$16,$I$10*$I$11*$I$14*Y12,0)</f>
        <v>0</v>
      </c>
    </row>
    <row r="13" spans="2:27" ht="15.75" customHeight="1" x14ac:dyDescent="0.25">
      <c r="B13" s="59">
        <f t="shared" si="1"/>
        <v>2031</v>
      </c>
      <c r="C13" s="83" cm="1">
        <f t="array" ref="C13">IFERROR(_xlfn.XLOOKUP(B13,$K$7:K$77,$Q$7:$Q$77),0)</f>
        <v>0</v>
      </c>
      <c r="D13" s="84" cm="1">
        <f t="array" ref="D13">IFERROR(_xlfn.XLOOKUP(B13,$T$7:T$77,$Z$7:$Z$77),0)</f>
        <v>0</v>
      </c>
      <c r="E13" s="85">
        <f t="shared" si="0"/>
        <v>0</v>
      </c>
      <c r="F13" s="84">
        <f>E13*(1+0.07)^-($B13-Assumptions!$D$12)</f>
        <v>0</v>
      </c>
      <c r="G13" s="123"/>
      <c r="H13" s="28" t="s">
        <v>597</v>
      </c>
      <c r="J13" s="49"/>
      <c r="K13" s="51">
        <f t="shared" si="2"/>
        <v>1986</v>
      </c>
      <c r="L13" s="23" t="s">
        <v>126</v>
      </c>
      <c r="M13" s="23">
        <v>6</v>
      </c>
      <c r="N13" s="23" t="s">
        <v>56</v>
      </c>
      <c r="O13" s="23" t="s">
        <v>56</v>
      </c>
      <c r="P13" s="281">
        <v>0</v>
      </c>
      <c r="Q13" s="284">
        <f>IF(Assumptions!$D$15,$I$10*$I$11*$I$14*P13,0)</f>
        <v>0</v>
      </c>
      <c r="R13" s="229"/>
      <c r="T13" s="51">
        <f t="shared" si="3"/>
        <v>2044</v>
      </c>
      <c r="U13" s="23" t="s">
        <v>126</v>
      </c>
      <c r="V13" s="23">
        <v>6</v>
      </c>
      <c r="W13" s="23" t="s">
        <v>56</v>
      </c>
      <c r="X13" s="23" t="s">
        <v>56</v>
      </c>
      <c r="Y13" s="281">
        <v>0</v>
      </c>
      <c r="Z13" s="284">
        <f>IF(T13&lt;=Assumptions!$D$16,$I$10*$I$11*$I$14*Y13,0)</f>
        <v>0</v>
      </c>
    </row>
    <row r="14" spans="2:27" ht="15.75" customHeight="1" x14ac:dyDescent="0.25">
      <c r="B14" s="59">
        <f t="shared" si="1"/>
        <v>2032</v>
      </c>
      <c r="C14" s="83" cm="1">
        <f t="array" ref="C14">IFERROR(_xlfn.XLOOKUP(B14,$K$7:K$77,$Q$7:$Q$77),0)</f>
        <v>0</v>
      </c>
      <c r="D14" s="84" cm="1">
        <f t="array" ref="D14">IFERROR(_xlfn.XLOOKUP(B14,$T$7:T$77,$Z$7:$Z$77),0)</f>
        <v>0</v>
      </c>
      <c r="E14" s="85">
        <f t="shared" si="0"/>
        <v>0</v>
      </c>
      <c r="F14" s="84">
        <f>E14*(1+0.07)^-($B14-Assumptions!$D$12)</f>
        <v>0</v>
      </c>
      <c r="G14" s="123"/>
      <c r="H14" s="82" t="s">
        <v>603</v>
      </c>
      <c r="I14" s="35">
        <v>1.1499999999999999</v>
      </c>
      <c r="J14" s="49"/>
      <c r="K14" s="51">
        <f t="shared" si="2"/>
        <v>1987</v>
      </c>
      <c r="L14" s="23" t="s">
        <v>127</v>
      </c>
      <c r="M14" s="23">
        <v>7</v>
      </c>
      <c r="N14" s="23" t="s">
        <v>56</v>
      </c>
      <c r="O14" s="23" t="s">
        <v>56</v>
      </c>
      <c r="P14" s="281">
        <v>0</v>
      </c>
      <c r="Q14" s="284">
        <f>IF(Assumptions!$D$15,$I$10*$I$11*$I$14*P14,0)</f>
        <v>0</v>
      </c>
      <c r="R14" s="229"/>
      <c r="T14" s="51">
        <f t="shared" si="3"/>
        <v>2045</v>
      </c>
      <c r="U14" s="23" t="s">
        <v>127</v>
      </c>
      <c r="V14" s="23">
        <v>7</v>
      </c>
      <c r="W14" s="23" t="s">
        <v>56</v>
      </c>
      <c r="X14" s="23" t="s">
        <v>56</v>
      </c>
      <c r="Y14" s="281">
        <v>0</v>
      </c>
      <c r="Z14" s="284">
        <f>IF(T14&lt;=Assumptions!$D$16,$I$10*$I$11*$I$14*Y14,0)</f>
        <v>0</v>
      </c>
    </row>
    <row r="15" spans="2:27" ht="15.75" customHeight="1" x14ac:dyDescent="0.25">
      <c r="B15" s="59">
        <f t="shared" si="1"/>
        <v>2033</v>
      </c>
      <c r="C15" s="83" cm="1">
        <f t="array" ref="C15">IFERROR(_xlfn.XLOOKUP(B15,$K$7:K$77,$Q$7:$Q$77),0)</f>
        <v>444360</v>
      </c>
      <c r="D15" s="84" cm="1">
        <f t="array" ref="D15">IFERROR(_xlfn.XLOOKUP(B15,$T$7:T$77,$Z$7:$Z$77),0)</f>
        <v>0</v>
      </c>
      <c r="E15" s="85">
        <f t="shared" si="0"/>
        <v>444360</v>
      </c>
      <c r="F15" s="84">
        <f>E15*(1+0.07)^-($B15-Assumptions!$D$12)</f>
        <v>197301.15420821312</v>
      </c>
      <c r="G15" s="49"/>
      <c r="H15" s="49"/>
      <c r="I15" s="49"/>
      <c r="J15" s="49"/>
      <c r="K15" s="51">
        <f t="shared" si="2"/>
        <v>1988</v>
      </c>
      <c r="L15" s="23" t="s">
        <v>128</v>
      </c>
      <c r="M15" s="23">
        <v>8</v>
      </c>
      <c r="N15" s="23" t="s">
        <v>259</v>
      </c>
      <c r="O15" s="23" t="s">
        <v>214</v>
      </c>
      <c r="P15" s="281">
        <v>6000</v>
      </c>
      <c r="Q15" s="284">
        <f>IF(Assumptions!$D$15,$I$10*$I$11*$I$14*P15,0)</f>
        <v>444360</v>
      </c>
      <c r="R15" s="229"/>
      <c r="T15" s="51">
        <f t="shared" si="3"/>
        <v>2046</v>
      </c>
      <c r="U15" s="23" t="s">
        <v>128</v>
      </c>
      <c r="V15" s="23">
        <v>8</v>
      </c>
      <c r="W15" s="23" t="s">
        <v>259</v>
      </c>
      <c r="X15" s="23" t="s">
        <v>214</v>
      </c>
      <c r="Y15" s="281">
        <v>6000</v>
      </c>
      <c r="Z15" s="284">
        <f>IF(T15&lt;=Assumptions!$D$16,$I$10*$I$11*$I$14*Y15,0)</f>
        <v>444360</v>
      </c>
    </row>
    <row r="16" spans="2:27" ht="15.75" customHeight="1" x14ac:dyDescent="0.25">
      <c r="B16" s="59">
        <f t="shared" si="1"/>
        <v>2034</v>
      </c>
      <c r="C16" s="83" cm="1">
        <f t="array" ref="C16">IFERROR(_xlfn.XLOOKUP(B16,$K$7:K$77,$Q$7:$Q$77),0)</f>
        <v>0</v>
      </c>
      <c r="D16" s="84" cm="1">
        <f t="array" ref="D16">IFERROR(_xlfn.XLOOKUP(B16,$T$7:T$77,$Z$7:$Z$77),0)</f>
        <v>0</v>
      </c>
      <c r="E16" s="85">
        <f t="shared" si="0"/>
        <v>0</v>
      </c>
      <c r="F16" s="84">
        <f>E16*(1+0.07)^-($B16-Assumptions!$D$12)</f>
        <v>0</v>
      </c>
      <c r="G16" s="49"/>
      <c r="H16" s="49"/>
      <c r="I16" s="49"/>
      <c r="J16" s="49"/>
      <c r="K16" s="51">
        <f t="shared" si="2"/>
        <v>1989</v>
      </c>
      <c r="L16" s="23" t="s">
        <v>129</v>
      </c>
      <c r="M16" s="23">
        <v>9</v>
      </c>
      <c r="N16" s="23" t="s">
        <v>56</v>
      </c>
      <c r="O16" s="23" t="s">
        <v>56</v>
      </c>
      <c r="P16" s="281">
        <v>0</v>
      </c>
      <c r="Q16" s="284">
        <f>IF(Assumptions!$D$15,$I$10*$I$11*$I$14*P16,0)</f>
        <v>0</v>
      </c>
      <c r="R16" s="229"/>
      <c r="T16" s="51">
        <f t="shared" si="3"/>
        <v>2047</v>
      </c>
      <c r="U16" s="23" t="s">
        <v>129</v>
      </c>
      <c r="V16" s="23">
        <v>9</v>
      </c>
      <c r="W16" s="23" t="s">
        <v>56</v>
      </c>
      <c r="X16" s="23" t="s">
        <v>56</v>
      </c>
      <c r="Y16" s="281">
        <v>0</v>
      </c>
      <c r="Z16" s="284">
        <f>IF(T16&lt;=Assumptions!$D$16,$I$10*$I$11*$I$14*Y16,0)</f>
        <v>0</v>
      </c>
    </row>
    <row r="17" spans="2:26" ht="15.75" customHeight="1" x14ac:dyDescent="0.25">
      <c r="B17" s="59">
        <f t="shared" si="1"/>
        <v>2035</v>
      </c>
      <c r="C17" s="83" cm="1">
        <f t="array" ref="C17">IFERROR(_xlfn.XLOOKUP(B17,$K$7:K$77,$Q$7:$Q$77),0)</f>
        <v>0</v>
      </c>
      <c r="D17" s="84" cm="1">
        <f t="array" ref="D17">IFERROR(_xlfn.XLOOKUP(B17,$T$7:T$77,$Z$7:$Z$77),0)</f>
        <v>0</v>
      </c>
      <c r="E17" s="85">
        <f t="shared" si="0"/>
        <v>0</v>
      </c>
      <c r="F17" s="84">
        <f>E17*(1+0.07)^-($B17-Assumptions!$D$12)</f>
        <v>0</v>
      </c>
      <c r="G17" s="49"/>
      <c r="H17" s="49"/>
      <c r="I17" s="49"/>
      <c r="J17" s="49"/>
      <c r="K17" s="51">
        <f t="shared" si="2"/>
        <v>1990</v>
      </c>
      <c r="L17" s="23" t="s">
        <v>130</v>
      </c>
      <c r="M17" s="23">
        <v>10</v>
      </c>
      <c r="N17" s="23" t="s">
        <v>56</v>
      </c>
      <c r="O17" s="23" t="s">
        <v>56</v>
      </c>
      <c r="P17" s="281">
        <v>0</v>
      </c>
      <c r="Q17" s="284">
        <f>IF(Assumptions!$D$15,$I$10*$I$11*$I$14*P17,0)</f>
        <v>0</v>
      </c>
      <c r="R17" s="229"/>
      <c r="T17" s="51">
        <f t="shared" si="3"/>
        <v>2048</v>
      </c>
      <c r="U17" s="23" t="s">
        <v>130</v>
      </c>
      <c r="V17" s="23">
        <v>10</v>
      </c>
      <c r="W17" s="23" t="s">
        <v>56</v>
      </c>
      <c r="X17" s="23" t="s">
        <v>56</v>
      </c>
      <c r="Y17" s="281">
        <v>0</v>
      </c>
      <c r="Z17" s="284">
        <f>IF(T17&lt;=Assumptions!$D$16,$I$10*$I$11*$I$14*Y17,0)</f>
        <v>0</v>
      </c>
    </row>
    <row r="18" spans="2:26" ht="15.75" customHeight="1" x14ac:dyDescent="0.25">
      <c r="B18" s="59">
        <f t="shared" si="1"/>
        <v>2036</v>
      </c>
      <c r="C18" s="83" cm="1">
        <f t="array" ref="C18">IFERROR(_xlfn.XLOOKUP(B18,$K$7:K$77,$Q$7:$Q$77),0)</f>
        <v>444360</v>
      </c>
      <c r="D18" s="84" cm="1">
        <f t="array" ref="D18">IFERROR(_xlfn.XLOOKUP(B18,$T$7:T$77,$Z$7:$Z$77),0)</f>
        <v>0</v>
      </c>
      <c r="E18" s="85">
        <f t="shared" si="0"/>
        <v>444360</v>
      </c>
      <c r="F18" s="84">
        <f>E18*(1+0.07)^-($B18-Assumptions!$D$12)</f>
        <v>161056.51328827895</v>
      </c>
      <c r="G18" s="49"/>
      <c r="H18" s="49"/>
      <c r="I18" s="49"/>
      <c r="J18" s="49"/>
      <c r="K18" s="51">
        <f t="shared" si="2"/>
        <v>1991</v>
      </c>
      <c r="L18" s="23" t="s">
        <v>131</v>
      </c>
      <c r="M18" s="23">
        <v>11</v>
      </c>
      <c r="N18" s="23" t="s">
        <v>56</v>
      </c>
      <c r="O18" s="23" t="s">
        <v>56</v>
      </c>
      <c r="P18" s="281">
        <v>0</v>
      </c>
      <c r="Q18" s="284">
        <f>IF(Assumptions!$D$15,$I$10*$I$11*$I$14*P18,0)</f>
        <v>0</v>
      </c>
      <c r="R18" s="229"/>
      <c r="T18" s="51">
        <f t="shared" si="3"/>
        <v>2049</v>
      </c>
      <c r="U18" s="23" t="s">
        <v>131</v>
      </c>
      <c r="V18" s="23">
        <v>11</v>
      </c>
      <c r="W18" s="23" t="s">
        <v>56</v>
      </c>
      <c r="X18" s="23" t="s">
        <v>56</v>
      </c>
      <c r="Y18" s="281">
        <v>0</v>
      </c>
      <c r="Z18" s="284">
        <f>IF(T18&lt;=Assumptions!$D$16,$I$10*$I$11*$I$14*Y18,0)</f>
        <v>0</v>
      </c>
    </row>
    <row r="19" spans="2:26" ht="15.75" customHeight="1" x14ac:dyDescent="0.25">
      <c r="B19" s="59">
        <f t="shared" si="1"/>
        <v>2037</v>
      </c>
      <c r="C19" s="83" cm="1">
        <f t="array" ref="C19">IFERROR(_xlfn.XLOOKUP(B19,$K$7:K$77,$Q$7:$Q$77),0)</f>
        <v>0</v>
      </c>
      <c r="D19" s="84" cm="1">
        <f t="array" ref="D19">IFERROR(_xlfn.XLOOKUP(B19,$T$7:T$77,$Z$7:$Z$77),0)</f>
        <v>0</v>
      </c>
      <c r="E19" s="85">
        <f t="shared" si="0"/>
        <v>0</v>
      </c>
      <c r="F19" s="84">
        <f>E19*(1+0.07)^-($B19-Assumptions!$D$12)</f>
        <v>0</v>
      </c>
      <c r="G19" s="49"/>
      <c r="H19" s="49"/>
      <c r="I19" s="49"/>
      <c r="J19" s="49"/>
      <c r="K19" s="51">
        <f t="shared" si="2"/>
        <v>1992</v>
      </c>
      <c r="L19" s="23" t="s">
        <v>132</v>
      </c>
      <c r="M19" s="23">
        <v>12</v>
      </c>
      <c r="N19" s="23" t="s">
        <v>211</v>
      </c>
      <c r="O19" s="23" t="s">
        <v>214</v>
      </c>
      <c r="P19" s="281">
        <v>15000</v>
      </c>
      <c r="Q19" s="284">
        <f>IF(Assumptions!$D$15,$I$10*$I$11*$I$14*P19,0)</f>
        <v>1110900</v>
      </c>
      <c r="R19" s="229"/>
      <c r="T19" s="51">
        <f t="shared" si="3"/>
        <v>2050</v>
      </c>
      <c r="U19" s="23" t="s">
        <v>132</v>
      </c>
      <c r="V19" s="23">
        <v>12</v>
      </c>
      <c r="W19" s="23" t="s">
        <v>211</v>
      </c>
      <c r="X19" s="23" t="s">
        <v>214</v>
      </c>
      <c r="Y19" s="281">
        <v>15000</v>
      </c>
      <c r="Z19" s="284">
        <f>IF(T19&lt;=Assumptions!$D$16,$I$10*$I$11*$I$14*Y19,0)</f>
        <v>1110900</v>
      </c>
    </row>
    <row r="20" spans="2:26" ht="15.75" customHeight="1" x14ac:dyDescent="0.25">
      <c r="B20" s="59">
        <f t="shared" si="1"/>
        <v>2038</v>
      </c>
      <c r="C20" s="83" cm="1">
        <f t="array" ref="C20">IFERROR(_xlfn.XLOOKUP(B20,$K$7:K$77,$Q$7:$Q$77),0)</f>
        <v>0</v>
      </c>
      <c r="D20" s="84" cm="1">
        <f t="array" ref="D20">IFERROR(_xlfn.XLOOKUP(B20,$T$7:T$77,$Z$7:$Z$77),0)</f>
        <v>0</v>
      </c>
      <c r="E20" s="85">
        <f t="shared" si="0"/>
        <v>0</v>
      </c>
      <c r="F20" s="84">
        <f>E20*(1+0.07)^-($B20-Assumptions!$D$12)</f>
        <v>0</v>
      </c>
      <c r="G20" s="49"/>
      <c r="H20" s="49"/>
      <c r="I20" s="49"/>
      <c r="J20" s="49"/>
      <c r="K20" s="51">
        <f t="shared" si="2"/>
        <v>1993</v>
      </c>
      <c r="L20" s="23" t="s">
        <v>133</v>
      </c>
      <c r="M20" s="23">
        <v>13</v>
      </c>
      <c r="N20" s="23" t="s">
        <v>56</v>
      </c>
      <c r="O20" s="23" t="s">
        <v>56</v>
      </c>
      <c r="P20" s="281">
        <v>0</v>
      </c>
      <c r="Q20" s="284">
        <f>IF(Assumptions!$D$15,$I$10*$I$11*$I$14*P20,0)</f>
        <v>0</v>
      </c>
      <c r="R20" s="229"/>
      <c r="T20" s="51">
        <f t="shared" si="3"/>
        <v>2051</v>
      </c>
      <c r="U20" s="23" t="s">
        <v>133</v>
      </c>
      <c r="V20" s="23">
        <v>13</v>
      </c>
      <c r="W20" s="23" t="s">
        <v>56</v>
      </c>
      <c r="X20" s="23" t="s">
        <v>56</v>
      </c>
      <c r="Y20" s="281">
        <v>0</v>
      </c>
      <c r="Z20" s="284">
        <f>IF(T20&lt;=Assumptions!$D$16,$I$10*$I$11*$I$14*Y20,0)</f>
        <v>0</v>
      </c>
    </row>
    <row r="21" spans="2:26" ht="15.75" customHeight="1" x14ac:dyDescent="0.25">
      <c r="B21" s="59">
        <f t="shared" si="1"/>
        <v>2039</v>
      </c>
      <c r="C21" s="83" cm="1">
        <f t="array" ref="C21">IFERROR(_xlfn.XLOOKUP(B21,$K$7:K$77,$Q$7:$Q$77),0)</f>
        <v>444360</v>
      </c>
      <c r="D21" s="84" cm="1">
        <f t="array" ref="D21">IFERROR(_xlfn.XLOOKUP(B21,$T$7:T$77,$Z$7:$Z$77),0)</f>
        <v>0</v>
      </c>
      <c r="E21" s="85">
        <f t="shared" si="0"/>
        <v>444360</v>
      </c>
      <c r="F21" s="84">
        <f>E21*(1+0.07)^-($B21-Assumptions!$D$12)</f>
        <v>131470.08985666541</v>
      </c>
      <c r="G21" s="49"/>
      <c r="H21" s="49"/>
      <c r="I21" s="49"/>
      <c r="J21" s="49"/>
      <c r="K21" s="51">
        <f t="shared" si="2"/>
        <v>1994</v>
      </c>
      <c r="L21" s="23" t="s">
        <v>258</v>
      </c>
      <c r="M21" s="23">
        <v>14</v>
      </c>
      <c r="N21" s="23" t="s">
        <v>56</v>
      </c>
      <c r="O21" s="23" t="s">
        <v>56</v>
      </c>
      <c r="P21" s="281">
        <v>0</v>
      </c>
      <c r="Q21" s="284">
        <f>IF(Assumptions!$D$15,$I$10*$I$11*$I$14*P21,0)</f>
        <v>0</v>
      </c>
      <c r="R21" s="229"/>
      <c r="T21" s="51">
        <f t="shared" si="3"/>
        <v>2052</v>
      </c>
      <c r="U21" s="23" t="s">
        <v>258</v>
      </c>
      <c r="V21" s="23">
        <v>14</v>
      </c>
      <c r="W21" s="23" t="s">
        <v>56</v>
      </c>
      <c r="X21" s="23" t="s">
        <v>56</v>
      </c>
      <c r="Y21" s="281">
        <v>0</v>
      </c>
      <c r="Z21" s="284">
        <f>IF(T21&lt;=Assumptions!$D$16,$I$10*$I$11*$I$14*Y21,0)</f>
        <v>0</v>
      </c>
    </row>
    <row r="22" spans="2:26" ht="15.75" customHeight="1" x14ac:dyDescent="0.25">
      <c r="B22" s="59">
        <f t="shared" si="1"/>
        <v>2040</v>
      </c>
      <c r="C22" s="83" cm="1">
        <f t="array" ref="C22">IFERROR(_xlfn.XLOOKUP(B22,$K$7:K$77,$Q$7:$Q$77),0)</f>
        <v>0</v>
      </c>
      <c r="D22" s="84" cm="1">
        <f t="array" ref="D22">IFERROR(_xlfn.XLOOKUP(B22,$T$7:T$77,$Z$7:$Z$77),0)</f>
        <v>0</v>
      </c>
      <c r="E22" s="85">
        <f t="shared" si="0"/>
        <v>0</v>
      </c>
      <c r="F22" s="84">
        <f>E22*(1+0.07)^-($B22-Assumptions!$D$12)</f>
        <v>0</v>
      </c>
      <c r="G22" s="49"/>
      <c r="H22" s="49"/>
      <c r="I22" s="49"/>
      <c r="J22" s="49"/>
      <c r="K22" s="51">
        <f t="shared" si="2"/>
        <v>1995</v>
      </c>
      <c r="L22" s="23" t="s">
        <v>257</v>
      </c>
      <c r="M22" s="23">
        <v>15</v>
      </c>
      <c r="N22" s="23" t="s">
        <v>56</v>
      </c>
      <c r="O22" s="23" t="s">
        <v>56</v>
      </c>
      <c r="P22" s="281">
        <v>0</v>
      </c>
      <c r="Q22" s="284">
        <f>IF(Assumptions!$D$15,$I$10*$I$11*$I$14*P22,0)</f>
        <v>0</v>
      </c>
      <c r="R22" s="229"/>
      <c r="T22" s="51">
        <f t="shared" si="3"/>
        <v>2053</v>
      </c>
      <c r="U22" s="23" t="s">
        <v>257</v>
      </c>
      <c r="V22" s="23">
        <v>15</v>
      </c>
      <c r="W22" s="23" t="s">
        <v>56</v>
      </c>
      <c r="X22" s="23" t="s">
        <v>56</v>
      </c>
      <c r="Y22" s="281">
        <v>0</v>
      </c>
      <c r="Z22" s="284">
        <f>IF(T22&lt;=Assumptions!$D$16,$I$10*$I$11*$I$14*Y22,0)</f>
        <v>0</v>
      </c>
    </row>
    <row r="23" spans="2:26" ht="15.75" customHeight="1" x14ac:dyDescent="0.25">
      <c r="B23" s="59">
        <f t="shared" si="1"/>
        <v>2041</v>
      </c>
      <c r="C23" s="83" cm="1">
        <f t="array" ref="C23">IFERROR(_xlfn.XLOOKUP(B23,$K$7:K$77,$Q$7:$Q$77),0)</f>
        <v>0</v>
      </c>
      <c r="D23" s="84" cm="1">
        <f t="array" ref="D23">IFERROR(_xlfn.XLOOKUP(B23,$T$7:T$77,$Z$7:$Z$77),0)</f>
        <v>0</v>
      </c>
      <c r="E23" s="85">
        <f>C23-D23</f>
        <v>0</v>
      </c>
      <c r="F23" s="84">
        <f>E23*(1+0.07)^-($B23-Assumptions!$D$12)</f>
        <v>0</v>
      </c>
      <c r="G23" s="49"/>
      <c r="H23" s="49"/>
      <c r="I23" s="49"/>
      <c r="J23" s="49"/>
      <c r="K23" s="51">
        <f t="shared" si="2"/>
        <v>1996</v>
      </c>
      <c r="L23" s="23" t="s">
        <v>256</v>
      </c>
      <c r="M23" s="23">
        <v>16</v>
      </c>
      <c r="N23" s="23" t="s">
        <v>56</v>
      </c>
      <c r="O23" s="23" t="s">
        <v>56</v>
      </c>
      <c r="P23" s="281">
        <v>0</v>
      </c>
      <c r="Q23" s="284">
        <f>IF(Assumptions!$D$15,$I$10*$I$11*$I$14*P23,0)</f>
        <v>0</v>
      </c>
      <c r="R23" s="229"/>
      <c r="T23" s="51">
        <f t="shared" si="3"/>
        <v>2054</v>
      </c>
      <c r="U23" s="23" t="s">
        <v>256</v>
      </c>
      <c r="V23" s="23">
        <v>16</v>
      </c>
      <c r="W23" s="23" t="s">
        <v>56</v>
      </c>
      <c r="X23" s="23" t="s">
        <v>56</v>
      </c>
      <c r="Y23" s="281">
        <v>0</v>
      </c>
      <c r="Z23" s="284">
        <f>IF(T23&lt;=Assumptions!$D$16,$I$10*$I$11*$I$14*Y23,0)</f>
        <v>0</v>
      </c>
    </row>
    <row r="24" spans="2:26" ht="15.75" customHeight="1" x14ac:dyDescent="0.25">
      <c r="B24" s="59">
        <f t="shared" si="1"/>
        <v>2042</v>
      </c>
      <c r="C24" s="83" cm="1">
        <f t="array" ref="C24">IFERROR(_xlfn.XLOOKUP(B24,$K$7:K$77,$Q$7:$Q$77),0)</f>
        <v>444360</v>
      </c>
      <c r="D24" s="84" cm="1">
        <f t="array" ref="D24">IFERROR(_xlfn.XLOOKUP(B24,$T$7:T$77,$Z$7:$Z$77),0)</f>
        <v>0</v>
      </c>
      <c r="E24" s="85">
        <f t="shared" si="0"/>
        <v>444360</v>
      </c>
      <c r="F24" s="84">
        <f>E24*(1+0.07)^-($B24-Assumptions!$D$12)</f>
        <v>107318.75522464552</v>
      </c>
      <c r="G24" s="49"/>
      <c r="H24" s="49"/>
      <c r="I24" s="49"/>
      <c r="J24" s="49"/>
      <c r="K24" s="51">
        <f t="shared" si="2"/>
        <v>1997</v>
      </c>
      <c r="L24" s="23" t="s">
        <v>255</v>
      </c>
      <c r="M24" s="23">
        <v>17</v>
      </c>
      <c r="N24" s="23" t="s">
        <v>56</v>
      </c>
      <c r="O24" s="23" t="s">
        <v>56</v>
      </c>
      <c r="P24" s="281">
        <v>0</v>
      </c>
      <c r="Q24" s="284">
        <f>IF(Assumptions!$D$15,$I$10*$I$11*$I$14*P24,0)</f>
        <v>0</v>
      </c>
      <c r="R24" s="229"/>
      <c r="T24" s="51">
        <f t="shared" si="3"/>
        <v>2055</v>
      </c>
      <c r="U24" s="23" t="s">
        <v>255</v>
      </c>
      <c r="V24" s="23">
        <v>17</v>
      </c>
      <c r="W24" s="23" t="s">
        <v>56</v>
      </c>
      <c r="X24" s="23" t="s">
        <v>56</v>
      </c>
      <c r="Y24" s="281">
        <v>0</v>
      </c>
      <c r="Z24" s="284">
        <f>IF(T24&lt;=Assumptions!$D$16,$I$10*$I$11*$I$14*Y24,0)</f>
        <v>0</v>
      </c>
    </row>
    <row r="25" spans="2:26" ht="15.75" customHeight="1" x14ac:dyDescent="0.25">
      <c r="B25" s="59">
        <f t="shared" si="1"/>
        <v>2043</v>
      </c>
      <c r="C25" s="83" cm="1">
        <f t="array" ref="C25">IFERROR(_xlfn.XLOOKUP(B25,$K$7:K$77,$Q$7:$Q$77),0)</f>
        <v>0</v>
      </c>
      <c r="D25" s="84" cm="1">
        <f t="array" ref="D25">IFERROR(_xlfn.XLOOKUP(B25,$T$7:T$77,$Z$7:$Z$77),0)</f>
        <v>0</v>
      </c>
      <c r="E25" s="85">
        <f t="shared" si="0"/>
        <v>0</v>
      </c>
      <c r="F25" s="84">
        <f>E25*(1+0.07)^-($B25-Assumptions!$D$12)</f>
        <v>0</v>
      </c>
      <c r="G25" s="49"/>
      <c r="H25" s="49"/>
      <c r="I25" s="49"/>
      <c r="J25" s="49"/>
      <c r="K25" s="51">
        <f t="shared" si="2"/>
        <v>1998</v>
      </c>
      <c r="L25" s="23" t="s">
        <v>254</v>
      </c>
      <c r="M25" s="23">
        <v>18</v>
      </c>
      <c r="N25" s="23" t="s">
        <v>56</v>
      </c>
      <c r="O25" s="23" t="s">
        <v>56</v>
      </c>
      <c r="P25" s="281">
        <v>0</v>
      </c>
      <c r="Q25" s="284">
        <f>IF(Assumptions!$D$15,$I$10*$I$11*$I$14*P25,0)</f>
        <v>0</v>
      </c>
      <c r="R25" s="229"/>
      <c r="T25" s="51">
        <f t="shared" si="3"/>
        <v>2056</v>
      </c>
      <c r="U25" s="23" t="s">
        <v>254</v>
      </c>
      <c r="V25" s="23">
        <v>18</v>
      </c>
      <c r="W25" s="23" t="s">
        <v>56</v>
      </c>
      <c r="X25" s="23" t="s">
        <v>56</v>
      </c>
      <c r="Y25" s="281">
        <v>0</v>
      </c>
      <c r="Z25" s="284">
        <f>IF(T25&lt;=Assumptions!$D$16,$I$10*$I$11*$I$14*Y25,0)</f>
        <v>0</v>
      </c>
    </row>
    <row r="26" spans="2:26" ht="15.75" customHeight="1" x14ac:dyDescent="0.25">
      <c r="B26" s="59">
        <f t="shared" si="1"/>
        <v>2044</v>
      </c>
      <c r="C26" s="83" cm="1">
        <f t="array" ref="C26">IFERROR(_xlfn.XLOOKUP(B26,$K$7:K$77,$Q$7:$Q$77),0)</f>
        <v>0</v>
      </c>
      <c r="D26" s="84" cm="1">
        <f t="array" ref="D26">IFERROR(_xlfn.XLOOKUP(B26,$T$7:T$77,$Z$7:$Z$77),0)</f>
        <v>0</v>
      </c>
      <c r="E26" s="85">
        <f t="shared" si="0"/>
        <v>0</v>
      </c>
      <c r="F26" s="84">
        <f>E26*(1+0.07)^-($B26-Assumptions!$D$12)</f>
        <v>0</v>
      </c>
      <c r="G26" s="49"/>
      <c r="H26" s="49"/>
      <c r="I26" s="49"/>
      <c r="J26" s="49"/>
      <c r="K26" s="51">
        <f t="shared" si="2"/>
        <v>1999</v>
      </c>
      <c r="L26" s="23" t="s">
        <v>253</v>
      </c>
      <c r="M26" s="23">
        <v>19</v>
      </c>
      <c r="N26" s="23" t="s">
        <v>56</v>
      </c>
      <c r="O26" s="23" t="s">
        <v>56</v>
      </c>
      <c r="P26" s="281">
        <v>0</v>
      </c>
      <c r="Q26" s="284">
        <f>IF(Assumptions!$D$15,$I$10*$I$11*$I$14*P26,0)</f>
        <v>0</v>
      </c>
      <c r="R26" s="229"/>
      <c r="T26" s="51">
        <f t="shared" si="3"/>
        <v>2057</v>
      </c>
      <c r="U26" s="23" t="s">
        <v>253</v>
      </c>
      <c r="V26" s="23">
        <v>19</v>
      </c>
      <c r="W26" s="23" t="s">
        <v>56</v>
      </c>
      <c r="X26" s="23" t="s">
        <v>56</v>
      </c>
      <c r="Y26" s="281">
        <v>0</v>
      </c>
      <c r="Z26" s="284">
        <f>IF(T26&lt;=Assumptions!$D$16,$I$10*$I$11*$I$14*Y26,0)</f>
        <v>0</v>
      </c>
    </row>
    <row r="27" spans="2:26" ht="15.75" customHeight="1" x14ac:dyDescent="0.25">
      <c r="B27" s="59">
        <f t="shared" si="1"/>
        <v>2045</v>
      </c>
      <c r="C27" s="83" cm="1">
        <f t="array" ref="C27">IFERROR(_xlfn.XLOOKUP(B27,$K$7:K$77,$Q$7:$Q$77),0)</f>
        <v>444360</v>
      </c>
      <c r="D27" s="84" cm="1">
        <f t="array" ref="D27">IFERROR(_xlfn.XLOOKUP(B27,$T$7:T$77,$Z$7:$Z$77),0)</f>
        <v>0</v>
      </c>
      <c r="E27" s="85">
        <f t="shared" si="0"/>
        <v>444360</v>
      </c>
      <c r="F27" s="84">
        <f>E27*(1+0.07)^-($B27-Assumptions!$D$12)</f>
        <v>87604.07204044715</v>
      </c>
      <c r="G27" s="49"/>
      <c r="H27" s="49"/>
      <c r="I27" s="49"/>
      <c r="J27" s="49"/>
      <c r="K27" s="51">
        <f t="shared" si="2"/>
        <v>2000</v>
      </c>
      <c r="L27" s="23" t="s">
        <v>252</v>
      </c>
      <c r="M27" s="23">
        <v>20</v>
      </c>
      <c r="N27" s="23" t="s">
        <v>251</v>
      </c>
      <c r="O27" s="23" t="s">
        <v>210</v>
      </c>
      <c r="P27" s="281">
        <v>155000</v>
      </c>
      <c r="Q27" s="284">
        <f>IF(Assumptions!$D$15,$I$10*$I$11*$I$14*P27,0)</f>
        <v>11479300</v>
      </c>
      <c r="R27" s="229"/>
      <c r="T27" s="51">
        <f t="shared" si="3"/>
        <v>2058</v>
      </c>
      <c r="U27" s="23" t="s">
        <v>252</v>
      </c>
      <c r="V27" s="23">
        <v>20</v>
      </c>
      <c r="W27" s="23" t="s">
        <v>251</v>
      </c>
      <c r="X27" s="23" t="s">
        <v>210</v>
      </c>
      <c r="Y27" s="281">
        <v>155000</v>
      </c>
      <c r="Z27" s="284">
        <f>IF(T27&lt;=Assumptions!$D$16,$I$10*$I$11*$I$14*Y27,0)</f>
        <v>0</v>
      </c>
    </row>
    <row r="28" spans="2:26" ht="15.75" customHeight="1" x14ac:dyDescent="0.25">
      <c r="B28" s="59">
        <f t="shared" si="1"/>
        <v>2046</v>
      </c>
      <c r="C28" s="83" cm="1">
        <f t="array" ref="C28">IFERROR(_xlfn.XLOOKUP(B28,$K$7:K$77,$Q$7:$Q$77),0)</f>
        <v>0</v>
      </c>
      <c r="D28" s="84" cm="1">
        <f t="array" ref="D28">IFERROR(_xlfn.XLOOKUP(B28,$T$7:T$77,$Z$7:$Z$77),0)</f>
        <v>444360</v>
      </c>
      <c r="E28" s="85">
        <f t="shared" si="0"/>
        <v>-444360</v>
      </c>
      <c r="F28" s="84">
        <f>E28*(1+0.07)^-($B28-Assumptions!$D$12)</f>
        <v>-81872.964523782372</v>
      </c>
      <c r="G28" s="49"/>
      <c r="H28" s="49"/>
      <c r="I28" s="49"/>
      <c r="J28" s="49"/>
      <c r="K28" s="51">
        <f t="shared" si="2"/>
        <v>2001</v>
      </c>
      <c r="L28" s="23" t="s">
        <v>250</v>
      </c>
      <c r="M28" s="23">
        <v>21</v>
      </c>
      <c r="N28" s="23" t="s">
        <v>56</v>
      </c>
      <c r="O28" s="23" t="s">
        <v>56</v>
      </c>
      <c r="P28" s="281">
        <v>0</v>
      </c>
      <c r="Q28" s="284">
        <f>IF(Assumptions!$D$15,$I$10*$I$11*$I$14*P28,0)</f>
        <v>0</v>
      </c>
      <c r="R28" s="229"/>
      <c r="T28" s="51">
        <f t="shared" si="3"/>
        <v>2059</v>
      </c>
      <c r="U28" s="23" t="s">
        <v>250</v>
      </c>
      <c r="V28" s="23">
        <v>21</v>
      </c>
      <c r="W28" s="23" t="s">
        <v>56</v>
      </c>
      <c r="X28" s="23" t="s">
        <v>56</v>
      </c>
      <c r="Y28" s="281">
        <v>0</v>
      </c>
      <c r="Z28" s="284">
        <f>IF(T28&lt;=Assumptions!$D$16,$I$10*$I$11*$I$14*Y28,0)</f>
        <v>0</v>
      </c>
    </row>
    <row r="29" spans="2:26" ht="15.75" customHeight="1" x14ac:dyDescent="0.25">
      <c r="B29" s="59">
        <f t="shared" si="1"/>
        <v>2047</v>
      </c>
      <c r="C29" s="83" cm="1">
        <f t="array" ref="C29">IFERROR(_xlfn.XLOOKUP(B29,$K$7:K$77,$Q$7:$Q$77),0)</f>
        <v>0</v>
      </c>
      <c r="D29" s="84" cm="1">
        <f t="array" ref="D29">IFERROR(_xlfn.XLOOKUP(B29,$T$7:T$77,$Z$7:$Z$77),0)</f>
        <v>0</v>
      </c>
      <c r="E29" s="85">
        <f t="shared" si="0"/>
        <v>0</v>
      </c>
      <c r="F29" s="84">
        <f>E29*(1+0.07)^-($B29-Assumptions!$D$12)</f>
        <v>0</v>
      </c>
      <c r="G29" s="49"/>
      <c r="H29" s="49"/>
      <c r="I29" s="49"/>
      <c r="J29" s="49"/>
      <c r="K29" s="51">
        <f t="shared" si="2"/>
        <v>2002</v>
      </c>
      <c r="L29" s="23" t="s">
        <v>249</v>
      </c>
      <c r="M29" s="23">
        <v>22</v>
      </c>
      <c r="N29" s="23" t="s">
        <v>56</v>
      </c>
      <c r="O29" s="23" t="s">
        <v>56</v>
      </c>
      <c r="P29" s="281">
        <v>0</v>
      </c>
      <c r="Q29" s="284">
        <f>IF(Assumptions!$D$15,$I$10*$I$11*$I$14*P29,0)</f>
        <v>0</v>
      </c>
      <c r="R29" s="229"/>
      <c r="T29" s="51">
        <f t="shared" si="3"/>
        <v>2060</v>
      </c>
      <c r="U29" s="23" t="s">
        <v>249</v>
      </c>
      <c r="V29" s="23">
        <v>22</v>
      </c>
      <c r="W29" s="23" t="s">
        <v>56</v>
      </c>
      <c r="X29" s="23" t="s">
        <v>56</v>
      </c>
      <c r="Y29" s="281">
        <v>0</v>
      </c>
      <c r="Z29" s="284">
        <f>IF(T29&lt;=Assumptions!$D$16,$I$10*$I$11*$I$14*Y29,0)</f>
        <v>0</v>
      </c>
    </row>
    <row r="30" spans="2:26" ht="15.75" customHeight="1" x14ac:dyDescent="0.25">
      <c r="B30" s="59">
        <f t="shared" si="1"/>
        <v>2048</v>
      </c>
      <c r="C30" s="83" cm="1">
        <f t="array" ref="C30">IFERROR(_xlfn.XLOOKUP(B30,$K$7:K$77,$Q$7:$Q$77),0)</f>
        <v>444360</v>
      </c>
      <c r="D30" s="84" cm="1">
        <f t="array" ref="D30">IFERROR(_xlfn.XLOOKUP(B30,$T$7:T$77,$Z$7:$Z$77),0)</f>
        <v>0</v>
      </c>
      <c r="E30" s="85">
        <f t="shared" si="0"/>
        <v>444360</v>
      </c>
      <c r="F30" s="84">
        <f>E30*(1+0.07)^-($B30-Assumptions!$D$12)</f>
        <v>71511.018013610243</v>
      </c>
      <c r="G30" s="49"/>
      <c r="H30" s="49"/>
      <c r="I30" s="49"/>
      <c r="J30" s="49"/>
      <c r="K30" s="51">
        <f t="shared" si="2"/>
        <v>2003</v>
      </c>
      <c r="L30" s="23" t="s">
        <v>248</v>
      </c>
      <c r="M30" s="23">
        <v>23</v>
      </c>
      <c r="N30" s="23" t="s">
        <v>56</v>
      </c>
      <c r="O30" s="23" t="s">
        <v>56</v>
      </c>
      <c r="P30" s="281">
        <v>0</v>
      </c>
      <c r="Q30" s="284">
        <f>IF(Assumptions!$D$15,$I$10*$I$11*$I$14*P30,0)</f>
        <v>0</v>
      </c>
      <c r="R30" s="229"/>
      <c r="T30" s="51">
        <f t="shared" si="3"/>
        <v>2061</v>
      </c>
      <c r="U30" s="23" t="s">
        <v>248</v>
      </c>
      <c r="V30" s="23">
        <v>23</v>
      </c>
      <c r="W30" s="23" t="s">
        <v>56</v>
      </c>
      <c r="X30" s="23" t="s">
        <v>56</v>
      </c>
      <c r="Y30" s="281">
        <v>0</v>
      </c>
      <c r="Z30" s="284">
        <f>IF(T30&lt;=Assumptions!$D$16,$I$10*$I$11*$I$14*Y30,0)</f>
        <v>0</v>
      </c>
    </row>
    <row r="31" spans="2:26" ht="15.75" customHeight="1" x14ac:dyDescent="0.25">
      <c r="B31" s="59">
        <f t="shared" si="1"/>
        <v>2049</v>
      </c>
      <c r="C31" s="83" cm="1">
        <f t="array" ref="C31">IFERROR(_xlfn.XLOOKUP(B31,$K$7:K$77,$Q$7:$Q$77),0)</f>
        <v>0</v>
      </c>
      <c r="D31" s="84" cm="1">
        <f t="array" ref="D31">IFERROR(_xlfn.XLOOKUP(B31,$T$7:T$77,$Z$7:$Z$77),0)</f>
        <v>0</v>
      </c>
      <c r="E31" s="85">
        <f t="shared" si="0"/>
        <v>0</v>
      </c>
      <c r="F31" s="84">
        <f>E31*(1+0.07)^-($B31-Assumptions!$D$12)</f>
        <v>0</v>
      </c>
      <c r="G31" s="49"/>
      <c r="H31" s="49"/>
      <c r="I31" s="49"/>
      <c r="J31" s="49"/>
      <c r="K31" s="51">
        <f t="shared" si="2"/>
        <v>2004</v>
      </c>
      <c r="L31" s="23" t="s">
        <v>247</v>
      </c>
      <c r="M31" s="23">
        <v>24</v>
      </c>
      <c r="N31" s="23" t="s">
        <v>246</v>
      </c>
      <c r="O31" s="23" t="s">
        <v>214</v>
      </c>
      <c r="P31" s="281">
        <v>6000</v>
      </c>
      <c r="Q31" s="284">
        <f>IF(Assumptions!$D$15,$I$10*$I$11*$I$14*P31,0)</f>
        <v>444360</v>
      </c>
      <c r="R31" s="229"/>
      <c r="T31" s="51">
        <f t="shared" si="3"/>
        <v>2062</v>
      </c>
      <c r="U31" s="23" t="s">
        <v>247</v>
      </c>
      <c r="V31" s="23">
        <v>24</v>
      </c>
      <c r="W31" s="23" t="s">
        <v>246</v>
      </c>
      <c r="X31" s="23" t="s">
        <v>214</v>
      </c>
      <c r="Y31" s="281">
        <v>6000</v>
      </c>
      <c r="Z31" s="284">
        <f>IF(T31&lt;=Assumptions!$D$16,$I$10*$I$11*$I$14*Y31,0)</f>
        <v>0</v>
      </c>
    </row>
    <row r="32" spans="2:26" ht="15.75" customHeight="1" x14ac:dyDescent="0.25">
      <c r="B32" s="59">
        <f t="shared" si="1"/>
        <v>2050</v>
      </c>
      <c r="C32" s="83" cm="1">
        <f t="array" ref="C32">IFERROR(_xlfn.XLOOKUP(B32,$K$7:K$77,$Q$7:$Q$77),0)</f>
        <v>0</v>
      </c>
      <c r="D32" s="84" cm="1">
        <f t="array" ref="D32">IFERROR(_xlfn.XLOOKUP(B32,$T$7:T$77,$Z$7:$Z$77),0)</f>
        <v>1110900</v>
      </c>
      <c r="E32" s="85">
        <f t="shared" si="0"/>
        <v>-1110900</v>
      </c>
      <c r="F32" s="84">
        <f>E32*(1+0.07)^-($B32-Assumptions!$D$12)</f>
        <v>-156151.2315783262</v>
      </c>
      <c r="G32" s="49"/>
      <c r="H32" s="49"/>
      <c r="I32" s="49"/>
      <c r="J32" s="49"/>
      <c r="K32" s="51">
        <f t="shared" si="2"/>
        <v>2005</v>
      </c>
      <c r="L32" s="23" t="s">
        <v>245</v>
      </c>
      <c r="M32" s="23">
        <v>25</v>
      </c>
      <c r="N32" s="23" t="s">
        <v>56</v>
      </c>
      <c r="O32" s="23" t="s">
        <v>56</v>
      </c>
      <c r="P32" s="281">
        <v>0</v>
      </c>
      <c r="Q32" s="284">
        <f>IF(Assumptions!$D$15,$I$10*$I$11*$I$14*P32,0)</f>
        <v>0</v>
      </c>
      <c r="R32" s="229"/>
      <c r="T32" s="51">
        <f t="shared" si="3"/>
        <v>2063</v>
      </c>
      <c r="U32" s="23" t="s">
        <v>245</v>
      </c>
      <c r="V32" s="23">
        <v>25</v>
      </c>
      <c r="W32" s="23" t="s">
        <v>56</v>
      </c>
      <c r="X32" s="23" t="s">
        <v>56</v>
      </c>
      <c r="Y32" s="281">
        <v>0</v>
      </c>
      <c r="Z32" s="284">
        <f>IF(T32&lt;=Assumptions!$D$16,$I$10*$I$11*$I$14*Y32,0)</f>
        <v>0</v>
      </c>
    </row>
    <row r="33" spans="1:26" ht="15.75" customHeight="1" x14ac:dyDescent="0.25">
      <c r="B33" s="59">
        <f t="shared" si="1"/>
        <v>2051</v>
      </c>
      <c r="C33" s="83" cm="1">
        <f t="array" ref="C33">IFERROR(_xlfn.XLOOKUP(B33,$K$7:K$77,$Q$7:$Q$77),0)</f>
        <v>0</v>
      </c>
      <c r="D33" s="84" cm="1">
        <f t="array" ref="D33">IFERROR(_xlfn.XLOOKUP(B33,$T$7:T$77,$Z$7:$Z$77),0)</f>
        <v>0</v>
      </c>
      <c r="E33" s="85">
        <f t="shared" si="0"/>
        <v>0</v>
      </c>
      <c r="F33" s="84">
        <f>E33*(1+0.07)^-($B33-Assumptions!$D$12)</f>
        <v>0</v>
      </c>
      <c r="G33" s="49"/>
      <c r="H33" s="49"/>
      <c r="I33" s="49"/>
      <c r="J33" s="49"/>
      <c r="K33" s="51">
        <f t="shared" si="2"/>
        <v>2006</v>
      </c>
      <c r="L33" s="23" t="s">
        <v>244</v>
      </c>
      <c r="M33" s="23">
        <v>26</v>
      </c>
      <c r="N33" s="23" t="s">
        <v>211</v>
      </c>
      <c r="O33" s="23" t="s">
        <v>210</v>
      </c>
      <c r="P33" s="281">
        <v>15000</v>
      </c>
      <c r="Q33" s="284">
        <f>IF(Assumptions!$D$15,$I$10*$I$11*$I$14*P33,0)</f>
        <v>1110900</v>
      </c>
      <c r="R33" s="229"/>
      <c r="S33" s="32"/>
      <c r="T33" s="51">
        <f t="shared" si="3"/>
        <v>2064</v>
      </c>
      <c r="U33" s="23" t="s">
        <v>244</v>
      </c>
      <c r="V33" s="23">
        <v>26</v>
      </c>
      <c r="W33" s="23" t="s">
        <v>211</v>
      </c>
      <c r="X33" s="23" t="s">
        <v>210</v>
      </c>
      <c r="Y33" s="281">
        <v>15000</v>
      </c>
      <c r="Z33" s="284">
        <f>IF(T33&lt;=Assumptions!$D$16,$I$10*$I$11*$I$14*Y33,0)</f>
        <v>0</v>
      </c>
    </row>
    <row r="34" spans="1:26" ht="15.75" customHeight="1" x14ac:dyDescent="0.25">
      <c r="B34" s="59">
        <f t="shared" si="1"/>
        <v>2052</v>
      </c>
      <c r="C34" s="83" cm="1">
        <f t="array" ref="C34">IFERROR(_xlfn.XLOOKUP(B34,$K$7:K$77,$Q$7:$Q$77),0)</f>
        <v>0</v>
      </c>
      <c r="D34" s="84" cm="1">
        <f t="array" ref="D34">IFERROR(_xlfn.XLOOKUP(B34,$T$7:T$77,$Z$7:$Z$77),0)</f>
        <v>0</v>
      </c>
      <c r="E34" s="85">
        <f t="shared" si="0"/>
        <v>0</v>
      </c>
      <c r="F34" s="84">
        <f>E34*(1+0.07)^-($B34-Assumptions!$D$12)</f>
        <v>0</v>
      </c>
      <c r="G34" s="49"/>
      <c r="H34" s="49"/>
      <c r="I34" s="49"/>
      <c r="J34" s="49"/>
      <c r="K34" s="51">
        <f t="shared" si="2"/>
        <v>2007</v>
      </c>
      <c r="L34" s="23" t="s">
        <v>243</v>
      </c>
      <c r="M34" s="23">
        <v>27</v>
      </c>
      <c r="N34" s="23" t="s">
        <v>56</v>
      </c>
      <c r="O34" s="23" t="s">
        <v>56</v>
      </c>
      <c r="P34" s="281">
        <v>0</v>
      </c>
      <c r="Q34" s="284">
        <f>IF(Assumptions!$D$15,$I$10*$I$11*$I$14*P34,0)</f>
        <v>0</v>
      </c>
      <c r="R34" s="229"/>
      <c r="S34" s="32"/>
      <c r="T34" s="51">
        <f t="shared" si="3"/>
        <v>2065</v>
      </c>
      <c r="U34" s="23" t="s">
        <v>243</v>
      </c>
      <c r="V34" s="23">
        <v>27</v>
      </c>
      <c r="W34" s="23" t="s">
        <v>56</v>
      </c>
      <c r="X34" s="23" t="s">
        <v>56</v>
      </c>
      <c r="Y34" s="281">
        <v>0</v>
      </c>
      <c r="Z34" s="284">
        <f>IF(T34&lt;=Assumptions!$D$16,$I$10*$I$11*$I$14*Y34,0)</f>
        <v>0</v>
      </c>
    </row>
    <row r="35" spans="1:26" ht="15.75" customHeight="1" x14ac:dyDescent="0.25">
      <c r="B35" s="59">
        <f t="shared" si="1"/>
        <v>2053</v>
      </c>
      <c r="C35" s="83" cm="1">
        <f t="array" ref="C35">IFERROR(_xlfn.XLOOKUP(B35,$K$7:K$77,$Q$7:$Q$77),0)</f>
        <v>0</v>
      </c>
      <c r="D35" s="84" cm="1">
        <f t="array" ref="D35">IFERROR(_xlfn.XLOOKUP(B35,$T$7:T$77,$Z$7:$Z$77),0)</f>
        <v>0</v>
      </c>
      <c r="E35" s="85">
        <f t="shared" si="0"/>
        <v>0</v>
      </c>
      <c r="F35" s="84">
        <f>E35*(1+0.07)^-($B35-Assumptions!$D$12)</f>
        <v>0</v>
      </c>
      <c r="G35" s="49"/>
      <c r="H35" s="49"/>
      <c r="I35" s="49"/>
      <c r="J35" s="49"/>
      <c r="K35" s="51">
        <f t="shared" si="2"/>
        <v>2008</v>
      </c>
      <c r="L35" s="23" t="s">
        <v>242</v>
      </c>
      <c r="M35" s="23">
        <v>28</v>
      </c>
      <c r="N35" s="23" t="s">
        <v>56</v>
      </c>
      <c r="O35" s="23" t="s">
        <v>56</v>
      </c>
      <c r="P35" s="281">
        <v>0</v>
      </c>
      <c r="Q35" s="284">
        <f>IF(Assumptions!$D$15,$I$10*$I$11*$I$14*P35,0)</f>
        <v>0</v>
      </c>
      <c r="R35" s="229"/>
      <c r="S35" s="32"/>
      <c r="T35" s="51">
        <f t="shared" si="3"/>
        <v>2066</v>
      </c>
      <c r="U35" s="23" t="s">
        <v>242</v>
      </c>
      <c r="V35" s="23">
        <v>28</v>
      </c>
      <c r="W35" s="23" t="s">
        <v>56</v>
      </c>
      <c r="X35" s="23" t="s">
        <v>56</v>
      </c>
      <c r="Y35" s="281">
        <v>0</v>
      </c>
      <c r="Z35" s="284">
        <f>IF(T35&lt;=Assumptions!$D$16,$I$10*$I$11*$I$14*Y35,0)</f>
        <v>0</v>
      </c>
    </row>
    <row r="36" spans="1:26" ht="15.75" customHeight="1" x14ac:dyDescent="0.25">
      <c r="B36" s="59">
        <f t="shared" si="1"/>
        <v>2054</v>
      </c>
      <c r="C36" s="83" cm="1">
        <f t="array" ref="C36">IFERROR(_xlfn.XLOOKUP(B36,$K$7:K$77,$Q$7:$Q$77),0)</f>
        <v>0</v>
      </c>
      <c r="D36" s="84" cm="1">
        <f t="array" ref="D36">IFERROR(_xlfn.XLOOKUP(B36,$T$7:T$77,$Z$7:$Z$77),0)</f>
        <v>0</v>
      </c>
      <c r="E36" s="85">
        <f t="shared" si="0"/>
        <v>0</v>
      </c>
      <c r="F36" s="84">
        <f>E36*(1+0.07)^-($B36-Assumptions!$D$12)</f>
        <v>0</v>
      </c>
      <c r="G36" s="49"/>
      <c r="H36" s="49"/>
      <c r="I36" s="49"/>
      <c r="J36" s="49"/>
      <c r="K36" s="51">
        <f t="shared" si="2"/>
        <v>2009</v>
      </c>
      <c r="L36" s="23" t="s">
        <v>241</v>
      </c>
      <c r="M36" s="23">
        <v>29</v>
      </c>
      <c r="N36" s="23" t="s">
        <v>56</v>
      </c>
      <c r="O36" s="23" t="s">
        <v>56</v>
      </c>
      <c r="P36" s="281">
        <v>0</v>
      </c>
      <c r="Q36" s="284">
        <f>IF(Assumptions!$D$15,$I$10*$I$11*$I$14*P36,0)</f>
        <v>0</v>
      </c>
      <c r="R36" s="229"/>
      <c r="S36" s="32"/>
      <c r="T36" s="51">
        <f t="shared" si="3"/>
        <v>2067</v>
      </c>
      <c r="U36" s="23" t="s">
        <v>241</v>
      </c>
      <c r="V36" s="23">
        <v>29</v>
      </c>
      <c r="W36" s="23" t="s">
        <v>56</v>
      </c>
      <c r="X36" s="23" t="s">
        <v>56</v>
      </c>
      <c r="Y36" s="281">
        <v>0</v>
      </c>
      <c r="Z36" s="284">
        <f>IF(T36&lt;=Assumptions!$D$16,$I$10*$I$11*$I$14*Y36,0)</f>
        <v>0</v>
      </c>
    </row>
    <row r="37" spans="1:26" ht="15.75" customHeight="1" x14ac:dyDescent="0.25">
      <c r="B37" s="59">
        <f t="shared" si="1"/>
        <v>2055</v>
      </c>
      <c r="C37" s="83" cm="1">
        <f t="array" ref="C37">IFERROR(_xlfn.XLOOKUP(B37,$K$7:K$77,$Q$7:$Q$77),0)</f>
        <v>0</v>
      </c>
      <c r="D37" s="84" cm="1">
        <f t="array" ref="D37">IFERROR(_xlfn.XLOOKUP(B37,$T$7:T$77,$Z$7:$Z$77),0)</f>
        <v>0</v>
      </c>
      <c r="E37" s="85">
        <f t="shared" si="0"/>
        <v>0</v>
      </c>
      <c r="F37" s="84">
        <f>E37*(1+0.07)^-($B37-Assumptions!$D$12)</f>
        <v>0</v>
      </c>
      <c r="G37" s="49"/>
      <c r="H37" s="49"/>
      <c r="I37" s="49"/>
      <c r="J37" s="49"/>
      <c r="K37" s="51">
        <f t="shared" si="2"/>
        <v>2010</v>
      </c>
      <c r="L37" s="23" t="s">
        <v>240</v>
      </c>
      <c r="M37" s="23">
        <v>30</v>
      </c>
      <c r="N37" s="23" t="s">
        <v>56</v>
      </c>
      <c r="O37" s="23" t="s">
        <v>56</v>
      </c>
      <c r="P37" s="281">
        <v>0</v>
      </c>
      <c r="Q37" s="284">
        <f>IF(Assumptions!$D$15,$I$10*$I$11*$I$14*P37,0)</f>
        <v>0</v>
      </c>
      <c r="R37" s="229"/>
      <c r="T37" s="51">
        <f t="shared" si="3"/>
        <v>2068</v>
      </c>
      <c r="U37" s="23" t="s">
        <v>240</v>
      </c>
      <c r="V37" s="23">
        <v>30</v>
      </c>
      <c r="W37" s="23" t="s">
        <v>56</v>
      </c>
      <c r="X37" s="23" t="s">
        <v>56</v>
      </c>
      <c r="Y37" s="281">
        <v>0</v>
      </c>
      <c r="Z37" s="284">
        <f>IF(T37&lt;=Assumptions!$D$16,$I$10*$I$11*$I$14*Y37,0)</f>
        <v>0</v>
      </c>
    </row>
    <row r="38" spans="1:26" ht="15.75" customHeight="1" x14ac:dyDescent="0.25">
      <c r="A38" s="2"/>
      <c r="B38" s="59">
        <f t="shared" si="1"/>
        <v>2056</v>
      </c>
      <c r="C38" s="83" cm="1">
        <f t="array" ref="C38">IFERROR(_xlfn.XLOOKUP(B38,$K$7:K$77,$Q$7:$Q$77),0)</f>
        <v>0</v>
      </c>
      <c r="D38" s="84" cm="1">
        <f t="array" ref="D38">IFERROR(_xlfn.XLOOKUP(B38,$T$7:T$77,$Z$7:$Z$77),0)</f>
        <v>0</v>
      </c>
      <c r="E38" s="85">
        <f t="shared" si="0"/>
        <v>0</v>
      </c>
      <c r="F38" s="84">
        <f>E38*(1+0.07)^-($B38-Assumptions!$D$12)</f>
        <v>0</v>
      </c>
      <c r="G38" s="49"/>
      <c r="H38" s="49"/>
      <c r="I38" s="49"/>
      <c r="J38" s="49"/>
      <c r="K38" s="51">
        <f t="shared" si="2"/>
        <v>2011</v>
      </c>
      <c r="L38" s="23" t="s">
        <v>239</v>
      </c>
      <c r="M38" s="23">
        <v>31</v>
      </c>
      <c r="N38" s="23" t="s">
        <v>56</v>
      </c>
      <c r="O38" s="23" t="s">
        <v>56</v>
      </c>
      <c r="P38" s="281">
        <v>0</v>
      </c>
      <c r="Q38" s="284">
        <f>IF(Assumptions!$D$15,$I$10*$I$11*$I$14*P38,0)</f>
        <v>0</v>
      </c>
      <c r="R38" s="229"/>
      <c r="T38" s="51">
        <f t="shared" si="3"/>
        <v>2069</v>
      </c>
      <c r="U38" s="23" t="s">
        <v>239</v>
      </c>
      <c r="V38" s="23">
        <v>31</v>
      </c>
      <c r="W38" s="23" t="s">
        <v>56</v>
      </c>
      <c r="X38" s="23" t="s">
        <v>56</v>
      </c>
      <c r="Y38" s="281">
        <v>0</v>
      </c>
      <c r="Z38" s="284">
        <f>IF(T38&lt;=Assumptions!$D$16,$I$10*$I$11*$I$14*Y38,0)</f>
        <v>0</v>
      </c>
    </row>
    <row r="39" spans="1:26" ht="15.75" customHeight="1" x14ac:dyDescent="0.25">
      <c r="B39" s="59">
        <f t="shared" si="1"/>
        <v>2057</v>
      </c>
      <c r="C39" s="83" cm="1">
        <f t="array" ref="C39">IFERROR(_xlfn.XLOOKUP(B39,$K$7:K$77,$Q$7:$Q$77),0)</f>
        <v>0</v>
      </c>
      <c r="D39" s="84" cm="1">
        <f t="array" ref="D39">IFERROR(_xlfn.XLOOKUP(B39,$T$7:T$77,$Z$7:$Z$77),0)</f>
        <v>0</v>
      </c>
      <c r="E39" s="85">
        <f t="shared" si="0"/>
        <v>0</v>
      </c>
      <c r="F39" s="84">
        <f>E39*(1+0.07)^-($B39-Assumptions!$D$12)</f>
        <v>0</v>
      </c>
      <c r="G39" s="49"/>
      <c r="H39" s="49"/>
      <c r="I39" s="49"/>
      <c r="J39" s="49"/>
      <c r="K39" s="51">
        <f t="shared" si="2"/>
        <v>2012</v>
      </c>
      <c r="L39" s="23" t="s">
        <v>238</v>
      </c>
      <c r="M39" s="23">
        <v>32</v>
      </c>
      <c r="N39" s="23" t="s">
        <v>56</v>
      </c>
      <c r="O39" s="23" t="s">
        <v>56</v>
      </c>
      <c r="P39" s="281">
        <v>0</v>
      </c>
      <c r="Q39" s="284">
        <f>IF(Assumptions!$D$15,$I$10*$I$11*$I$14*P39,0)</f>
        <v>0</v>
      </c>
      <c r="R39" s="229"/>
      <c r="T39" s="51">
        <f t="shared" si="3"/>
        <v>2070</v>
      </c>
      <c r="U39" s="23" t="s">
        <v>238</v>
      </c>
      <c r="V39" s="23">
        <v>32</v>
      </c>
      <c r="W39" s="23" t="s">
        <v>56</v>
      </c>
      <c r="X39" s="23" t="s">
        <v>56</v>
      </c>
      <c r="Y39" s="281">
        <v>0</v>
      </c>
      <c r="Z39" s="284">
        <f>IF(T39&lt;=Assumptions!$D$16,$I$10*$I$11*$I$14*Y39,0)</f>
        <v>0</v>
      </c>
    </row>
    <row r="40" spans="1:26" ht="15.75" customHeight="1" thickBot="1" x14ac:dyDescent="0.3">
      <c r="B40" s="60">
        <f t="shared" si="1"/>
        <v>2058</v>
      </c>
      <c r="C40" s="86" cm="1">
        <f t="array" ref="C40">IFERROR(_xlfn.XLOOKUP(B40,$K$7:K$77,$Q$7:$Q$77),0)</f>
        <v>0</v>
      </c>
      <c r="D40" s="87" cm="1">
        <f t="array" ref="D40">IFERROR(_xlfn.XLOOKUP(B40,$T$7:T$77,$Z$7:$Z$77),0)</f>
        <v>0</v>
      </c>
      <c r="E40" s="88">
        <f t="shared" si="0"/>
        <v>0</v>
      </c>
      <c r="F40" s="87">
        <f>E40*(1+0.07)^-($B40-Assumptions!$D$12)</f>
        <v>0</v>
      </c>
      <c r="G40" s="49"/>
      <c r="H40" s="49"/>
      <c r="I40" s="49"/>
      <c r="J40" s="49"/>
      <c r="K40" s="51">
        <f t="shared" si="2"/>
        <v>2013</v>
      </c>
      <c r="L40" s="23" t="s">
        <v>237</v>
      </c>
      <c r="M40" s="23">
        <v>33</v>
      </c>
      <c r="N40" s="23" t="s">
        <v>56</v>
      </c>
      <c r="O40" s="23" t="s">
        <v>56</v>
      </c>
      <c r="P40" s="281">
        <v>0</v>
      </c>
      <c r="Q40" s="284">
        <f>IF(Assumptions!$D$15,$I$10*$I$11*$I$14*P40,0)</f>
        <v>0</v>
      </c>
      <c r="R40" s="229"/>
      <c r="T40" s="51">
        <f t="shared" si="3"/>
        <v>2071</v>
      </c>
      <c r="U40" s="23" t="s">
        <v>237</v>
      </c>
      <c r="V40" s="23">
        <v>33</v>
      </c>
      <c r="W40" s="23" t="s">
        <v>56</v>
      </c>
      <c r="X40" s="23" t="s">
        <v>56</v>
      </c>
      <c r="Y40" s="281">
        <v>0</v>
      </c>
      <c r="Z40" s="284">
        <f>IF(T40&lt;=Assumptions!$D$16,$I$10*$I$11*$I$14*Y40,0)</f>
        <v>0</v>
      </c>
    </row>
    <row r="41" spans="1:26" ht="15.75" customHeight="1" x14ac:dyDescent="0.25">
      <c r="E41" s="66" t="s">
        <v>2</v>
      </c>
      <c r="F41" s="89">
        <f>SUM(F5:F40)</f>
        <v>1418765.7595347683</v>
      </c>
      <c r="G41" s="49"/>
      <c r="H41" s="49"/>
      <c r="I41" s="49"/>
      <c r="J41" s="49"/>
      <c r="K41" s="51">
        <f t="shared" si="2"/>
        <v>2014</v>
      </c>
      <c r="L41" s="23" t="s">
        <v>236</v>
      </c>
      <c r="M41" s="23">
        <v>34</v>
      </c>
      <c r="N41" s="23" t="s">
        <v>56</v>
      </c>
      <c r="O41" s="23" t="s">
        <v>56</v>
      </c>
      <c r="P41" s="281">
        <v>0</v>
      </c>
      <c r="Q41" s="284">
        <f>IF(Assumptions!$D$15,$I$10*$I$11*$I$14*P41,0)</f>
        <v>0</v>
      </c>
      <c r="R41" s="229"/>
      <c r="T41" s="51">
        <f t="shared" si="3"/>
        <v>2072</v>
      </c>
      <c r="U41" s="23" t="s">
        <v>236</v>
      </c>
      <c r="V41" s="23">
        <v>34</v>
      </c>
      <c r="W41" s="23" t="s">
        <v>56</v>
      </c>
      <c r="X41" s="23" t="s">
        <v>56</v>
      </c>
      <c r="Y41" s="281">
        <v>0</v>
      </c>
      <c r="Z41" s="284">
        <f>IF(T41&lt;=Assumptions!$D$16,$I$10*$I$11*$I$14*Y41,0)</f>
        <v>0</v>
      </c>
    </row>
    <row r="42" spans="1:26" ht="15.75" customHeight="1" x14ac:dyDescent="0.25">
      <c r="B42" s="36"/>
      <c r="C42" s="77"/>
      <c r="D42" s="77"/>
      <c r="E42" s="77"/>
      <c r="F42" s="77"/>
      <c r="G42" s="81"/>
      <c r="H42" s="81"/>
      <c r="I42" s="81"/>
      <c r="J42" s="81"/>
      <c r="K42" s="51">
        <f t="shared" si="2"/>
        <v>2015</v>
      </c>
      <c r="L42" s="23" t="s">
        <v>235</v>
      </c>
      <c r="M42" s="23">
        <v>35</v>
      </c>
      <c r="N42" s="23" t="s">
        <v>234</v>
      </c>
      <c r="O42" s="23" t="s">
        <v>210</v>
      </c>
      <c r="P42" s="281">
        <v>155000</v>
      </c>
      <c r="Q42" s="284">
        <f>IF(Assumptions!$D$15,$I$10*$I$11*$I$14*P42,0)</f>
        <v>11479300</v>
      </c>
      <c r="R42" s="229"/>
      <c r="T42" s="51">
        <f t="shared" si="3"/>
        <v>2073</v>
      </c>
      <c r="U42" s="23" t="s">
        <v>235</v>
      </c>
      <c r="V42" s="23">
        <v>35</v>
      </c>
      <c r="W42" s="23" t="s">
        <v>234</v>
      </c>
      <c r="X42" s="23" t="s">
        <v>210</v>
      </c>
      <c r="Y42" s="281">
        <v>155000</v>
      </c>
      <c r="Z42" s="284">
        <f>IF(T42&lt;=Assumptions!$D$16,$I$10*$I$11*$I$14*Y42,0)</f>
        <v>0</v>
      </c>
    </row>
    <row r="43" spans="1:26" ht="15.75" customHeight="1" x14ac:dyDescent="0.25">
      <c r="B43" s="7"/>
      <c r="C43" s="7"/>
      <c r="D43" s="7"/>
      <c r="E43" s="7"/>
      <c r="K43" s="51">
        <f t="shared" si="2"/>
        <v>2016</v>
      </c>
      <c r="L43" s="23" t="s">
        <v>233</v>
      </c>
      <c r="M43" s="23">
        <v>36</v>
      </c>
      <c r="N43" s="23" t="s">
        <v>56</v>
      </c>
      <c r="O43" s="23" t="s">
        <v>56</v>
      </c>
      <c r="P43" s="281">
        <v>0</v>
      </c>
      <c r="Q43" s="284">
        <f>IF(Assumptions!$D$15,$I$10*$I$11*$I$14*P43,0)</f>
        <v>0</v>
      </c>
      <c r="R43" s="229"/>
      <c r="T43" s="51">
        <f t="shared" si="3"/>
        <v>2074</v>
      </c>
      <c r="U43" s="23" t="s">
        <v>233</v>
      </c>
      <c r="V43" s="23">
        <v>36</v>
      </c>
      <c r="W43" s="23" t="s">
        <v>56</v>
      </c>
      <c r="X43" s="23" t="s">
        <v>56</v>
      </c>
      <c r="Y43" s="281">
        <v>0</v>
      </c>
      <c r="Z43" s="284">
        <f>IF(T43&lt;=Assumptions!$D$16,$I$10*$I$11*$I$14*Y43,0)</f>
        <v>0</v>
      </c>
    </row>
    <row r="44" spans="1:26" ht="15.75" customHeight="1" x14ac:dyDescent="0.25">
      <c r="B44" s="1" t="s">
        <v>3</v>
      </c>
      <c r="K44" s="51">
        <f t="shared" si="2"/>
        <v>2017</v>
      </c>
      <c r="L44" s="23" t="s">
        <v>232</v>
      </c>
      <c r="M44" s="23">
        <v>37</v>
      </c>
      <c r="N44" s="23" t="s">
        <v>56</v>
      </c>
      <c r="O44" s="23" t="s">
        <v>56</v>
      </c>
      <c r="P44" s="281">
        <v>0</v>
      </c>
      <c r="Q44" s="284">
        <f>IF(Assumptions!$D$15,$I$10*$I$11*$I$14*P44,0)</f>
        <v>0</v>
      </c>
      <c r="R44" s="229"/>
      <c r="T44" s="51">
        <f t="shared" si="3"/>
        <v>2075</v>
      </c>
      <c r="U44" s="23" t="s">
        <v>232</v>
      </c>
      <c r="V44" s="23">
        <v>37</v>
      </c>
      <c r="W44" s="23" t="s">
        <v>56</v>
      </c>
      <c r="X44" s="23" t="s">
        <v>56</v>
      </c>
      <c r="Y44" s="281">
        <v>0</v>
      </c>
      <c r="Z44" s="284">
        <f>IF(T44&lt;=Assumptions!$D$16,$I$10*$I$11*$I$14*Y44,0)</f>
        <v>0</v>
      </c>
    </row>
    <row r="45" spans="1:26" ht="15.75" customHeight="1" x14ac:dyDescent="0.25">
      <c r="A45" s="2" t="s">
        <v>17</v>
      </c>
      <c r="B45" s="293" t="s">
        <v>619</v>
      </c>
      <c r="C45" s="293"/>
      <c r="D45" s="293"/>
      <c r="E45" s="293"/>
      <c r="F45" s="293"/>
      <c r="G45" s="32"/>
      <c r="H45" s="32"/>
      <c r="I45" s="32"/>
      <c r="J45" s="32"/>
      <c r="K45" s="51">
        <f t="shared" si="2"/>
        <v>2018</v>
      </c>
      <c r="L45" s="23" t="s">
        <v>231</v>
      </c>
      <c r="M45" s="23">
        <v>38</v>
      </c>
      <c r="N45" s="23" t="s">
        <v>56</v>
      </c>
      <c r="O45" s="23" t="s">
        <v>56</v>
      </c>
      <c r="P45" s="281">
        <v>0</v>
      </c>
      <c r="Q45" s="284">
        <f>IF(Assumptions!$D$15,$I$10*$I$11*$I$14*P45,0)</f>
        <v>0</v>
      </c>
      <c r="R45" s="229"/>
      <c r="T45" s="51">
        <f t="shared" si="3"/>
        <v>2076</v>
      </c>
      <c r="U45" s="23" t="s">
        <v>231</v>
      </c>
      <c r="V45" s="23">
        <v>38</v>
      </c>
      <c r="W45" s="23" t="s">
        <v>56</v>
      </c>
      <c r="X45" s="23" t="s">
        <v>56</v>
      </c>
      <c r="Y45" s="281">
        <v>0</v>
      </c>
      <c r="Z45" s="284">
        <f>IF(T45&lt;=Assumptions!$D$16,$I$10*$I$11*$I$14*Y45,0)</f>
        <v>0</v>
      </c>
    </row>
    <row r="46" spans="1:26" x14ac:dyDescent="0.25">
      <c r="B46" s="293"/>
      <c r="C46" s="293"/>
      <c r="D46" s="293"/>
      <c r="E46" s="293"/>
      <c r="F46" s="293"/>
      <c r="G46" s="32"/>
      <c r="H46" s="32"/>
      <c r="I46" s="32"/>
      <c r="J46" s="32"/>
      <c r="K46" s="51">
        <f t="shared" si="2"/>
        <v>2019</v>
      </c>
      <c r="L46" s="23" t="s">
        <v>230</v>
      </c>
      <c r="M46" s="23">
        <v>39</v>
      </c>
      <c r="N46" s="23" t="s">
        <v>215</v>
      </c>
      <c r="O46" s="23" t="s">
        <v>214</v>
      </c>
      <c r="P46" s="281">
        <v>6000</v>
      </c>
      <c r="Q46" s="284">
        <f>IF(Assumptions!$D$15,$I$10*$I$11*$I$14*P46,0)</f>
        <v>444360</v>
      </c>
      <c r="R46" s="229"/>
      <c r="T46" s="51">
        <f t="shared" si="3"/>
        <v>2077</v>
      </c>
      <c r="U46" s="23" t="s">
        <v>230</v>
      </c>
      <c r="V46" s="23">
        <v>39</v>
      </c>
      <c r="W46" s="23" t="s">
        <v>215</v>
      </c>
      <c r="X46" s="23" t="s">
        <v>214</v>
      </c>
      <c r="Y46" s="281">
        <v>6000</v>
      </c>
      <c r="Z46" s="284">
        <f>IF(T46&lt;=Assumptions!$D$16,$I$10*$I$11*$I$14*Y46,0)</f>
        <v>0</v>
      </c>
    </row>
    <row r="47" spans="1:26" x14ac:dyDescent="0.25">
      <c r="B47" s="293"/>
      <c r="C47" s="293"/>
      <c r="D47" s="293"/>
      <c r="E47" s="293"/>
      <c r="F47" s="293"/>
      <c r="G47" s="32"/>
      <c r="H47" s="32"/>
      <c r="I47" s="32"/>
      <c r="J47" s="32"/>
      <c r="K47" s="51">
        <f t="shared" si="2"/>
        <v>2020</v>
      </c>
      <c r="L47" s="23" t="s">
        <v>229</v>
      </c>
      <c r="M47" s="23">
        <v>40</v>
      </c>
      <c r="N47" s="23" t="s">
        <v>56</v>
      </c>
      <c r="O47" s="23" t="s">
        <v>56</v>
      </c>
      <c r="P47" s="281">
        <v>0</v>
      </c>
      <c r="Q47" s="284">
        <f>IF(Assumptions!$D$15,$I$10*$I$11*$I$14*P47,0)</f>
        <v>0</v>
      </c>
      <c r="R47" s="229"/>
      <c r="T47" s="51">
        <f t="shared" si="3"/>
        <v>2078</v>
      </c>
      <c r="U47" s="23" t="s">
        <v>229</v>
      </c>
      <c r="V47" s="23">
        <v>40</v>
      </c>
      <c r="W47" s="23" t="s">
        <v>56</v>
      </c>
      <c r="X47" s="23" t="s">
        <v>56</v>
      </c>
      <c r="Y47" s="281">
        <v>0</v>
      </c>
      <c r="Z47" s="284">
        <f>IF(T47&lt;=Assumptions!$D$16,$I$10*$I$11*$I$14*Y47,0)</f>
        <v>0</v>
      </c>
    </row>
    <row r="48" spans="1:26" x14ac:dyDescent="0.25">
      <c r="B48" s="33"/>
      <c r="C48" s="33"/>
      <c r="D48" s="33"/>
      <c r="E48" s="33"/>
      <c r="F48" s="33"/>
      <c r="K48" s="51">
        <f t="shared" si="2"/>
        <v>2021</v>
      </c>
      <c r="L48" s="23" t="s">
        <v>228</v>
      </c>
      <c r="M48" s="23">
        <v>41</v>
      </c>
      <c r="N48" s="23" t="s">
        <v>211</v>
      </c>
      <c r="O48" s="23" t="s">
        <v>210</v>
      </c>
      <c r="P48" s="281">
        <v>15000</v>
      </c>
      <c r="Q48" s="284">
        <f>IF(Assumptions!$D$15,$I$10*$I$11*$I$14*P48,0)</f>
        <v>1110900</v>
      </c>
      <c r="R48" s="229"/>
      <c r="T48" s="51">
        <f t="shared" si="3"/>
        <v>2079</v>
      </c>
      <c r="U48" s="23" t="s">
        <v>228</v>
      </c>
      <c r="V48" s="23">
        <v>41</v>
      </c>
      <c r="W48" s="23" t="s">
        <v>211</v>
      </c>
      <c r="X48" s="23" t="s">
        <v>210</v>
      </c>
      <c r="Y48" s="281">
        <v>15000</v>
      </c>
      <c r="Z48" s="284">
        <f>IF(T48&lt;=Assumptions!$D$16,$I$10*$I$11*$I$14*Y48,0)</f>
        <v>0</v>
      </c>
    </row>
    <row r="49" spans="1:26" x14ac:dyDescent="0.25">
      <c r="B49" s="33"/>
      <c r="C49" s="33"/>
      <c r="D49" s="33"/>
      <c r="E49" s="33"/>
      <c r="F49" s="33"/>
      <c r="K49" s="51">
        <f t="shared" si="2"/>
        <v>2022</v>
      </c>
      <c r="L49" s="23" t="s">
        <v>227</v>
      </c>
      <c r="M49" s="23">
        <v>42</v>
      </c>
      <c r="N49" s="23" t="s">
        <v>56</v>
      </c>
      <c r="O49" s="23" t="s">
        <v>56</v>
      </c>
      <c r="P49" s="281">
        <v>0</v>
      </c>
      <c r="Q49" s="284">
        <f>IF(Assumptions!$D$15,$I$10*$I$11*$I$14*P49,0)</f>
        <v>0</v>
      </c>
      <c r="R49" s="229"/>
      <c r="T49" s="51">
        <f t="shared" si="3"/>
        <v>2080</v>
      </c>
      <c r="U49" s="23" t="s">
        <v>227</v>
      </c>
      <c r="V49" s="23">
        <v>42</v>
      </c>
      <c r="W49" s="23" t="s">
        <v>56</v>
      </c>
      <c r="X49" s="23" t="s">
        <v>56</v>
      </c>
      <c r="Y49" s="281">
        <v>0</v>
      </c>
      <c r="Z49" s="284">
        <f>IF(T49&lt;=Assumptions!$D$16,$I$10*$I$11*$I$14*Y49,0)</f>
        <v>0</v>
      </c>
    </row>
    <row r="50" spans="1:26" x14ac:dyDescent="0.25">
      <c r="B50" s="33"/>
      <c r="C50" s="33"/>
      <c r="D50" s="33"/>
      <c r="E50" s="33"/>
      <c r="F50" s="33"/>
      <c r="K50" s="51">
        <f t="shared" si="2"/>
        <v>2023</v>
      </c>
      <c r="L50" s="23" t="s">
        <v>226</v>
      </c>
      <c r="M50" s="23">
        <v>43</v>
      </c>
      <c r="N50" s="23" t="s">
        <v>56</v>
      </c>
      <c r="O50" s="23" t="s">
        <v>56</v>
      </c>
      <c r="P50" s="281">
        <v>0</v>
      </c>
      <c r="Q50" s="284">
        <f>IF(Assumptions!$D$15,$I$10*$I$11*$I$14*P50,0)</f>
        <v>0</v>
      </c>
      <c r="R50" s="229"/>
      <c r="T50" s="51">
        <f t="shared" si="3"/>
        <v>2081</v>
      </c>
      <c r="U50" s="23" t="s">
        <v>226</v>
      </c>
      <c r="V50" s="23">
        <v>43</v>
      </c>
      <c r="W50" s="23" t="s">
        <v>56</v>
      </c>
      <c r="X50" s="23" t="s">
        <v>56</v>
      </c>
      <c r="Y50" s="281">
        <v>0</v>
      </c>
      <c r="Z50" s="284">
        <f>IF(T50&lt;=Assumptions!$D$16,$I$10*$I$11*$I$14*Y50,0)</f>
        <v>0</v>
      </c>
    </row>
    <row r="51" spans="1:26" x14ac:dyDescent="0.25">
      <c r="B51" s="33"/>
      <c r="C51" s="33"/>
      <c r="D51" s="33"/>
      <c r="E51" s="33"/>
      <c r="F51" s="33"/>
      <c r="K51" s="51">
        <f t="shared" si="2"/>
        <v>2024</v>
      </c>
      <c r="L51" s="23" t="s">
        <v>225</v>
      </c>
      <c r="M51" s="23">
        <v>44</v>
      </c>
      <c r="N51" s="23" t="s">
        <v>215</v>
      </c>
      <c r="O51" s="23" t="s">
        <v>214</v>
      </c>
      <c r="P51" s="281">
        <v>6000</v>
      </c>
      <c r="Q51" s="284">
        <f>IF(Assumptions!$D$15,$I$10*$I$11*$I$14*P51,0)</f>
        <v>444360</v>
      </c>
      <c r="R51" s="229"/>
      <c r="T51" s="51">
        <f t="shared" si="3"/>
        <v>2082</v>
      </c>
      <c r="U51" s="23" t="s">
        <v>225</v>
      </c>
      <c r="V51" s="23">
        <v>44</v>
      </c>
      <c r="W51" s="23" t="s">
        <v>56</v>
      </c>
      <c r="X51" s="23" t="s">
        <v>56</v>
      </c>
      <c r="Y51" s="281">
        <v>0</v>
      </c>
      <c r="Z51" s="284">
        <f>IF(T51&lt;=Assumptions!$D$16,$I$10*$I$11*$I$14*Y51,0)</f>
        <v>0</v>
      </c>
    </row>
    <row r="52" spans="1:26" x14ac:dyDescent="0.25">
      <c r="B52" s="33"/>
      <c r="C52" s="33"/>
      <c r="D52" s="33"/>
      <c r="E52" s="33"/>
      <c r="F52" s="33"/>
      <c r="K52" s="51">
        <f t="shared" si="2"/>
        <v>2025</v>
      </c>
      <c r="L52" s="23" t="s">
        <v>224</v>
      </c>
      <c r="M52" s="23">
        <v>45</v>
      </c>
      <c r="N52" s="23" t="s">
        <v>56</v>
      </c>
      <c r="O52" s="23" t="s">
        <v>56</v>
      </c>
      <c r="P52" s="281">
        <v>0</v>
      </c>
      <c r="Q52" s="284">
        <f>IF(Assumptions!$D$15,$I$10*$I$11*$I$14*P52,0)</f>
        <v>0</v>
      </c>
      <c r="R52" s="229"/>
      <c r="T52" s="51">
        <f t="shared" si="3"/>
        <v>2083</v>
      </c>
      <c r="U52" s="23" t="s">
        <v>224</v>
      </c>
      <c r="V52" s="23">
        <v>45</v>
      </c>
      <c r="W52" s="23" t="s">
        <v>56</v>
      </c>
      <c r="X52" s="23" t="s">
        <v>56</v>
      </c>
      <c r="Y52" s="281">
        <v>0</v>
      </c>
      <c r="Z52" s="284">
        <f>IF(T52&lt;=Assumptions!$D$16,$I$10*$I$11*$I$14*Y52,0)</f>
        <v>0</v>
      </c>
    </row>
    <row r="53" spans="1:26" ht="15" customHeight="1" x14ac:dyDescent="0.25">
      <c r="A53" s="2"/>
      <c r="B53" s="33"/>
      <c r="C53" s="33"/>
      <c r="D53" s="33"/>
      <c r="E53" s="33"/>
      <c r="F53" s="33"/>
      <c r="K53" s="51">
        <f t="shared" si="2"/>
        <v>2026</v>
      </c>
      <c r="L53" s="23" t="s">
        <v>223</v>
      </c>
      <c r="M53" s="23">
        <v>46</v>
      </c>
      <c r="N53" s="23" t="s">
        <v>56</v>
      </c>
      <c r="O53" s="23" t="s">
        <v>56</v>
      </c>
      <c r="P53" s="281">
        <v>0</v>
      </c>
      <c r="Q53" s="284">
        <f>IF(Assumptions!$D$15,$I$10*$I$11*$I$14*P53,0)</f>
        <v>0</v>
      </c>
      <c r="R53" s="229"/>
      <c r="T53" s="51">
        <f t="shared" si="3"/>
        <v>2084</v>
      </c>
      <c r="U53" s="23" t="s">
        <v>223</v>
      </c>
      <c r="V53" s="23">
        <v>46</v>
      </c>
      <c r="W53" s="23" t="s">
        <v>56</v>
      </c>
      <c r="X53" s="23" t="s">
        <v>56</v>
      </c>
      <c r="Y53" s="281">
        <v>0</v>
      </c>
      <c r="Z53" s="284">
        <f>IF(T53&lt;=Assumptions!$D$16,$I$10*$I$11*$I$14*Y53,0)</f>
        <v>0</v>
      </c>
    </row>
    <row r="54" spans="1:26" x14ac:dyDescent="0.25">
      <c r="B54" s="33"/>
      <c r="C54" s="33"/>
      <c r="D54" s="33"/>
      <c r="E54" s="33"/>
      <c r="F54" s="33"/>
      <c r="K54" s="51">
        <f t="shared" si="2"/>
        <v>2027</v>
      </c>
      <c r="L54" s="23" t="s">
        <v>222</v>
      </c>
      <c r="M54" s="23">
        <v>47</v>
      </c>
      <c r="N54" s="23" t="s">
        <v>215</v>
      </c>
      <c r="O54" s="23" t="s">
        <v>214</v>
      </c>
      <c r="P54" s="281">
        <v>6000</v>
      </c>
      <c r="Q54" s="284">
        <f>IF(Assumptions!$D$15,$I$10*$I$11*$I$14*P54,0)</f>
        <v>444360</v>
      </c>
      <c r="R54" s="229"/>
      <c r="T54" s="51">
        <f t="shared" si="3"/>
        <v>2085</v>
      </c>
      <c r="U54" s="23" t="s">
        <v>222</v>
      </c>
      <c r="V54" s="23">
        <v>47</v>
      </c>
      <c r="W54" s="23" t="s">
        <v>221</v>
      </c>
      <c r="X54" s="23" t="s">
        <v>220</v>
      </c>
      <c r="Y54" s="281">
        <v>155000</v>
      </c>
      <c r="Z54" s="284">
        <f>IF(T54&lt;=Assumptions!$D$16,$I$10*$I$11*$I$14*Y54,0)</f>
        <v>0</v>
      </c>
    </row>
    <row r="55" spans="1:26" ht="15" customHeight="1" x14ac:dyDescent="0.25">
      <c r="B55" s="33"/>
      <c r="C55" s="33"/>
      <c r="D55" s="33"/>
      <c r="E55" s="33"/>
      <c r="F55" s="33"/>
      <c r="K55" s="51">
        <f t="shared" si="2"/>
        <v>2028</v>
      </c>
      <c r="L55" s="23" t="s">
        <v>219</v>
      </c>
      <c r="M55" s="23">
        <v>48</v>
      </c>
      <c r="N55" s="23" t="s">
        <v>56</v>
      </c>
      <c r="O55" s="23" t="s">
        <v>56</v>
      </c>
      <c r="P55" s="281">
        <v>0</v>
      </c>
      <c r="Q55" s="284">
        <f>IF(Assumptions!$D$15,$I$10*$I$11*$I$14*P55,0)</f>
        <v>0</v>
      </c>
      <c r="R55" s="229"/>
      <c r="T55" s="51">
        <f t="shared" si="3"/>
        <v>2086</v>
      </c>
      <c r="U55" s="23" t="s">
        <v>219</v>
      </c>
      <c r="V55" s="23">
        <v>48</v>
      </c>
      <c r="W55" s="23" t="s">
        <v>56</v>
      </c>
      <c r="X55" s="23" t="s">
        <v>56</v>
      </c>
      <c r="Y55" s="281">
        <v>0</v>
      </c>
      <c r="Z55" s="284">
        <f>IF(T55&lt;=Assumptions!$D$16,$I$10*$I$11*$I$14*Y55,0)</f>
        <v>0</v>
      </c>
    </row>
    <row r="56" spans="1:26" x14ac:dyDescent="0.25">
      <c r="B56" s="33"/>
      <c r="C56" s="33"/>
      <c r="D56" s="33"/>
      <c r="E56" s="33"/>
      <c r="F56" s="33"/>
      <c r="K56" s="51">
        <f t="shared" si="2"/>
        <v>2029</v>
      </c>
      <c r="L56" s="23" t="s">
        <v>218</v>
      </c>
      <c r="M56" s="23">
        <v>49</v>
      </c>
      <c r="N56" s="23" t="s">
        <v>56</v>
      </c>
      <c r="O56" s="23" t="s">
        <v>56</v>
      </c>
      <c r="P56" s="281">
        <v>0</v>
      </c>
      <c r="Q56" s="284">
        <f>IF(Assumptions!$D$15,$I$10*$I$11*$I$14*P56,0)</f>
        <v>0</v>
      </c>
      <c r="R56" s="229"/>
      <c r="T56" s="51">
        <f t="shared" si="3"/>
        <v>2087</v>
      </c>
      <c r="U56" s="23" t="s">
        <v>218</v>
      </c>
      <c r="V56" s="23">
        <v>49</v>
      </c>
      <c r="W56" s="23" t="s">
        <v>56</v>
      </c>
      <c r="X56" s="23" t="s">
        <v>56</v>
      </c>
      <c r="Y56" s="281">
        <v>0</v>
      </c>
      <c r="Z56" s="284">
        <f>IF(T56&lt;=Assumptions!$D$16,$I$10*$I$11*$I$14*Y56,0)</f>
        <v>0</v>
      </c>
    </row>
    <row r="57" spans="1:26" x14ac:dyDescent="0.25">
      <c r="B57" s="33"/>
      <c r="C57" s="33"/>
      <c r="D57" s="33"/>
      <c r="E57" s="33"/>
      <c r="F57" s="33"/>
      <c r="K57" s="51">
        <f t="shared" si="2"/>
        <v>2030</v>
      </c>
      <c r="L57" s="23" t="s">
        <v>217</v>
      </c>
      <c r="M57" s="23">
        <v>50</v>
      </c>
      <c r="N57" s="23" t="s">
        <v>215</v>
      </c>
      <c r="O57" s="23" t="s">
        <v>214</v>
      </c>
      <c r="P57" s="281">
        <v>6000</v>
      </c>
      <c r="Q57" s="284">
        <f>IF(Assumptions!$D$15,$I$10*$I$11*$I$14*P57,0)</f>
        <v>444360</v>
      </c>
      <c r="R57" s="229"/>
      <c r="T57" s="51">
        <f t="shared" si="3"/>
        <v>2088</v>
      </c>
      <c r="U57" s="23" t="s">
        <v>217</v>
      </c>
      <c r="V57" s="23">
        <v>50</v>
      </c>
      <c r="W57" s="23" t="s">
        <v>56</v>
      </c>
      <c r="X57" s="23" t="s">
        <v>56</v>
      </c>
      <c r="Y57" s="281">
        <v>0</v>
      </c>
      <c r="Z57" s="284">
        <f>IF(T57&lt;=Assumptions!$D$16,$I$10*$I$11*$I$14*Y57,0)</f>
        <v>0</v>
      </c>
    </row>
    <row r="58" spans="1:26" x14ac:dyDescent="0.25">
      <c r="B58" s="33"/>
      <c r="C58" s="33"/>
      <c r="D58" s="33"/>
      <c r="E58" s="33"/>
      <c r="F58" s="33"/>
      <c r="K58" s="51">
        <f t="shared" si="2"/>
        <v>2031</v>
      </c>
      <c r="L58" s="23" t="s">
        <v>216</v>
      </c>
      <c r="M58" s="23">
        <v>51</v>
      </c>
      <c r="N58" s="23" t="s">
        <v>56</v>
      </c>
      <c r="O58" s="23" t="s">
        <v>56</v>
      </c>
      <c r="P58" s="281">
        <v>0</v>
      </c>
      <c r="Q58" s="284">
        <f>IF(Assumptions!$D$15,$I$10*$I$11*$I$14*P58,0)</f>
        <v>0</v>
      </c>
      <c r="R58" s="229"/>
      <c r="T58" s="51">
        <f t="shared" si="3"/>
        <v>2089</v>
      </c>
      <c r="U58" s="23" t="s">
        <v>216</v>
      </c>
      <c r="V58" s="23">
        <v>51</v>
      </c>
      <c r="W58" s="23" t="s">
        <v>215</v>
      </c>
      <c r="X58" s="23" t="s">
        <v>214</v>
      </c>
      <c r="Y58" s="281">
        <v>6000</v>
      </c>
      <c r="Z58" s="284">
        <f>IF(T58&lt;=Assumptions!$D$16,$I$10*$I$11*$I$14*Y58,0)</f>
        <v>0</v>
      </c>
    </row>
    <row r="59" spans="1:26" x14ac:dyDescent="0.25">
      <c r="B59" s="33"/>
      <c r="C59" s="33"/>
      <c r="D59" s="33"/>
      <c r="E59" s="33"/>
      <c r="F59" s="33"/>
      <c r="K59" s="51">
        <f t="shared" si="2"/>
        <v>2032</v>
      </c>
      <c r="L59" s="23" t="s">
        <v>213</v>
      </c>
      <c r="M59" s="23">
        <v>52</v>
      </c>
      <c r="N59" s="23" t="s">
        <v>56</v>
      </c>
      <c r="O59" s="23" t="s">
        <v>56</v>
      </c>
      <c r="P59" s="281">
        <v>0</v>
      </c>
      <c r="Q59" s="284">
        <f>IF(Assumptions!$D$15,$I$10*$I$11*$I$14*P59,0)</f>
        <v>0</v>
      </c>
      <c r="R59" s="229"/>
      <c r="T59" s="51">
        <f t="shared" si="3"/>
        <v>2090</v>
      </c>
      <c r="U59" s="23" t="s">
        <v>213</v>
      </c>
      <c r="V59" s="23">
        <v>52</v>
      </c>
      <c r="W59" s="23" t="s">
        <v>56</v>
      </c>
      <c r="X59" s="23" t="s">
        <v>56</v>
      </c>
      <c r="Y59" s="281">
        <v>0</v>
      </c>
      <c r="Z59" s="284">
        <f>IF(T59&lt;=Assumptions!$D$16,$I$10*$I$11*$I$14*Y59,0)</f>
        <v>0</v>
      </c>
    </row>
    <row r="60" spans="1:26" x14ac:dyDescent="0.25">
      <c r="B60" s="33"/>
      <c r="C60" s="33"/>
      <c r="D60" s="33"/>
      <c r="E60" s="33"/>
      <c r="F60" s="33"/>
      <c r="K60" s="51">
        <f t="shared" si="2"/>
        <v>2033</v>
      </c>
      <c r="L60" s="23" t="s">
        <v>212</v>
      </c>
      <c r="M60" s="23">
        <v>53</v>
      </c>
      <c r="N60" s="23" t="s">
        <v>215</v>
      </c>
      <c r="O60" s="23" t="s">
        <v>214</v>
      </c>
      <c r="P60" s="281">
        <v>6000</v>
      </c>
      <c r="Q60" s="284">
        <f>IF(Assumptions!$D$15,$I$10*$I$11*$I$14*P60,0)</f>
        <v>444360</v>
      </c>
      <c r="R60" s="229"/>
      <c r="T60" s="51">
        <f t="shared" si="3"/>
        <v>2091</v>
      </c>
      <c r="U60" s="23" t="s">
        <v>212</v>
      </c>
      <c r="V60" s="23">
        <v>53</v>
      </c>
      <c r="W60" s="23" t="s">
        <v>211</v>
      </c>
      <c r="X60" s="23" t="s">
        <v>210</v>
      </c>
      <c r="Y60" s="281">
        <v>15000</v>
      </c>
      <c r="Z60" s="284">
        <f>IF(T60&lt;=Assumptions!$D$16,$I$10*$I$11*$I$14*Y60,0)</f>
        <v>0</v>
      </c>
    </row>
    <row r="61" spans="1:26" x14ac:dyDescent="0.25">
      <c r="K61" s="51">
        <f t="shared" si="2"/>
        <v>2034</v>
      </c>
      <c r="L61" s="23" t="s">
        <v>209</v>
      </c>
      <c r="M61" s="23">
        <v>54</v>
      </c>
      <c r="N61" s="23" t="s">
        <v>56</v>
      </c>
      <c r="O61" s="23" t="s">
        <v>56</v>
      </c>
      <c r="P61" s="281">
        <v>0</v>
      </c>
      <c r="Q61" s="284">
        <f>IF(Assumptions!$D$15,$I$10*$I$11*$I$14*P61,0)</f>
        <v>0</v>
      </c>
      <c r="R61" s="229"/>
      <c r="T61" s="51">
        <f t="shared" si="3"/>
        <v>2092</v>
      </c>
      <c r="U61" s="23" t="s">
        <v>209</v>
      </c>
      <c r="V61" s="23">
        <v>54</v>
      </c>
      <c r="W61" s="23" t="s">
        <v>56</v>
      </c>
      <c r="X61" s="23" t="s">
        <v>56</v>
      </c>
      <c r="Y61" s="281">
        <v>0</v>
      </c>
      <c r="Z61" s="284">
        <f>IF(T61&lt;=Assumptions!$D$16,$I$10*$I$11*$I$14*Y61,0)</f>
        <v>0</v>
      </c>
    </row>
    <row r="62" spans="1:26" ht="15" customHeight="1" x14ac:dyDescent="0.25">
      <c r="K62" s="51">
        <f t="shared" si="2"/>
        <v>2035</v>
      </c>
      <c r="L62" s="23" t="s">
        <v>208</v>
      </c>
      <c r="M62" s="23">
        <v>55</v>
      </c>
      <c r="N62" s="23" t="s">
        <v>56</v>
      </c>
      <c r="O62" s="23" t="s">
        <v>56</v>
      </c>
      <c r="P62" s="281">
        <v>0</v>
      </c>
      <c r="Q62" s="284">
        <f>IF(Assumptions!$D$15,$I$10*$I$11*$I$14*P62,0)</f>
        <v>0</v>
      </c>
      <c r="R62" s="229"/>
      <c r="T62" s="51">
        <f t="shared" si="3"/>
        <v>2093</v>
      </c>
      <c r="U62" s="23" t="s">
        <v>208</v>
      </c>
      <c r="V62" s="23">
        <v>55</v>
      </c>
      <c r="W62" s="23" t="s">
        <v>56</v>
      </c>
      <c r="X62" s="23" t="s">
        <v>56</v>
      </c>
      <c r="Y62" s="281">
        <v>0</v>
      </c>
      <c r="Z62" s="284">
        <f>IF(T62&lt;=Assumptions!$D$16,$I$10*$I$11*$I$14*Y62,0)</f>
        <v>0</v>
      </c>
    </row>
    <row r="63" spans="1:26" x14ac:dyDescent="0.25">
      <c r="K63" s="51">
        <f t="shared" si="2"/>
        <v>2036</v>
      </c>
      <c r="L63" s="23" t="s">
        <v>207</v>
      </c>
      <c r="M63" s="23">
        <v>56</v>
      </c>
      <c r="N63" s="23" t="s">
        <v>259</v>
      </c>
      <c r="O63" s="23" t="s">
        <v>214</v>
      </c>
      <c r="P63" s="281">
        <v>6000</v>
      </c>
      <c r="Q63" s="284">
        <f>IF(Assumptions!$D$15,$I$10*$I$11*$I$14*P63,0)</f>
        <v>444360</v>
      </c>
      <c r="R63" s="229"/>
      <c r="T63" s="51">
        <f t="shared" si="3"/>
        <v>2094</v>
      </c>
      <c r="U63" s="23" t="s">
        <v>207</v>
      </c>
      <c r="V63" s="23">
        <v>56</v>
      </c>
      <c r="W63" s="23" t="s">
        <v>56</v>
      </c>
      <c r="X63" s="23" t="s">
        <v>56</v>
      </c>
      <c r="Y63" s="281">
        <v>0</v>
      </c>
      <c r="Z63" s="284">
        <f>IF(T63&lt;=Assumptions!$D$16,$I$10*$I$11*$I$14*Y63,0)</f>
        <v>0</v>
      </c>
    </row>
    <row r="64" spans="1:26" x14ac:dyDescent="0.25">
      <c r="K64" s="51">
        <f t="shared" si="2"/>
        <v>2037</v>
      </c>
      <c r="L64" s="23" t="s">
        <v>206</v>
      </c>
      <c r="M64" s="23">
        <v>57</v>
      </c>
      <c r="N64" s="23" t="s">
        <v>56</v>
      </c>
      <c r="O64" s="23" t="s">
        <v>56</v>
      </c>
      <c r="P64" s="281">
        <v>0</v>
      </c>
      <c r="Q64" s="284">
        <f>IF(Assumptions!$D$15,$I$10*$I$11*$I$14*P64,0)</f>
        <v>0</v>
      </c>
      <c r="R64" s="229"/>
      <c r="T64" s="51">
        <f t="shared" si="3"/>
        <v>2095</v>
      </c>
      <c r="U64" s="23" t="s">
        <v>206</v>
      </c>
      <c r="V64" s="23">
        <v>57</v>
      </c>
      <c r="W64" s="23" t="s">
        <v>269</v>
      </c>
      <c r="X64" s="23" t="s">
        <v>220</v>
      </c>
      <c r="Y64" s="281">
        <v>155000</v>
      </c>
      <c r="Z64" s="284">
        <f>IF(T64&lt;=Assumptions!$D$16,$I$10*$I$11*$I$14*Y64,0)</f>
        <v>0</v>
      </c>
    </row>
    <row r="65" spans="2:26" x14ac:dyDescent="0.25">
      <c r="K65" s="51">
        <f t="shared" si="2"/>
        <v>2038</v>
      </c>
      <c r="L65" s="23" t="s">
        <v>205</v>
      </c>
      <c r="M65" s="23">
        <v>58</v>
      </c>
      <c r="N65" s="23" t="s">
        <v>56</v>
      </c>
      <c r="O65" s="23" t="s">
        <v>56</v>
      </c>
      <c r="P65" s="281">
        <v>0</v>
      </c>
      <c r="Q65" s="284">
        <f>IF(Assumptions!$D$15,$I$10*$I$11*$I$14*P65,0)</f>
        <v>0</v>
      </c>
      <c r="R65" s="229"/>
      <c r="T65" s="51">
        <f t="shared" si="3"/>
        <v>2096</v>
      </c>
      <c r="U65" s="23" t="s">
        <v>205</v>
      </c>
      <c r="V65" s="23">
        <v>58</v>
      </c>
      <c r="W65" s="23" t="s">
        <v>56</v>
      </c>
      <c r="X65" s="23" t="s">
        <v>56</v>
      </c>
      <c r="Y65" s="281">
        <v>0</v>
      </c>
      <c r="Z65" s="284">
        <f>IF(T65&lt;=Assumptions!$D$16,$I$10*$I$11*$I$14*Y65,0)</f>
        <v>0</v>
      </c>
    </row>
    <row r="66" spans="2:26" x14ac:dyDescent="0.25">
      <c r="K66" s="51">
        <f t="shared" si="2"/>
        <v>2039</v>
      </c>
      <c r="L66" s="23" t="s">
        <v>204</v>
      </c>
      <c r="M66" s="23">
        <v>59</v>
      </c>
      <c r="N66" s="23" t="s">
        <v>259</v>
      </c>
      <c r="O66" s="23" t="s">
        <v>214</v>
      </c>
      <c r="P66" s="281">
        <v>6000</v>
      </c>
      <c r="Q66" s="284">
        <f>IF(Assumptions!$D$15,$I$10*$I$11*$I$14*P66,0)</f>
        <v>444360</v>
      </c>
      <c r="R66" s="229"/>
      <c r="T66" s="51">
        <f t="shared" si="3"/>
        <v>2097</v>
      </c>
      <c r="U66" s="23" t="s">
        <v>204</v>
      </c>
      <c r="V66" s="23">
        <v>59</v>
      </c>
      <c r="W66" s="23" t="s">
        <v>56</v>
      </c>
      <c r="X66" s="23" t="s">
        <v>56</v>
      </c>
      <c r="Y66" s="281">
        <v>0</v>
      </c>
      <c r="Z66" s="284">
        <f>IF(T66&lt;=Assumptions!$D$16,$I$10*$I$11*$I$14*Y66,0)</f>
        <v>0</v>
      </c>
    </row>
    <row r="67" spans="2:26" x14ac:dyDescent="0.25">
      <c r="B67" s="33"/>
      <c r="C67" s="33"/>
      <c r="D67" s="33"/>
      <c r="E67" s="33"/>
      <c r="F67" s="33"/>
      <c r="K67" s="51">
        <f t="shared" si="2"/>
        <v>2040</v>
      </c>
      <c r="L67" s="23" t="s">
        <v>203</v>
      </c>
      <c r="M67" s="23">
        <v>60</v>
      </c>
      <c r="N67" s="23" t="s">
        <v>56</v>
      </c>
      <c r="O67" s="23" t="s">
        <v>56</v>
      </c>
      <c r="P67" s="281">
        <v>0</v>
      </c>
      <c r="Q67" s="284">
        <f>IF(Assumptions!$D$15,$I$10*$I$11*$I$14*P67,0)</f>
        <v>0</v>
      </c>
      <c r="R67" s="229"/>
      <c r="T67" s="51">
        <f t="shared" si="3"/>
        <v>2098</v>
      </c>
      <c r="U67" s="23" t="s">
        <v>203</v>
      </c>
      <c r="V67" s="23">
        <v>60</v>
      </c>
      <c r="W67" s="23" t="s">
        <v>56</v>
      </c>
      <c r="X67" s="23" t="s">
        <v>56</v>
      </c>
      <c r="Y67" s="281">
        <v>0</v>
      </c>
      <c r="Z67" s="284">
        <f>IF(T67&lt;=Assumptions!$D$16,$I$10*$I$11*$I$14*Y67,0)</f>
        <v>0</v>
      </c>
    </row>
    <row r="68" spans="2:26" x14ac:dyDescent="0.25">
      <c r="B68" s="33"/>
      <c r="C68" s="33"/>
      <c r="D68" s="33"/>
      <c r="E68" s="33"/>
      <c r="F68" s="33"/>
      <c r="K68" s="51">
        <f t="shared" si="2"/>
        <v>2041</v>
      </c>
      <c r="L68" s="23" t="s">
        <v>202</v>
      </c>
      <c r="M68" s="23">
        <v>61</v>
      </c>
      <c r="N68" s="23" t="s">
        <v>56</v>
      </c>
      <c r="O68" s="23" t="s">
        <v>56</v>
      </c>
      <c r="P68" s="281">
        <v>0</v>
      </c>
      <c r="Q68" s="284">
        <f>IF(Assumptions!$D$15,$I$10*$I$11*$I$14*P68,0)</f>
        <v>0</v>
      </c>
      <c r="R68" s="229"/>
      <c r="T68" s="51">
        <f t="shared" si="3"/>
        <v>2099</v>
      </c>
      <c r="U68" s="23" t="s">
        <v>202</v>
      </c>
      <c r="V68" s="23">
        <v>61</v>
      </c>
      <c r="W68" s="23" t="s">
        <v>259</v>
      </c>
      <c r="X68" s="23" t="s">
        <v>214</v>
      </c>
      <c r="Y68" s="281">
        <v>6000</v>
      </c>
      <c r="Z68" s="284">
        <f>IF(T68&lt;=Assumptions!$D$16,$I$10*$I$11*$I$14*Y68,0)</f>
        <v>0</v>
      </c>
    </row>
    <row r="69" spans="2:26" x14ac:dyDescent="0.25">
      <c r="B69" s="33"/>
      <c r="C69" s="33"/>
      <c r="D69" s="33"/>
      <c r="E69" s="33"/>
      <c r="F69" s="33"/>
      <c r="K69" s="51">
        <f t="shared" si="2"/>
        <v>2042</v>
      </c>
      <c r="L69" s="23" t="s">
        <v>201</v>
      </c>
      <c r="M69" s="23">
        <v>62</v>
      </c>
      <c r="N69" s="23" t="s">
        <v>259</v>
      </c>
      <c r="O69" s="23" t="s">
        <v>214</v>
      </c>
      <c r="P69" s="281">
        <v>6000</v>
      </c>
      <c r="Q69" s="284">
        <f>IF(Assumptions!$D$15,$I$10*$I$11*$I$14*P69,0)</f>
        <v>444360</v>
      </c>
      <c r="R69" s="229"/>
      <c r="T69" s="51">
        <f t="shared" si="3"/>
        <v>2100</v>
      </c>
      <c r="U69" s="23" t="s">
        <v>201</v>
      </c>
      <c r="V69" s="23">
        <v>62</v>
      </c>
      <c r="W69" s="23" t="s">
        <v>56</v>
      </c>
      <c r="X69" s="23" t="s">
        <v>56</v>
      </c>
      <c r="Y69" s="281">
        <v>0</v>
      </c>
      <c r="Z69" s="284">
        <f>IF(T69&lt;=Assumptions!$D$16,$I$10*$I$11*$I$14*Y69,0)</f>
        <v>0</v>
      </c>
    </row>
    <row r="70" spans="2:26" x14ac:dyDescent="0.25">
      <c r="K70" s="51">
        <f t="shared" si="2"/>
        <v>2043</v>
      </c>
      <c r="L70" s="23" t="s">
        <v>200</v>
      </c>
      <c r="M70" s="23">
        <v>63</v>
      </c>
      <c r="N70" s="23" t="s">
        <v>56</v>
      </c>
      <c r="O70" s="23" t="s">
        <v>56</v>
      </c>
      <c r="P70" s="281">
        <v>0</v>
      </c>
      <c r="Q70" s="284">
        <f>IF(Assumptions!$D$15,$I$10*$I$11*$I$14*P70,0)</f>
        <v>0</v>
      </c>
      <c r="R70" s="229"/>
      <c r="T70" s="51">
        <f t="shared" si="3"/>
        <v>2101</v>
      </c>
      <c r="U70" s="23" t="s">
        <v>200</v>
      </c>
      <c r="V70" s="23">
        <v>63</v>
      </c>
      <c r="W70" s="23" t="s">
        <v>211</v>
      </c>
      <c r="X70" s="23" t="s">
        <v>210</v>
      </c>
      <c r="Y70" s="281">
        <v>15000</v>
      </c>
      <c r="Z70" s="284">
        <f>IF(T70&lt;=Assumptions!$D$16,$I$10*$I$11*$I$14*Y70,0)</f>
        <v>0</v>
      </c>
    </row>
    <row r="71" spans="2:26" x14ac:dyDescent="0.25">
      <c r="K71" s="51">
        <f t="shared" si="2"/>
        <v>2044</v>
      </c>
      <c r="L71" s="23" t="s">
        <v>199</v>
      </c>
      <c r="M71" s="23">
        <v>64</v>
      </c>
      <c r="N71" s="23" t="s">
        <v>56</v>
      </c>
      <c r="O71" s="23" t="s">
        <v>56</v>
      </c>
      <c r="P71" s="281">
        <v>0</v>
      </c>
      <c r="Q71" s="284">
        <f>IF(Assumptions!$D$15,$I$10*$I$11*$I$14*P71,0)</f>
        <v>0</v>
      </c>
      <c r="R71" s="229"/>
      <c r="T71" s="51">
        <f t="shared" si="3"/>
        <v>2102</v>
      </c>
      <c r="U71" s="23" t="s">
        <v>199</v>
      </c>
      <c r="V71" s="23">
        <v>64</v>
      </c>
      <c r="W71" s="23" t="s">
        <v>56</v>
      </c>
      <c r="X71" s="23" t="s">
        <v>56</v>
      </c>
      <c r="Y71" s="281">
        <v>0</v>
      </c>
      <c r="Z71" s="284">
        <f>IF(T71&lt;=Assumptions!$D$16,$I$10*$I$11*$I$14*Y71,0)</f>
        <v>0</v>
      </c>
    </row>
    <row r="72" spans="2:26" x14ac:dyDescent="0.25">
      <c r="K72" s="51">
        <f t="shared" si="2"/>
        <v>2045</v>
      </c>
      <c r="L72" s="23" t="s">
        <v>198</v>
      </c>
      <c r="M72" s="23">
        <v>65</v>
      </c>
      <c r="N72" s="23" t="s">
        <v>259</v>
      </c>
      <c r="O72" s="23" t="s">
        <v>214</v>
      </c>
      <c r="P72" s="281">
        <v>6000</v>
      </c>
      <c r="Q72" s="284">
        <f>IF(Assumptions!$D$15,$I$10*$I$11*$I$14*P72,0)</f>
        <v>444360</v>
      </c>
      <c r="R72" s="229"/>
      <c r="T72" s="51">
        <f t="shared" si="3"/>
        <v>2103</v>
      </c>
      <c r="U72" s="23" t="s">
        <v>198</v>
      </c>
      <c r="V72" s="23">
        <v>65</v>
      </c>
      <c r="W72" s="23" t="s">
        <v>268</v>
      </c>
      <c r="X72" s="23" t="s">
        <v>220</v>
      </c>
      <c r="Y72" s="281">
        <v>155000</v>
      </c>
      <c r="Z72" s="284">
        <f>IF(T72&lt;=Assumptions!$D$16,$I$10*$I$11*$I$14*Y72,0)</f>
        <v>0</v>
      </c>
    </row>
    <row r="73" spans="2:26" x14ac:dyDescent="0.25">
      <c r="K73" s="51">
        <f t="shared" ref="K73:K77" si="4">K72+1</f>
        <v>2046</v>
      </c>
      <c r="L73" s="23" t="s">
        <v>197</v>
      </c>
      <c r="M73" s="23">
        <v>66</v>
      </c>
      <c r="N73" s="23" t="s">
        <v>56</v>
      </c>
      <c r="O73" s="23" t="s">
        <v>56</v>
      </c>
      <c r="P73" s="281">
        <v>0</v>
      </c>
      <c r="Q73" s="284">
        <f>IF(Assumptions!$D$15,$I$10*$I$11*$I$14*P73,0)</f>
        <v>0</v>
      </c>
      <c r="R73" s="229"/>
      <c r="T73" s="51">
        <f t="shared" ref="T73:T77" si="5">T72+1</f>
        <v>2104</v>
      </c>
      <c r="U73" s="23" t="s">
        <v>197</v>
      </c>
      <c r="V73" s="23">
        <v>66</v>
      </c>
      <c r="W73" s="23" t="s">
        <v>56</v>
      </c>
      <c r="X73" s="23" t="s">
        <v>56</v>
      </c>
      <c r="Y73" s="281">
        <v>0</v>
      </c>
      <c r="Z73" s="284">
        <f>IF(T73&lt;=Assumptions!$D$16,$I$10*$I$11*$I$14*Y73,0)</f>
        <v>0</v>
      </c>
    </row>
    <row r="74" spans="2:26" x14ac:dyDescent="0.25">
      <c r="K74" s="51">
        <f t="shared" si="4"/>
        <v>2047</v>
      </c>
      <c r="L74" s="23" t="s">
        <v>196</v>
      </c>
      <c r="M74" s="23">
        <v>67</v>
      </c>
      <c r="N74" s="23" t="s">
        <v>56</v>
      </c>
      <c r="O74" s="23" t="s">
        <v>56</v>
      </c>
      <c r="P74" s="281">
        <v>0</v>
      </c>
      <c r="Q74" s="284">
        <f>IF(Assumptions!$D$15,$I$10*$I$11*$I$14*P74,0)</f>
        <v>0</v>
      </c>
      <c r="R74" s="229"/>
      <c r="T74" s="51">
        <f t="shared" si="5"/>
        <v>2105</v>
      </c>
      <c r="U74" s="23" t="s">
        <v>196</v>
      </c>
      <c r="V74" s="23">
        <v>67</v>
      </c>
      <c r="W74" s="23" t="s">
        <v>56</v>
      </c>
      <c r="X74" s="23" t="s">
        <v>56</v>
      </c>
      <c r="Y74" s="281">
        <v>0</v>
      </c>
      <c r="Z74" s="284">
        <f>IF(T74&lt;=Assumptions!$D$16,$I$10*$I$11*$I$14*Y74,0)</f>
        <v>0</v>
      </c>
    </row>
    <row r="75" spans="2:26" x14ac:dyDescent="0.25">
      <c r="K75" s="51">
        <f t="shared" si="4"/>
        <v>2048</v>
      </c>
      <c r="L75" s="23" t="s">
        <v>195</v>
      </c>
      <c r="M75" s="23">
        <v>68</v>
      </c>
      <c r="N75" s="23" t="s">
        <v>259</v>
      </c>
      <c r="O75" s="23" t="s">
        <v>214</v>
      </c>
      <c r="P75" s="281">
        <v>6000</v>
      </c>
      <c r="Q75" s="284">
        <f>IF(Assumptions!$D$15,$I$10*$I$11*$I$14*P75,0)</f>
        <v>444360</v>
      </c>
      <c r="R75" s="229"/>
      <c r="T75" s="51">
        <f t="shared" si="5"/>
        <v>2106</v>
      </c>
      <c r="U75" s="23" t="s">
        <v>195</v>
      </c>
      <c r="V75" s="23">
        <v>68</v>
      </c>
      <c r="W75" s="23" t="s">
        <v>267</v>
      </c>
      <c r="X75" s="23" t="s">
        <v>214</v>
      </c>
      <c r="Y75" s="281">
        <v>6000</v>
      </c>
      <c r="Z75" s="284">
        <f>IF(T75&lt;=Assumptions!$D$16,$I$10*$I$11*$I$14*Y75,0)</f>
        <v>0</v>
      </c>
    </row>
    <row r="76" spans="2:26" x14ac:dyDescent="0.25">
      <c r="K76" s="51">
        <f t="shared" si="4"/>
        <v>2049</v>
      </c>
      <c r="L76" s="23" t="s">
        <v>194</v>
      </c>
      <c r="M76" s="23">
        <v>69</v>
      </c>
      <c r="N76" s="23" t="s">
        <v>56</v>
      </c>
      <c r="O76" s="23" t="s">
        <v>56</v>
      </c>
      <c r="P76" s="281">
        <v>0</v>
      </c>
      <c r="Q76" s="284">
        <f>IF(Assumptions!$D$15,$I$10*$I$11*$I$14*P76,0)</f>
        <v>0</v>
      </c>
      <c r="R76" s="229"/>
      <c r="T76" s="51">
        <f t="shared" si="5"/>
        <v>2107</v>
      </c>
      <c r="U76" s="23" t="s">
        <v>194</v>
      </c>
      <c r="V76" s="23">
        <v>69</v>
      </c>
      <c r="W76" s="23" t="s">
        <v>56</v>
      </c>
      <c r="X76" s="23" t="s">
        <v>56</v>
      </c>
      <c r="Y76" s="281">
        <v>0</v>
      </c>
      <c r="Z76" s="284">
        <f>IF(T76&lt;=Assumptions!$D$16,$I$10*$I$11*$I$14*Y76,0)</f>
        <v>0</v>
      </c>
    </row>
    <row r="77" spans="2:26" x14ac:dyDescent="0.25">
      <c r="K77" s="51">
        <f t="shared" si="4"/>
        <v>2050</v>
      </c>
      <c r="L77" s="23" t="s">
        <v>193</v>
      </c>
      <c r="M77" s="23">
        <v>70</v>
      </c>
      <c r="N77" s="23" t="s">
        <v>56</v>
      </c>
      <c r="O77" s="23" t="s">
        <v>56</v>
      </c>
      <c r="P77" s="281">
        <v>0</v>
      </c>
      <c r="Q77" s="284">
        <f>IF(Assumptions!$D$15,$I$10*$I$11*$I$14*P77,0)</f>
        <v>0</v>
      </c>
      <c r="R77" s="229"/>
      <c r="T77" s="51">
        <f t="shared" si="5"/>
        <v>2108</v>
      </c>
      <c r="U77" s="23" t="s">
        <v>193</v>
      </c>
      <c r="V77" s="23">
        <v>70</v>
      </c>
      <c r="W77" s="23" t="s">
        <v>56</v>
      </c>
      <c r="X77" s="23" t="s">
        <v>56</v>
      </c>
      <c r="Y77" s="281">
        <v>0</v>
      </c>
      <c r="Z77" s="284">
        <f>IF(T77&lt;=Assumptions!$D$16,$I$10*$I$11*$I$14*Y77,0)</f>
        <v>0</v>
      </c>
    </row>
    <row r="79" spans="2:26" x14ac:dyDescent="0.25">
      <c r="K79" s="283" t="s">
        <v>606</v>
      </c>
      <c r="L79" s="289" t="s">
        <v>270</v>
      </c>
      <c r="T79" s="283" t="s">
        <v>606</v>
      </c>
      <c r="U79" s="248" t="s">
        <v>270</v>
      </c>
    </row>
    <row r="80" spans="2:26" x14ac:dyDescent="0.25">
      <c r="K80" s="199"/>
      <c r="T80" s="199"/>
    </row>
  </sheetData>
  <mergeCells count="6">
    <mergeCell ref="B45:F47"/>
    <mergeCell ref="B3:B4"/>
    <mergeCell ref="C3:C4"/>
    <mergeCell ref="D3:D4"/>
    <mergeCell ref="E3:E4"/>
    <mergeCell ref="F3:F4"/>
  </mergeCells>
  <hyperlinks>
    <hyperlink ref="L79" r:id="rId1" xr:uid="{179887B3-6666-446B-AAA6-C5C5F328B49A}"/>
    <hyperlink ref="U79" r:id="rId2" xr:uid="{2D3B1D5E-B1EB-4A49-898E-DC0C14F5DDD0}"/>
  </hyperlinks>
  <pageMargins left="0.25" right="0.25" top="0.75" bottom="0.75" header="0.3" footer="0.3"/>
  <pageSetup paperSize="3" scale="30" orientation="landscap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FBA9D-146C-4272-87CA-46CDD4F1D606}">
  <sheetPr>
    <tabColor theme="6" tint="0.79998168889431442"/>
    <pageSetUpPr fitToPage="1"/>
  </sheetPr>
  <dimension ref="A1:AB76"/>
  <sheetViews>
    <sheetView view="pageBreakPreview" zoomScale="70" zoomScaleNormal="85" zoomScaleSheetLayoutView="70" zoomScalePageLayoutView="55" workbookViewId="0">
      <selection activeCell="O35" sqref="O35"/>
    </sheetView>
  </sheetViews>
  <sheetFormatPr defaultRowHeight="15" x14ac:dyDescent="0.25"/>
  <cols>
    <col min="1" max="1" width="3.7109375" customWidth="1"/>
    <col min="2" max="8" width="20.7109375" customWidth="1"/>
    <col min="9" max="9" width="5.7109375" customWidth="1"/>
    <col min="10" max="10" width="3" customWidth="1"/>
    <col min="11" max="11" width="39.140625" customWidth="1"/>
    <col min="12" max="12" width="29.28515625" bestFit="1" customWidth="1"/>
    <col min="13" max="13" width="39.140625" customWidth="1"/>
    <col min="14" max="14" width="6.85546875" bestFit="1" customWidth="1"/>
    <col min="15" max="16" width="14.7109375" bestFit="1" customWidth="1"/>
    <col min="17" max="17" width="14.7109375" customWidth="1"/>
    <col min="18" max="18" width="14.42578125" bestFit="1" customWidth="1"/>
    <col min="19" max="19" width="14.7109375" bestFit="1" customWidth="1"/>
    <col min="20" max="20" width="16" bestFit="1" customWidth="1"/>
    <col min="21" max="21" width="16" customWidth="1"/>
    <col min="22" max="22" width="18" bestFit="1" customWidth="1"/>
    <col min="23" max="24" width="23.28515625" customWidth="1"/>
    <col min="25" max="25" width="23" customWidth="1"/>
    <col min="26" max="28" width="23.28515625" customWidth="1"/>
    <col min="29" max="29" width="29.28515625" bestFit="1" customWidth="1"/>
    <col min="30" max="30" width="23.28515625" customWidth="1"/>
    <col min="31" max="32" width="29.28515625" bestFit="1" customWidth="1"/>
    <col min="33" max="35" width="10.7109375" customWidth="1"/>
  </cols>
  <sheetData>
    <row r="1" spans="2:28" ht="14.25" customHeight="1" x14ac:dyDescent="0.25">
      <c r="B1" s="39"/>
      <c r="C1" s="39"/>
      <c r="D1" s="39"/>
      <c r="E1" s="39"/>
      <c r="F1" s="39"/>
      <c r="G1" s="39"/>
      <c r="H1" s="39"/>
    </row>
    <row r="2" spans="2:28" x14ac:dyDescent="0.25">
      <c r="B2" s="1" t="s">
        <v>618</v>
      </c>
      <c r="C2" s="1"/>
    </row>
    <row r="3" spans="2:28" ht="15.75" thickBot="1" x14ac:dyDescent="0.3">
      <c r="K3" s="14"/>
    </row>
    <row r="4" spans="2:28" ht="35.1" customHeight="1" x14ac:dyDescent="0.25">
      <c r="B4" s="333" t="s">
        <v>0</v>
      </c>
      <c r="C4" s="347" t="s">
        <v>63</v>
      </c>
      <c r="D4" s="349" t="s">
        <v>65</v>
      </c>
      <c r="E4" s="347" t="s">
        <v>64</v>
      </c>
      <c r="F4" s="349" t="s">
        <v>66</v>
      </c>
      <c r="G4" s="351" t="s">
        <v>67</v>
      </c>
      <c r="H4" s="331" t="s">
        <v>1</v>
      </c>
      <c r="K4" s="43"/>
    </row>
    <row r="5" spans="2:28" ht="43.5" customHeight="1" thickBot="1" x14ac:dyDescent="0.3">
      <c r="B5" s="334"/>
      <c r="C5" s="348"/>
      <c r="D5" s="350"/>
      <c r="E5" s="348"/>
      <c r="F5" s="350"/>
      <c r="G5" s="352"/>
      <c r="H5" s="332"/>
      <c r="K5" s="314" t="s">
        <v>179</v>
      </c>
      <c r="L5" s="314"/>
      <c r="M5" s="25"/>
      <c r="N5" s="1" t="s">
        <v>623</v>
      </c>
      <c r="O5" s="1"/>
      <c r="AA5" s="1"/>
      <c r="AB5" s="1"/>
    </row>
    <row r="6" spans="2:28" ht="15" customHeight="1" thickBot="1" x14ac:dyDescent="0.3">
      <c r="B6" s="63">
        <f>Assumptions!$D$15</f>
        <v>2038</v>
      </c>
      <c r="C6" s="109">
        <f t="shared" ref="C6:C41" si="0">IFERROR(_xlfn.XLOOKUP($B6,$N$8:$N$43,$Q$8:$Q$43,0,0,1),0)</f>
        <v>13315031.948870763</v>
      </c>
      <c r="D6" s="110">
        <f t="shared" ref="D6:D41" si="1">IFERROR(_xlfn.XLOOKUP($B6,$N$8:$N$43,$R$8:$R$43,0,0,1),0)</f>
        <v>1304267.1676454628</v>
      </c>
      <c r="E6" s="109">
        <f t="shared" ref="E6:E41" si="2">IFERROR(_xlfn.XLOOKUP($B6,$N$8:$N$43,$U$8:$U$43,0,0,1),0)</f>
        <v>0</v>
      </c>
      <c r="F6" s="110">
        <f t="shared" ref="F6:F41" si="3">IFERROR(_xlfn.XLOOKUP($B6,$N$8:$N$43,$V$8:$V$43,0,0,1),0)</f>
        <v>0</v>
      </c>
      <c r="G6" s="111">
        <f t="shared" ref="G6:G41" si="4">D6-F6</f>
        <v>1304267.1676454628</v>
      </c>
      <c r="H6" s="112">
        <f>G6*(1+0.07)^-(B6-Assumptions!$D$12)</f>
        <v>412897.58359971381</v>
      </c>
      <c r="K6" s="24" t="s">
        <v>47</v>
      </c>
      <c r="L6" s="168">
        <f>'Operating Cost-Roughness'!$S$12</f>
        <v>8.4375000000000006E-2</v>
      </c>
      <c r="O6" s="344" t="s">
        <v>33</v>
      </c>
      <c r="P6" s="345"/>
      <c r="Q6" s="345"/>
      <c r="R6" s="346"/>
      <c r="S6" s="344" t="s">
        <v>13</v>
      </c>
      <c r="T6" s="345"/>
      <c r="U6" s="345"/>
      <c r="V6" s="346"/>
      <c r="W6" s="344" t="s">
        <v>72</v>
      </c>
      <c r="X6" s="345"/>
      <c r="Y6" s="345"/>
      <c r="Z6" s="346"/>
      <c r="AA6" s="1"/>
      <c r="AB6" s="1"/>
    </row>
    <row r="7" spans="2:28" ht="15.75" thickBot="1" x14ac:dyDescent="0.3">
      <c r="B7" s="67">
        <f>B6+1</f>
        <v>2039</v>
      </c>
      <c r="C7" s="113">
        <f t="shared" si="0"/>
        <v>13577096.56775409</v>
      </c>
      <c r="D7" s="110">
        <f t="shared" si="1"/>
        <v>1329937.5738092293</v>
      </c>
      <c r="E7" s="113">
        <f t="shared" si="2"/>
        <v>0</v>
      </c>
      <c r="F7" s="114">
        <f t="shared" si="3"/>
        <v>0</v>
      </c>
      <c r="G7" s="115">
        <f t="shared" si="4"/>
        <v>1329937.5738092293</v>
      </c>
      <c r="H7" s="116">
        <f>G7*(1+0.07)^-(B7-Assumptions!$D$12)</f>
        <v>393480.53905044321</v>
      </c>
      <c r="K7" s="24" t="s">
        <v>45</v>
      </c>
      <c r="L7" s="168">
        <f>'Operating Cost-Roughness'!$S$13</f>
        <v>0.11749999999999999</v>
      </c>
      <c r="N7" s="55" t="s">
        <v>30</v>
      </c>
      <c r="O7" s="56" t="s">
        <v>68</v>
      </c>
      <c r="P7" s="54" t="s">
        <v>69</v>
      </c>
      <c r="Q7" s="53" t="s">
        <v>77</v>
      </c>
      <c r="R7" s="57" t="s">
        <v>78</v>
      </c>
      <c r="S7" s="56" t="s">
        <v>68</v>
      </c>
      <c r="T7" s="54" t="s">
        <v>69</v>
      </c>
      <c r="U7" s="53" t="s">
        <v>77</v>
      </c>
      <c r="V7" s="57" t="s">
        <v>78</v>
      </c>
      <c r="W7" s="56" t="s">
        <v>70</v>
      </c>
      <c r="X7" s="54" t="s">
        <v>71</v>
      </c>
      <c r="Y7" s="53" t="s">
        <v>76</v>
      </c>
      <c r="Z7" s="57" t="s">
        <v>79</v>
      </c>
      <c r="AA7" s="1"/>
      <c r="AB7" s="1"/>
    </row>
    <row r="8" spans="2:28" x14ac:dyDescent="0.25">
      <c r="B8" s="67">
        <f t="shared" ref="B8:B41" si="5">B7+1</f>
        <v>2040</v>
      </c>
      <c r="C8" s="113">
        <f t="shared" si="0"/>
        <v>13839161.186637416</v>
      </c>
      <c r="D8" s="110">
        <f t="shared" si="1"/>
        <v>1355607.9799729961</v>
      </c>
      <c r="E8" s="113">
        <f t="shared" si="2"/>
        <v>0</v>
      </c>
      <c r="F8" s="114">
        <f t="shared" si="3"/>
        <v>0</v>
      </c>
      <c r="G8" s="115">
        <f t="shared" si="4"/>
        <v>1355607.9799729961</v>
      </c>
      <c r="H8" s="116">
        <f>G8*(1+0.07)^-(B8-Assumptions!$D$12)</f>
        <v>374836.90275852464</v>
      </c>
      <c r="J8" s="15"/>
      <c r="N8" s="47">
        <v>2025</v>
      </c>
      <c r="O8" s="172">
        <f>IF(N8&lt;=Assumptions!$D$16,TREND(VOC_Roughness!$L$27:$L$28,VOC_Roughness!$K$27:$K$28,VOC_Roughness!N8),0)</f>
        <v>8509966.8197968602</v>
      </c>
      <c r="P8" s="173">
        <f>IF(N8&lt;=Assumptions!$D$16,TREND(VOC_Roughness!$L$32:$L$33,VOC_Roughness!$K$32:$K$33,VOC_Roughness!N8),0)</f>
        <v>1398225.0835908353</v>
      </c>
      <c r="Q8" s="174">
        <f>SUM(O8:P8)</f>
        <v>9908191.9033876956</v>
      </c>
      <c r="R8" s="175">
        <f>($L$6*O8*$L$10)+($L$7*P8*$L$10)</f>
        <v>970551.8875165116</v>
      </c>
      <c r="S8" s="172">
        <v>0</v>
      </c>
      <c r="T8" s="173">
        <v>0</v>
      </c>
      <c r="U8" s="174">
        <v>0</v>
      </c>
      <c r="V8" s="175">
        <v>0</v>
      </c>
      <c r="W8" s="172">
        <f t="shared" ref="W8:X23" si="6">O8-S8</f>
        <v>8509966.8197968602</v>
      </c>
      <c r="X8" s="173">
        <f t="shared" si="6"/>
        <v>1398225.0835908353</v>
      </c>
      <c r="Y8" s="174">
        <f>SUM(W8:X8)</f>
        <v>9908191.9033876956</v>
      </c>
      <c r="Z8" s="175">
        <f>R8-V8</f>
        <v>970551.8875165116</v>
      </c>
      <c r="AA8" s="1"/>
      <c r="AB8" s="1"/>
    </row>
    <row r="9" spans="2:28" ht="15" customHeight="1" x14ac:dyDescent="0.25">
      <c r="B9" s="67">
        <f t="shared" si="5"/>
        <v>2041</v>
      </c>
      <c r="C9" s="113">
        <f t="shared" si="0"/>
        <v>14101225.805520743</v>
      </c>
      <c r="D9" s="110">
        <f t="shared" si="1"/>
        <v>1381278.386136763</v>
      </c>
      <c r="E9" s="113">
        <f t="shared" si="2"/>
        <v>0</v>
      </c>
      <c r="F9" s="114">
        <f t="shared" si="3"/>
        <v>0</v>
      </c>
      <c r="G9" s="115">
        <f t="shared" si="4"/>
        <v>1381278.386136763</v>
      </c>
      <c r="H9" s="116">
        <f>G9*(1+0.07)^-(B9-Assumptions!$D$12)</f>
        <v>356948.58315381221</v>
      </c>
      <c r="K9" s="18" t="s">
        <v>178</v>
      </c>
      <c r="L9" s="18"/>
      <c r="N9" s="45">
        <v>2026</v>
      </c>
      <c r="O9" s="176">
        <f>IF(N9&lt;=Assumptions!$D$16,TREND(VOC_Roughness!$L$27:$L$28,VOC_Roughness!$K$27:$K$28,VOC_Roughness!N9),0)</f>
        <v>8735049.3810840845</v>
      </c>
      <c r="P9" s="177">
        <f>IF(N9&lt;=Assumptions!$D$16,TREND(VOC_Roughness!$L$32:$L$33,VOC_Roughness!$K$32:$K$33,VOC_Roughness!N9),0)</f>
        <v>1435207.1411869377</v>
      </c>
      <c r="Q9" s="178">
        <f t="shared" ref="Q9:Q43" si="7">SUM(O9:P9)</f>
        <v>10170256.522271022</v>
      </c>
      <c r="R9" s="179">
        <f t="shared" ref="R9:R43" si="8">($L$6*O9*$L$10)+($L$7*P9*$L$10)</f>
        <v>996222.29368027835</v>
      </c>
      <c r="S9" s="176">
        <v>0</v>
      </c>
      <c r="T9" s="177">
        <v>0</v>
      </c>
      <c r="U9" s="178">
        <v>0</v>
      </c>
      <c r="V9" s="179">
        <v>0</v>
      </c>
      <c r="W9" s="176">
        <f t="shared" si="6"/>
        <v>8735049.3810840845</v>
      </c>
      <c r="X9" s="177">
        <f t="shared" si="6"/>
        <v>1435207.1411869377</v>
      </c>
      <c r="Y9" s="178">
        <f t="shared" ref="Y9:Y43" si="9">SUM(W9:X9)</f>
        <v>10170256.522271022</v>
      </c>
      <c r="Z9" s="179">
        <f t="shared" ref="Z9:Z43" si="10">R9-V9</f>
        <v>996222.29368027835</v>
      </c>
      <c r="AA9" s="1"/>
      <c r="AB9" s="1"/>
    </row>
    <row r="10" spans="2:28" x14ac:dyDescent="0.25">
      <c r="B10" s="67">
        <f t="shared" si="5"/>
        <v>2042</v>
      </c>
      <c r="C10" s="113">
        <f t="shared" si="0"/>
        <v>14363290.42440401</v>
      </c>
      <c r="D10" s="110">
        <f t="shared" si="1"/>
        <v>1406948.792300524</v>
      </c>
      <c r="E10" s="113">
        <f t="shared" si="2"/>
        <v>0</v>
      </c>
      <c r="F10" s="114">
        <f t="shared" si="3"/>
        <v>0</v>
      </c>
      <c r="G10" s="115">
        <f t="shared" si="4"/>
        <v>1406948.792300524</v>
      </c>
      <c r="H10" s="116">
        <f>G10*(1+0.07)^-(B10-Assumptions!$D$12)</f>
        <v>339796.54571633483</v>
      </c>
      <c r="K10" s="24" t="s">
        <v>177</v>
      </c>
      <c r="L10" s="170">
        <v>1.1000000000000001</v>
      </c>
      <c r="N10" s="45">
        <v>2027</v>
      </c>
      <c r="O10" s="176">
        <f>IF(N10&lt;=Assumptions!$D$16,TREND(VOC_Roughness!$L$27:$L$28,VOC_Roughness!$K$27:$K$28,VOC_Roughness!N10),0)</f>
        <v>8960131.9423713088</v>
      </c>
      <c r="P10" s="177">
        <f>IF(N10&lt;=Assumptions!$D$16,TREND(VOC_Roughness!$L$32:$L$33,VOC_Roughness!$K$32:$K$33,VOC_Roughness!N10),0)</f>
        <v>1472189.19878304</v>
      </c>
      <c r="Q10" s="178">
        <f t="shared" si="7"/>
        <v>10432321.141154349</v>
      </c>
      <c r="R10" s="179">
        <f t="shared" si="8"/>
        <v>1021892.6998440452</v>
      </c>
      <c r="S10" s="176">
        <v>0</v>
      </c>
      <c r="T10" s="177">
        <v>0</v>
      </c>
      <c r="U10" s="178">
        <v>0</v>
      </c>
      <c r="V10" s="179">
        <v>0</v>
      </c>
      <c r="W10" s="176">
        <f t="shared" si="6"/>
        <v>8960131.9423713088</v>
      </c>
      <c r="X10" s="177">
        <f t="shared" si="6"/>
        <v>1472189.19878304</v>
      </c>
      <c r="Y10" s="178">
        <f t="shared" si="9"/>
        <v>10432321.141154349</v>
      </c>
      <c r="Z10" s="179">
        <f t="shared" si="10"/>
        <v>1021892.6998440452</v>
      </c>
      <c r="AA10" s="1"/>
      <c r="AB10" s="1"/>
    </row>
    <row r="11" spans="2:28" x14ac:dyDescent="0.25">
      <c r="B11" s="67">
        <f t="shared" si="5"/>
        <v>2043</v>
      </c>
      <c r="C11" s="113">
        <f t="shared" si="0"/>
        <v>14625355.043287337</v>
      </c>
      <c r="D11" s="110">
        <f t="shared" si="1"/>
        <v>1432619.1984642907</v>
      </c>
      <c r="E11" s="113">
        <f t="shared" si="2"/>
        <v>0</v>
      </c>
      <c r="F11" s="114">
        <f t="shared" si="3"/>
        <v>0</v>
      </c>
      <c r="G11" s="115">
        <f t="shared" si="4"/>
        <v>1432619.1984642907</v>
      </c>
      <c r="H11" s="116">
        <f>G11*(1+0.07)^-(B11-Assumptions!$D$12)</f>
        <v>323361.01378211711</v>
      </c>
      <c r="K11" s="14"/>
      <c r="N11" s="45">
        <v>2028</v>
      </c>
      <c r="O11" s="176">
        <f>IF(N11&lt;=Assumptions!$D$16,TREND(VOC_Roughness!$L$27:$L$28,VOC_Roughness!$K$27:$K$28,VOC_Roughness!N11),0)</f>
        <v>9185214.5036585331</v>
      </c>
      <c r="P11" s="177">
        <f>IF(N11&lt;=Assumptions!$D$16,TREND(VOC_Roughness!$L$32:$L$33,VOC_Roughness!$K$32:$K$33,VOC_Roughness!N11),0)</f>
        <v>1509171.2563791424</v>
      </c>
      <c r="Q11" s="178">
        <f t="shared" si="7"/>
        <v>10694385.760037675</v>
      </c>
      <c r="R11" s="179">
        <f t="shared" si="8"/>
        <v>1047563.1060078118</v>
      </c>
      <c r="S11" s="176">
        <v>0</v>
      </c>
      <c r="T11" s="177">
        <v>0</v>
      </c>
      <c r="U11" s="178">
        <v>0</v>
      </c>
      <c r="V11" s="179">
        <v>0</v>
      </c>
      <c r="W11" s="176">
        <f t="shared" si="6"/>
        <v>9185214.5036585331</v>
      </c>
      <c r="X11" s="177">
        <f t="shared" si="6"/>
        <v>1509171.2563791424</v>
      </c>
      <c r="Y11" s="178">
        <f t="shared" si="9"/>
        <v>10694385.760037675</v>
      </c>
      <c r="Z11" s="179">
        <f t="shared" si="10"/>
        <v>1047563.1060078118</v>
      </c>
      <c r="AA11" s="1"/>
      <c r="AB11" s="1"/>
    </row>
    <row r="12" spans="2:28" x14ac:dyDescent="0.25">
      <c r="B12" s="67">
        <f t="shared" si="5"/>
        <v>2044</v>
      </c>
      <c r="C12" s="113">
        <f t="shared" si="0"/>
        <v>14887419.662170663</v>
      </c>
      <c r="D12" s="110">
        <f t="shared" si="1"/>
        <v>1458289.6046280577</v>
      </c>
      <c r="E12" s="113">
        <f t="shared" si="2"/>
        <v>0</v>
      </c>
      <c r="F12" s="114">
        <f t="shared" si="3"/>
        <v>0</v>
      </c>
      <c r="G12" s="115">
        <f t="shared" si="4"/>
        <v>1458289.6046280577</v>
      </c>
      <c r="H12" s="116">
        <f>G12*(1+0.07)^-(B12-Assumptions!$D$12)</f>
        <v>307621.64711101039</v>
      </c>
      <c r="K12" s="18" t="s">
        <v>176</v>
      </c>
      <c r="L12" s="18"/>
      <c r="N12" s="45">
        <v>2029</v>
      </c>
      <c r="O12" s="176">
        <f>IF(N12&lt;=Assumptions!$D$16,TREND(VOC_Roughness!$L$27:$L$28,VOC_Roughness!$K$27:$K$28,VOC_Roughness!N12),0)</f>
        <v>9410297.0649456978</v>
      </c>
      <c r="P12" s="177">
        <f>IF(N12&lt;=Assumptions!$D$16,TREND(VOC_Roughness!$L$32:$L$33,VOC_Roughness!$K$32:$K$33,VOC_Roughness!N12),0)</f>
        <v>1546153.3139752448</v>
      </c>
      <c r="Q12" s="178">
        <f t="shared" si="7"/>
        <v>10956450.378920943</v>
      </c>
      <c r="R12" s="179">
        <f t="shared" si="8"/>
        <v>1073233.512171573</v>
      </c>
      <c r="S12" s="176">
        <v>0</v>
      </c>
      <c r="T12" s="177">
        <v>0</v>
      </c>
      <c r="U12" s="178">
        <v>0</v>
      </c>
      <c r="V12" s="179">
        <v>0</v>
      </c>
      <c r="W12" s="176">
        <f t="shared" si="6"/>
        <v>9410297.0649456978</v>
      </c>
      <c r="X12" s="177">
        <f t="shared" si="6"/>
        <v>1546153.3139752448</v>
      </c>
      <c r="Y12" s="178">
        <f t="shared" si="9"/>
        <v>10956450.378920943</v>
      </c>
      <c r="Z12" s="179">
        <f t="shared" si="10"/>
        <v>1073233.512171573</v>
      </c>
      <c r="AA12" s="1"/>
      <c r="AB12" s="1"/>
    </row>
    <row r="13" spans="2:28" ht="15" customHeight="1" x14ac:dyDescent="0.25">
      <c r="B13" s="67">
        <f t="shared" si="5"/>
        <v>2045</v>
      </c>
      <c r="C13" s="113">
        <f t="shared" si="0"/>
        <v>15149484.28105399</v>
      </c>
      <c r="D13" s="110">
        <f t="shared" si="1"/>
        <v>1483960.0107918242</v>
      </c>
      <c r="E13" s="113">
        <f t="shared" si="2"/>
        <v>0</v>
      </c>
      <c r="F13" s="114">
        <f t="shared" si="3"/>
        <v>0</v>
      </c>
      <c r="G13" s="115">
        <f t="shared" si="4"/>
        <v>1483960.0107918242</v>
      </c>
      <c r="H13" s="116">
        <f>G13*(1+0.07)^-(B13-Assumptions!$D$12)</f>
        <v>292557.70026678755</v>
      </c>
      <c r="K13" s="24" t="s">
        <v>48</v>
      </c>
      <c r="L13" s="169">
        <f>Assumptions!$D$21</f>
        <v>0.85888191334760455</v>
      </c>
      <c r="N13" s="45">
        <v>2030</v>
      </c>
      <c r="O13" s="176">
        <f>IF(N13&lt;=Assumptions!$D$16,TREND(VOC_Roughness!$L$27:$L$28,VOC_Roughness!$K$27:$K$28,VOC_Roughness!N13),0)</f>
        <v>9635379.6262329221</v>
      </c>
      <c r="P13" s="177">
        <f>IF(N13&lt;=Assumptions!$D$16,TREND(VOC_Roughness!$L$32:$L$33,VOC_Roughness!$K$32:$K$33,VOC_Roughness!N13),0)</f>
        <v>1583135.3715713471</v>
      </c>
      <c r="Q13" s="178">
        <f t="shared" si="7"/>
        <v>11218514.997804269</v>
      </c>
      <c r="R13" s="179">
        <f t="shared" si="8"/>
        <v>1098903.9183353398</v>
      </c>
      <c r="S13" s="176">
        <v>0</v>
      </c>
      <c r="T13" s="177">
        <v>0</v>
      </c>
      <c r="U13" s="178">
        <v>0</v>
      </c>
      <c r="V13" s="179">
        <v>0</v>
      </c>
      <c r="W13" s="176">
        <f t="shared" si="6"/>
        <v>9635379.6262329221</v>
      </c>
      <c r="X13" s="177">
        <f t="shared" si="6"/>
        <v>1583135.3715713471</v>
      </c>
      <c r="Y13" s="178">
        <f t="shared" si="9"/>
        <v>11218514.997804269</v>
      </c>
      <c r="Z13" s="179">
        <f t="shared" si="10"/>
        <v>1098903.9183353398</v>
      </c>
      <c r="AA13" s="1"/>
      <c r="AB13" s="1"/>
    </row>
    <row r="14" spans="2:28" x14ac:dyDescent="0.25">
      <c r="B14" s="67">
        <f t="shared" si="5"/>
        <v>2046</v>
      </c>
      <c r="C14" s="113">
        <f t="shared" si="0"/>
        <v>15411548.899937257</v>
      </c>
      <c r="D14" s="110">
        <f t="shared" si="1"/>
        <v>1509630.4169555856</v>
      </c>
      <c r="E14" s="113">
        <f t="shared" si="2"/>
        <v>0</v>
      </c>
      <c r="F14" s="114">
        <f t="shared" si="3"/>
        <v>0</v>
      </c>
      <c r="G14" s="115">
        <f t="shared" si="4"/>
        <v>1509630.4169555856</v>
      </c>
      <c r="H14" s="116">
        <f>G14*(1+0.07)^-(B14-Assumptions!$D$12)</f>
        <v>278148.16268662224</v>
      </c>
      <c r="K14" s="24" t="s">
        <v>46</v>
      </c>
      <c r="L14" s="169">
        <f>Assumptions!$D$20</f>
        <v>0.14111808665239542</v>
      </c>
      <c r="N14" s="45">
        <v>2031</v>
      </c>
      <c r="O14" s="176">
        <f>IF(N14&lt;=Assumptions!$D$16,TREND(VOC_Roughness!$L$27:$L$28,VOC_Roughness!$K$27:$K$28,VOC_Roughness!N14),0)</f>
        <v>9860462.1875201464</v>
      </c>
      <c r="P14" s="177">
        <f>IF(N14&lt;=Assumptions!$D$16,TREND(VOC_Roughness!$L$32:$L$33,VOC_Roughness!$K$32:$K$33,VOC_Roughness!N14),0)</f>
        <v>1620117.4291674495</v>
      </c>
      <c r="Q14" s="178">
        <f t="shared" si="7"/>
        <v>11480579.616687596</v>
      </c>
      <c r="R14" s="179">
        <f t="shared" si="8"/>
        <v>1124574.3244991065</v>
      </c>
      <c r="S14" s="176">
        <v>0</v>
      </c>
      <c r="T14" s="177">
        <v>0</v>
      </c>
      <c r="U14" s="178">
        <v>0</v>
      </c>
      <c r="V14" s="179">
        <v>0</v>
      </c>
      <c r="W14" s="176">
        <f t="shared" si="6"/>
        <v>9860462.1875201464</v>
      </c>
      <c r="X14" s="177">
        <f t="shared" si="6"/>
        <v>1620117.4291674495</v>
      </c>
      <c r="Y14" s="178">
        <f t="shared" si="9"/>
        <v>11480579.616687596</v>
      </c>
      <c r="Z14" s="179">
        <f t="shared" si="10"/>
        <v>1124574.3244991065</v>
      </c>
      <c r="AA14" s="1"/>
      <c r="AB14" s="1"/>
    </row>
    <row r="15" spans="2:28" x14ac:dyDescent="0.25">
      <c r="B15" s="67">
        <f t="shared" si="5"/>
        <v>2047</v>
      </c>
      <c r="C15" s="113">
        <f t="shared" si="0"/>
        <v>15673613.518820584</v>
      </c>
      <c r="D15" s="110">
        <f t="shared" si="1"/>
        <v>1535300.8231193523</v>
      </c>
      <c r="E15" s="113">
        <f t="shared" si="2"/>
        <v>0</v>
      </c>
      <c r="F15" s="114">
        <f t="shared" si="3"/>
        <v>0</v>
      </c>
      <c r="G15" s="115">
        <f t="shared" si="4"/>
        <v>1535300.8231193523</v>
      </c>
      <c r="H15" s="116">
        <f>G15*(1+0.07)^-(B15-Assumptions!$D$12)</f>
        <v>264371.88215790479</v>
      </c>
      <c r="N15" s="45">
        <v>2032</v>
      </c>
      <c r="O15" s="176">
        <f>IF(N15&lt;=Assumptions!$D$16,TREND(VOC_Roughness!$L$27:$L$28,VOC_Roughness!$K$27:$K$28,VOC_Roughness!N15),0)</f>
        <v>10085544.748807371</v>
      </c>
      <c r="P15" s="177">
        <f>IF(N15&lt;=Assumptions!$D$16,TREND(VOC_Roughness!$L$32:$L$33,VOC_Roughness!$K$32:$K$33,VOC_Roughness!N15),0)</f>
        <v>1657099.4867635518</v>
      </c>
      <c r="Q15" s="178">
        <f t="shared" si="7"/>
        <v>11742644.235570922</v>
      </c>
      <c r="R15" s="179">
        <f t="shared" si="8"/>
        <v>1150244.7306628732</v>
      </c>
      <c r="S15" s="176">
        <v>0</v>
      </c>
      <c r="T15" s="177">
        <v>0</v>
      </c>
      <c r="U15" s="178">
        <v>0</v>
      </c>
      <c r="V15" s="179">
        <v>0</v>
      </c>
      <c r="W15" s="176">
        <f t="shared" si="6"/>
        <v>10085544.748807371</v>
      </c>
      <c r="X15" s="177">
        <f t="shared" si="6"/>
        <v>1657099.4867635518</v>
      </c>
      <c r="Y15" s="178">
        <f t="shared" si="9"/>
        <v>11742644.235570922</v>
      </c>
      <c r="Z15" s="179">
        <f t="shared" si="10"/>
        <v>1150244.7306628732</v>
      </c>
      <c r="AA15" s="1"/>
      <c r="AB15" s="1"/>
    </row>
    <row r="16" spans="2:28" x14ac:dyDescent="0.25">
      <c r="B16" s="67">
        <f t="shared" si="5"/>
        <v>2048</v>
      </c>
      <c r="C16" s="113">
        <f t="shared" si="0"/>
        <v>15935678.13770391</v>
      </c>
      <c r="D16" s="110">
        <f t="shared" si="1"/>
        <v>1560971.2292831191</v>
      </c>
      <c r="E16" s="113">
        <f t="shared" si="2"/>
        <v>0</v>
      </c>
      <c r="F16" s="114">
        <f t="shared" si="3"/>
        <v>0</v>
      </c>
      <c r="G16" s="115">
        <f t="shared" si="4"/>
        <v>1560971.2292831191</v>
      </c>
      <c r="H16" s="116">
        <f>G16*(1+0.07)^-(B16-Assumptions!$D$12)</f>
        <v>251207.67327390506</v>
      </c>
      <c r="K16" s="1" t="s">
        <v>118</v>
      </c>
      <c r="L16" s="145"/>
      <c r="N16" s="45">
        <v>2033</v>
      </c>
      <c r="O16" s="176">
        <f>IF(N16&lt;=Assumptions!$D$16,TREND(VOC_Roughness!$L$27:$L$28,VOC_Roughness!$K$27:$K$28,VOC_Roughness!N16),0)</f>
        <v>10310627.310094595</v>
      </c>
      <c r="P16" s="177">
        <f>IF(N16&lt;=Assumptions!$D$16,TREND(VOC_Roughness!$L$32:$L$33,VOC_Roughness!$K$32:$K$33,VOC_Roughness!N16),0)</f>
        <v>1694081.5443596542</v>
      </c>
      <c r="Q16" s="178">
        <f t="shared" si="7"/>
        <v>12004708.854454249</v>
      </c>
      <c r="R16" s="179">
        <f t="shared" si="8"/>
        <v>1175915.13682664</v>
      </c>
      <c r="S16" s="176">
        <v>0</v>
      </c>
      <c r="T16" s="177">
        <v>0</v>
      </c>
      <c r="U16" s="178">
        <v>0</v>
      </c>
      <c r="V16" s="179">
        <v>0</v>
      </c>
      <c r="W16" s="176">
        <f t="shared" si="6"/>
        <v>10310627.310094595</v>
      </c>
      <c r="X16" s="177">
        <f t="shared" si="6"/>
        <v>1694081.5443596542</v>
      </c>
      <c r="Y16" s="178">
        <f t="shared" si="9"/>
        <v>12004708.854454249</v>
      </c>
      <c r="Z16" s="179">
        <f t="shared" si="10"/>
        <v>1175915.13682664</v>
      </c>
      <c r="AA16" s="1"/>
      <c r="AB16" s="1"/>
    </row>
    <row r="17" spans="1:28" x14ac:dyDescent="0.25">
      <c r="B17" s="67">
        <f t="shared" si="5"/>
        <v>2049</v>
      </c>
      <c r="C17" s="113">
        <f t="shared" si="0"/>
        <v>16197742.756587237</v>
      </c>
      <c r="D17" s="110">
        <f t="shared" si="1"/>
        <v>1586641.6354468856</v>
      </c>
      <c r="E17" s="113">
        <f t="shared" si="2"/>
        <v>0</v>
      </c>
      <c r="F17" s="114">
        <f t="shared" si="3"/>
        <v>0</v>
      </c>
      <c r="G17" s="115">
        <f t="shared" si="4"/>
        <v>1586641.6354468856</v>
      </c>
      <c r="H17" s="116">
        <f>G17*(1+0.07)^-(B17-Assumptions!$D$12)</f>
        <v>238634.41230522501</v>
      </c>
      <c r="K17" s="23">
        <f>Assumptions!$C$31</f>
        <v>2021</v>
      </c>
      <c r="L17" s="167">
        <f>Assumptions!$D$31</f>
        <v>753.84441656210788</v>
      </c>
      <c r="M17" s="257"/>
      <c r="N17" s="45">
        <v>2034</v>
      </c>
      <c r="O17" s="176">
        <f>IF(N17&lt;=Assumptions!$D$16,TREND(VOC_Roughness!$L$27:$L$28,VOC_Roughness!$K$27:$K$28,VOC_Roughness!N17),0)</f>
        <v>10535709.87138176</v>
      </c>
      <c r="P17" s="177">
        <f>IF(N17&lt;=Assumptions!$D$16,TREND(VOC_Roughness!$L$32:$L$33,VOC_Roughness!$K$32:$K$33,VOC_Roughness!N17),0)</f>
        <v>1731063.6019557565</v>
      </c>
      <c r="Q17" s="178">
        <f t="shared" si="7"/>
        <v>12266773.473337516</v>
      </c>
      <c r="R17" s="179">
        <f t="shared" si="8"/>
        <v>1201585.5429904012</v>
      </c>
      <c r="S17" s="176">
        <v>0</v>
      </c>
      <c r="T17" s="177">
        <v>0</v>
      </c>
      <c r="U17" s="178">
        <v>0</v>
      </c>
      <c r="V17" s="179">
        <v>0</v>
      </c>
      <c r="W17" s="176">
        <f t="shared" si="6"/>
        <v>10535709.87138176</v>
      </c>
      <c r="X17" s="177">
        <f t="shared" si="6"/>
        <v>1731063.6019557565</v>
      </c>
      <c r="Y17" s="178">
        <f t="shared" si="9"/>
        <v>12266773.473337516</v>
      </c>
      <c r="Z17" s="179">
        <f t="shared" si="10"/>
        <v>1201585.5429904012</v>
      </c>
      <c r="AA17" s="1"/>
      <c r="AB17" s="1"/>
    </row>
    <row r="18" spans="1:28" x14ac:dyDescent="0.25">
      <c r="B18" s="67">
        <f t="shared" si="5"/>
        <v>2050</v>
      </c>
      <c r="C18" s="113">
        <f t="shared" si="0"/>
        <v>16459807.375470564</v>
      </c>
      <c r="D18" s="110">
        <f t="shared" si="1"/>
        <v>1612312.0416106523</v>
      </c>
      <c r="E18" s="113">
        <f t="shared" si="2"/>
        <v>0</v>
      </c>
      <c r="F18" s="114">
        <f t="shared" si="3"/>
        <v>0</v>
      </c>
      <c r="G18" s="115">
        <f t="shared" si="4"/>
        <v>1612312.0416106523</v>
      </c>
      <c r="H18" s="116">
        <f>G18*(1+0.07)^-(B18-Assumptions!$D$12)</f>
        <v>226631.11980022403</v>
      </c>
      <c r="K18" s="23">
        <f>Assumptions!$C$32</f>
        <v>2041</v>
      </c>
      <c r="L18" s="167">
        <f>Assumptions!$D$32</f>
        <v>1199.7979924717692</v>
      </c>
      <c r="N18" s="45">
        <v>2035</v>
      </c>
      <c r="O18" s="176">
        <f>IF(N18&lt;=Assumptions!$D$16,TREND(VOC_Roughness!$L$27:$L$28,VOC_Roughness!$K$27:$K$28,VOC_Roughness!N18),0)</f>
        <v>10760792.432668984</v>
      </c>
      <c r="P18" s="177">
        <f>IF(N18&lt;=Assumptions!$D$16,TREND(VOC_Roughness!$L$32:$L$33,VOC_Roughness!$K$32:$K$33,VOC_Roughness!N18),0)</f>
        <v>1768045.6595518589</v>
      </c>
      <c r="Q18" s="178">
        <f t="shared" si="7"/>
        <v>12528838.092220843</v>
      </c>
      <c r="R18" s="179">
        <f t="shared" si="8"/>
        <v>1227255.9491541679</v>
      </c>
      <c r="S18" s="176">
        <v>0</v>
      </c>
      <c r="T18" s="177">
        <v>0</v>
      </c>
      <c r="U18" s="178">
        <v>0</v>
      </c>
      <c r="V18" s="179">
        <v>0</v>
      </c>
      <c r="W18" s="176">
        <f t="shared" si="6"/>
        <v>10760792.432668984</v>
      </c>
      <c r="X18" s="177">
        <f t="shared" si="6"/>
        <v>1768045.6595518589</v>
      </c>
      <c r="Y18" s="178">
        <f t="shared" si="9"/>
        <v>12528838.092220843</v>
      </c>
      <c r="Z18" s="179">
        <f t="shared" si="10"/>
        <v>1227255.9491541679</v>
      </c>
      <c r="AA18" s="1"/>
      <c r="AB18" s="1"/>
    </row>
    <row r="19" spans="1:28" x14ac:dyDescent="0.25">
      <c r="B19" s="67">
        <f t="shared" si="5"/>
        <v>2051</v>
      </c>
      <c r="C19" s="113">
        <f t="shared" si="0"/>
        <v>16721871.994353831</v>
      </c>
      <c r="D19" s="110">
        <f t="shared" si="1"/>
        <v>1637982.4477744137</v>
      </c>
      <c r="E19" s="113">
        <f t="shared" si="2"/>
        <v>0</v>
      </c>
      <c r="F19" s="114">
        <f t="shared" si="3"/>
        <v>0</v>
      </c>
      <c r="G19" s="115">
        <f t="shared" si="4"/>
        <v>1637982.4477744137</v>
      </c>
      <c r="H19" s="116">
        <f>G19*(1+0.07)^-(B19-Assumptions!$D$12)</f>
        <v>215177.03211394322</v>
      </c>
      <c r="N19" s="45">
        <v>2036</v>
      </c>
      <c r="O19" s="176">
        <f>IF(N19&lt;=Assumptions!$D$16,TREND(VOC_Roughness!$L$27:$L$28,VOC_Roughness!$K$27:$K$28,VOC_Roughness!N19),0)</f>
        <v>10985874.993956208</v>
      </c>
      <c r="P19" s="177">
        <f>IF(N19&lt;=Assumptions!$D$16,TREND(VOC_Roughness!$L$32:$L$33,VOC_Roughness!$K$32:$K$33,VOC_Roughness!N19),0)</f>
        <v>1805027.7171479613</v>
      </c>
      <c r="Q19" s="178">
        <f t="shared" si="7"/>
        <v>12790902.711104169</v>
      </c>
      <c r="R19" s="179">
        <f t="shared" si="8"/>
        <v>1252926.3553179346</v>
      </c>
      <c r="S19" s="176">
        <v>0</v>
      </c>
      <c r="T19" s="177">
        <v>0</v>
      </c>
      <c r="U19" s="178">
        <v>0</v>
      </c>
      <c r="V19" s="179">
        <v>0</v>
      </c>
      <c r="W19" s="176">
        <f t="shared" si="6"/>
        <v>10985874.993956208</v>
      </c>
      <c r="X19" s="177">
        <f t="shared" si="6"/>
        <v>1805027.7171479613</v>
      </c>
      <c r="Y19" s="178">
        <f t="shared" si="9"/>
        <v>12790902.711104169</v>
      </c>
      <c r="Z19" s="179">
        <f t="shared" si="10"/>
        <v>1252926.3553179346</v>
      </c>
      <c r="AA19" s="1"/>
      <c r="AB19" s="1"/>
    </row>
    <row r="20" spans="1:28" ht="14.25" customHeight="1" x14ac:dyDescent="0.25">
      <c r="B20" s="67">
        <f t="shared" si="5"/>
        <v>2052</v>
      </c>
      <c r="C20" s="113">
        <f t="shared" si="0"/>
        <v>16983936.613237157</v>
      </c>
      <c r="D20" s="110">
        <f t="shared" si="1"/>
        <v>1663652.8539381805</v>
      </c>
      <c r="E20" s="113">
        <f t="shared" si="2"/>
        <v>0</v>
      </c>
      <c r="F20" s="114">
        <f t="shared" si="3"/>
        <v>0</v>
      </c>
      <c r="G20" s="115">
        <f t="shared" si="4"/>
        <v>1663652.8539381805</v>
      </c>
      <c r="H20" s="116">
        <f>G20*(1+0.07)^-(B20-Assumptions!$D$12)</f>
        <v>204251.66296062112</v>
      </c>
      <c r="K20" s="1" t="s">
        <v>103</v>
      </c>
      <c r="N20" s="45">
        <v>2037</v>
      </c>
      <c r="O20" s="176">
        <f>IF(N20&lt;=Assumptions!$D$16,TREND(VOC_Roughness!$L$27:$L$28,VOC_Roughness!$K$27:$K$28,VOC_Roughness!N20),0)</f>
        <v>11210957.555243433</v>
      </c>
      <c r="P20" s="177">
        <f>IF(N20&lt;=Assumptions!$D$16,TREND(VOC_Roughness!$L$32:$L$33,VOC_Roughness!$K$32:$K$33,VOC_Roughness!N20),0)</f>
        <v>1842009.7747440636</v>
      </c>
      <c r="Q20" s="178">
        <f t="shared" si="7"/>
        <v>13052967.329987496</v>
      </c>
      <c r="R20" s="179">
        <f t="shared" si="8"/>
        <v>1278596.7614817014</v>
      </c>
      <c r="S20" s="176">
        <v>0</v>
      </c>
      <c r="T20" s="177">
        <v>0</v>
      </c>
      <c r="U20" s="178">
        <v>0</v>
      </c>
      <c r="V20" s="179">
        <v>0</v>
      </c>
      <c r="W20" s="176">
        <f t="shared" si="6"/>
        <v>11210957.555243433</v>
      </c>
      <c r="X20" s="177">
        <f t="shared" si="6"/>
        <v>1842009.7747440636</v>
      </c>
      <c r="Y20" s="178">
        <f t="shared" si="9"/>
        <v>13052967.329987496</v>
      </c>
      <c r="Z20" s="179">
        <f t="shared" si="10"/>
        <v>1278596.7614817014</v>
      </c>
      <c r="AA20" s="1"/>
      <c r="AB20" s="1"/>
    </row>
    <row r="21" spans="1:28" ht="15" customHeight="1" x14ac:dyDescent="0.25">
      <c r="B21" s="67">
        <f t="shared" si="5"/>
        <v>2053</v>
      </c>
      <c r="C21" s="113">
        <f t="shared" si="0"/>
        <v>17246001.232120484</v>
      </c>
      <c r="D21" s="110">
        <f t="shared" si="1"/>
        <v>1689323.260101947</v>
      </c>
      <c r="E21" s="113">
        <f t="shared" si="2"/>
        <v>0</v>
      </c>
      <c r="F21" s="114">
        <f t="shared" si="3"/>
        <v>0</v>
      </c>
      <c r="G21" s="115">
        <f t="shared" si="4"/>
        <v>1689323.260101947</v>
      </c>
      <c r="H21" s="116">
        <f>G21*(1+0.07)^-(B21-Assumptions!$D$12)</f>
        <v>193834.85598898248</v>
      </c>
      <c r="K21" s="29" t="s">
        <v>62</v>
      </c>
      <c r="L21" s="29" t="s">
        <v>97</v>
      </c>
      <c r="N21" s="45">
        <v>2038</v>
      </c>
      <c r="O21" s="176">
        <f>IF(N21&lt;=Assumptions!$D$16,TREND(VOC_Roughness!$L$27:$L$28,VOC_Roughness!$K$27:$K$28,VOC_Roughness!N21),0)</f>
        <v>11436040.116530597</v>
      </c>
      <c r="P21" s="177">
        <f>IF(N21&lt;=Assumptions!$D$16,TREND(VOC_Roughness!$L$32:$L$33,VOC_Roughness!$K$32:$K$33,VOC_Roughness!N21),0)</f>
        <v>1878991.832340166</v>
      </c>
      <c r="Q21" s="178">
        <f t="shared" si="7"/>
        <v>13315031.948870763</v>
      </c>
      <c r="R21" s="179">
        <f t="shared" si="8"/>
        <v>1304267.1676454628</v>
      </c>
      <c r="S21" s="176">
        <v>0</v>
      </c>
      <c r="T21" s="177">
        <v>0</v>
      </c>
      <c r="U21" s="178">
        <v>0</v>
      </c>
      <c r="V21" s="179">
        <v>0</v>
      </c>
      <c r="W21" s="176">
        <f t="shared" si="6"/>
        <v>11436040.116530597</v>
      </c>
      <c r="X21" s="177">
        <f t="shared" si="6"/>
        <v>1878991.832340166</v>
      </c>
      <c r="Y21" s="178">
        <f t="shared" si="9"/>
        <v>13315031.948870763</v>
      </c>
      <c r="Z21" s="179">
        <f t="shared" si="10"/>
        <v>1304267.1676454628</v>
      </c>
      <c r="AA21" s="1"/>
      <c r="AB21" s="1"/>
    </row>
    <row r="22" spans="1:28" x14ac:dyDescent="0.25">
      <c r="B22" s="67">
        <f t="shared" si="5"/>
        <v>2054</v>
      </c>
      <c r="C22" s="113">
        <f t="shared" si="0"/>
        <v>17508065.851003811</v>
      </c>
      <c r="D22" s="110">
        <f t="shared" si="1"/>
        <v>1714993.6662657137</v>
      </c>
      <c r="E22" s="113">
        <f t="shared" si="2"/>
        <v>0</v>
      </c>
      <c r="F22" s="114">
        <f t="shared" si="3"/>
        <v>0</v>
      </c>
      <c r="G22" s="115">
        <f t="shared" si="4"/>
        <v>1714993.6662657137</v>
      </c>
      <c r="H22" s="116">
        <f>G22*(1+0.07)^-(B22-Assumptions!$D$12)</f>
        <v>183906.82929146773</v>
      </c>
      <c r="K22" s="156" t="s">
        <v>102</v>
      </c>
      <c r="L22" s="171">
        <v>32.200000000000003</v>
      </c>
      <c r="N22" s="45">
        <v>2039</v>
      </c>
      <c r="O22" s="176">
        <f>IF(N22&lt;=Assumptions!$D$16,TREND(VOC_Roughness!$L$27:$L$28,VOC_Roughness!$K$27:$K$28,VOC_Roughness!N22),0)</f>
        <v>11661122.677817822</v>
      </c>
      <c r="P22" s="177">
        <f>IF(N22&lt;=Assumptions!$D$16,TREND(VOC_Roughness!$L$32:$L$33,VOC_Roughness!$K$32:$K$33,VOC_Roughness!N22),0)</f>
        <v>1915973.8899362683</v>
      </c>
      <c r="Q22" s="178">
        <f t="shared" si="7"/>
        <v>13577096.56775409</v>
      </c>
      <c r="R22" s="179">
        <f t="shared" si="8"/>
        <v>1329937.5738092293</v>
      </c>
      <c r="S22" s="176">
        <v>0</v>
      </c>
      <c r="T22" s="177">
        <v>0</v>
      </c>
      <c r="U22" s="178">
        <v>0</v>
      </c>
      <c r="V22" s="179">
        <v>0</v>
      </c>
      <c r="W22" s="176">
        <f t="shared" si="6"/>
        <v>11661122.677817822</v>
      </c>
      <c r="X22" s="177">
        <f t="shared" si="6"/>
        <v>1915973.8899362683</v>
      </c>
      <c r="Y22" s="178">
        <f t="shared" si="9"/>
        <v>13577096.56775409</v>
      </c>
      <c r="Z22" s="179">
        <f t="shared" si="10"/>
        <v>1329937.5738092293</v>
      </c>
      <c r="AA22" s="1"/>
      <c r="AB22" s="1"/>
    </row>
    <row r="23" spans="1:28" ht="15" customHeight="1" x14ac:dyDescent="0.25">
      <c r="B23" s="67">
        <f t="shared" si="5"/>
        <v>2055</v>
      </c>
      <c r="C23" s="113">
        <f t="shared" si="0"/>
        <v>17770130.469887078</v>
      </c>
      <c r="D23" s="110">
        <f t="shared" si="1"/>
        <v>1740664.0724294749</v>
      </c>
      <c r="E23" s="113">
        <f t="shared" si="2"/>
        <v>0</v>
      </c>
      <c r="F23" s="114">
        <f t="shared" si="3"/>
        <v>0</v>
      </c>
      <c r="G23" s="115">
        <f t="shared" si="4"/>
        <v>1740664.0724294749</v>
      </c>
      <c r="H23" s="116">
        <f>G23*(1+0.07)^-(B23-Assumptions!$D$12)</f>
        <v>174448.21267775161</v>
      </c>
      <c r="K23" s="156" t="s">
        <v>101</v>
      </c>
      <c r="L23" s="171">
        <v>32.200000000000003</v>
      </c>
      <c r="N23" s="45">
        <v>2040</v>
      </c>
      <c r="O23" s="176">
        <f>IF(N23&lt;=Assumptions!$D$16,TREND(VOC_Roughness!$L$27:$L$28,VOC_Roughness!$K$27:$K$28,VOC_Roughness!N23),0)</f>
        <v>11886205.239105046</v>
      </c>
      <c r="P23" s="177">
        <f>IF(N23&lt;=Assumptions!$D$16,TREND(VOC_Roughness!$L$32:$L$33,VOC_Roughness!$K$32:$K$33,VOC_Roughness!N23),0)</f>
        <v>1952955.9475323707</v>
      </c>
      <c r="Q23" s="178">
        <f t="shared" si="7"/>
        <v>13839161.186637416</v>
      </c>
      <c r="R23" s="179">
        <f t="shared" si="8"/>
        <v>1355607.9799729961</v>
      </c>
      <c r="S23" s="176">
        <v>0</v>
      </c>
      <c r="T23" s="177">
        <v>0</v>
      </c>
      <c r="U23" s="178">
        <v>0</v>
      </c>
      <c r="V23" s="179">
        <v>0</v>
      </c>
      <c r="W23" s="176">
        <f t="shared" si="6"/>
        <v>11886205.239105046</v>
      </c>
      <c r="X23" s="177">
        <f t="shared" si="6"/>
        <v>1952955.9475323707</v>
      </c>
      <c r="Y23" s="178">
        <f t="shared" si="9"/>
        <v>13839161.186637416</v>
      </c>
      <c r="Z23" s="179">
        <f t="shared" si="10"/>
        <v>1355607.9799729961</v>
      </c>
      <c r="AA23" s="1"/>
      <c r="AB23" s="1"/>
    </row>
    <row r="24" spans="1:28" x14ac:dyDescent="0.25">
      <c r="B24" s="67">
        <f t="shared" si="5"/>
        <v>2056</v>
      </c>
      <c r="C24" s="113">
        <f t="shared" si="0"/>
        <v>18032195.088770404</v>
      </c>
      <c r="D24" s="110">
        <f t="shared" si="1"/>
        <v>1766334.4785932419</v>
      </c>
      <c r="E24" s="113">
        <f t="shared" si="2"/>
        <v>0</v>
      </c>
      <c r="F24" s="114">
        <f t="shared" si="3"/>
        <v>0</v>
      </c>
      <c r="G24" s="115">
        <f t="shared" si="4"/>
        <v>1766334.4785932419</v>
      </c>
      <c r="H24" s="116">
        <f>G24*(1+0.07)^-(B24-Assumptions!$D$12)</f>
        <v>165440.07846879316</v>
      </c>
      <c r="M24" s="1"/>
      <c r="N24" s="45">
        <v>2041</v>
      </c>
      <c r="O24" s="176">
        <f>IF(N24&lt;=Assumptions!$D$16,TREND(VOC_Roughness!$L$27:$L$28,VOC_Roughness!$K$27:$K$28,VOC_Roughness!N24),0)</f>
        <v>12111287.80039227</v>
      </c>
      <c r="P24" s="177">
        <f>IF(N24&lt;=Assumptions!$D$16,TREND(VOC_Roughness!$L$32:$L$33,VOC_Roughness!$K$32:$K$33,VOC_Roughness!N24),0)</f>
        <v>1989938.005128473</v>
      </c>
      <c r="Q24" s="178">
        <f t="shared" si="7"/>
        <v>14101225.805520743</v>
      </c>
      <c r="R24" s="179">
        <f t="shared" si="8"/>
        <v>1381278.386136763</v>
      </c>
      <c r="S24" s="176">
        <v>0</v>
      </c>
      <c r="T24" s="177">
        <v>0</v>
      </c>
      <c r="U24" s="178">
        <v>0</v>
      </c>
      <c r="V24" s="179">
        <v>0</v>
      </c>
      <c r="W24" s="176">
        <f t="shared" ref="W24:X43" si="11">O24-S24</f>
        <v>12111287.80039227</v>
      </c>
      <c r="X24" s="177">
        <f t="shared" si="11"/>
        <v>1989938.005128473</v>
      </c>
      <c r="Y24" s="178">
        <f t="shared" si="9"/>
        <v>14101225.805520743</v>
      </c>
      <c r="Z24" s="179">
        <f t="shared" si="10"/>
        <v>1381278.386136763</v>
      </c>
      <c r="AA24" s="1"/>
      <c r="AB24" s="1"/>
    </row>
    <row r="25" spans="1:28" ht="15" customHeight="1" x14ac:dyDescent="0.25">
      <c r="B25" s="67">
        <f t="shared" si="5"/>
        <v>2057</v>
      </c>
      <c r="C25" s="113">
        <f t="shared" si="0"/>
        <v>18294259.707653731</v>
      </c>
      <c r="D25" s="110">
        <f t="shared" si="1"/>
        <v>1792004.8847570086</v>
      </c>
      <c r="E25" s="113">
        <f t="shared" si="2"/>
        <v>0</v>
      </c>
      <c r="F25" s="114">
        <f t="shared" si="3"/>
        <v>0</v>
      </c>
      <c r="G25" s="115">
        <f t="shared" si="4"/>
        <v>1792004.8847570086</v>
      </c>
      <c r="H25" s="116">
        <f>G25*(1+0.07)^-(B25-Assumptions!$D$12)</f>
        <v>156863.96649966441</v>
      </c>
      <c r="K25" s="1" t="s">
        <v>106</v>
      </c>
      <c r="M25" s="1"/>
      <c r="N25" s="45">
        <v>2042</v>
      </c>
      <c r="O25" s="176">
        <f>IF(N25&lt;=Assumptions!$D$16,TREND(VOC_Roughness!$L$27:$L$28,VOC_Roughness!$K$27:$K$28,VOC_Roughness!N25),0)</f>
        <v>12336370.361679435</v>
      </c>
      <c r="P25" s="177">
        <f>IF(N25&lt;=Assumptions!$D$16,TREND(VOC_Roughness!$L$32:$L$33,VOC_Roughness!$K$32:$K$33,VOC_Roughness!N25),0)</f>
        <v>2026920.0627245754</v>
      </c>
      <c r="Q25" s="178">
        <f t="shared" si="7"/>
        <v>14363290.42440401</v>
      </c>
      <c r="R25" s="179">
        <f t="shared" si="8"/>
        <v>1406948.792300524</v>
      </c>
      <c r="S25" s="176">
        <v>0</v>
      </c>
      <c r="T25" s="177">
        <v>0</v>
      </c>
      <c r="U25" s="178">
        <v>0</v>
      </c>
      <c r="V25" s="179">
        <v>0</v>
      </c>
      <c r="W25" s="176">
        <f t="shared" si="11"/>
        <v>12336370.361679435</v>
      </c>
      <c r="X25" s="177">
        <f t="shared" si="11"/>
        <v>2026920.0627245754</v>
      </c>
      <c r="Y25" s="178">
        <f t="shared" si="9"/>
        <v>14363290.42440401</v>
      </c>
      <c r="Z25" s="179">
        <f t="shared" si="10"/>
        <v>1406948.792300524</v>
      </c>
      <c r="AA25" s="1"/>
      <c r="AB25" s="1"/>
    </row>
    <row r="26" spans="1:28" ht="15" customHeight="1" x14ac:dyDescent="0.25">
      <c r="B26" s="67">
        <f t="shared" si="5"/>
        <v>2058</v>
      </c>
      <c r="C26" s="113">
        <f t="shared" si="0"/>
        <v>0</v>
      </c>
      <c r="D26" s="110">
        <f t="shared" si="1"/>
        <v>0</v>
      </c>
      <c r="E26" s="113">
        <f t="shared" si="2"/>
        <v>0</v>
      </c>
      <c r="F26" s="114">
        <f t="shared" si="3"/>
        <v>0</v>
      </c>
      <c r="G26" s="115">
        <f t="shared" si="4"/>
        <v>0</v>
      </c>
      <c r="H26" s="116">
        <f>G26*(1+0.07)^-(B26-Assumptions!$D$12)</f>
        <v>0</v>
      </c>
      <c r="K26" s="23" t="s">
        <v>105</v>
      </c>
      <c r="L26" s="23" t="s">
        <v>100</v>
      </c>
      <c r="M26" s="1"/>
      <c r="N26" s="45">
        <v>2043</v>
      </c>
      <c r="O26" s="176">
        <f>IF(N26&lt;=Assumptions!$D$16,TREND(VOC_Roughness!$L$27:$L$28,VOC_Roughness!$K$27:$K$28,VOC_Roughness!N26),0)</f>
        <v>12561452.922966659</v>
      </c>
      <c r="P26" s="177">
        <f>IF(N26&lt;=Assumptions!$D$16,TREND(VOC_Roughness!$L$32:$L$33,VOC_Roughness!$K$32:$K$33,VOC_Roughness!N26),0)</f>
        <v>2063902.1203206778</v>
      </c>
      <c r="Q26" s="178">
        <f t="shared" si="7"/>
        <v>14625355.043287337</v>
      </c>
      <c r="R26" s="179">
        <f t="shared" si="8"/>
        <v>1432619.1984642907</v>
      </c>
      <c r="S26" s="176">
        <v>0</v>
      </c>
      <c r="T26" s="177">
        <v>0</v>
      </c>
      <c r="U26" s="178">
        <v>0</v>
      </c>
      <c r="V26" s="179">
        <v>0</v>
      </c>
      <c r="W26" s="176">
        <f t="shared" si="11"/>
        <v>12561452.922966659</v>
      </c>
      <c r="X26" s="177">
        <f t="shared" si="11"/>
        <v>2063902.1203206778</v>
      </c>
      <c r="Y26" s="178">
        <f t="shared" si="9"/>
        <v>14625355.043287337</v>
      </c>
      <c r="Z26" s="179">
        <f t="shared" si="10"/>
        <v>1432619.1984642907</v>
      </c>
      <c r="AA26" s="1"/>
      <c r="AB26" s="1"/>
    </row>
    <row r="27" spans="1:28" ht="15" customHeight="1" x14ac:dyDescent="0.25">
      <c r="B27" s="67">
        <f t="shared" si="5"/>
        <v>2059</v>
      </c>
      <c r="C27" s="113">
        <f t="shared" si="0"/>
        <v>0</v>
      </c>
      <c r="D27" s="110">
        <f t="shared" si="1"/>
        <v>0</v>
      </c>
      <c r="E27" s="113">
        <f t="shared" si="2"/>
        <v>0</v>
      </c>
      <c r="F27" s="114">
        <f t="shared" si="3"/>
        <v>0</v>
      </c>
      <c r="G27" s="115">
        <f t="shared" si="4"/>
        <v>0</v>
      </c>
      <c r="H27" s="116">
        <f>G27*(1+0.07)^-(B27-Assumptions!$D$12)</f>
        <v>0</v>
      </c>
      <c r="I27" s="3"/>
      <c r="K27" s="23">
        <f>Assumptions!$C$31</f>
        <v>2021</v>
      </c>
      <c r="L27" s="161">
        <f>$L$13*$L$17*$L$22*365</f>
        <v>7609636.5746480338</v>
      </c>
      <c r="M27" s="1"/>
      <c r="N27" s="45">
        <v>2044</v>
      </c>
      <c r="O27" s="176">
        <f>IF(N27&lt;=Assumptions!$D$16,TREND(VOC_Roughness!$L$27:$L$28,VOC_Roughness!$K$27:$K$28,VOC_Roughness!N27),0)</f>
        <v>12786535.484253883</v>
      </c>
      <c r="P27" s="177">
        <f>IF(N27&lt;=Assumptions!$D$16,TREND(VOC_Roughness!$L$32:$L$33,VOC_Roughness!$K$32:$K$33,VOC_Roughness!N27),0)</f>
        <v>2100884.1779167801</v>
      </c>
      <c r="Q27" s="178">
        <f t="shared" si="7"/>
        <v>14887419.662170663</v>
      </c>
      <c r="R27" s="179">
        <f t="shared" si="8"/>
        <v>1458289.6046280577</v>
      </c>
      <c r="S27" s="176">
        <v>0</v>
      </c>
      <c r="T27" s="177">
        <v>0</v>
      </c>
      <c r="U27" s="178">
        <v>0</v>
      </c>
      <c r="V27" s="179">
        <v>0</v>
      </c>
      <c r="W27" s="176">
        <f t="shared" si="11"/>
        <v>12786535.484253883</v>
      </c>
      <c r="X27" s="177">
        <f t="shared" si="11"/>
        <v>2100884.1779167801</v>
      </c>
      <c r="Y27" s="178">
        <f t="shared" si="9"/>
        <v>14887419.662170663</v>
      </c>
      <c r="Z27" s="179">
        <f t="shared" si="10"/>
        <v>1458289.6046280577</v>
      </c>
      <c r="AA27" s="1"/>
      <c r="AB27" s="1"/>
    </row>
    <row r="28" spans="1:28" ht="15" customHeight="1" x14ac:dyDescent="0.25">
      <c r="A28" s="2"/>
      <c r="B28" s="67">
        <f t="shared" si="5"/>
        <v>2060</v>
      </c>
      <c r="C28" s="113">
        <f t="shared" si="0"/>
        <v>0</v>
      </c>
      <c r="D28" s="110">
        <f t="shared" si="1"/>
        <v>0</v>
      </c>
      <c r="E28" s="113">
        <f t="shared" si="2"/>
        <v>0</v>
      </c>
      <c r="F28" s="114">
        <f t="shared" si="3"/>
        <v>0</v>
      </c>
      <c r="G28" s="115">
        <f t="shared" si="4"/>
        <v>0</v>
      </c>
      <c r="H28" s="116">
        <f>G28*(1+0.07)^-(B28-Assumptions!$D$12)</f>
        <v>0</v>
      </c>
      <c r="K28" s="23">
        <f>Assumptions!$C$32</f>
        <v>2041</v>
      </c>
      <c r="L28" s="161">
        <f>$L$13*$L$18*$L$22*365</f>
        <v>12111287.800392238</v>
      </c>
      <c r="N28" s="45">
        <v>2045</v>
      </c>
      <c r="O28" s="176">
        <f>IF(N28&lt;=Assumptions!$D$16,TREND(VOC_Roughness!$L$27:$L$28,VOC_Roughness!$K$27:$K$28,VOC_Roughness!N28),0)</f>
        <v>13011618.045541108</v>
      </c>
      <c r="P28" s="177">
        <f>IF(N28&lt;=Assumptions!$D$16,TREND(VOC_Roughness!$L$32:$L$33,VOC_Roughness!$K$32:$K$33,VOC_Roughness!N28),0)</f>
        <v>2137866.2355128825</v>
      </c>
      <c r="Q28" s="178">
        <f t="shared" si="7"/>
        <v>15149484.28105399</v>
      </c>
      <c r="R28" s="179">
        <f t="shared" si="8"/>
        <v>1483960.0107918242</v>
      </c>
      <c r="S28" s="176">
        <v>0</v>
      </c>
      <c r="T28" s="177">
        <v>0</v>
      </c>
      <c r="U28" s="178">
        <v>0</v>
      </c>
      <c r="V28" s="179">
        <v>0</v>
      </c>
      <c r="W28" s="176">
        <f t="shared" si="11"/>
        <v>13011618.045541108</v>
      </c>
      <c r="X28" s="177">
        <f t="shared" si="11"/>
        <v>2137866.2355128825</v>
      </c>
      <c r="Y28" s="178">
        <f t="shared" si="9"/>
        <v>15149484.28105399</v>
      </c>
      <c r="Z28" s="179">
        <f t="shared" si="10"/>
        <v>1483960.0107918242</v>
      </c>
      <c r="AA28" s="1"/>
      <c r="AB28" s="1"/>
    </row>
    <row r="29" spans="1:28" ht="15" customHeight="1" x14ac:dyDescent="0.25">
      <c r="B29" s="67">
        <f t="shared" si="5"/>
        <v>2061</v>
      </c>
      <c r="C29" s="113">
        <f t="shared" si="0"/>
        <v>0</v>
      </c>
      <c r="D29" s="110">
        <f t="shared" si="1"/>
        <v>0</v>
      </c>
      <c r="E29" s="113">
        <f t="shared" si="2"/>
        <v>0</v>
      </c>
      <c r="F29" s="114">
        <f t="shared" si="3"/>
        <v>0</v>
      </c>
      <c r="G29" s="115">
        <f t="shared" si="4"/>
        <v>0</v>
      </c>
      <c r="H29" s="116">
        <f>G29*(1+0.07)^-(B29-Assumptions!$D$12)</f>
        <v>0</v>
      </c>
      <c r="N29" s="45">
        <v>2046</v>
      </c>
      <c r="O29" s="176">
        <f>IF(N29&lt;=Assumptions!$D$16,TREND(VOC_Roughness!$L$27:$L$28,VOC_Roughness!$K$27:$K$28,VOC_Roughness!N29),0)</f>
        <v>13236700.606828272</v>
      </c>
      <c r="P29" s="177">
        <f>IF(N29&lt;=Assumptions!$D$16,TREND(VOC_Roughness!$L$32:$L$33,VOC_Roughness!$K$32:$K$33,VOC_Roughness!N29),0)</f>
        <v>2174848.2931089848</v>
      </c>
      <c r="Q29" s="178">
        <f t="shared" si="7"/>
        <v>15411548.899937257</v>
      </c>
      <c r="R29" s="179">
        <f t="shared" si="8"/>
        <v>1509630.4169555856</v>
      </c>
      <c r="S29" s="176">
        <v>0</v>
      </c>
      <c r="T29" s="177">
        <v>0</v>
      </c>
      <c r="U29" s="178">
        <v>0</v>
      </c>
      <c r="V29" s="179">
        <v>0</v>
      </c>
      <c r="W29" s="176">
        <f t="shared" si="11"/>
        <v>13236700.606828272</v>
      </c>
      <c r="X29" s="177">
        <f t="shared" si="11"/>
        <v>2174848.2931089848</v>
      </c>
      <c r="Y29" s="178">
        <f t="shared" si="9"/>
        <v>15411548.899937257</v>
      </c>
      <c r="Z29" s="179">
        <f t="shared" si="10"/>
        <v>1509630.4169555856</v>
      </c>
      <c r="AA29" s="1"/>
      <c r="AB29" s="1"/>
    </row>
    <row r="30" spans="1:28" ht="15" customHeight="1" x14ac:dyDescent="0.25">
      <c r="B30" s="67">
        <f t="shared" si="5"/>
        <v>2062</v>
      </c>
      <c r="C30" s="113">
        <f t="shared" si="0"/>
        <v>0</v>
      </c>
      <c r="D30" s="110">
        <f t="shared" si="1"/>
        <v>0</v>
      </c>
      <c r="E30" s="113">
        <f t="shared" si="2"/>
        <v>0</v>
      </c>
      <c r="F30" s="114">
        <f t="shared" si="3"/>
        <v>0</v>
      </c>
      <c r="G30" s="115">
        <f t="shared" si="4"/>
        <v>0</v>
      </c>
      <c r="H30" s="116">
        <f>G30*(1+0.07)^-(B30-Assumptions!$D$12)</f>
        <v>0</v>
      </c>
      <c r="K30" s="1" t="s">
        <v>107</v>
      </c>
      <c r="N30" s="45">
        <v>2047</v>
      </c>
      <c r="O30" s="176">
        <f>IF(N30&lt;=Assumptions!$D$16,TREND(VOC_Roughness!$L$27:$L$28,VOC_Roughness!$K$27:$K$28,VOC_Roughness!N30),0)</f>
        <v>13461783.168115497</v>
      </c>
      <c r="P30" s="177">
        <f>IF(N30&lt;=Assumptions!$D$16,TREND(VOC_Roughness!$L$32:$L$33,VOC_Roughness!$K$32:$K$33,VOC_Roughness!N30),0)</f>
        <v>2211830.3507050872</v>
      </c>
      <c r="Q30" s="178">
        <f t="shared" si="7"/>
        <v>15673613.518820584</v>
      </c>
      <c r="R30" s="179">
        <f t="shared" si="8"/>
        <v>1535300.8231193523</v>
      </c>
      <c r="S30" s="176">
        <v>0</v>
      </c>
      <c r="T30" s="177">
        <v>0</v>
      </c>
      <c r="U30" s="178">
        <v>0</v>
      </c>
      <c r="V30" s="179">
        <v>0</v>
      </c>
      <c r="W30" s="176">
        <f t="shared" si="11"/>
        <v>13461783.168115497</v>
      </c>
      <c r="X30" s="177">
        <f t="shared" si="11"/>
        <v>2211830.3507050872</v>
      </c>
      <c r="Y30" s="178">
        <f t="shared" si="9"/>
        <v>15673613.518820584</v>
      </c>
      <c r="Z30" s="179">
        <f t="shared" si="10"/>
        <v>1535300.8231193523</v>
      </c>
      <c r="AA30" s="1"/>
      <c r="AB30" s="1"/>
    </row>
    <row r="31" spans="1:28" ht="15" customHeight="1" x14ac:dyDescent="0.25">
      <c r="B31" s="67">
        <f t="shared" si="5"/>
        <v>2063</v>
      </c>
      <c r="C31" s="113">
        <f t="shared" si="0"/>
        <v>0</v>
      </c>
      <c r="D31" s="110">
        <f t="shared" si="1"/>
        <v>0</v>
      </c>
      <c r="E31" s="113">
        <f t="shared" si="2"/>
        <v>0</v>
      </c>
      <c r="F31" s="114">
        <f t="shared" si="3"/>
        <v>0</v>
      </c>
      <c r="G31" s="115">
        <f t="shared" si="4"/>
        <v>0</v>
      </c>
      <c r="H31" s="116">
        <f>G31*(1+0.07)^-(B31-Assumptions!$D$12)</f>
        <v>0</v>
      </c>
      <c r="K31" s="23" t="s">
        <v>105</v>
      </c>
      <c r="L31" s="23" t="s">
        <v>100</v>
      </c>
      <c r="N31" s="45">
        <v>2048</v>
      </c>
      <c r="O31" s="176">
        <f>IF(N31&lt;=Assumptions!$D$16,TREND(VOC_Roughness!$L$27:$L$28,VOC_Roughness!$K$27:$K$28,VOC_Roughness!N31),0)</f>
        <v>13686865.729402721</v>
      </c>
      <c r="P31" s="177">
        <f>IF(N31&lt;=Assumptions!$D$16,TREND(VOC_Roughness!$L$32:$L$33,VOC_Roughness!$K$32:$K$33,VOC_Roughness!N31),0)</f>
        <v>2248812.4083011895</v>
      </c>
      <c r="Q31" s="178">
        <f t="shared" si="7"/>
        <v>15935678.13770391</v>
      </c>
      <c r="R31" s="179">
        <f t="shared" si="8"/>
        <v>1560971.2292831191</v>
      </c>
      <c r="S31" s="176">
        <v>0</v>
      </c>
      <c r="T31" s="177">
        <v>0</v>
      </c>
      <c r="U31" s="178">
        <v>0</v>
      </c>
      <c r="V31" s="179">
        <v>0</v>
      </c>
      <c r="W31" s="176">
        <f t="shared" si="11"/>
        <v>13686865.729402721</v>
      </c>
      <c r="X31" s="177">
        <f t="shared" si="11"/>
        <v>2248812.4083011895</v>
      </c>
      <c r="Y31" s="178">
        <f t="shared" si="9"/>
        <v>15935678.13770391</v>
      </c>
      <c r="Z31" s="179">
        <f t="shared" si="10"/>
        <v>1560971.2292831191</v>
      </c>
      <c r="AA31" s="1"/>
      <c r="AB31" s="1"/>
    </row>
    <row r="32" spans="1:28" ht="15" customHeight="1" x14ac:dyDescent="0.25">
      <c r="B32" s="67">
        <f t="shared" si="5"/>
        <v>2064</v>
      </c>
      <c r="C32" s="113">
        <f t="shared" si="0"/>
        <v>0</v>
      </c>
      <c r="D32" s="110">
        <f t="shared" si="1"/>
        <v>0</v>
      </c>
      <c r="E32" s="113">
        <f t="shared" si="2"/>
        <v>0</v>
      </c>
      <c r="F32" s="114">
        <f t="shared" si="3"/>
        <v>0</v>
      </c>
      <c r="G32" s="115">
        <f t="shared" si="4"/>
        <v>0</v>
      </c>
      <c r="H32" s="116">
        <f>G32*(1+0.07)^-(B32-Assumptions!$D$12)</f>
        <v>0</v>
      </c>
      <c r="K32" s="23">
        <f>Assumptions!$C$31</f>
        <v>2021</v>
      </c>
      <c r="L32" s="161">
        <f>$L$14*$L$17*$L$23*365</f>
        <v>1250296.8532064199</v>
      </c>
      <c r="N32" s="45">
        <v>2049</v>
      </c>
      <c r="O32" s="176">
        <f>IF(N32&lt;=Assumptions!$D$16,TREND(VOC_Roughness!$L$27:$L$28,VOC_Roughness!$K$27:$K$28,VOC_Roughness!N32),0)</f>
        <v>13911948.290689945</v>
      </c>
      <c r="P32" s="177">
        <f>IF(N32&lt;=Assumptions!$D$16,TREND(VOC_Roughness!$L$32:$L$33,VOC_Roughness!$K$32:$K$33,VOC_Roughness!N32),0)</f>
        <v>2285794.4658972919</v>
      </c>
      <c r="Q32" s="178">
        <f t="shared" si="7"/>
        <v>16197742.756587237</v>
      </c>
      <c r="R32" s="179">
        <f t="shared" si="8"/>
        <v>1586641.6354468856</v>
      </c>
      <c r="S32" s="176">
        <v>0</v>
      </c>
      <c r="T32" s="177">
        <v>0</v>
      </c>
      <c r="U32" s="178">
        <v>0</v>
      </c>
      <c r="V32" s="179">
        <v>0</v>
      </c>
      <c r="W32" s="176">
        <f t="shared" si="11"/>
        <v>13911948.290689945</v>
      </c>
      <c r="X32" s="177">
        <f t="shared" si="11"/>
        <v>2285794.4658972919</v>
      </c>
      <c r="Y32" s="178">
        <f t="shared" si="9"/>
        <v>16197742.756587237</v>
      </c>
      <c r="Z32" s="179">
        <f t="shared" si="10"/>
        <v>1586641.6354468856</v>
      </c>
      <c r="AA32" s="1"/>
      <c r="AB32" s="1"/>
    </row>
    <row r="33" spans="1:28" ht="15" customHeight="1" x14ac:dyDescent="0.25">
      <c r="B33" s="67">
        <f t="shared" si="5"/>
        <v>2065</v>
      </c>
      <c r="C33" s="113">
        <f t="shared" si="0"/>
        <v>0</v>
      </c>
      <c r="D33" s="110">
        <f t="shared" si="1"/>
        <v>0</v>
      </c>
      <c r="E33" s="113">
        <f t="shared" si="2"/>
        <v>0</v>
      </c>
      <c r="F33" s="114">
        <f t="shared" si="3"/>
        <v>0</v>
      </c>
      <c r="G33" s="115">
        <f t="shared" si="4"/>
        <v>0</v>
      </c>
      <c r="H33" s="116">
        <f>G33*(1+0.07)^-(B33-Assumptions!$D$12)</f>
        <v>0</v>
      </c>
      <c r="K33" s="23">
        <f>Assumptions!$C$32</f>
        <v>2041</v>
      </c>
      <c r="L33" s="161">
        <f>$L$14*$L$18*$L$23*365</f>
        <v>1989938.0051284654</v>
      </c>
      <c r="N33" s="45">
        <v>2050</v>
      </c>
      <c r="O33" s="176">
        <f>IF(N33&lt;=Assumptions!$D$16,TREND(VOC_Roughness!$L$27:$L$28,VOC_Roughness!$K$27:$K$28,VOC_Roughness!N33),0)</f>
        <v>14137030.85197717</v>
      </c>
      <c r="P33" s="177">
        <f>IF(N33&lt;=Assumptions!$D$16,TREND(VOC_Roughness!$L$32:$L$33,VOC_Roughness!$K$32:$K$33,VOC_Roughness!N33),0)</f>
        <v>2322776.5234933943</v>
      </c>
      <c r="Q33" s="178">
        <f t="shared" si="7"/>
        <v>16459807.375470564</v>
      </c>
      <c r="R33" s="179">
        <f t="shared" si="8"/>
        <v>1612312.0416106523</v>
      </c>
      <c r="S33" s="176">
        <v>0</v>
      </c>
      <c r="T33" s="177">
        <v>0</v>
      </c>
      <c r="U33" s="178">
        <v>0</v>
      </c>
      <c r="V33" s="179">
        <v>0</v>
      </c>
      <c r="W33" s="176">
        <f t="shared" si="11"/>
        <v>14137030.85197717</v>
      </c>
      <c r="X33" s="177">
        <f t="shared" si="11"/>
        <v>2322776.5234933943</v>
      </c>
      <c r="Y33" s="178">
        <f t="shared" si="9"/>
        <v>16459807.375470564</v>
      </c>
      <c r="Z33" s="179">
        <f t="shared" si="10"/>
        <v>1612312.0416106523</v>
      </c>
      <c r="AA33" s="1"/>
      <c r="AB33" s="1"/>
    </row>
    <row r="34" spans="1:28" ht="15" customHeight="1" x14ac:dyDescent="0.25">
      <c r="B34" s="67">
        <f t="shared" si="5"/>
        <v>2066</v>
      </c>
      <c r="C34" s="113">
        <f t="shared" si="0"/>
        <v>0</v>
      </c>
      <c r="D34" s="110">
        <f t="shared" si="1"/>
        <v>0</v>
      </c>
      <c r="E34" s="113">
        <f t="shared" si="2"/>
        <v>0</v>
      </c>
      <c r="F34" s="114">
        <f t="shared" si="3"/>
        <v>0</v>
      </c>
      <c r="G34" s="115">
        <f t="shared" si="4"/>
        <v>0</v>
      </c>
      <c r="H34" s="116">
        <f>G34*(1+0.07)^-(B34-Assumptions!$D$12)</f>
        <v>0</v>
      </c>
      <c r="N34" s="45">
        <v>2051</v>
      </c>
      <c r="O34" s="176">
        <f>IF(N34&lt;=Assumptions!$D$16,TREND(VOC_Roughness!$L$27:$L$28,VOC_Roughness!$K$27:$K$28,VOC_Roughness!N34),0)</f>
        <v>14362113.413264334</v>
      </c>
      <c r="P34" s="177">
        <f>IF(N34&lt;=Assumptions!$D$16,TREND(VOC_Roughness!$L$32:$L$33,VOC_Roughness!$K$32:$K$33,VOC_Roughness!N34),0)</f>
        <v>2359758.5810894966</v>
      </c>
      <c r="Q34" s="178">
        <f t="shared" si="7"/>
        <v>16721871.994353831</v>
      </c>
      <c r="R34" s="179">
        <f t="shared" si="8"/>
        <v>1637982.4477744137</v>
      </c>
      <c r="S34" s="176">
        <v>0</v>
      </c>
      <c r="T34" s="177">
        <v>0</v>
      </c>
      <c r="U34" s="178">
        <v>0</v>
      </c>
      <c r="V34" s="179">
        <v>0</v>
      </c>
      <c r="W34" s="176">
        <f t="shared" si="11"/>
        <v>14362113.413264334</v>
      </c>
      <c r="X34" s="177">
        <f t="shared" si="11"/>
        <v>2359758.5810894966</v>
      </c>
      <c r="Y34" s="178">
        <f t="shared" si="9"/>
        <v>16721871.994353831</v>
      </c>
      <c r="Z34" s="179">
        <f t="shared" si="10"/>
        <v>1637982.4477744137</v>
      </c>
      <c r="AA34" s="1"/>
      <c r="AB34" s="1"/>
    </row>
    <row r="35" spans="1:28" ht="15" customHeight="1" x14ac:dyDescent="0.25">
      <c r="B35" s="67">
        <f t="shared" si="5"/>
        <v>2067</v>
      </c>
      <c r="C35" s="113">
        <f t="shared" si="0"/>
        <v>0</v>
      </c>
      <c r="D35" s="110">
        <f t="shared" si="1"/>
        <v>0</v>
      </c>
      <c r="E35" s="113">
        <f t="shared" si="2"/>
        <v>0</v>
      </c>
      <c r="F35" s="114">
        <f t="shared" si="3"/>
        <v>0</v>
      </c>
      <c r="G35" s="115">
        <f t="shared" si="4"/>
        <v>0</v>
      </c>
      <c r="H35" s="116">
        <f>G35*(1+0.07)^-(B35-Assumptions!$D$12)</f>
        <v>0</v>
      </c>
      <c r="N35" s="45">
        <v>2052</v>
      </c>
      <c r="O35" s="176">
        <f>IF(N35&lt;=Assumptions!$D$16,TREND(VOC_Roughness!$L$27:$L$28,VOC_Roughness!$K$27:$K$28,VOC_Roughness!N35),0)</f>
        <v>14587195.974551558</v>
      </c>
      <c r="P35" s="177">
        <f>IF(N35&lt;=Assumptions!$D$16,TREND(VOC_Roughness!$L$32:$L$33,VOC_Roughness!$K$32:$K$33,VOC_Roughness!N35),0)</f>
        <v>2396740.638685599</v>
      </c>
      <c r="Q35" s="178">
        <f t="shared" si="7"/>
        <v>16983936.613237157</v>
      </c>
      <c r="R35" s="179">
        <f t="shared" si="8"/>
        <v>1663652.8539381805</v>
      </c>
      <c r="S35" s="176">
        <v>0</v>
      </c>
      <c r="T35" s="177">
        <v>0</v>
      </c>
      <c r="U35" s="178">
        <v>0</v>
      </c>
      <c r="V35" s="179">
        <v>0</v>
      </c>
      <c r="W35" s="176">
        <f t="shared" si="11"/>
        <v>14587195.974551558</v>
      </c>
      <c r="X35" s="177">
        <f t="shared" si="11"/>
        <v>2396740.638685599</v>
      </c>
      <c r="Y35" s="178">
        <f t="shared" si="9"/>
        <v>16983936.613237157</v>
      </c>
      <c r="Z35" s="179">
        <f t="shared" si="10"/>
        <v>1663652.8539381805</v>
      </c>
      <c r="AA35" s="1"/>
      <c r="AB35" s="1"/>
    </row>
    <row r="36" spans="1:28" ht="15" customHeight="1" x14ac:dyDescent="0.25">
      <c r="B36" s="67">
        <f t="shared" si="5"/>
        <v>2068</v>
      </c>
      <c r="C36" s="113">
        <f t="shared" si="0"/>
        <v>0</v>
      </c>
      <c r="D36" s="110">
        <f t="shared" si="1"/>
        <v>0</v>
      </c>
      <c r="E36" s="113">
        <f t="shared" si="2"/>
        <v>0</v>
      </c>
      <c r="F36" s="114">
        <f t="shared" si="3"/>
        <v>0</v>
      </c>
      <c r="G36" s="115">
        <f t="shared" si="4"/>
        <v>0</v>
      </c>
      <c r="H36" s="116">
        <f>G36*(1+0.07)^-(B36-Assumptions!$D$12)</f>
        <v>0</v>
      </c>
      <c r="N36" s="45">
        <v>2053</v>
      </c>
      <c r="O36" s="176">
        <f>IF(N36&lt;=Assumptions!$D$16,TREND(VOC_Roughness!$L$27:$L$28,VOC_Roughness!$K$27:$K$28,VOC_Roughness!N36),0)</f>
        <v>14812278.535838783</v>
      </c>
      <c r="P36" s="177">
        <f>IF(N36&lt;=Assumptions!$D$16,TREND(VOC_Roughness!$L$32:$L$33,VOC_Roughness!$K$32:$K$33,VOC_Roughness!N36),0)</f>
        <v>2433722.6962817013</v>
      </c>
      <c r="Q36" s="178">
        <f t="shared" si="7"/>
        <v>17246001.232120484</v>
      </c>
      <c r="R36" s="179">
        <f t="shared" si="8"/>
        <v>1689323.260101947</v>
      </c>
      <c r="S36" s="176">
        <v>0</v>
      </c>
      <c r="T36" s="177">
        <v>0</v>
      </c>
      <c r="U36" s="178">
        <v>0</v>
      </c>
      <c r="V36" s="179">
        <v>0</v>
      </c>
      <c r="W36" s="176">
        <f t="shared" si="11"/>
        <v>14812278.535838783</v>
      </c>
      <c r="X36" s="177">
        <f t="shared" si="11"/>
        <v>2433722.6962817013</v>
      </c>
      <c r="Y36" s="178">
        <f t="shared" si="9"/>
        <v>17246001.232120484</v>
      </c>
      <c r="Z36" s="179">
        <f t="shared" si="10"/>
        <v>1689323.260101947</v>
      </c>
      <c r="AA36" s="1"/>
      <c r="AB36" s="1"/>
    </row>
    <row r="37" spans="1:28" ht="15" customHeight="1" x14ac:dyDescent="0.25">
      <c r="B37" s="67">
        <f t="shared" si="5"/>
        <v>2069</v>
      </c>
      <c r="C37" s="113">
        <f t="shared" si="0"/>
        <v>0</v>
      </c>
      <c r="D37" s="110">
        <f t="shared" si="1"/>
        <v>0</v>
      </c>
      <c r="E37" s="113">
        <f t="shared" si="2"/>
        <v>0</v>
      </c>
      <c r="F37" s="114">
        <f t="shared" si="3"/>
        <v>0</v>
      </c>
      <c r="G37" s="115">
        <f t="shared" si="4"/>
        <v>0</v>
      </c>
      <c r="H37" s="116">
        <f>G37*(1+0.07)^-(B37-Assumptions!$D$12)</f>
        <v>0</v>
      </c>
      <c r="N37" s="45">
        <v>2054</v>
      </c>
      <c r="O37" s="176">
        <f>IF(N37&lt;=Assumptions!$D$16,TREND(VOC_Roughness!$L$27:$L$28,VOC_Roughness!$K$27:$K$28,VOC_Roughness!N37),0)</f>
        <v>15037361.097126007</v>
      </c>
      <c r="P37" s="177">
        <f>IF(N37&lt;=Assumptions!$D$16,TREND(VOC_Roughness!$L$32:$L$33,VOC_Roughness!$K$32:$K$33,VOC_Roughness!N37),0)</f>
        <v>2470704.7538778037</v>
      </c>
      <c r="Q37" s="178">
        <f t="shared" si="7"/>
        <v>17508065.851003811</v>
      </c>
      <c r="R37" s="179">
        <f t="shared" si="8"/>
        <v>1714993.6662657137</v>
      </c>
      <c r="S37" s="176">
        <v>0</v>
      </c>
      <c r="T37" s="177">
        <v>0</v>
      </c>
      <c r="U37" s="178">
        <v>0</v>
      </c>
      <c r="V37" s="179">
        <v>0</v>
      </c>
      <c r="W37" s="176">
        <f t="shared" si="11"/>
        <v>15037361.097126007</v>
      </c>
      <c r="X37" s="177">
        <f t="shared" si="11"/>
        <v>2470704.7538778037</v>
      </c>
      <c r="Y37" s="178">
        <f t="shared" si="9"/>
        <v>17508065.851003811</v>
      </c>
      <c r="Z37" s="179">
        <f t="shared" si="10"/>
        <v>1714993.6662657137</v>
      </c>
      <c r="AA37" s="1"/>
      <c r="AB37" s="1"/>
    </row>
    <row r="38" spans="1:28" ht="15" customHeight="1" x14ac:dyDescent="0.25">
      <c r="B38" s="67">
        <f t="shared" si="5"/>
        <v>2070</v>
      </c>
      <c r="C38" s="113">
        <f t="shared" si="0"/>
        <v>0</v>
      </c>
      <c r="D38" s="110">
        <f t="shared" si="1"/>
        <v>0</v>
      </c>
      <c r="E38" s="113">
        <f t="shared" si="2"/>
        <v>0</v>
      </c>
      <c r="F38" s="114">
        <f t="shared" si="3"/>
        <v>0</v>
      </c>
      <c r="G38" s="115">
        <f t="shared" si="4"/>
        <v>0</v>
      </c>
      <c r="H38" s="116">
        <f>G38*(1+0.07)^-(B38-Assumptions!$D$12)</f>
        <v>0</v>
      </c>
      <c r="N38" s="45">
        <v>2055</v>
      </c>
      <c r="O38" s="176">
        <f>IF(N38&lt;=Assumptions!$D$16,TREND(VOC_Roughness!$L$27:$L$28,VOC_Roughness!$K$27:$K$28,VOC_Roughness!N38),0)</f>
        <v>15262443.658413172</v>
      </c>
      <c r="P38" s="177">
        <f>IF(N38&lt;=Assumptions!$D$16,TREND(VOC_Roughness!$L$32:$L$33,VOC_Roughness!$K$32:$K$33,VOC_Roughness!N38),0)</f>
        <v>2507686.811473906</v>
      </c>
      <c r="Q38" s="178">
        <f t="shared" si="7"/>
        <v>17770130.469887078</v>
      </c>
      <c r="R38" s="179">
        <f t="shared" si="8"/>
        <v>1740664.0724294749</v>
      </c>
      <c r="S38" s="176">
        <v>0</v>
      </c>
      <c r="T38" s="177">
        <v>0</v>
      </c>
      <c r="U38" s="178">
        <v>0</v>
      </c>
      <c r="V38" s="179">
        <v>0</v>
      </c>
      <c r="W38" s="176">
        <f t="shared" si="11"/>
        <v>15262443.658413172</v>
      </c>
      <c r="X38" s="177">
        <f t="shared" si="11"/>
        <v>2507686.811473906</v>
      </c>
      <c r="Y38" s="178">
        <f t="shared" si="9"/>
        <v>17770130.469887078</v>
      </c>
      <c r="Z38" s="179">
        <f t="shared" si="10"/>
        <v>1740664.0724294749</v>
      </c>
      <c r="AA38" s="1"/>
      <c r="AB38" s="1"/>
    </row>
    <row r="39" spans="1:28" ht="15" customHeight="1" x14ac:dyDescent="0.25">
      <c r="B39" s="67">
        <f t="shared" si="5"/>
        <v>2071</v>
      </c>
      <c r="C39" s="113">
        <f t="shared" si="0"/>
        <v>0</v>
      </c>
      <c r="D39" s="110">
        <f t="shared" si="1"/>
        <v>0</v>
      </c>
      <c r="E39" s="113">
        <f t="shared" si="2"/>
        <v>0</v>
      </c>
      <c r="F39" s="114">
        <f t="shared" si="3"/>
        <v>0</v>
      </c>
      <c r="G39" s="115">
        <f t="shared" si="4"/>
        <v>0</v>
      </c>
      <c r="H39" s="116">
        <f>G39*(1+0.07)^-(B39-Assumptions!$D$12)</f>
        <v>0</v>
      </c>
      <c r="M39" s="1"/>
      <c r="N39" s="45">
        <v>2056</v>
      </c>
      <c r="O39" s="176">
        <f>IF(N39&lt;=Assumptions!$D$16,TREND(VOC_Roughness!$L$27:$L$28,VOC_Roughness!$K$27:$K$28,VOC_Roughness!N39),0)</f>
        <v>15487526.219700396</v>
      </c>
      <c r="P39" s="177">
        <f>IF(N39&lt;=Assumptions!$D$16,TREND(VOC_Roughness!$L$32:$L$33,VOC_Roughness!$K$32:$K$33,VOC_Roughness!N39),0)</f>
        <v>2544668.8690700084</v>
      </c>
      <c r="Q39" s="178">
        <f t="shared" si="7"/>
        <v>18032195.088770404</v>
      </c>
      <c r="R39" s="179">
        <f t="shared" si="8"/>
        <v>1766334.4785932419</v>
      </c>
      <c r="S39" s="176">
        <v>0</v>
      </c>
      <c r="T39" s="177">
        <v>0</v>
      </c>
      <c r="U39" s="178">
        <v>0</v>
      </c>
      <c r="V39" s="179">
        <v>0</v>
      </c>
      <c r="W39" s="176">
        <f t="shared" si="11"/>
        <v>15487526.219700396</v>
      </c>
      <c r="X39" s="177">
        <f t="shared" si="11"/>
        <v>2544668.8690700084</v>
      </c>
      <c r="Y39" s="178">
        <f t="shared" si="9"/>
        <v>18032195.088770404</v>
      </c>
      <c r="Z39" s="179">
        <f t="shared" si="10"/>
        <v>1766334.4785932419</v>
      </c>
      <c r="AA39" s="1"/>
      <c r="AB39" s="1"/>
    </row>
    <row r="40" spans="1:28" ht="15" customHeight="1" x14ac:dyDescent="0.25">
      <c r="B40" s="67">
        <f t="shared" si="5"/>
        <v>2072</v>
      </c>
      <c r="C40" s="113">
        <f t="shared" si="0"/>
        <v>0</v>
      </c>
      <c r="D40" s="110">
        <f t="shared" si="1"/>
        <v>0</v>
      </c>
      <c r="E40" s="113">
        <f t="shared" si="2"/>
        <v>0</v>
      </c>
      <c r="F40" s="114">
        <f t="shared" si="3"/>
        <v>0</v>
      </c>
      <c r="G40" s="115">
        <f t="shared" si="4"/>
        <v>0</v>
      </c>
      <c r="H40" s="116">
        <f>G40*(1+0.07)^-(B40-Assumptions!$D$12)</f>
        <v>0</v>
      </c>
      <c r="M40" s="1"/>
      <c r="N40" s="45">
        <v>2057</v>
      </c>
      <c r="O40" s="176">
        <f>IF(N40&lt;=Assumptions!$D$16,TREND(VOC_Roughness!$L$27:$L$28,VOC_Roughness!$K$27:$K$28,VOC_Roughness!N40),0)</f>
        <v>15712608.78098762</v>
      </c>
      <c r="P40" s="177">
        <f>IF(N40&lt;=Assumptions!$D$16,TREND(VOC_Roughness!$L$32:$L$33,VOC_Roughness!$K$32:$K$33,VOC_Roughness!N40),0)</f>
        <v>2581650.9266661108</v>
      </c>
      <c r="Q40" s="178">
        <f t="shared" si="7"/>
        <v>18294259.707653731</v>
      </c>
      <c r="R40" s="179">
        <f t="shared" si="8"/>
        <v>1792004.8847570086</v>
      </c>
      <c r="S40" s="176">
        <v>0</v>
      </c>
      <c r="T40" s="177">
        <v>0</v>
      </c>
      <c r="U40" s="178">
        <v>0</v>
      </c>
      <c r="V40" s="179">
        <v>0</v>
      </c>
      <c r="W40" s="176">
        <f t="shared" si="11"/>
        <v>15712608.78098762</v>
      </c>
      <c r="X40" s="177">
        <f t="shared" si="11"/>
        <v>2581650.9266661108</v>
      </c>
      <c r="Y40" s="178">
        <f t="shared" si="9"/>
        <v>18294259.707653731</v>
      </c>
      <c r="Z40" s="179">
        <f t="shared" si="10"/>
        <v>1792004.8847570086</v>
      </c>
      <c r="AA40" s="1"/>
      <c r="AB40" s="1"/>
    </row>
    <row r="41" spans="1:28" ht="15" customHeight="1" thickBot="1" x14ac:dyDescent="0.3">
      <c r="B41" s="62">
        <f t="shared" si="5"/>
        <v>2073</v>
      </c>
      <c r="C41" s="117">
        <f t="shared" si="0"/>
        <v>0</v>
      </c>
      <c r="D41" s="118">
        <f t="shared" si="1"/>
        <v>0</v>
      </c>
      <c r="E41" s="117">
        <f t="shared" si="2"/>
        <v>0</v>
      </c>
      <c r="F41" s="119">
        <f t="shared" si="3"/>
        <v>0</v>
      </c>
      <c r="G41" s="120">
        <f t="shared" si="4"/>
        <v>0</v>
      </c>
      <c r="H41" s="121">
        <f>G41*(1+0.07)^-(B41-Assumptions!$D$12)</f>
        <v>0</v>
      </c>
      <c r="I41" s="25"/>
      <c r="K41" s="1"/>
      <c r="L41" s="1"/>
      <c r="M41" s="1"/>
      <c r="N41" s="45">
        <v>2058</v>
      </c>
      <c r="O41" s="176">
        <f>IF(N41&lt;=Assumptions!$D$16,TREND(VOC_Roughness!$L$27:$L$28,VOC_Roughness!$K$27:$K$28,VOC_Roughness!N41),0)</f>
        <v>0</v>
      </c>
      <c r="P41" s="177">
        <f>IF(N41&lt;=Assumptions!$D$16,TREND(VOC_Roughness!$L$32:$L$33,VOC_Roughness!$K$32:$K$33,VOC_Roughness!N41),0)</f>
        <v>0</v>
      </c>
      <c r="Q41" s="178">
        <f t="shared" si="7"/>
        <v>0</v>
      </c>
      <c r="R41" s="179">
        <f t="shared" si="8"/>
        <v>0</v>
      </c>
      <c r="S41" s="176">
        <v>0</v>
      </c>
      <c r="T41" s="177">
        <v>0</v>
      </c>
      <c r="U41" s="178">
        <v>0</v>
      </c>
      <c r="V41" s="179">
        <v>0</v>
      </c>
      <c r="W41" s="176">
        <f t="shared" si="11"/>
        <v>0</v>
      </c>
      <c r="X41" s="177">
        <f t="shared" si="11"/>
        <v>0</v>
      </c>
      <c r="Y41" s="178">
        <f t="shared" si="9"/>
        <v>0</v>
      </c>
      <c r="Z41" s="179">
        <f t="shared" si="10"/>
        <v>0</v>
      </c>
      <c r="AA41" s="1"/>
      <c r="AB41" s="1"/>
    </row>
    <row r="42" spans="1:28" ht="15" customHeight="1" thickBot="1" x14ac:dyDescent="0.3">
      <c r="G42" s="66" t="s">
        <v>2</v>
      </c>
      <c r="H42" s="122">
        <f>SUM(H6:H41)</f>
        <v>5354416.4036638485</v>
      </c>
      <c r="I42" s="26"/>
      <c r="K42" s="1"/>
      <c r="L42" s="1"/>
      <c r="M42" s="1"/>
      <c r="N42" s="45">
        <v>2059</v>
      </c>
      <c r="O42" s="176">
        <f>IF(N42&lt;=Assumptions!$D$16,TREND(VOC_Roughness!$L$27:$L$28,VOC_Roughness!$K$27:$K$28,VOC_Roughness!N42),0)</f>
        <v>0</v>
      </c>
      <c r="P42" s="177">
        <f>IF(N42&lt;=Assumptions!$D$16,TREND(VOC_Roughness!$L$32:$L$33,VOC_Roughness!$K$32:$K$33,VOC_Roughness!N42),0)</f>
        <v>0</v>
      </c>
      <c r="Q42" s="178">
        <f t="shared" si="7"/>
        <v>0</v>
      </c>
      <c r="R42" s="179">
        <f t="shared" si="8"/>
        <v>0</v>
      </c>
      <c r="S42" s="176">
        <v>0</v>
      </c>
      <c r="T42" s="177">
        <v>0</v>
      </c>
      <c r="U42" s="178">
        <v>0</v>
      </c>
      <c r="V42" s="179">
        <v>0</v>
      </c>
      <c r="W42" s="176">
        <f t="shared" si="11"/>
        <v>0</v>
      </c>
      <c r="X42" s="177">
        <f t="shared" si="11"/>
        <v>0</v>
      </c>
      <c r="Y42" s="178">
        <f t="shared" si="9"/>
        <v>0</v>
      </c>
      <c r="Z42" s="179">
        <f t="shared" si="10"/>
        <v>0</v>
      </c>
      <c r="AA42" s="1"/>
      <c r="AB42" s="1"/>
    </row>
    <row r="43" spans="1:28" ht="15.75" thickBot="1" x14ac:dyDescent="0.3">
      <c r="B43" s="36"/>
      <c r="C43" s="37"/>
      <c r="D43" s="34"/>
      <c r="E43" s="34"/>
      <c r="F43" s="34"/>
      <c r="G43" s="34"/>
      <c r="H43" s="34"/>
      <c r="K43" s="1"/>
      <c r="L43" s="1"/>
      <c r="M43" s="1"/>
      <c r="N43" s="46">
        <v>2060</v>
      </c>
      <c r="O43" s="180">
        <f>IF(N43&lt;=Assumptions!$D$16,TREND(VOC_Roughness!$L$27:$L$28,VOC_Roughness!$K$27:$K$28,VOC_Roughness!N43),0)</f>
        <v>0</v>
      </c>
      <c r="P43" s="181">
        <f>IF(N43&lt;=Assumptions!$D$16,TREND(VOC_Roughness!$L$32:$L$33,VOC_Roughness!$K$32:$K$33,VOC_Roughness!N43),0)</f>
        <v>0</v>
      </c>
      <c r="Q43" s="182">
        <f t="shared" si="7"/>
        <v>0</v>
      </c>
      <c r="R43" s="183">
        <f t="shared" si="8"/>
        <v>0</v>
      </c>
      <c r="S43" s="180">
        <v>0</v>
      </c>
      <c r="T43" s="181">
        <v>0</v>
      </c>
      <c r="U43" s="182">
        <v>0</v>
      </c>
      <c r="V43" s="183">
        <v>0</v>
      </c>
      <c r="W43" s="180">
        <f t="shared" si="11"/>
        <v>0</v>
      </c>
      <c r="X43" s="181">
        <f t="shared" si="11"/>
        <v>0</v>
      </c>
      <c r="Y43" s="182">
        <f t="shared" si="9"/>
        <v>0</v>
      </c>
      <c r="Z43" s="183">
        <f t="shared" si="10"/>
        <v>0</v>
      </c>
      <c r="AA43" s="1"/>
      <c r="AB43" s="1"/>
    </row>
    <row r="44" spans="1:28" x14ac:dyDescent="0.25">
      <c r="K44" s="1"/>
      <c r="L44" s="1"/>
      <c r="M44" s="1"/>
    </row>
    <row r="45" spans="1:28" ht="15" customHeight="1" x14ac:dyDescent="0.25">
      <c r="K45" s="1"/>
      <c r="L45" s="1"/>
      <c r="M45" s="1"/>
    </row>
    <row r="46" spans="1:28" ht="15" customHeight="1" x14ac:dyDescent="0.25">
      <c r="A46" s="2"/>
      <c r="B46" s="1" t="s">
        <v>3</v>
      </c>
      <c r="C46" s="1"/>
      <c r="K46" s="1"/>
      <c r="L46" s="1"/>
      <c r="M46" s="1"/>
    </row>
    <row r="47" spans="1:28" ht="15" customHeight="1" x14ac:dyDescent="0.25">
      <c r="A47" s="2" t="s">
        <v>17</v>
      </c>
      <c r="B47" s="315" t="s">
        <v>607</v>
      </c>
      <c r="C47" s="315"/>
      <c r="D47" s="315"/>
      <c r="E47" s="315"/>
      <c r="F47" s="315"/>
      <c r="G47" s="315"/>
      <c r="H47" s="7"/>
      <c r="K47" s="1"/>
      <c r="L47" s="1"/>
      <c r="M47" s="1"/>
    </row>
    <row r="48" spans="1:28" ht="15" customHeight="1" x14ac:dyDescent="0.25">
      <c r="A48" s="2"/>
      <c r="B48" s="315"/>
      <c r="C48" s="315"/>
      <c r="D48" s="315"/>
      <c r="E48" s="315"/>
      <c r="F48" s="315"/>
      <c r="G48" s="315"/>
      <c r="H48" s="7"/>
    </row>
    <row r="49" spans="1:8" ht="15" customHeight="1" x14ac:dyDescent="0.25">
      <c r="A49" s="2"/>
      <c r="B49" s="315"/>
      <c r="C49" s="315"/>
      <c r="D49" s="315"/>
      <c r="E49" s="315"/>
      <c r="F49" s="315"/>
      <c r="G49" s="315"/>
      <c r="H49" s="152"/>
    </row>
    <row r="50" spans="1:8" ht="15" customHeight="1" x14ac:dyDescent="0.25">
      <c r="A50" s="2"/>
      <c r="B50" s="315"/>
      <c r="C50" s="315"/>
      <c r="D50" s="315"/>
      <c r="E50" s="315"/>
      <c r="F50" s="315"/>
      <c r="G50" s="315"/>
      <c r="H50" s="152"/>
    </row>
    <row r="51" spans="1:8" ht="15" customHeight="1" x14ac:dyDescent="0.25">
      <c r="A51" s="2"/>
      <c r="B51" s="315"/>
      <c r="C51" s="315"/>
      <c r="D51" s="315"/>
      <c r="E51" s="315"/>
      <c r="F51" s="315"/>
      <c r="G51" s="315"/>
      <c r="H51" s="152"/>
    </row>
    <row r="52" spans="1:8" ht="15" customHeight="1" x14ac:dyDescent="0.25">
      <c r="A52" s="2"/>
      <c r="B52" s="7"/>
      <c r="C52" s="7"/>
      <c r="D52" s="7"/>
      <c r="E52" s="7"/>
      <c r="F52" s="7"/>
      <c r="G52" s="7"/>
      <c r="H52" s="152"/>
    </row>
    <row r="53" spans="1:8" x14ac:dyDescent="0.25">
      <c r="A53" s="2"/>
      <c r="B53" s="7"/>
      <c r="C53" s="7"/>
      <c r="D53" s="7"/>
      <c r="E53" s="7"/>
      <c r="F53" s="7"/>
      <c r="G53" s="7"/>
      <c r="H53" s="152"/>
    </row>
    <row r="54" spans="1:8" ht="15" customHeight="1" x14ac:dyDescent="0.25">
      <c r="A54" s="153"/>
      <c r="B54" s="152"/>
      <c r="C54" s="152"/>
      <c r="D54" s="152"/>
      <c r="E54" s="152"/>
      <c r="F54" s="152"/>
      <c r="G54" s="152"/>
      <c r="H54" s="152"/>
    </row>
    <row r="55" spans="1:8" ht="15" customHeight="1" x14ac:dyDescent="0.25">
      <c r="A55" s="2"/>
      <c r="B55" s="7"/>
      <c r="C55" s="7"/>
      <c r="D55" s="7"/>
      <c r="E55" s="7"/>
      <c r="F55" s="7"/>
      <c r="G55" s="7"/>
      <c r="H55" s="152"/>
    </row>
    <row r="56" spans="1:8" ht="15" customHeight="1" x14ac:dyDescent="0.25">
      <c r="A56" s="2"/>
      <c r="B56" s="7"/>
      <c r="C56" s="7"/>
      <c r="D56" s="7"/>
      <c r="E56" s="7"/>
      <c r="F56" s="7"/>
      <c r="G56" s="7"/>
    </row>
    <row r="57" spans="1:8" ht="15" customHeight="1" x14ac:dyDescent="0.25">
      <c r="A57" s="2"/>
      <c r="B57" s="7"/>
      <c r="C57" s="7"/>
      <c r="D57" s="7"/>
      <c r="E57" s="7"/>
      <c r="F57" s="7"/>
      <c r="G57" s="7"/>
    </row>
    <row r="58" spans="1:8" ht="15" customHeight="1" x14ac:dyDescent="0.25">
      <c r="A58" s="2"/>
      <c r="B58" s="315"/>
      <c r="C58" s="315"/>
      <c r="D58" s="315"/>
      <c r="E58" s="315"/>
      <c r="F58" s="315"/>
      <c r="G58" s="315"/>
    </row>
    <row r="59" spans="1:8" ht="15" customHeight="1" x14ac:dyDescent="0.25">
      <c r="A59" s="2"/>
      <c r="B59" s="315"/>
      <c r="C59" s="315"/>
      <c r="D59" s="315"/>
      <c r="E59" s="315"/>
      <c r="F59" s="315"/>
      <c r="G59" s="315"/>
    </row>
    <row r="61" spans="1:8" ht="15" customHeight="1" x14ac:dyDescent="0.25"/>
    <row r="62" spans="1:8" ht="15" customHeight="1" x14ac:dyDescent="0.25"/>
    <row r="63" spans="1:8" x14ac:dyDescent="0.25">
      <c r="A63" s="2"/>
      <c r="B63" s="7"/>
    </row>
    <row r="64" spans="1:8" x14ac:dyDescent="0.25">
      <c r="A64" s="2"/>
      <c r="B64" s="7"/>
    </row>
    <row r="65" spans="1:27" ht="15" customHeight="1" x14ac:dyDescent="0.25">
      <c r="A65" s="2"/>
      <c r="B65" s="7"/>
      <c r="C65" s="7"/>
    </row>
    <row r="66" spans="1:27" ht="15" customHeight="1" x14ac:dyDescent="0.25"/>
    <row r="68" spans="1:27" ht="15" customHeight="1" x14ac:dyDescent="0.25"/>
    <row r="71" spans="1:27" ht="15" customHeight="1" x14ac:dyDescent="0.25">
      <c r="Y71" s="226"/>
      <c r="Z71" s="227"/>
      <c r="AA71" s="227"/>
    </row>
    <row r="72" spans="1:27" x14ac:dyDescent="0.25">
      <c r="Y72" s="226"/>
      <c r="Z72" s="228"/>
      <c r="AA72" s="228"/>
    </row>
    <row r="73" spans="1:27" ht="15" customHeight="1" x14ac:dyDescent="0.25">
      <c r="Y73" s="226"/>
      <c r="Z73" s="228"/>
      <c r="AA73" s="228"/>
    </row>
    <row r="74" spans="1:27" ht="21" customHeight="1" x14ac:dyDescent="0.25">
      <c r="A74" s="2"/>
      <c r="B74" s="7"/>
      <c r="C74" s="7"/>
      <c r="D74" s="7"/>
      <c r="E74" s="7"/>
      <c r="F74" s="7"/>
      <c r="G74" s="7"/>
    </row>
    <row r="75" spans="1:27" x14ac:dyDescent="0.25">
      <c r="A75" s="2"/>
      <c r="B75" s="7"/>
      <c r="C75" s="7"/>
      <c r="D75" s="7"/>
      <c r="E75" s="7"/>
      <c r="F75" s="7"/>
    </row>
    <row r="76" spans="1:27" x14ac:dyDescent="0.25">
      <c r="A76" s="2"/>
    </row>
  </sheetData>
  <mergeCells count="13">
    <mergeCell ref="B58:G59"/>
    <mergeCell ref="H4:H5"/>
    <mergeCell ref="K5:L5"/>
    <mergeCell ref="B47:G51"/>
    <mergeCell ref="O6:R6"/>
    <mergeCell ref="S6:V6"/>
    <mergeCell ref="W6:Z6"/>
    <mergeCell ref="B4:B5"/>
    <mergeCell ref="C4:C5"/>
    <mergeCell ref="D4:D5"/>
    <mergeCell ref="E4:E5"/>
    <mergeCell ref="F4:F5"/>
    <mergeCell ref="G4:G5"/>
  </mergeCells>
  <pageMargins left="0.25" right="0.25" top="0.75" bottom="0.75" header="0.3" footer="0.3"/>
  <pageSetup scale="26"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DB8D1-7FB2-4DD0-9F8D-B66ACCAF58ED}">
  <sheetPr>
    <tabColor theme="0" tint="-0.249977111117893"/>
  </sheetPr>
  <dimension ref="A1:AU126"/>
  <sheetViews>
    <sheetView zoomScale="70" zoomScaleNormal="70" workbookViewId="0"/>
  </sheetViews>
  <sheetFormatPr defaultRowHeight="15" x14ac:dyDescent="0.25"/>
  <cols>
    <col min="2" max="2" width="18" bestFit="1" customWidth="1"/>
    <col min="3" max="3" width="21.85546875" bestFit="1" customWidth="1"/>
    <col min="11" max="11" width="84.5703125" bestFit="1" customWidth="1"/>
  </cols>
  <sheetData>
    <row r="1" spans="1:47" x14ac:dyDescent="0.25">
      <c r="A1" t="s">
        <v>556</v>
      </c>
      <c r="B1" t="s">
        <v>555</v>
      </c>
      <c r="C1" t="s">
        <v>554</v>
      </c>
      <c r="D1" t="s">
        <v>553</v>
      </c>
      <c r="E1" t="s">
        <v>552</v>
      </c>
      <c r="F1" t="s">
        <v>551</v>
      </c>
      <c r="G1" t="s">
        <v>550</v>
      </c>
      <c r="H1" t="s">
        <v>549</v>
      </c>
      <c r="I1" t="s">
        <v>548</v>
      </c>
      <c r="J1" t="s">
        <v>547</v>
      </c>
      <c r="K1" t="s">
        <v>546</v>
      </c>
      <c r="L1" t="s">
        <v>545</v>
      </c>
      <c r="M1" t="s">
        <v>544</v>
      </c>
      <c r="N1" t="s">
        <v>543</v>
      </c>
      <c r="O1" t="s">
        <v>542</v>
      </c>
      <c r="P1" t="s">
        <v>541</v>
      </c>
      <c r="Q1" t="s">
        <v>540</v>
      </c>
      <c r="R1" t="s">
        <v>151</v>
      </c>
      <c r="S1" t="s">
        <v>539</v>
      </c>
      <c r="T1" t="s">
        <v>538</v>
      </c>
      <c r="U1" t="s">
        <v>537</v>
      </c>
      <c r="V1" t="s">
        <v>536</v>
      </c>
      <c r="W1" t="s">
        <v>535</v>
      </c>
      <c r="X1" t="s">
        <v>534</v>
      </c>
      <c r="Y1" t="s">
        <v>533</v>
      </c>
      <c r="Z1" t="s">
        <v>532</v>
      </c>
      <c r="AA1" t="s">
        <v>531</v>
      </c>
      <c r="AB1" t="s">
        <v>530</v>
      </c>
      <c r="AC1" t="s">
        <v>529</v>
      </c>
      <c r="AD1" t="s">
        <v>528</v>
      </c>
      <c r="AE1" t="s">
        <v>527</v>
      </c>
      <c r="AF1" t="s">
        <v>526</v>
      </c>
      <c r="AG1" t="s">
        <v>525</v>
      </c>
      <c r="AH1" t="s">
        <v>524</v>
      </c>
      <c r="AI1" t="s">
        <v>523</v>
      </c>
      <c r="AJ1" t="s">
        <v>522</v>
      </c>
      <c r="AK1" t="s">
        <v>521</v>
      </c>
      <c r="AL1" t="s">
        <v>520</v>
      </c>
      <c r="AM1" t="s">
        <v>519</v>
      </c>
      <c r="AN1" t="s">
        <v>518</v>
      </c>
      <c r="AO1" t="s">
        <v>517</v>
      </c>
      <c r="AP1" t="s">
        <v>516</v>
      </c>
      <c r="AQ1" t="s">
        <v>515</v>
      </c>
      <c r="AR1" t="s">
        <v>514</v>
      </c>
      <c r="AS1" t="s">
        <v>513</v>
      </c>
      <c r="AT1" t="s">
        <v>512</v>
      </c>
      <c r="AU1" t="s">
        <v>511</v>
      </c>
    </row>
    <row r="2" spans="1:47" x14ac:dyDescent="0.25">
      <c r="A2">
        <v>1</v>
      </c>
      <c r="B2">
        <v>1300457</v>
      </c>
      <c r="C2" s="250">
        <v>41296.680555555555</v>
      </c>
      <c r="D2" t="s">
        <v>297</v>
      </c>
      <c r="E2" t="s">
        <v>289</v>
      </c>
      <c r="G2" t="s">
        <v>315</v>
      </c>
      <c r="H2" t="s">
        <v>314</v>
      </c>
      <c r="I2">
        <v>0</v>
      </c>
      <c r="K2" t="s">
        <v>510</v>
      </c>
      <c r="L2" t="s">
        <v>296</v>
      </c>
      <c r="M2" t="s">
        <v>384</v>
      </c>
      <c r="N2" t="s">
        <v>384</v>
      </c>
      <c r="P2" t="s">
        <v>289</v>
      </c>
      <c r="Q2">
        <v>2013</v>
      </c>
      <c r="R2" t="s">
        <v>289</v>
      </c>
      <c r="S2" t="s">
        <v>289</v>
      </c>
      <c r="T2" t="s">
        <v>289</v>
      </c>
      <c r="U2" t="s">
        <v>280</v>
      </c>
      <c r="V2" t="s">
        <v>294</v>
      </c>
      <c r="W2">
        <v>55</v>
      </c>
      <c r="X2" t="s">
        <v>312</v>
      </c>
      <c r="Y2" t="s">
        <v>311</v>
      </c>
      <c r="Z2" t="s">
        <v>310</v>
      </c>
      <c r="AA2" t="s">
        <v>292</v>
      </c>
      <c r="AB2" t="s">
        <v>291</v>
      </c>
      <c r="AD2" t="s">
        <v>340</v>
      </c>
      <c r="AE2" t="s">
        <v>290</v>
      </c>
      <c r="AF2" t="s">
        <v>289</v>
      </c>
      <c r="AG2" t="s">
        <v>289</v>
      </c>
      <c r="AH2" t="s">
        <v>289</v>
      </c>
      <c r="AI2" t="s">
        <v>289</v>
      </c>
      <c r="AJ2">
        <v>44.1790629999999</v>
      </c>
      <c r="AK2">
        <v>-102.82941700000001</v>
      </c>
      <c r="AL2" t="s">
        <v>288</v>
      </c>
      <c r="AM2" t="s">
        <v>287</v>
      </c>
      <c r="AN2" t="s">
        <v>365</v>
      </c>
      <c r="AO2" t="s">
        <v>305</v>
      </c>
      <c r="AP2" t="s">
        <v>305</v>
      </c>
      <c r="AQ2" t="s">
        <v>305</v>
      </c>
      <c r="AR2" t="s">
        <v>304</v>
      </c>
      <c r="AS2">
        <v>55</v>
      </c>
      <c r="AT2" t="s">
        <v>303</v>
      </c>
      <c r="AU2" t="s">
        <v>303</v>
      </c>
    </row>
    <row r="3" spans="1:47" x14ac:dyDescent="0.25">
      <c r="A3">
        <v>2</v>
      </c>
      <c r="B3">
        <v>1300977</v>
      </c>
      <c r="C3" s="250">
        <v>41307.611805555556</v>
      </c>
      <c r="D3" t="s">
        <v>297</v>
      </c>
      <c r="E3" t="s">
        <v>289</v>
      </c>
      <c r="G3" t="s">
        <v>315</v>
      </c>
      <c r="H3" t="s">
        <v>314</v>
      </c>
      <c r="I3">
        <v>0</v>
      </c>
      <c r="K3" t="s">
        <v>509</v>
      </c>
      <c r="L3" t="s">
        <v>296</v>
      </c>
      <c r="M3" t="s">
        <v>332</v>
      </c>
      <c r="N3" t="s">
        <v>332</v>
      </c>
      <c r="P3" t="s">
        <v>289</v>
      </c>
      <c r="Q3">
        <v>2013</v>
      </c>
      <c r="R3" t="s">
        <v>289</v>
      </c>
      <c r="S3" t="s">
        <v>289</v>
      </c>
      <c r="T3" t="s">
        <v>289</v>
      </c>
      <c r="U3" t="s">
        <v>280</v>
      </c>
      <c r="V3" t="s">
        <v>294</v>
      </c>
      <c r="W3">
        <v>55</v>
      </c>
      <c r="X3" t="s">
        <v>312</v>
      </c>
      <c r="Y3" t="s">
        <v>311</v>
      </c>
      <c r="Z3" t="s">
        <v>310</v>
      </c>
      <c r="AA3" t="s">
        <v>292</v>
      </c>
      <c r="AB3" t="s">
        <v>291</v>
      </c>
      <c r="AD3" t="s">
        <v>366</v>
      </c>
      <c r="AE3" t="s">
        <v>508</v>
      </c>
      <c r="AF3" t="s">
        <v>289</v>
      </c>
      <c r="AG3" t="s">
        <v>289</v>
      </c>
      <c r="AH3" t="s">
        <v>289</v>
      </c>
      <c r="AI3" t="s">
        <v>289</v>
      </c>
      <c r="AJ3">
        <v>44.4026029999999</v>
      </c>
      <c r="AK3">
        <v>-102.791263999999</v>
      </c>
      <c r="AL3" t="s">
        <v>395</v>
      </c>
      <c r="AM3" t="s">
        <v>287</v>
      </c>
      <c r="AN3" t="s">
        <v>305</v>
      </c>
      <c r="AO3" t="s">
        <v>305</v>
      </c>
      <c r="AP3" t="s">
        <v>305</v>
      </c>
      <c r="AQ3" t="s">
        <v>305</v>
      </c>
      <c r="AR3" t="s">
        <v>304</v>
      </c>
      <c r="AS3">
        <v>45</v>
      </c>
      <c r="AT3" t="s">
        <v>303</v>
      </c>
      <c r="AU3" t="s">
        <v>303</v>
      </c>
    </row>
    <row r="4" spans="1:47" x14ac:dyDescent="0.25">
      <c r="A4">
        <v>4</v>
      </c>
      <c r="B4">
        <v>1304398</v>
      </c>
      <c r="C4" s="250">
        <v>41384.833333333336</v>
      </c>
      <c r="D4" t="s">
        <v>297</v>
      </c>
      <c r="E4" t="s">
        <v>289</v>
      </c>
      <c r="I4">
        <v>-1</v>
      </c>
      <c r="K4" t="s">
        <v>295</v>
      </c>
      <c r="L4" t="s">
        <v>296</v>
      </c>
      <c r="M4" t="s">
        <v>295</v>
      </c>
      <c r="N4" t="s">
        <v>295</v>
      </c>
      <c r="P4" t="s">
        <v>289</v>
      </c>
      <c r="Q4">
        <v>2013</v>
      </c>
      <c r="R4" t="s">
        <v>289</v>
      </c>
      <c r="S4" t="s">
        <v>289</v>
      </c>
      <c r="T4" t="s">
        <v>289</v>
      </c>
      <c r="U4" t="s">
        <v>277</v>
      </c>
      <c r="V4" t="s">
        <v>285</v>
      </c>
      <c r="W4">
        <v>55</v>
      </c>
      <c r="X4" t="s">
        <v>285</v>
      </c>
      <c r="Y4" t="s">
        <v>322</v>
      </c>
      <c r="Z4" t="s">
        <v>310</v>
      </c>
      <c r="AA4" t="s">
        <v>292</v>
      </c>
      <c r="AB4" t="s">
        <v>291</v>
      </c>
      <c r="AD4" t="s">
        <v>285</v>
      </c>
      <c r="AE4" t="s">
        <v>290</v>
      </c>
      <c r="AF4" t="s">
        <v>289</v>
      </c>
      <c r="AG4" t="s">
        <v>289</v>
      </c>
      <c r="AH4" t="s">
        <v>289</v>
      </c>
      <c r="AI4" t="s">
        <v>289</v>
      </c>
      <c r="AJ4">
        <v>44.21161</v>
      </c>
      <c r="AK4">
        <v>-102.82949600000001</v>
      </c>
      <c r="AL4" t="s">
        <v>299</v>
      </c>
      <c r="AM4" t="s">
        <v>307</v>
      </c>
      <c r="AN4" t="s">
        <v>285</v>
      </c>
      <c r="AO4" t="s">
        <v>285</v>
      </c>
      <c r="AP4" t="s">
        <v>277</v>
      </c>
      <c r="AQ4" t="s">
        <v>285</v>
      </c>
      <c r="AR4" t="s">
        <v>277</v>
      </c>
      <c r="AS4">
        <v>0</v>
      </c>
      <c r="AT4" t="s">
        <v>277</v>
      </c>
      <c r="AU4" t="s">
        <v>277</v>
      </c>
    </row>
    <row r="5" spans="1:47" x14ac:dyDescent="0.25">
      <c r="A5">
        <v>5</v>
      </c>
      <c r="B5">
        <v>1305828</v>
      </c>
      <c r="C5" s="250">
        <v>41416.479166666664</v>
      </c>
      <c r="D5" t="s">
        <v>297</v>
      </c>
      <c r="E5" t="s">
        <v>289</v>
      </c>
      <c r="F5" t="s">
        <v>507</v>
      </c>
      <c r="G5" t="s">
        <v>315</v>
      </c>
      <c r="H5" t="s">
        <v>314</v>
      </c>
      <c r="I5">
        <v>0</v>
      </c>
      <c r="K5" t="s">
        <v>334</v>
      </c>
      <c r="L5" t="s">
        <v>345</v>
      </c>
      <c r="M5" t="s">
        <v>332</v>
      </c>
      <c r="N5" t="s">
        <v>332</v>
      </c>
      <c r="P5" t="s">
        <v>289</v>
      </c>
      <c r="Q5">
        <v>2013</v>
      </c>
      <c r="R5" t="s">
        <v>324</v>
      </c>
      <c r="S5" t="s">
        <v>289</v>
      </c>
      <c r="T5" t="s">
        <v>289</v>
      </c>
      <c r="U5" t="s">
        <v>280</v>
      </c>
      <c r="V5" t="s">
        <v>294</v>
      </c>
      <c r="W5">
        <v>55</v>
      </c>
      <c r="X5" t="s">
        <v>312</v>
      </c>
      <c r="Y5" t="s">
        <v>311</v>
      </c>
      <c r="Z5" t="s">
        <v>310</v>
      </c>
      <c r="AA5" t="s">
        <v>292</v>
      </c>
      <c r="AB5" t="s">
        <v>291</v>
      </c>
      <c r="AD5" t="s">
        <v>366</v>
      </c>
      <c r="AE5" t="s">
        <v>402</v>
      </c>
      <c r="AF5" t="s">
        <v>289</v>
      </c>
      <c r="AG5" t="s">
        <v>289</v>
      </c>
      <c r="AH5" t="s">
        <v>289</v>
      </c>
      <c r="AI5" t="s">
        <v>289</v>
      </c>
      <c r="AJ5">
        <v>44.426881000000002</v>
      </c>
      <c r="AK5">
        <v>-102.798186999999</v>
      </c>
      <c r="AL5" t="s">
        <v>506</v>
      </c>
      <c r="AM5" t="s">
        <v>307</v>
      </c>
      <c r="AN5" t="s">
        <v>361</v>
      </c>
      <c r="AO5" t="s">
        <v>329</v>
      </c>
      <c r="AP5" t="s">
        <v>305</v>
      </c>
      <c r="AQ5" t="s">
        <v>305</v>
      </c>
      <c r="AR5" t="s">
        <v>304</v>
      </c>
      <c r="AS5">
        <v>65</v>
      </c>
      <c r="AT5" t="s">
        <v>303</v>
      </c>
      <c r="AU5" t="s">
        <v>303</v>
      </c>
    </row>
    <row r="6" spans="1:47" x14ac:dyDescent="0.25">
      <c r="A6">
        <v>6</v>
      </c>
      <c r="B6">
        <v>1307926</v>
      </c>
      <c r="C6" s="250">
        <v>41474.5625</v>
      </c>
      <c r="D6" t="s">
        <v>297</v>
      </c>
      <c r="E6" t="s">
        <v>289</v>
      </c>
      <c r="G6" t="s">
        <v>315</v>
      </c>
      <c r="H6" t="s">
        <v>314</v>
      </c>
      <c r="I6">
        <v>0</v>
      </c>
      <c r="K6" t="s">
        <v>505</v>
      </c>
      <c r="L6" t="s">
        <v>296</v>
      </c>
      <c r="M6" t="s">
        <v>332</v>
      </c>
      <c r="N6" t="s">
        <v>332</v>
      </c>
      <c r="P6" t="s">
        <v>289</v>
      </c>
      <c r="Q6">
        <v>2013</v>
      </c>
      <c r="R6" t="s">
        <v>289</v>
      </c>
      <c r="S6" t="s">
        <v>289</v>
      </c>
      <c r="T6" t="s">
        <v>289</v>
      </c>
      <c r="U6" t="s">
        <v>278</v>
      </c>
      <c r="V6" t="s">
        <v>294</v>
      </c>
      <c r="W6">
        <v>55</v>
      </c>
      <c r="X6" t="s">
        <v>312</v>
      </c>
      <c r="Y6" t="s">
        <v>311</v>
      </c>
      <c r="Z6" t="s">
        <v>310</v>
      </c>
      <c r="AA6" t="s">
        <v>292</v>
      </c>
      <c r="AB6" t="s">
        <v>291</v>
      </c>
      <c r="AD6" t="s">
        <v>362</v>
      </c>
      <c r="AE6" t="s">
        <v>290</v>
      </c>
      <c r="AF6" t="s">
        <v>324</v>
      </c>
      <c r="AG6" t="s">
        <v>289</v>
      </c>
      <c r="AH6" t="s">
        <v>289</v>
      </c>
      <c r="AI6" t="s">
        <v>289</v>
      </c>
      <c r="AJ6">
        <v>44.441217000000002</v>
      </c>
      <c r="AK6">
        <v>-102.810984</v>
      </c>
      <c r="AL6" t="s">
        <v>299</v>
      </c>
      <c r="AM6" t="s">
        <v>307</v>
      </c>
      <c r="AN6" t="s">
        <v>399</v>
      </c>
      <c r="AO6" t="s">
        <v>305</v>
      </c>
      <c r="AP6" t="s">
        <v>305</v>
      </c>
      <c r="AQ6" t="s">
        <v>305</v>
      </c>
      <c r="AR6" t="s">
        <v>316</v>
      </c>
      <c r="AS6">
        <v>55</v>
      </c>
      <c r="AT6" t="s">
        <v>303</v>
      </c>
      <c r="AU6" t="s">
        <v>303</v>
      </c>
    </row>
    <row r="7" spans="1:47" x14ac:dyDescent="0.25">
      <c r="A7">
        <v>7</v>
      </c>
      <c r="B7">
        <v>1311378</v>
      </c>
      <c r="C7" s="250">
        <v>41547.819444444445</v>
      </c>
      <c r="D7" t="s">
        <v>297</v>
      </c>
      <c r="E7" t="s">
        <v>289</v>
      </c>
      <c r="F7" t="s">
        <v>504</v>
      </c>
      <c r="G7" t="s">
        <v>335</v>
      </c>
      <c r="H7" t="s">
        <v>314</v>
      </c>
      <c r="I7">
        <v>0</v>
      </c>
      <c r="K7" t="s">
        <v>406</v>
      </c>
      <c r="L7" t="s">
        <v>296</v>
      </c>
      <c r="M7" t="s">
        <v>332</v>
      </c>
      <c r="N7" t="s">
        <v>332</v>
      </c>
      <c r="P7" t="s">
        <v>289</v>
      </c>
      <c r="Q7">
        <v>2013</v>
      </c>
      <c r="R7" t="s">
        <v>289</v>
      </c>
      <c r="S7" t="s">
        <v>289</v>
      </c>
      <c r="T7" t="s">
        <v>324</v>
      </c>
      <c r="U7" t="s">
        <v>282</v>
      </c>
      <c r="V7" t="s">
        <v>294</v>
      </c>
      <c r="W7">
        <v>55</v>
      </c>
      <c r="X7" t="s">
        <v>312</v>
      </c>
      <c r="Y7" t="s">
        <v>322</v>
      </c>
      <c r="Z7" t="s">
        <v>310</v>
      </c>
      <c r="AA7" t="s">
        <v>292</v>
      </c>
      <c r="AB7" t="s">
        <v>291</v>
      </c>
      <c r="AD7" t="s">
        <v>309</v>
      </c>
      <c r="AE7" t="s">
        <v>290</v>
      </c>
      <c r="AF7" t="s">
        <v>289</v>
      </c>
      <c r="AG7" t="s">
        <v>289</v>
      </c>
      <c r="AH7" t="s">
        <v>289</v>
      </c>
      <c r="AI7" t="s">
        <v>289</v>
      </c>
      <c r="AJ7">
        <v>44.382075999999898</v>
      </c>
      <c r="AK7">
        <v>-102.843418999999</v>
      </c>
      <c r="AL7" t="s">
        <v>288</v>
      </c>
      <c r="AM7" t="s">
        <v>287</v>
      </c>
      <c r="AN7" t="s">
        <v>430</v>
      </c>
      <c r="AO7" t="s">
        <v>305</v>
      </c>
      <c r="AP7" t="s">
        <v>305</v>
      </c>
      <c r="AQ7" t="s">
        <v>305</v>
      </c>
      <c r="AR7" t="s">
        <v>503</v>
      </c>
      <c r="AS7">
        <v>66</v>
      </c>
      <c r="AT7" t="s">
        <v>303</v>
      </c>
      <c r="AU7" t="s">
        <v>303</v>
      </c>
    </row>
    <row r="8" spans="1:47" x14ac:dyDescent="0.25">
      <c r="A8">
        <v>8</v>
      </c>
      <c r="B8">
        <v>1311735</v>
      </c>
      <c r="C8" s="250">
        <v>41546.805555555555</v>
      </c>
      <c r="D8" t="s">
        <v>297</v>
      </c>
      <c r="E8" t="s">
        <v>289</v>
      </c>
      <c r="I8">
        <v>-1</v>
      </c>
      <c r="K8" t="s">
        <v>295</v>
      </c>
      <c r="L8" t="s">
        <v>296</v>
      </c>
      <c r="M8" t="s">
        <v>295</v>
      </c>
      <c r="N8" t="s">
        <v>295</v>
      </c>
      <c r="P8" t="s">
        <v>289</v>
      </c>
      <c r="Q8">
        <v>2013</v>
      </c>
      <c r="R8" t="s">
        <v>289</v>
      </c>
      <c r="S8" t="s">
        <v>289</v>
      </c>
      <c r="T8" t="s">
        <v>289</v>
      </c>
      <c r="U8" t="s">
        <v>277</v>
      </c>
      <c r="V8" t="s">
        <v>294</v>
      </c>
      <c r="W8">
        <v>55</v>
      </c>
      <c r="X8" t="s">
        <v>285</v>
      </c>
      <c r="Y8" t="s">
        <v>322</v>
      </c>
      <c r="Z8" t="s">
        <v>310</v>
      </c>
      <c r="AA8" t="s">
        <v>292</v>
      </c>
      <c r="AB8" t="s">
        <v>291</v>
      </c>
      <c r="AD8" t="s">
        <v>285</v>
      </c>
      <c r="AE8" t="s">
        <v>290</v>
      </c>
      <c r="AF8" t="s">
        <v>289</v>
      </c>
      <c r="AG8" t="s">
        <v>289</v>
      </c>
      <c r="AH8" t="s">
        <v>289</v>
      </c>
      <c r="AI8" t="s">
        <v>289</v>
      </c>
      <c r="AJ8">
        <v>44.197688999999897</v>
      </c>
      <c r="AK8">
        <v>-102.829447</v>
      </c>
      <c r="AL8" t="s">
        <v>330</v>
      </c>
      <c r="AM8" t="s">
        <v>287</v>
      </c>
      <c r="AN8" t="s">
        <v>285</v>
      </c>
      <c r="AO8" t="s">
        <v>286</v>
      </c>
      <c r="AP8" t="s">
        <v>277</v>
      </c>
      <c r="AQ8" t="s">
        <v>285</v>
      </c>
      <c r="AR8" t="s">
        <v>277</v>
      </c>
      <c r="AS8">
        <v>0</v>
      </c>
      <c r="AT8" t="s">
        <v>277</v>
      </c>
      <c r="AU8" t="s">
        <v>277</v>
      </c>
    </row>
    <row r="9" spans="1:47" x14ac:dyDescent="0.25">
      <c r="A9">
        <v>9</v>
      </c>
      <c r="B9">
        <v>1312191</v>
      </c>
      <c r="C9" s="250">
        <v>41570.75</v>
      </c>
      <c r="D9" t="s">
        <v>297</v>
      </c>
      <c r="E9" t="s">
        <v>289</v>
      </c>
      <c r="F9" t="s">
        <v>363</v>
      </c>
      <c r="G9" t="s">
        <v>315</v>
      </c>
      <c r="H9" t="s">
        <v>502</v>
      </c>
      <c r="I9">
        <v>0</v>
      </c>
      <c r="K9" t="s">
        <v>352</v>
      </c>
      <c r="L9" t="s">
        <v>296</v>
      </c>
      <c r="M9" t="s">
        <v>352</v>
      </c>
      <c r="N9" t="s">
        <v>352</v>
      </c>
      <c r="O9" t="s">
        <v>501</v>
      </c>
      <c r="P9" t="s">
        <v>289</v>
      </c>
      <c r="Q9">
        <v>2013</v>
      </c>
      <c r="R9" t="s">
        <v>289</v>
      </c>
      <c r="S9" t="s">
        <v>289</v>
      </c>
      <c r="T9" t="s">
        <v>289</v>
      </c>
      <c r="U9" t="s">
        <v>280</v>
      </c>
      <c r="V9" t="s">
        <v>500</v>
      </c>
      <c r="W9">
        <v>55</v>
      </c>
      <c r="X9" t="s">
        <v>312</v>
      </c>
      <c r="Y9" t="s">
        <v>346</v>
      </c>
      <c r="Z9" t="s">
        <v>381</v>
      </c>
      <c r="AA9" t="s">
        <v>292</v>
      </c>
      <c r="AB9" t="s">
        <v>291</v>
      </c>
      <c r="AD9" t="s">
        <v>499</v>
      </c>
      <c r="AE9" t="s">
        <v>290</v>
      </c>
      <c r="AF9" t="s">
        <v>289</v>
      </c>
      <c r="AG9" t="s">
        <v>289</v>
      </c>
      <c r="AH9" t="s">
        <v>289</v>
      </c>
      <c r="AI9" t="s">
        <v>289</v>
      </c>
      <c r="AJ9">
        <v>44.282285000000002</v>
      </c>
      <c r="AK9">
        <v>-102.829187</v>
      </c>
      <c r="AL9" t="s">
        <v>498</v>
      </c>
      <c r="AM9" t="s">
        <v>287</v>
      </c>
      <c r="AN9" t="s">
        <v>497</v>
      </c>
      <c r="AO9" t="s">
        <v>496</v>
      </c>
      <c r="AP9" t="s">
        <v>305</v>
      </c>
      <c r="AQ9" t="s">
        <v>305</v>
      </c>
      <c r="AR9" t="s">
        <v>495</v>
      </c>
      <c r="AS9" t="s">
        <v>464</v>
      </c>
      <c r="AT9" t="s">
        <v>494</v>
      </c>
      <c r="AU9" t="s">
        <v>493</v>
      </c>
    </row>
    <row r="10" spans="1:47" x14ac:dyDescent="0.25">
      <c r="A10">
        <v>10</v>
      </c>
      <c r="B10">
        <v>1312830</v>
      </c>
      <c r="C10" s="250">
        <v>41583.815972222219</v>
      </c>
      <c r="D10" t="s">
        <v>297</v>
      </c>
      <c r="E10" t="s">
        <v>289</v>
      </c>
      <c r="F10" t="s">
        <v>328</v>
      </c>
      <c r="G10" t="s">
        <v>315</v>
      </c>
      <c r="H10" t="s">
        <v>314</v>
      </c>
      <c r="I10">
        <v>0</v>
      </c>
      <c r="J10">
        <v>34</v>
      </c>
      <c r="K10" t="s">
        <v>327</v>
      </c>
      <c r="L10" t="s">
        <v>296</v>
      </c>
      <c r="M10" t="s">
        <v>326</v>
      </c>
      <c r="N10" t="s">
        <v>326</v>
      </c>
      <c r="O10" t="s">
        <v>325</v>
      </c>
      <c r="P10" t="s">
        <v>289</v>
      </c>
      <c r="Q10">
        <v>2013</v>
      </c>
      <c r="R10" t="s">
        <v>324</v>
      </c>
      <c r="S10" t="s">
        <v>289</v>
      </c>
      <c r="T10" t="s">
        <v>289</v>
      </c>
      <c r="U10" t="s">
        <v>280</v>
      </c>
      <c r="V10" t="s">
        <v>294</v>
      </c>
      <c r="W10">
        <v>65</v>
      </c>
      <c r="X10" t="s">
        <v>323</v>
      </c>
      <c r="Y10" t="s">
        <v>322</v>
      </c>
      <c r="Z10" t="s">
        <v>321</v>
      </c>
      <c r="AA10" t="s">
        <v>302</v>
      </c>
      <c r="AB10" t="s">
        <v>320</v>
      </c>
      <c r="AC10" t="s">
        <v>300</v>
      </c>
      <c r="AD10" t="s">
        <v>309</v>
      </c>
      <c r="AE10" t="s">
        <v>319</v>
      </c>
      <c r="AF10" t="s">
        <v>289</v>
      </c>
      <c r="AG10" t="s">
        <v>289</v>
      </c>
      <c r="AH10" t="s">
        <v>289</v>
      </c>
      <c r="AI10" t="s">
        <v>289</v>
      </c>
      <c r="AJ10">
        <v>44.5233279999999</v>
      </c>
      <c r="AK10">
        <v>-102.82393500000001</v>
      </c>
      <c r="AL10" t="s">
        <v>288</v>
      </c>
      <c r="AM10" t="s">
        <v>307</v>
      </c>
      <c r="AN10" t="s">
        <v>318</v>
      </c>
      <c r="AO10" t="s">
        <v>305</v>
      </c>
      <c r="AP10" t="s">
        <v>305</v>
      </c>
      <c r="AQ10" t="s">
        <v>317</v>
      </c>
      <c r="AR10" t="s">
        <v>316</v>
      </c>
      <c r="AS10">
        <v>65</v>
      </c>
      <c r="AT10" t="s">
        <v>303</v>
      </c>
      <c r="AU10" t="s">
        <v>303</v>
      </c>
    </row>
    <row r="11" spans="1:47" x14ac:dyDescent="0.25">
      <c r="A11">
        <v>11</v>
      </c>
      <c r="B11">
        <v>1315518</v>
      </c>
      <c r="C11" s="250">
        <v>41627.21875</v>
      </c>
      <c r="D11" t="s">
        <v>297</v>
      </c>
      <c r="E11" t="s">
        <v>289</v>
      </c>
      <c r="G11" t="s">
        <v>315</v>
      </c>
      <c r="H11" t="s">
        <v>314</v>
      </c>
      <c r="I11">
        <v>0</v>
      </c>
      <c r="K11" t="s">
        <v>334</v>
      </c>
      <c r="L11" t="s">
        <v>333</v>
      </c>
      <c r="M11" t="s">
        <v>332</v>
      </c>
      <c r="N11" t="s">
        <v>332</v>
      </c>
      <c r="P11" t="s">
        <v>289</v>
      </c>
      <c r="Q11">
        <v>2013</v>
      </c>
      <c r="R11" t="s">
        <v>324</v>
      </c>
      <c r="S11" t="s">
        <v>289</v>
      </c>
      <c r="T11" t="s">
        <v>289</v>
      </c>
      <c r="U11" t="s">
        <v>280</v>
      </c>
      <c r="V11" t="s">
        <v>294</v>
      </c>
      <c r="W11">
        <v>55</v>
      </c>
      <c r="X11" t="s">
        <v>312</v>
      </c>
      <c r="Y11" t="s">
        <v>322</v>
      </c>
      <c r="Z11" t="s">
        <v>310</v>
      </c>
      <c r="AA11" t="s">
        <v>292</v>
      </c>
      <c r="AB11" t="s">
        <v>291</v>
      </c>
      <c r="AD11" t="s">
        <v>366</v>
      </c>
      <c r="AE11" t="s">
        <v>492</v>
      </c>
      <c r="AF11" t="s">
        <v>289</v>
      </c>
      <c r="AG11" t="s">
        <v>289</v>
      </c>
      <c r="AH11" t="s">
        <v>289</v>
      </c>
      <c r="AI11" t="s">
        <v>289</v>
      </c>
      <c r="AJ11">
        <v>44.338206</v>
      </c>
      <c r="AK11">
        <v>-102.835452</v>
      </c>
      <c r="AL11" t="s">
        <v>491</v>
      </c>
      <c r="AM11" t="s">
        <v>307</v>
      </c>
      <c r="AN11" t="s">
        <v>361</v>
      </c>
      <c r="AO11" t="s">
        <v>329</v>
      </c>
      <c r="AP11" t="s">
        <v>305</v>
      </c>
      <c r="AQ11" t="s">
        <v>305</v>
      </c>
      <c r="AR11" t="s">
        <v>304</v>
      </c>
      <c r="AS11">
        <v>30</v>
      </c>
      <c r="AT11" t="s">
        <v>303</v>
      </c>
      <c r="AU11" t="s">
        <v>303</v>
      </c>
    </row>
    <row r="12" spans="1:47" x14ac:dyDescent="0.25">
      <c r="A12">
        <v>12</v>
      </c>
      <c r="B12">
        <v>1402392</v>
      </c>
      <c r="C12" s="250">
        <v>41695.829861111109</v>
      </c>
      <c r="D12" t="s">
        <v>297</v>
      </c>
      <c r="E12" t="s">
        <v>289</v>
      </c>
      <c r="G12" t="s">
        <v>315</v>
      </c>
      <c r="H12" t="s">
        <v>314</v>
      </c>
      <c r="I12">
        <v>0</v>
      </c>
      <c r="K12" t="s">
        <v>447</v>
      </c>
      <c r="L12" t="s">
        <v>333</v>
      </c>
      <c r="M12" t="s">
        <v>384</v>
      </c>
      <c r="N12" t="s">
        <v>411</v>
      </c>
      <c r="P12" t="s">
        <v>289</v>
      </c>
      <c r="Q12">
        <v>2014</v>
      </c>
      <c r="R12" t="s">
        <v>324</v>
      </c>
      <c r="S12" t="s">
        <v>289</v>
      </c>
      <c r="T12" t="s">
        <v>289</v>
      </c>
      <c r="U12" t="s">
        <v>280</v>
      </c>
      <c r="V12" t="s">
        <v>294</v>
      </c>
      <c r="W12">
        <v>55</v>
      </c>
      <c r="X12" t="s">
        <v>312</v>
      </c>
      <c r="Y12" t="s">
        <v>322</v>
      </c>
      <c r="Z12" t="s">
        <v>310</v>
      </c>
      <c r="AA12" t="s">
        <v>292</v>
      </c>
      <c r="AB12" t="s">
        <v>291</v>
      </c>
      <c r="AD12" t="s">
        <v>366</v>
      </c>
      <c r="AE12" t="s">
        <v>290</v>
      </c>
      <c r="AF12" t="s">
        <v>289</v>
      </c>
      <c r="AG12" t="s">
        <v>289</v>
      </c>
      <c r="AH12" t="s">
        <v>289</v>
      </c>
      <c r="AI12" t="s">
        <v>289</v>
      </c>
      <c r="AJ12">
        <v>44.427129999999899</v>
      </c>
      <c r="AK12">
        <v>-102.801186</v>
      </c>
      <c r="AL12" t="s">
        <v>288</v>
      </c>
      <c r="AM12" t="s">
        <v>287</v>
      </c>
      <c r="AN12" t="s">
        <v>361</v>
      </c>
      <c r="AO12" t="s">
        <v>329</v>
      </c>
      <c r="AP12" t="s">
        <v>305</v>
      </c>
      <c r="AQ12" t="s">
        <v>305</v>
      </c>
      <c r="AR12" t="s">
        <v>316</v>
      </c>
      <c r="AS12">
        <v>50</v>
      </c>
      <c r="AT12" t="s">
        <v>303</v>
      </c>
      <c r="AU12" t="s">
        <v>303</v>
      </c>
    </row>
    <row r="13" spans="1:47" x14ac:dyDescent="0.25">
      <c r="A13">
        <v>13</v>
      </c>
      <c r="B13">
        <v>1404018</v>
      </c>
      <c r="C13" s="250">
        <v>41704.78402777778</v>
      </c>
      <c r="D13" t="s">
        <v>297</v>
      </c>
      <c r="E13" t="s">
        <v>289</v>
      </c>
      <c r="G13" t="s">
        <v>315</v>
      </c>
      <c r="H13" t="s">
        <v>314</v>
      </c>
      <c r="I13">
        <v>0</v>
      </c>
      <c r="K13" t="s">
        <v>370</v>
      </c>
      <c r="L13" t="s">
        <v>296</v>
      </c>
      <c r="M13" t="s">
        <v>370</v>
      </c>
      <c r="N13" t="s">
        <v>370</v>
      </c>
      <c r="P13" t="s">
        <v>289</v>
      </c>
      <c r="Q13">
        <v>2014</v>
      </c>
      <c r="R13" t="s">
        <v>289</v>
      </c>
      <c r="S13" t="s">
        <v>289</v>
      </c>
      <c r="T13" t="s">
        <v>289</v>
      </c>
      <c r="U13" t="s">
        <v>280</v>
      </c>
      <c r="V13" t="s">
        <v>294</v>
      </c>
      <c r="W13">
        <v>55</v>
      </c>
      <c r="X13" t="s">
        <v>312</v>
      </c>
      <c r="Y13" t="s">
        <v>322</v>
      </c>
      <c r="Z13" t="s">
        <v>310</v>
      </c>
      <c r="AA13" t="s">
        <v>292</v>
      </c>
      <c r="AB13" t="s">
        <v>291</v>
      </c>
      <c r="AD13" t="s">
        <v>309</v>
      </c>
      <c r="AE13" t="s">
        <v>290</v>
      </c>
      <c r="AF13" t="s">
        <v>289</v>
      </c>
      <c r="AG13" t="s">
        <v>289</v>
      </c>
      <c r="AH13" t="s">
        <v>289</v>
      </c>
      <c r="AI13" t="s">
        <v>289</v>
      </c>
      <c r="AJ13">
        <v>44.2439889999999</v>
      </c>
      <c r="AK13">
        <v>-102.829455999999</v>
      </c>
      <c r="AL13" t="s">
        <v>330</v>
      </c>
      <c r="AM13" t="s">
        <v>307</v>
      </c>
      <c r="AN13" t="s">
        <v>305</v>
      </c>
      <c r="AO13" t="s">
        <v>286</v>
      </c>
      <c r="AP13" t="s">
        <v>305</v>
      </c>
      <c r="AQ13" t="s">
        <v>305</v>
      </c>
      <c r="AR13" t="s">
        <v>304</v>
      </c>
      <c r="AS13">
        <v>0</v>
      </c>
      <c r="AT13" t="s">
        <v>303</v>
      </c>
      <c r="AU13" t="s">
        <v>303</v>
      </c>
    </row>
    <row r="14" spans="1:47" x14ac:dyDescent="0.25">
      <c r="A14">
        <v>14</v>
      </c>
      <c r="B14">
        <v>1406596</v>
      </c>
      <c r="C14" s="250">
        <v>41798.833333333336</v>
      </c>
      <c r="D14" t="s">
        <v>297</v>
      </c>
      <c r="E14" t="s">
        <v>289</v>
      </c>
      <c r="G14" t="s">
        <v>315</v>
      </c>
      <c r="H14" t="s">
        <v>314</v>
      </c>
      <c r="I14">
        <v>0</v>
      </c>
      <c r="K14" t="s">
        <v>490</v>
      </c>
      <c r="L14" t="s">
        <v>345</v>
      </c>
      <c r="M14" t="s">
        <v>489</v>
      </c>
      <c r="N14" t="s">
        <v>489</v>
      </c>
      <c r="P14" t="s">
        <v>289</v>
      </c>
      <c r="Q14">
        <v>2014</v>
      </c>
      <c r="R14" t="s">
        <v>289</v>
      </c>
      <c r="S14" t="s">
        <v>289</v>
      </c>
      <c r="T14" t="s">
        <v>289</v>
      </c>
      <c r="U14" t="s">
        <v>280</v>
      </c>
      <c r="V14" t="s">
        <v>294</v>
      </c>
      <c r="W14">
        <v>55</v>
      </c>
      <c r="X14" t="s">
        <v>312</v>
      </c>
      <c r="Y14" t="s">
        <v>311</v>
      </c>
      <c r="Z14" t="s">
        <v>310</v>
      </c>
      <c r="AA14" t="s">
        <v>292</v>
      </c>
      <c r="AB14" t="s">
        <v>291</v>
      </c>
      <c r="AD14" t="s">
        <v>358</v>
      </c>
      <c r="AE14" t="s">
        <v>290</v>
      </c>
      <c r="AF14" t="s">
        <v>289</v>
      </c>
      <c r="AG14" t="s">
        <v>289</v>
      </c>
      <c r="AH14" t="s">
        <v>289</v>
      </c>
      <c r="AI14" t="s">
        <v>289</v>
      </c>
      <c r="AJ14">
        <v>44.174489000000001</v>
      </c>
      <c r="AK14">
        <v>-102.829909999999</v>
      </c>
      <c r="AL14" t="s">
        <v>299</v>
      </c>
      <c r="AM14" t="s">
        <v>287</v>
      </c>
      <c r="AN14" t="s">
        <v>488</v>
      </c>
      <c r="AO14" t="s">
        <v>305</v>
      </c>
      <c r="AP14" t="s">
        <v>305</v>
      </c>
      <c r="AQ14" t="s">
        <v>305</v>
      </c>
      <c r="AR14" t="s">
        <v>304</v>
      </c>
      <c r="AS14">
        <v>65</v>
      </c>
      <c r="AT14" t="s">
        <v>303</v>
      </c>
      <c r="AU14" t="s">
        <v>303</v>
      </c>
    </row>
    <row r="15" spans="1:47" x14ac:dyDescent="0.25">
      <c r="A15">
        <v>15</v>
      </c>
      <c r="B15">
        <v>1408402</v>
      </c>
      <c r="C15" s="250">
        <v>41835.777083333334</v>
      </c>
      <c r="D15" t="s">
        <v>297</v>
      </c>
      <c r="E15" t="s">
        <v>289</v>
      </c>
      <c r="F15" t="s">
        <v>363</v>
      </c>
      <c r="G15" t="s">
        <v>315</v>
      </c>
      <c r="H15" t="s">
        <v>314</v>
      </c>
      <c r="I15">
        <v>0</v>
      </c>
      <c r="K15" t="s">
        <v>334</v>
      </c>
      <c r="L15" t="s">
        <v>296</v>
      </c>
      <c r="M15" t="s">
        <v>332</v>
      </c>
      <c r="N15" t="s">
        <v>332</v>
      </c>
      <c r="P15" t="s">
        <v>289</v>
      </c>
      <c r="Q15">
        <v>2014</v>
      </c>
      <c r="R15" t="s">
        <v>324</v>
      </c>
      <c r="S15" t="s">
        <v>289</v>
      </c>
      <c r="T15" t="s">
        <v>289</v>
      </c>
      <c r="U15" t="s">
        <v>278</v>
      </c>
      <c r="V15" t="s">
        <v>294</v>
      </c>
      <c r="W15">
        <v>55</v>
      </c>
      <c r="X15" t="s">
        <v>312</v>
      </c>
      <c r="Y15" t="s">
        <v>311</v>
      </c>
      <c r="Z15" t="s">
        <v>310</v>
      </c>
      <c r="AA15" t="s">
        <v>292</v>
      </c>
      <c r="AB15" t="s">
        <v>291</v>
      </c>
      <c r="AD15" t="s">
        <v>366</v>
      </c>
      <c r="AE15" t="s">
        <v>290</v>
      </c>
      <c r="AF15" t="s">
        <v>289</v>
      </c>
      <c r="AG15" t="s">
        <v>289</v>
      </c>
      <c r="AH15" t="s">
        <v>289</v>
      </c>
      <c r="AI15" t="s">
        <v>289</v>
      </c>
      <c r="AJ15">
        <v>44.393889999999899</v>
      </c>
      <c r="AK15">
        <v>-102.84290900000001</v>
      </c>
      <c r="AL15" t="s">
        <v>395</v>
      </c>
      <c r="AM15" t="s">
        <v>307</v>
      </c>
      <c r="AN15" t="s">
        <v>483</v>
      </c>
      <c r="AO15" t="s">
        <v>305</v>
      </c>
      <c r="AP15" t="s">
        <v>305</v>
      </c>
      <c r="AQ15" t="s">
        <v>305</v>
      </c>
      <c r="AR15" t="s">
        <v>304</v>
      </c>
      <c r="AS15">
        <v>64</v>
      </c>
      <c r="AT15" t="s">
        <v>303</v>
      </c>
      <c r="AU15" t="s">
        <v>303</v>
      </c>
    </row>
    <row r="16" spans="1:47" x14ac:dyDescent="0.25">
      <c r="A16">
        <v>16</v>
      </c>
      <c r="B16">
        <v>1408726</v>
      </c>
      <c r="C16" s="250">
        <v>41847.436111111114</v>
      </c>
      <c r="D16" t="s">
        <v>297</v>
      </c>
      <c r="E16" t="s">
        <v>289</v>
      </c>
      <c r="G16" t="s">
        <v>335</v>
      </c>
      <c r="H16" t="s">
        <v>314</v>
      </c>
      <c r="I16">
        <v>0</v>
      </c>
      <c r="K16" t="s">
        <v>487</v>
      </c>
      <c r="L16" t="s">
        <v>296</v>
      </c>
      <c r="M16" t="s">
        <v>332</v>
      </c>
      <c r="N16" t="s">
        <v>332</v>
      </c>
      <c r="P16" t="s">
        <v>289</v>
      </c>
      <c r="Q16">
        <v>2014</v>
      </c>
      <c r="R16" t="s">
        <v>289</v>
      </c>
      <c r="S16" t="s">
        <v>289</v>
      </c>
      <c r="T16" t="s">
        <v>289</v>
      </c>
      <c r="U16" t="s">
        <v>282</v>
      </c>
      <c r="V16" t="s">
        <v>294</v>
      </c>
      <c r="W16">
        <v>55</v>
      </c>
      <c r="X16" t="s">
        <v>312</v>
      </c>
      <c r="Y16" t="s">
        <v>311</v>
      </c>
      <c r="Z16" t="s">
        <v>310</v>
      </c>
      <c r="AA16" t="s">
        <v>292</v>
      </c>
      <c r="AB16" t="s">
        <v>291</v>
      </c>
      <c r="AD16" t="s">
        <v>340</v>
      </c>
      <c r="AE16" t="s">
        <v>290</v>
      </c>
      <c r="AF16" t="s">
        <v>289</v>
      </c>
      <c r="AG16" t="s">
        <v>289</v>
      </c>
      <c r="AH16" t="s">
        <v>289</v>
      </c>
      <c r="AI16" t="s">
        <v>289</v>
      </c>
      <c r="AJ16">
        <v>44.358120999999898</v>
      </c>
      <c r="AK16">
        <v>-102.843281</v>
      </c>
      <c r="AL16" t="s">
        <v>330</v>
      </c>
      <c r="AM16" t="s">
        <v>287</v>
      </c>
      <c r="AN16" t="s">
        <v>403</v>
      </c>
      <c r="AO16" t="s">
        <v>305</v>
      </c>
      <c r="AP16" t="s">
        <v>305</v>
      </c>
      <c r="AQ16" t="s">
        <v>305</v>
      </c>
      <c r="AR16" t="s">
        <v>486</v>
      </c>
      <c r="AS16">
        <v>55</v>
      </c>
      <c r="AT16" t="s">
        <v>303</v>
      </c>
      <c r="AU16" t="s">
        <v>303</v>
      </c>
    </row>
    <row r="17" spans="1:47" x14ac:dyDescent="0.25">
      <c r="A17">
        <v>17</v>
      </c>
      <c r="B17">
        <v>1409075</v>
      </c>
      <c r="C17" s="250">
        <v>41835.805555555555</v>
      </c>
      <c r="D17" t="s">
        <v>297</v>
      </c>
      <c r="E17" t="s">
        <v>289</v>
      </c>
      <c r="G17" t="s">
        <v>335</v>
      </c>
      <c r="H17" t="s">
        <v>314</v>
      </c>
      <c r="I17">
        <v>0</v>
      </c>
      <c r="K17" t="s">
        <v>334</v>
      </c>
      <c r="L17" t="s">
        <v>296</v>
      </c>
      <c r="M17" t="s">
        <v>332</v>
      </c>
      <c r="N17" t="s">
        <v>332</v>
      </c>
      <c r="P17" t="s">
        <v>324</v>
      </c>
      <c r="Q17">
        <v>2014</v>
      </c>
      <c r="R17" t="s">
        <v>289</v>
      </c>
      <c r="S17" t="s">
        <v>289</v>
      </c>
      <c r="T17" t="s">
        <v>289</v>
      </c>
      <c r="U17" t="s">
        <v>278</v>
      </c>
      <c r="V17" t="s">
        <v>294</v>
      </c>
      <c r="W17">
        <v>55</v>
      </c>
      <c r="X17" t="s">
        <v>312</v>
      </c>
      <c r="Y17" t="s">
        <v>311</v>
      </c>
      <c r="Z17" t="s">
        <v>310</v>
      </c>
      <c r="AA17" t="s">
        <v>292</v>
      </c>
      <c r="AB17" t="s">
        <v>291</v>
      </c>
      <c r="AD17" t="s">
        <v>309</v>
      </c>
      <c r="AE17" t="s">
        <v>290</v>
      </c>
      <c r="AF17" t="s">
        <v>289</v>
      </c>
      <c r="AG17" t="s">
        <v>289</v>
      </c>
      <c r="AH17" t="s">
        <v>289</v>
      </c>
      <c r="AI17" t="s">
        <v>289</v>
      </c>
      <c r="AJ17">
        <v>44.380046999999898</v>
      </c>
      <c r="AK17">
        <v>-102.843418</v>
      </c>
      <c r="AL17" t="s">
        <v>35</v>
      </c>
      <c r="AM17" t="s">
        <v>307</v>
      </c>
      <c r="AN17" t="s">
        <v>305</v>
      </c>
      <c r="AO17" t="s">
        <v>305</v>
      </c>
      <c r="AP17" t="s">
        <v>485</v>
      </c>
      <c r="AQ17" t="s">
        <v>305</v>
      </c>
      <c r="AR17" t="s">
        <v>304</v>
      </c>
      <c r="AS17">
        <v>35</v>
      </c>
      <c r="AT17" t="s">
        <v>303</v>
      </c>
      <c r="AU17" t="s">
        <v>303</v>
      </c>
    </row>
    <row r="18" spans="1:47" x14ac:dyDescent="0.25">
      <c r="A18">
        <v>18</v>
      </c>
      <c r="B18">
        <v>1409079</v>
      </c>
      <c r="C18" s="250">
        <v>41839.423611111109</v>
      </c>
      <c r="D18" t="s">
        <v>297</v>
      </c>
      <c r="E18" t="s">
        <v>289</v>
      </c>
      <c r="G18" t="s">
        <v>484</v>
      </c>
      <c r="H18" t="s">
        <v>314</v>
      </c>
      <c r="I18">
        <v>0</v>
      </c>
      <c r="K18" t="s">
        <v>334</v>
      </c>
      <c r="L18" t="s">
        <v>296</v>
      </c>
      <c r="M18" t="s">
        <v>332</v>
      </c>
      <c r="N18" t="s">
        <v>332</v>
      </c>
      <c r="P18" t="s">
        <v>324</v>
      </c>
      <c r="Q18">
        <v>2014</v>
      </c>
      <c r="R18" t="s">
        <v>324</v>
      </c>
      <c r="S18" t="s">
        <v>289</v>
      </c>
      <c r="T18" t="s">
        <v>289</v>
      </c>
      <c r="U18" t="s">
        <v>279</v>
      </c>
      <c r="V18" t="s">
        <v>294</v>
      </c>
      <c r="W18">
        <v>55</v>
      </c>
      <c r="X18" t="s">
        <v>312</v>
      </c>
      <c r="Y18" t="s">
        <v>311</v>
      </c>
      <c r="Z18" t="s">
        <v>310</v>
      </c>
      <c r="AA18" t="s">
        <v>292</v>
      </c>
      <c r="AB18" t="s">
        <v>291</v>
      </c>
      <c r="AD18" t="s">
        <v>366</v>
      </c>
      <c r="AE18" t="s">
        <v>290</v>
      </c>
      <c r="AF18" t="s">
        <v>289</v>
      </c>
      <c r="AG18" t="s">
        <v>289</v>
      </c>
      <c r="AH18" t="s">
        <v>289</v>
      </c>
      <c r="AI18" t="s">
        <v>289</v>
      </c>
      <c r="AJ18">
        <v>44.141364000000003</v>
      </c>
      <c r="AK18">
        <v>-102.82951300000001</v>
      </c>
      <c r="AL18" t="s">
        <v>35</v>
      </c>
      <c r="AM18" t="s">
        <v>307</v>
      </c>
      <c r="AN18" t="s">
        <v>483</v>
      </c>
      <c r="AO18" t="s">
        <v>305</v>
      </c>
      <c r="AP18" t="s">
        <v>305</v>
      </c>
      <c r="AQ18" t="s">
        <v>305</v>
      </c>
      <c r="AR18" t="s">
        <v>304</v>
      </c>
      <c r="AS18">
        <v>55</v>
      </c>
      <c r="AT18" t="s">
        <v>303</v>
      </c>
      <c r="AU18" t="s">
        <v>303</v>
      </c>
    </row>
    <row r="19" spans="1:47" x14ac:dyDescent="0.25">
      <c r="A19">
        <v>19</v>
      </c>
      <c r="B19">
        <v>1410820</v>
      </c>
      <c r="C19" s="250">
        <v>41905.854166666664</v>
      </c>
      <c r="D19" t="s">
        <v>297</v>
      </c>
      <c r="E19" t="s">
        <v>289</v>
      </c>
      <c r="I19">
        <v>-1</v>
      </c>
      <c r="K19" t="s">
        <v>295</v>
      </c>
      <c r="L19" t="s">
        <v>296</v>
      </c>
      <c r="M19" t="s">
        <v>295</v>
      </c>
      <c r="N19" t="s">
        <v>295</v>
      </c>
      <c r="P19" t="s">
        <v>289</v>
      </c>
      <c r="Q19">
        <v>2014</v>
      </c>
      <c r="R19" t="s">
        <v>289</v>
      </c>
      <c r="S19" t="s">
        <v>289</v>
      </c>
      <c r="T19" t="s">
        <v>289</v>
      </c>
      <c r="U19" t="s">
        <v>277</v>
      </c>
      <c r="V19" t="s">
        <v>294</v>
      </c>
      <c r="W19">
        <v>55</v>
      </c>
      <c r="X19" t="s">
        <v>285</v>
      </c>
      <c r="Y19" t="s">
        <v>322</v>
      </c>
      <c r="Z19" t="s">
        <v>310</v>
      </c>
      <c r="AA19" t="s">
        <v>292</v>
      </c>
      <c r="AB19" t="s">
        <v>291</v>
      </c>
      <c r="AD19" t="s">
        <v>285</v>
      </c>
      <c r="AE19" t="s">
        <v>290</v>
      </c>
      <c r="AF19" t="s">
        <v>289</v>
      </c>
      <c r="AG19" t="s">
        <v>289</v>
      </c>
      <c r="AH19" t="s">
        <v>289</v>
      </c>
      <c r="AI19" t="s">
        <v>289</v>
      </c>
      <c r="AJ19">
        <v>44.443458999999898</v>
      </c>
      <c r="AK19">
        <v>-102.812794999999</v>
      </c>
      <c r="AL19" t="s">
        <v>330</v>
      </c>
      <c r="AM19" t="s">
        <v>307</v>
      </c>
      <c r="AN19" t="s">
        <v>285</v>
      </c>
      <c r="AO19" t="s">
        <v>285</v>
      </c>
      <c r="AP19" t="s">
        <v>277</v>
      </c>
      <c r="AQ19" t="s">
        <v>285</v>
      </c>
      <c r="AR19" t="s">
        <v>277</v>
      </c>
      <c r="AS19">
        <v>0</v>
      </c>
      <c r="AT19" t="s">
        <v>277</v>
      </c>
      <c r="AU19" t="s">
        <v>277</v>
      </c>
    </row>
    <row r="20" spans="1:47" x14ac:dyDescent="0.25">
      <c r="A20">
        <v>21</v>
      </c>
      <c r="B20">
        <v>1412087</v>
      </c>
      <c r="C20" s="250">
        <v>41925.673611111109</v>
      </c>
      <c r="D20" t="s">
        <v>297</v>
      </c>
      <c r="E20" t="s">
        <v>289</v>
      </c>
      <c r="G20" t="s">
        <v>315</v>
      </c>
      <c r="H20" t="s">
        <v>314</v>
      </c>
      <c r="I20">
        <v>0</v>
      </c>
      <c r="K20" t="s">
        <v>482</v>
      </c>
      <c r="L20" t="s">
        <v>296</v>
      </c>
      <c r="M20" t="s">
        <v>408</v>
      </c>
      <c r="N20" t="s">
        <v>384</v>
      </c>
      <c r="P20" t="s">
        <v>289</v>
      </c>
      <c r="Q20">
        <v>2014</v>
      </c>
      <c r="R20" t="s">
        <v>289</v>
      </c>
      <c r="S20" t="s">
        <v>289</v>
      </c>
      <c r="T20" t="s">
        <v>289</v>
      </c>
      <c r="U20" t="s">
        <v>280</v>
      </c>
      <c r="V20" t="s">
        <v>294</v>
      </c>
      <c r="W20">
        <v>55</v>
      </c>
      <c r="X20" t="s">
        <v>312</v>
      </c>
      <c r="Y20" t="s">
        <v>311</v>
      </c>
      <c r="Z20" t="s">
        <v>310</v>
      </c>
      <c r="AA20" t="s">
        <v>292</v>
      </c>
      <c r="AB20" t="s">
        <v>291</v>
      </c>
      <c r="AD20" t="s">
        <v>309</v>
      </c>
      <c r="AE20" t="s">
        <v>290</v>
      </c>
      <c r="AF20" t="s">
        <v>289</v>
      </c>
      <c r="AG20" t="s">
        <v>289</v>
      </c>
      <c r="AH20" t="s">
        <v>289</v>
      </c>
      <c r="AI20" t="s">
        <v>289</v>
      </c>
      <c r="AJ20">
        <v>44.437128999999899</v>
      </c>
      <c r="AK20">
        <v>-102.809045999999</v>
      </c>
      <c r="AL20" t="s">
        <v>288</v>
      </c>
      <c r="AM20" t="s">
        <v>287</v>
      </c>
      <c r="AN20" t="s">
        <v>403</v>
      </c>
      <c r="AO20" t="s">
        <v>305</v>
      </c>
      <c r="AP20" t="s">
        <v>305</v>
      </c>
      <c r="AQ20" t="s">
        <v>305</v>
      </c>
      <c r="AR20" t="s">
        <v>304</v>
      </c>
      <c r="AS20">
        <v>50</v>
      </c>
      <c r="AT20" t="s">
        <v>303</v>
      </c>
      <c r="AU20" t="s">
        <v>303</v>
      </c>
    </row>
    <row r="21" spans="1:47" x14ac:dyDescent="0.25">
      <c r="A21">
        <v>22</v>
      </c>
      <c r="B21">
        <v>1412824</v>
      </c>
      <c r="C21" s="250">
        <v>41948.697916666664</v>
      </c>
      <c r="D21" t="s">
        <v>297</v>
      </c>
      <c r="E21" t="s">
        <v>289</v>
      </c>
      <c r="G21" t="s">
        <v>315</v>
      </c>
      <c r="H21" t="s">
        <v>314</v>
      </c>
      <c r="I21">
        <v>0</v>
      </c>
      <c r="K21" t="s">
        <v>313</v>
      </c>
      <c r="L21" t="s">
        <v>296</v>
      </c>
      <c r="M21" t="s">
        <v>313</v>
      </c>
      <c r="N21" t="s">
        <v>313</v>
      </c>
      <c r="P21" t="s">
        <v>289</v>
      </c>
      <c r="Q21">
        <v>2014</v>
      </c>
      <c r="R21" t="s">
        <v>289</v>
      </c>
      <c r="S21" t="s">
        <v>289</v>
      </c>
      <c r="T21" t="s">
        <v>289</v>
      </c>
      <c r="U21" t="s">
        <v>280</v>
      </c>
      <c r="V21" t="s">
        <v>294</v>
      </c>
      <c r="W21">
        <v>55</v>
      </c>
      <c r="X21" t="s">
        <v>312</v>
      </c>
      <c r="Y21" t="s">
        <v>311</v>
      </c>
      <c r="Z21" t="s">
        <v>310</v>
      </c>
      <c r="AA21" t="s">
        <v>292</v>
      </c>
      <c r="AB21" t="s">
        <v>291</v>
      </c>
      <c r="AD21" t="s">
        <v>309</v>
      </c>
      <c r="AE21" t="s">
        <v>290</v>
      </c>
      <c r="AF21" t="s">
        <v>289</v>
      </c>
      <c r="AG21" t="s">
        <v>289</v>
      </c>
      <c r="AH21" t="s">
        <v>289</v>
      </c>
      <c r="AI21" t="s">
        <v>289</v>
      </c>
      <c r="AJ21">
        <v>44.521703000000002</v>
      </c>
      <c r="AK21">
        <v>-102.823956999999</v>
      </c>
      <c r="AL21" t="s">
        <v>308</v>
      </c>
      <c r="AM21" t="s">
        <v>307</v>
      </c>
      <c r="AN21" t="s">
        <v>305</v>
      </c>
      <c r="AO21" t="s">
        <v>305</v>
      </c>
      <c r="AP21" t="s">
        <v>306</v>
      </c>
      <c r="AQ21" t="s">
        <v>305</v>
      </c>
      <c r="AR21" t="s">
        <v>304</v>
      </c>
      <c r="AS21">
        <v>35</v>
      </c>
      <c r="AT21" t="s">
        <v>303</v>
      </c>
      <c r="AU21" t="s">
        <v>303</v>
      </c>
    </row>
    <row r="22" spans="1:47" x14ac:dyDescent="0.25">
      <c r="A22">
        <v>23</v>
      </c>
      <c r="B22">
        <v>1415375</v>
      </c>
      <c r="C22" s="250">
        <v>41982.5</v>
      </c>
      <c r="D22" t="s">
        <v>297</v>
      </c>
      <c r="E22" t="s">
        <v>289</v>
      </c>
      <c r="G22" t="s">
        <v>315</v>
      </c>
      <c r="H22" t="s">
        <v>354</v>
      </c>
      <c r="I22">
        <v>0</v>
      </c>
      <c r="K22" t="s">
        <v>352</v>
      </c>
      <c r="L22" t="s">
        <v>296</v>
      </c>
      <c r="M22" t="s">
        <v>352</v>
      </c>
      <c r="N22" t="s">
        <v>352</v>
      </c>
      <c r="P22" t="s">
        <v>289</v>
      </c>
      <c r="Q22">
        <v>2014</v>
      </c>
      <c r="R22" t="s">
        <v>289</v>
      </c>
      <c r="S22" t="s">
        <v>289</v>
      </c>
      <c r="T22" t="s">
        <v>289</v>
      </c>
      <c r="U22" t="s">
        <v>280</v>
      </c>
      <c r="V22" t="s">
        <v>351</v>
      </c>
      <c r="W22">
        <v>55</v>
      </c>
      <c r="X22" t="s">
        <v>312</v>
      </c>
      <c r="Y22" t="s">
        <v>311</v>
      </c>
      <c r="Z22" t="s">
        <v>481</v>
      </c>
      <c r="AA22" t="s">
        <v>292</v>
      </c>
      <c r="AB22" t="s">
        <v>291</v>
      </c>
      <c r="AD22" t="s">
        <v>358</v>
      </c>
      <c r="AE22" t="s">
        <v>290</v>
      </c>
      <c r="AF22" t="s">
        <v>289</v>
      </c>
      <c r="AG22" t="s">
        <v>289</v>
      </c>
      <c r="AH22" t="s">
        <v>289</v>
      </c>
      <c r="AI22" t="s">
        <v>289</v>
      </c>
      <c r="AJ22">
        <v>44.277613000000002</v>
      </c>
      <c r="AK22">
        <v>-102.82923700000001</v>
      </c>
      <c r="AL22" t="s">
        <v>470</v>
      </c>
      <c r="AM22" t="s">
        <v>287</v>
      </c>
      <c r="AN22" t="s">
        <v>480</v>
      </c>
      <c r="AO22" t="s">
        <v>305</v>
      </c>
      <c r="AP22" t="s">
        <v>305</v>
      </c>
      <c r="AQ22" t="s">
        <v>305</v>
      </c>
      <c r="AR22" t="s">
        <v>479</v>
      </c>
      <c r="AS22" t="s">
        <v>478</v>
      </c>
      <c r="AT22" t="s">
        <v>303</v>
      </c>
      <c r="AU22" t="s">
        <v>303</v>
      </c>
    </row>
    <row r="23" spans="1:47" x14ac:dyDescent="0.25">
      <c r="A23">
        <v>24</v>
      </c>
      <c r="B23">
        <v>1416395</v>
      </c>
      <c r="C23" s="250">
        <v>42002.194444444445</v>
      </c>
      <c r="D23" t="s">
        <v>297</v>
      </c>
      <c r="E23" t="s">
        <v>289</v>
      </c>
      <c r="G23" t="s">
        <v>315</v>
      </c>
      <c r="H23" t="s">
        <v>314</v>
      </c>
      <c r="I23">
        <v>0</v>
      </c>
      <c r="K23" t="s">
        <v>334</v>
      </c>
      <c r="L23" t="s">
        <v>333</v>
      </c>
      <c r="M23" t="s">
        <v>332</v>
      </c>
      <c r="N23" t="s">
        <v>332</v>
      </c>
      <c r="P23" t="s">
        <v>289</v>
      </c>
      <c r="Q23">
        <v>2014</v>
      </c>
      <c r="R23" t="s">
        <v>289</v>
      </c>
      <c r="S23" t="s">
        <v>289</v>
      </c>
      <c r="T23" t="s">
        <v>289</v>
      </c>
      <c r="U23" t="s">
        <v>280</v>
      </c>
      <c r="V23" t="s">
        <v>294</v>
      </c>
      <c r="W23">
        <v>55</v>
      </c>
      <c r="X23" t="s">
        <v>312</v>
      </c>
      <c r="Y23" t="s">
        <v>322</v>
      </c>
      <c r="Z23" t="s">
        <v>310</v>
      </c>
      <c r="AA23" t="s">
        <v>292</v>
      </c>
      <c r="AB23" t="s">
        <v>291</v>
      </c>
      <c r="AD23" t="s">
        <v>358</v>
      </c>
      <c r="AE23" t="s">
        <v>397</v>
      </c>
      <c r="AF23" t="s">
        <v>324</v>
      </c>
      <c r="AG23" t="s">
        <v>289</v>
      </c>
      <c r="AH23" t="s">
        <v>289</v>
      </c>
      <c r="AI23" t="s">
        <v>289</v>
      </c>
      <c r="AJ23">
        <v>44.291021000000001</v>
      </c>
      <c r="AK23">
        <v>-102.829111999999</v>
      </c>
      <c r="AL23" t="s">
        <v>477</v>
      </c>
      <c r="AM23" t="s">
        <v>307</v>
      </c>
      <c r="AN23" t="s">
        <v>399</v>
      </c>
      <c r="AO23" t="s">
        <v>329</v>
      </c>
      <c r="AP23" t="s">
        <v>305</v>
      </c>
      <c r="AQ23" t="s">
        <v>317</v>
      </c>
      <c r="AR23" t="s">
        <v>304</v>
      </c>
      <c r="AS23">
        <v>45</v>
      </c>
      <c r="AT23" t="s">
        <v>303</v>
      </c>
      <c r="AU23" t="s">
        <v>303</v>
      </c>
    </row>
    <row r="24" spans="1:47" x14ac:dyDescent="0.25">
      <c r="A24">
        <v>25</v>
      </c>
      <c r="B24">
        <v>1500188</v>
      </c>
      <c r="C24" s="250">
        <v>42011.743055555555</v>
      </c>
      <c r="D24" t="s">
        <v>297</v>
      </c>
      <c r="E24" t="s">
        <v>289</v>
      </c>
      <c r="G24" t="s">
        <v>315</v>
      </c>
      <c r="H24" t="s">
        <v>314</v>
      </c>
      <c r="I24">
        <v>0</v>
      </c>
      <c r="K24" t="s">
        <v>385</v>
      </c>
      <c r="L24" t="s">
        <v>296</v>
      </c>
      <c r="M24" t="s">
        <v>384</v>
      </c>
      <c r="N24" t="s">
        <v>384</v>
      </c>
      <c r="P24" t="s">
        <v>289</v>
      </c>
      <c r="Q24">
        <v>2015</v>
      </c>
      <c r="R24" t="s">
        <v>289</v>
      </c>
      <c r="S24" t="s">
        <v>289</v>
      </c>
      <c r="T24" t="s">
        <v>289</v>
      </c>
      <c r="U24" t="s">
        <v>279</v>
      </c>
      <c r="V24" t="s">
        <v>294</v>
      </c>
      <c r="W24">
        <v>55</v>
      </c>
      <c r="X24" t="s">
        <v>312</v>
      </c>
      <c r="Y24" t="s">
        <v>322</v>
      </c>
      <c r="Z24" t="s">
        <v>310</v>
      </c>
      <c r="AA24" t="s">
        <v>292</v>
      </c>
      <c r="AB24" t="s">
        <v>291</v>
      </c>
      <c r="AD24" t="s">
        <v>366</v>
      </c>
      <c r="AE24" t="s">
        <v>290</v>
      </c>
      <c r="AF24" t="s">
        <v>289</v>
      </c>
      <c r="AG24" t="s">
        <v>289</v>
      </c>
      <c r="AH24" t="s">
        <v>289</v>
      </c>
      <c r="AI24" t="s">
        <v>289</v>
      </c>
      <c r="AJ24">
        <v>44.399408000000001</v>
      </c>
      <c r="AK24">
        <v>-102.814897</v>
      </c>
      <c r="AL24" t="s">
        <v>299</v>
      </c>
      <c r="AM24" t="s">
        <v>287</v>
      </c>
      <c r="AN24" t="s">
        <v>476</v>
      </c>
      <c r="AO24" t="s">
        <v>305</v>
      </c>
      <c r="AP24" t="s">
        <v>305</v>
      </c>
      <c r="AQ24" t="s">
        <v>305</v>
      </c>
      <c r="AR24" t="s">
        <v>316</v>
      </c>
      <c r="AS24">
        <v>55</v>
      </c>
      <c r="AT24" t="s">
        <v>303</v>
      </c>
      <c r="AU24" t="s">
        <v>303</v>
      </c>
    </row>
    <row r="25" spans="1:47" x14ac:dyDescent="0.25">
      <c r="A25">
        <v>26</v>
      </c>
      <c r="B25">
        <v>1506556</v>
      </c>
      <c r="C25" s="250">
        <v>42168.916666666664</v>
      </c>
      <c r="D25" t="s">
        <v>297</v>
      </c>
      <c r="E25" t="s">
        <v>289</v>
      </c>
      <c r="G25" t="s">
        <v>315</v>
      </c>
      <c r="H25" t="s">
        <v>314</v>
      </c>
      <c r="I25">
        <v>0</v>
      </c>
      <c r="K25" t="s">
        <v>370</v>
      </c>
      <c r="L25" t="s">
        <v>296</v>
      </c>
      <c r="M25" t="s">
        <v>370</v>
      </c>
      <c r="N25" t="s">
        <v>370</v>
      </c>
      <c r="P25" t="s">
        <v>289</v>
      </c>
      <c r="Q25">
        <v>2015</v>
      </c>
      <c r="R25" t="s">
        <v>289</v>
      </c>
      <c r="S25" t="s">
        <v>289</v>
      </c>
      <c r="T25" t="s">
        <v>289</v>
      </c>
      <c r="U25" t="s">
        <v>280</v>
      </c>
      <c r="V25" t="s">
        <v>294</v>
      </c>
      <c r="W25">
        <v>55</v>
      </c>
      <c r="X25" t="s">
        <v>312</v>
      </c>
      <c r="Y25" t="s">
        <v>322</v>
      </c>
      <c r="Z25" t="s">
        <v>310</v>
      </c>
      <c r="AA25" t="s">
        <v>292</v>
      </c>
      <c r="AB25" t="s">
        <v>291</v>
      </c>
      <c r="AD25" t="s">
        <v>309</v>
      </c>
      <c r="AE25" t="s">
        <v>344</v>
      </c>
      <c r="AF25" t="s">
        <v>289</v>
      </c>
      <c r="AG25" t="s">
        <v>289</v>
      </c>
      <c r="AH25" t="s">
        <v>289</v>
      </c>
      <c r="AI25" t="s">
        <v>289</v>
      </c>
      <c r="AJ25">
        <v>44.377926000000002</v>
      </c>
      <c r="AK25">
        <v>-102.843418</v>
      </c>
      <c r="AL25" t="s">
        <v>288</v>
      </c>
      <c r="AM25" t="s">
        <v>287</v>
      </c>
      <c r="AN25" t="s">
        <v>305</v>
      </c>
      <c r="AO25" t="s">
        <v>286</v>
      </c>
      <c r="AP25" t="s">
        <v>305</v>
      </c>
      <c r="AQ25" t="s">
        <v>305</v>
      </c>
      <c r="AR25" t="s">
        <v>304</v>
      </c>
      <c r="AS25">
        <v>0</v>
      </c>
      <c r="AT25" t="s">
        <v>303</v>
      </c>
      <c r="AU25" t="s">
        <v>303</v>
      </c>
    </row>
    <row r="26" spans="1:47" x14ac:dyDescent="0.25">
      <c r="A26">
        <v>28</v>
      </c>
      <c r="B26">
        <v>1510846</v>
      </c>
      <c r="C26" s="250">
        <v>42260.563194444447</v>
      </c>
      <c r="D26" t="s">
        <v>297</v>
      </c>
      <c r="E26" t="s">
        <v>289</v>
      </c>
      <c r="G26" t="s">
        <v>315</v>
      </c>
      <c r="H26" t="s">
        <v>314</v>
      </c>
      <c r="I26">
        <v>0</v>
      </c>
      <c r="K26" t="s">
        <v>313</v>
      </c>
      <c r="L26" t="s">
        <v>296</v>
      </c>
      <c r="M26" t="s">
        <v>313</v>
      </c>
      <c r="N26" t="s">
        <v>313</v>
      </c>
      <c r="P26" t="s">
        <v>289</v>
      </c>
      <c r="Q26">
        <v>2015</v>
      </c>
      <c r="R26" t="s">
        <v>289</v>
      </c>
      <c r="S26" t="s">
        <v>289</v>
      </c>
      <c r="T26" t="s">
        <v>289</v>
      </c>
      <c r="U26" t="s">
        <v>280</v>
      </c>
      <c r="V26" t="s">
        <v>294</v>
      </c>
      <c r="W26">
        <v>55</v>
      </c>
      <c r="X26" t="s">
        <v>312</v>
      </c>
      <c r="Y26" t="s">
        <v>311</v>
      </c>
      <c r="Z26" t="s">
        <v>310</v>
      </c>
      <c r="AA26" t="s">
        <v>292</v>
      </c>
      <c r="AB26" t="s">
        <v>291</v>
      </c>
      <c r="AD26" t="s">
        <v>309</v>
      </c>
      <c r="AE26" t="s">
        <v>290</v>
      </c>
      <c r="AF26" t="s">
        <v>289</v>
      </c>
      <c r="AG26" t="s">
        <v>289</v>
      </c>
      <c r="AH26" t="s">
        <v>289</v>
      </c>
      <c r="AI26" t="s">
        <v>289</v>
      </c>
      <c r="AJ26">
        <v>44.2689629999999</v>
      </c>
      <c r="AK26">
        <v>-102.829330999999</v>
      </c>
      <c r="AL26" t="s">
        <v>395</v>
      </c>
      <c r="AM26" t="s">
        <v>287</v>
      </c>
      <c r="AN26" t="s">
        <v>305</v>
      </c>
      <c r="AO26" t="s">
        <v>305</v>
      </c>
      <c r="AP26" t="s">
        <v>475</v>
      </c>
      <c r="AQ26" t="s">
        <v>305</v>
      </c>
      <c r="AR26" t="s">
        <v>304</v>
      </c>
      <c r="AS26">
        <v>55</v>
      </c>
      <c r="AT26" t="s">
        <v>303</v>
      </c>
      <c r="AU26" t="s">
        <v>303</v>
      </c>
    </row>
    <row r="27" spans="1:47" x14ac:dyDescent="0.25">
      <c r="A27">
        <v>29</v>
      </c>
      <c r="B27">
        <v>1511659</v>
      </c>
      <c r="C27" s="250">
        <v>42270.925694444442</v>
      </c>
      <c r="D27" t="s">
        <v>297</v>
      </c>
      <c r="E27" t="s">
        <v>289</v>
      </c>
      <c r="I27">
        <v>-1</v>
      </c>
      <c r="K27" t="s">
        <v>295</v>
      </c>
      <c r="L27" t="s">
        <v>296</v>
      </c>
      <c r="M27" t="s">
        <v>295</v>
      </c>
      <c r="N27" t="s">
        <v>295</v>
      </c>
      <c r="P27" t="s">
        <v>289</v>
      </c>
      <c r="Q27">
        <v>2015</v>
      </c>
      <c r="R27" t="s">
        <v>289</v>
      </c>
      <c r="S27" t="s">
        <v>289</v>
      </c>
      <c r="T27" t="s">
        <v>289</v>
      </c>
      <c r="U27" t="s">
        <v>277</v>
      </c>
      <c r="V27" t="s">
        <v>294</v>
      </c>
      <c r="W27">
        <v>55</v>
      </c>
      <c r="X27" t="s">
        <v>285</v>
      </c>
      <c r="Y27" t="s">
        <v>322</v>
      </c>
      <c r="Z27" t="s">
        <v>310</v>
      </c>
      <c r="AA27" t="s">
        <v>292</v>
      </c>
      <c r="AB27" t="s">
        <v>291</v>
      </c>
      <c r="AD27" t="s">
        <v>285</v>
      </c>
      <c r="AE27" t="s">
        <v>290</v>
      </c>
      <c r="AF27" t="s">
        <v>289</v>
      </c>
      <c r="AG27" t="s">
        <v>289</v>
      </c>
      <c r="AH27" t="s">
        <v>289</v>
      </c>
      <c r="AI27" t="s">
        <v>289</v>
      </c>
      <c r="AJ27">
        <v>44.387450000000001</v>
      </c>
      <c r="AK27">
        <v>-102.84342100000001</v>
      </c>
      <c r="AL27" t="s">
        <v>288</v>
      </c>
      <c r="AM27" t="s">
        <v>441</v>
      </c>
      <c r="AN27" t="s">
        <v>285</v>
      </c>
      <c r="AO27" t="s">
        <v>286</v>
      </c>
      <c r="AP27" t="s">
        <v>277</v>
      </c>
      <c r="AQ27" t="s">
        <v>285</v>
      </c>
      <c r="AR27" t="s">
        <v>277</v>
      </c>
      <c r="AS27">
        <v>0</v>
      </c>
      <c r="AT27" t="s">
        <v>277</v>
      </c>
      <c r="AU27" t="s">
        <v>277</v>
      </c>
    </row>
    <row r="28" spans="1:47" x14ac:dyDescent="0.25">
      <c r="A28">
        <v>30</v>
      </c>
      <c r="B28">
        <v>1512781</v>
      </c>
      <c r="C28" s="250">
        <v>42300.791666666664</v>
      </c>
      <c r="D28" t="s">
        <v>297</v>
      </c>
      <c r="E28" t="s">
        <v>289</v>
      </c>
      <c r="I28">
        <v>-1</v>
      </c>
      <c r="K28" t="s">
        <v>295</v>
      </c>
      <c r="L28" t="s">
        <v>296</v>
      </c>
      <c r="M28" t="s">
        <v>295</v>
      </c>
      <c r="N28" t="s">
        <v>295</v>
      </c>
      <c r="P28" t="s">
        <v>289</v>
      </c>
      <c r="Q28">
        <v>2015</v>
      </c>
      <c r="R28" t="s">
        <v>289</v>
      </c>
      <c r="S28" t="s">
        <v>289</v>
      </c>
      <c r="T28" t="s">
        <v>289</v>
      </c>
      <c r="U28" t="s">
        <v>277</v>
      </c>
      <c r="V28" t="s">
        <v>294</v>
      </c>
      <c r="W28">
        <v>55</v>
      </c>
      <c r="X28" t="s">
        <v>285</v>
      </c>
      <c r="Y28" t="s">
        <v>322</v>
      </c>
      <c r="Z28" t="s">
        <v>310</v>
      </c>
      <c r="AA28" t="s">
        <v>292</v>
      </c>
      <c r="AB28" t="s">
        <v>291</v>
      </c>
      <c r="AD28" t="s">
        <v>285</v>
      </c>
      <c r="AE28" t="s">
        <v>290</v>
      </c>
      <c r="AF28" t="s">
        <v>289</v>
      </c>
      <c r="AG28" t="s">
        <v>289</v>
      </c>
      <c r="AH28" t="s">
        <v>289</v>
      </c>
      <c r="AI28" t="s">
        <v>289</v>
      </c>
      <c r="AJ28">
        <v>44.414459999999899</v>
      </c>
      <c r="AK28">
        <v>-102.791375</v>
      </c>
      <c r="AL28" t="s">
        <v>288</v>
      </c>
      <c r="AM28" t="s">
        <v>287</v>
      </c>
      <c r="AN28" t="s">
        <v>285</v>
      </c>
      <c r="AO28" t="s">
        <v>286</v>
      </c>
      <c r="AP28" t="s">
        <v>277</v>
      </c>
      <c r="AQ28" t="s">
        <v>285</v>
      </c>
      <c r="AR28" t="s">
        <v>277</v>
      </c>
      <c r="AS28">
        <v>0</v>
      </c>
      <c r="AT28" t="s">
        <v>277</v>
      </c>
      <c r="AU28" t="s">
        <v>277</v>
      </c>
    </row>
    <row r="29" spans="1:47" x14ac:dyDescent="0.25">
      <c r="A29">
        <v>31</v>
      </c>
      <c r="B29">
        <v>1514632</v>
      </c>
      <c r="C29" s="250">
        <v>42328.345833333333</v>
      </c>
      <c r="D29" t="s">
        <v>297</v>
      </c>
      <c r="E29" t="s">
        <v>289</v>
      </c>
      <c r="H29" t="s">
        <v>474</v>
      </c>
      <c r="I29">
        <v>0</v>
      </c>
      <c r="K29" t="s">
        <v>473</v>
      </c>
      <c r="L29" t="s">
        <v>345</v>
      </c>
      <c r="M29" t="s">
        <v>472</v>
      </c>
      <c r="N29" t="s">
        <v>471</v>
      </c>
      <c r="P29" t="s">
        <v>289</v>
      </c>
      <c r="Q29">
        <v>2015</v>
      </c>
      <c r="R29" t="s">
        <v>324</v>
      </c>
      <c r="S29" t="s">
        <v>289</v>
      </c>
      <c r="T29" t="s">
        <v>289</v>
      </c>
      <c r="U29" t="s">
        <v>280</v>
      </c>
      <c r="V29" t="s">
        <v>294</v>
      </c>
      <c r="W29">
        <v>55</v>
      </c>
      <c r="X29" t="s">
        <v>312</v>
      </c>
      <c r="Y29" t="s">
        <v>311</v>
      </c>
      <c r="Z29" t="s">
        <v>310</v>
      </c>
      <c r="AA29" t="s">
        <v>292</v>
      </c>
      <c r="AB29" t="s">
        <v>291</v>
      </c>
      <c r="AD29" t="s">
        <v>340</v>
      </c>
      <c r="AE29" t="s">
        <v>435</v>
      </c>
      <c r="AF29" t="s">
        <v>289</v>
      </c>
      <c r="AG29" t="s">
        <v>289</v>
      </c>
      <c r="AH29" t="s">
        <v>289</v>
      </c>
      <c r="AI29" t="s">
        <v>289</v>
      </c>
      <c r="AJ29">
        <v>44.358120999999898</v>
      </c>
      <c r="AK29">
        <v>-102.843281</v>
      </c>
      <c r="AL29" t="s">
        <v>470</v>
      </c>
      <c r="AM29" t="s">
        <v>469</v>
      </c>
      <c r="AN29" t="s">
        <v>468</v>
      </c>
      <c r="AO29" t="s">
        <v>467</v>
      </c>
      <c r="AP29" t="s">
        <v>466</v>
      </c>
      <c r="AQ29" t="s">
        <v>466</v>
      </c>
      <c r="AR29" t="s">
        <v>465</v>
      </c>
      <c r="AS29" t="s">
        <v>464</v>
      </c>
      <c r="AT29" t="s">
        <v>303</v>
      </c>
      <c r="AU29" t="s">
        <v>303</v>
      </c>
    </row>
    <row r="30" spans="1:47" x14ac:dyDescent="0.25">
      <c r="A30">
        <v>33</v>
      </c>
      <c r="B30">
        <v>1515000</v>
      </c>
      <c r="C30" s="250">
        <v>42333.631249999999</v>
      </c>
      <c r="D30" t="s">
        <v>297</v>
      </c>
      <c r="E30" t="s">
        <v>289</v>
      </c>
      <c r="I30">
        <v>-1</v>
      </c>
      <c r="K30" t="s">
        <v>295</v>
      </c>
      <c r="L30" t="s">
        <v>412</v>
      </c>
      <c r="M30" t="s">
        <v>295</v>
      </c>
      <c r="N30" t="s">
        <v>295</v>
      </c>
      <c r="P30" t="s">
        <v>289</v>
      </c>
      <c r="Q30">
        <v>2015</v>
      </c>
      <c r="R30" t="s">
        <v>289</v>
      </c>
      <c r="S30" t="s">
        <v>289</v>
      </c>
      <c r="T30" t="s">
        <v>289</v>
      </c>
      <c r="U30" t="s">
        <v>277</v>
      </c>
      <c r="V30" t="s">
        <v>294</v>
      </c>
      <c r="W30">
        <v>55</v>
      </c>
      <c r="X30" t="s">
        <v>285</v>
      </c>
      <c r="Y30" t="s">
        <v>311</v>
      </c>
      <c r="Z30" t="s">
        <v>310</v>
      </c>
      <c r="AA30" t="s">
        <v>292</v>
      </c>
      <c r="AB30" t="s">
        <v>291</v>
      </c>
      <c r="AD30" t="s">
        <v>285</v>
      </c>
      <c r="AE30" t="s">
        <v>331</v>
      </c>
      <c r="AF30" t="s">
        <v>289</v>
      </c>
      <c r="AG30" t="s">
        <v>289</v>
      </c>
      <c r="AH30" t="s">
        <v>289</v>
      </c>
      <c r="AI30" t="s">
        <v>289</v>
      </c>
      <c r="AJ30">
        <v>44.317456999999898</v>
      </c>
      <c r="AK30">
        <v>-102.828965999999</v>
      </c>
      <c r="AL30" t="s">
        <v>288</v>
      </c>
      <c r="AM30" t="s">
        <v>307</v>
      </c>
      <c r="AN30" t="s">
        <v>285</v>
      </c>
      <c r="AO30" t="s">
        <v>286</v>
      </c>
      <c r="AP30" t="s">
        <v>277</v>
      </c>
      <c r="AQ30" t="s">
        <v>285</v>
      </c>
      <c r="AR30" t="s">
        <v>277</v>
      </c>
      <c r="AS30">
        <v>0</v>
      </c>
      <c r="AT30" t="s">
        <v>277</v>
      </c>
      <c r="AU30" t="s">
        <v>277</v>
      </c>
    </row>
    <row r="31" spans="1:47" x14ac:dyDescent="0.25">
      <c r="A31">
        <v>34</v>
      </c>
      <c r="B31">
        <v>1516391</v>
      </c>
      <c r="C31" s="250">
        <v>42353.572916666664</v>
      </c>
      <c r="D31" t="s">
        <v>297</v>
      </c>
      <c r="E31" t="s">
        <v>289</v>
      </c>
      <c r="G31" t="s">
        <v>315</v>
      </c>
      <c r="H31" t="s">
        <v>314</v>
      </c>
      <c r="I31">
        <v>0</v>
      </c>
      <c r="K31" t="s">
        <v>372</v>
      </c>
      <c r="L31" t="s">
        <v>333</v>
      </c>
      <c r="M31" t="s">
        <v>332</v>
      </c>
      <c r="N31" t="s">
        <v>332</v>
      </c>
      <c r="P31" t="s">
        <v>289</v>
      </c>
      <c r="Q31">
        <v>2015</v>
      </c>
      <c r="R31" t="s">
        <v>324</v>
      </c>
      <c r="S31" t="s">
        <v>289</v>
      </c>
      <c r="T31" t="s">
        <v>289</v>
      </c>
      <c r="U31" t="s">
        <v>278</v>
      </c>
      <c r="V31" t="s">
        <v>294</v>
      </c>
      <c r="W31">
        <v>55</v>
      </c>
      <c r="X31" t="s">
        <v>460</v>
      </c>
      <c r="Y31" t="s">
        <v>311</v>
      </c>
      <c r="Z31" t="s">
        <v>310</v>
      </c>
      <c r="AA31" t="s">
        <v>292</v>
      </c>
      <c r="AB31" t="s">
        <v>291</v>
      </c>
      <c r="AD31" t="s">
        <v>309</v>
      </c>
      <c r="AE31" t="s">
        <v>463</v>
      </c>
      <c r="AF31" t="s">
        <v>324</v>
      </c>
      <c r="AG31" t="s">
        <v>289</v>
      </c>
      <c r="AH31" t="s">
        <v>289</v>
      </c>
      <c r="AI31" t="s">
        <v>289</v>
      </c>
      <c r="AJ31">
        <v>44.196738000000003</v>
      </c>
      <c r="AK31">
        <v>-102.829443999999</v>
      </c>
      <c r="AL31" t="s">
        <v>330</v>
      </c>
      <c r="AM31" t="s">
        <v>307</v>
      </c>
      <c r="AN31" t="s">
        <v>426</v>
      </c>
      <c r="AO31" t="s">
        <v>329</v>
      </c>
      <c r="AP31" t="s">
        <v>305</v>
      </c>
      <c r="AQ31" t="s">
        <v>305</v>
      </c>
      <c r="AR31" t="s">
        <v>304</v>
      </c>
      <c r="AS31">
        <v>50</v>
      </c>
      <c r="AT31" t="s">
        <v>303</v>
      </c>
      <c r="AU31" t="s">
        <v>303</v>
      </c>
    </row>
    <row r="32" spans="1:47" x14ac:dyDescent="0.25">
      <c r="A32">
        <v>35</v>
      </c>
      <c r="B32">
        <v>1601701</v>
      </c>
      <c r="C32" s="250">
        <v>42414.951388888891</v>
      </c>
      <c r="D32" t="s">
        <v>297</v>
      </c>
      <c r="E32" t="s">
        <v>289</v>
      </c>
      <c r="G32" t="s">
        <v>315</v>
      </c>
      <c r="H32" t="s">
        <v>314</v>
      </c>
      <c r="I32">
        <v>0</v>
      </c>
      <c r="K32" t="s">
        <v>370</v>
      </c>
      <c r="L32" t="s">
        <v>296</v>
      </c>
      <c r="M32" t="s">
        <v>370</v>
      </c>
      <c r="N32" t="s">
        <v>370</v>
      </c>
      <c r="P32" t="s">
        <v>289</v>
      </c>
      <c r="Q32">
        <v>2016</v>
      </c>
      <c r="R32" t="s">
        <v>289</v>
      </c>
      <c r="S32" t="s">
        <v>289</v>
      </c>
      <c r="T32" t="s">
        <v>289</v>
      </c>
      <c r="U32" t="s">
        <v>280</v>
      </c>
      <c r="V32" t="s">
        <v>294</v>
      </c>
      <c r="W32">
        <v>55</v>
      </c>
      <c r="X32" t="s">
        <v>460</v>
      </c>
      <c r="Y32" t="s">
        <v>322</v>
      </c>
      <c r="Z32" t="s">
        <v>310</v>
      </c>
      <c r="AA32" t="s">
        <v>292</v>
      </c>
      <c r="AB32" t="s">
        <v>291</v>
      </c>
      <c r="AD32" t="s">
        <v>309</v>
      </c>
      <c r="AE32" t="s">
        <v>290</v>
      </c>
      <c r="AF32" t="s">
        <v>289</v>
      </c>
      <c r="AG32" t="s">
        <v>289</v>
      </c>
      <c r="AH32" t="s">
        <v>289</v>
      </c>
      <c r="AI32" t="s">
        <v>289</v>
      </c>
      <c r="AJ32">
        <v>44.426889000000003</v>
      </c>
      <c r="AK32">
        <v>-102.797415</v>
      </c>
      <c r="AL32" t="s">
        <v>299</v>
      </c>
      <c r="AM32" t="s">
        <v>441</v>
      </c>
      <c r="AN32" t="s">
        <v>305</v>
      </c>
      <c r="AO32" t="s">
        <v>286</v>
      </c>
      <c r="AP32" t="s">
        <v>305</v>
      </c>
      <c r="AQ32" t="s">
        <v>305</v>
      </c>
      <c r="AR32" t="s">
        <v>304</v>
      </c>
      <c r="AS32">
        <v>55</v>
      </c>
      <c r="AT32" t="s">
        <v>303</v>
      </c>
      <c r="AU32" t="s">
        <v>303</v>
      </c>
    </row>
    <row r="33" spans="1:47" x14ac:dyDescent="0.25">
      <c r="A33">
        <v>36</v>
      </c>
      <c r="B33">
        <v>1605089</v>
      </c>
      <c r="C33" s="250">
        <v>42498.854166666664</v>
      </c>
      <c r="D33" t="s">
        <v>297</v>
      </c>
      <c r="E33" t="s">
        <v>289</v>
      </c>
      <c r="I33">
        <v>-1</v>
      </c>
      <c r="K33" t="s">
        <v>295</v>
      </c>
      <c r="L33" t="s">
        <v>296</v>
      </c>
      <c r="M33" t="s">
        <v>295</v>
      </c>
      <c r="N33" t="s">
        <v>295</v>
      </c>
      <c r="P33" t="s">
        <v>289</v>
      </c>
      <c r="Q33">
        <v>2016</v>
      </c>
      <c r="R33" t="s">
        <v>289</v>
      </c>
      <c r="S33" t="s">
        <v>289</v>
      </c>
      <c r="T33" t="s">
        <v>289</v>
      </c>
      <c r="U33" t="s">
        <v>277</v>
      </c>
      <c r="V33" t="s">
        <v>294</v>
      </c>
      <c r="W33">
        <v>55</v>
      </c>
      <c r="X33" t="s">
        <v>285</v>
      </c>
      <c r="Y33" t="s">
        <v>322</v>
      </c>
      <c r="Z33" t="s">
        <v>310</v>
      </c>
      <c r="AA33" t="s">
        <v>292</v>
      </c>
      <c r="AB33" t="s">
        <v>291</v>
      </c>
      <c r="AD33" t="s">
        <v>285</v>
      </c>
      <c r="AE33" t="s">
        <v>290</v>
      </c>
      <c r="AF33" t="s">
        <v>289</v>
      </c>
      <c r="AG33" t="s">
        <v>289</v>
      </c>
      <c r="AH33" t="s">
        <v>289</v>
      </c>
      <c r="AI33" t="s">
        <v>289</v>
      </c>
      <c r="AJ33">
        <v>44.176073000000002</v>
      </c>
      <c r="AK33">
        <v>-102.829723999999</v>
      </c>
      <c r="AL33" t="s">
        <v>288</v>
      </c>
      <c r="AM33" t="s">
        <v>287</v>
      </c>
      <c r="AN33" t="s">
        <v>285</v>
      </c>
      <c r="AO33" t="s">
        <v>286</v>
      </c>
      <c r="AP33" t="s">
        <v>277</v>
      </c>
      <c r="AQ33" t="s">
        <v>285</v>
      </c>
      <c r="AR33" t="s">
        <v>277</v>
      </c>
      <c r="AS33">
        <v>0</v>
      </c>
      <c r="AT33" t="s">
        <v>277</v>
      </c>
      <c r="AU33" t="s">
        <v>277</v>
      </c>
    </row>
    <row r="34" spans="1:47" x14ac:dyDescent="0.25">
      <c r="A34">
        <v>37</v>
      </c>
      <c r="B34">
        <v>1605728</v>
      </c>
      <c r="C34" s="250">
        <v>42469.32708333333</v>
      </c>
      <c r="D34" t="s">
        <v>297</v>
      </c>
      <c r="E34" t="s">
        <v>289</v>
      </c>
      <c r="F34" t="s">
        <v>462</v>
      </c>
      <c r="G34" t="s">
        <v>335</v>
      </c>
      <c r="H34" t="s">
        <v>314</v>
      </c>
      <c r="I34">
        <v>0</v>
      </c>
      <c r="K34" t="s">
        <v>461</v>
      </c>
      <c r="L34" t="s">
        <v>296</v>
      </c>
      <c r="M34" t="s">
        <v>332</v>
      </c>
      <c r="N34" t="s">
        <v>332</v>
      </c>
      <c r="P34" t="s">
        <v>289</v>
      </c>
      <c r="Q34">
        <v>2016</v>
      </c>
      <c r="R34" t="s">
        <v>289</v>
      </c>
      <c r="S34" t="s">
        <v>289</v>
      </c>
      <c r="T34" t="s">
        <v>324</v>
      </c>
      <c r="U34" t="s">
        <v>281</v>
      </c>
      <c r="V34" t="s">
        <v>294</v>
      </c>
      <c r="W34">
        <v>55</v>
      </c>
      <c r="X34" t="s">
        <v>460</v>
      </c>
      <c r="Y34" t="s">
        <v>322</v>
      </c>
      <c r="Z34" t="s">
        <v>310</v>
      </c>
      <c r="AA34" t="s">
        <v>292</v>
      </c>
      <c r="AB34" t="s">
        <v>291</v>
      </c>
      <c r="AD34" t="s">
        <v>309</v>
      </c>
      <c r="AE34" t="s">
        <v>290</v>
      </c>
      <c r="AF34" t="s">
        <v>324</v>
      </c>
      <c r="AG34" t="s">
        <v>289</v>
      </c>
      <c r="AH34" t="s">
        <v>289</v>
      </c>
      <c r="AI34" t="s">
        <v>289</v>
      </c>
      <c r="AJ34">
        <v>44.483483999999898</v>
      </c>
      <c r="AK34">
        <v>-102.820002</v>
      </c>
      <c r="AL34" t="s">
        <v>330</v>
      </c>
      <c r="AM34" t="s">
        <v>307</v>
      </c>
      <c r="AN34" t="s">
        <v>444</v>
      </c>
      <c r="AO34" t="s">
        <v>305</v>
      </c>
      <c r="AP34" t="s">
        <v>305</v>
      </c>
      <c r="AQ34" t="s">
        <v>305</v>
      </c>
      <c r="AR34" t="s">
        <v>459</v>
      </c>
      <c r="AS34">
        <v>75</v>
      </c>
      <c r="AT34" t="s">
        <v>303</v>
      </c>
      <c r="AU34" t="s">
        <v>303</v>
      </c>
    </row>
    <row r="35" spans="1:47" x14ac:dyDescent="0.25">
      <c r="A35">
        <v>38</v>
      </c>
      <c r="B35">
        <v>1605729</v>
      </c>
      <c r="C35" s="250">
        <v>42495.041666666664</v>
      </c>
      <c r="D35" t="s">
        <v>297</v>
      </c>
      <c r="E35" t="s">
        <v>289</v>
      </c>
      <c r="F35" t="s">
        <v>458</v>
      </c>
      <c r="G35" t="s">
        <v>315</v>
      </c>
      <c r="H35" t="s">
        <v>314</v>
      </c>
      <c r="I35">
        <v>0</v>
      </c>
      <c r="K35" t="s">
        <v>457</v>
      </c>
      <c r="L35" t="s">
        <v>296</v>
      </c>
      <c r="M35" t="s">
        <v>332</v>
      </c>
      <c r="N35" t="s">
        <v>332</v>
      </c>
      <c r="P35" t="s">
        <v>289</v>
      </c>
      <c r="Q35">
        <v>2016</v>
      </c>
      <c r="R35" t="s">
        <v>289</v>
      </c>
      <c r="S35" t="s">
        <v>289</v>
      </c>
      <c r="T35" t="s">
        <v>289</v>
      </c>
      <c r="U35" t="s">
        <v>281</v>
      </c>
      <c r="V35" t="s">
        <v>294</v>
      </c>
      <c r="W35">
        <v>55</v>
      </c>
      <c r="X35" t="s">
        <v>312</v>
      </c>
      <c r="Y35" t="s">
        <v>322</v>
      </c>
      <c r="Z35" t="s">
        <v>310</v>
      </c>
      <c r="AA35" t="s">
        <v>292</v>
      </c>
      <c r="AB35" t="s">
        <v>291</v>
      </c>
      <c r="AD35" t="s">
        <v>309</v>
      </c>
      <c r="AE35" t="s">
        <v>290</v>
      </c>
      <c r="AF35" t="s">
        <v>289</v>
      </c>
      <c r="AG35" t="s">
        <v>289</v>
      </c>
      <c r="AH35" t="s">
        <v>289</v>
      </c>
      <c r="AI35" t="s">
        <v>289</v>
      </c>
      <c r="AJ35">
        <v>44.496026000000001</v>
      </c>
      <c r="AK35">
        <v>-102.823915999999</v>
      </c>
      <c r="AL35" t="s">
        <v>288</v>
      </c>
      <c r="AM35" t="s">
        <v>287</v>
      </c>
      <c r="AN35" t="s">
        <v>305</v>
      </c>
      <c r="AO35" t="s">
        <v>305</v>
      </c>
      <c r="AP35" t="s">
        <v>456</v>
      </c>
      <c r="AQ35" t="s">
        <v>305</v>
      </c>
      <c r="AR35" t="s">
        <v>304</v>
      </c>
      <c r="AS35">
        <v>55</v>
      </c>
      <c r="AT35" t="s">
        <v>303</v>
      </c>
      <c r="AU35" t="s">
        <v>303</v>
      </c>
    </row>
    <row r="36" spans="1:47" x14ac:dyDescent="0.25">
      <c r="A36">
        <v>39</v>
      </c>
      <c r="B36">
        <v>1606503</v>
      </c>
      <c r="C36" s="250">
        <v>42528.78125</v>
      </c>
      <c r="D36" t="s">
        <v>297</v>
      </c>
      <c r="E36" t="s">
        <v>289</v>
      </c>
      <c r="F36" t="s">
        <v>455</v>
      </c>
      <c r="G36" t="s">
        <v>335</v>
      </c>
      <c r="H36" t="s">
        <v>314</v>
      </c>
      <c r="I36">
        <v>0</v>
      </c>
      <c r="K36" t="s">
        <v>372</v>
      </c>
      <c r="L36" t="s">
        <v>296</v>
      </c>
      <c r="M36" t="s">
        <v>332</v>
      </c>
      <c r="N36" t="s">
        <v>332</v>
      </c>
      <c r="P36" t="s">
        <v>289</v>
      </c>
      <c r="Q36">
        <v>2016</v>
      </c>
      <c r="R36" t="s">
        <v>324</v>
      </c>
      <c r="S36" t="s">
        <v>289</v>
      </c>
      <c r="T36" t="s">
        <v>289</v>
      </c>
      <c r="U36" t="s">
        <v>278</v>
      </c>
      <c r="V36" t="s">
        <v>294</v>
      </c>
      <c r="W36">
        <v>55</v>
      </c>
      <c r="X36" t="s">
        <v>312</v>
      </c>
      <c r="Y36" t="s">
        <v>311</v>
      </c>
      <c r="Z36" t="s">
        <v>310</v>
      </c>
      <c r="AA36" t="s">
        <v>292</v>
      </c>
      <c r="AB36" t="s">
        <v>291</v>
      </c>
      <c r="AD36" t="s">
        <v>340</v>
      </c>
      <c r="AE36" t="s">
        <v>290</v>
      </c>
      <c r="AF36" t="s">
        <v>289</v>
      </c>
      <c r="AG36" t="s">
        <v>289</v>
      </c>
      <c r="AH36" t="s">
        <v>324</v>
      </c>
      <c r="AI36" t="s">
        <v>289</v>
      </c>
      <c r="AJ36">
        <v>44.394438999999899</v>
      </c>
      <c r="AK36">
        <v>-102.841763</v>
      </c>
      <c r="AL36" t="s">
        <v>288</v>
      </c>
      <c r="AM36" t="s">
        <v>307</v>
      </c>
      <c r="AN36" t="s">
        <v>445</v>
      </c>
      <c r="AO36" t="s">
        <v>305</v>
      </c>
      <c r="AP36" t="s">
        <v>305</v>
      </c>
      <c r="AQ36" t="s">
        <v>305</v>
      </c>
      <c r="AR36" t="s">
        <v>316</v>
      </c>
      <c r="AS36">
        <v>80</v>
      </c>
      <c r="AT36" t="s">
        <v>303</v>
      </c>
      <c r="AU36" t="s">
        <v>303</v>
      </c>
    </row>
    <row r="37" spans="1:47" x14ac:dyDescent="0.25">
      <c r="A37">
        <v>40</v>
      </c>
      <c r="B37">
        <v>1612593</v>
      </c>
      <c r="C37" s="250">
        <v>42644.372916666667</v>
      </c>
      <c r="D37" t="s">
        <v>297</v>
      </c>
      <c r="E37" t="s">
        <v>289</v>
      </c>
      <c r="I37">
        <v>-1</v>
      </c>
      <c r="K37" t="s">
        <v>295</v>
      </c>
      <c r="L37" t="s">
        <v>296</v>
      </c>
      <c r="M37" t="s">
        <v>295</v>
      </c>
      <c r="N37" t="s">
        <v>295</v>
      </c>
      <c r="P37" t="s">
        <v>289</v>
      </c>
      <c r="Q37">
        <v>2016</v>
      </c>
      <c r="R37" t="s">
        <v>289</v>
      </c>
      <c r="S37" t="s">
        <v>289</v>
      </c>
      <c r="T37" t="s">
        <v>289</v>
      </c>
      <c r="U37" t="s">
        <v>277</v>
      </c>
      <c r="V37" t="s">
        <v>294</v>
      </c>
      <c r="W37">
        <v>55</v>
      </c>
      <c r="X37" t="s">
        <v>285</v>
      </c>
      <c r="Y37" t="s">
        <v>311</v>
      </c>
      <c r="Z37" t="s">
        <v>310</v>
      </c>
      <c r="AA37" t="s">
        <v>292</v>
      </c>
      <c r="AB37" t="s">
        <v>291</v>
      </c>
      <c r="AD37" t="s">
        <v>285</v>
      </c>
      <c r="AE37" t="s">
        <v>290</v>
      </c>
      <c r="AF37" t="s">
        <v>289</v>
      </c>
      <c r="AG37" t="s">
        <v>289</v>
      </c>
      <c r="AH37" t="s">
        <v>289</v>
      </c>
      <c r="AI37" t="s">
        <v>289</v>
      </c>
      <c r="AJ37">
        <v>44.4040409999999</v>
      </c>
      <c r="AK37">
        <v>-102.78976</v>
      </c>
      <c r="AL37" t="s">
        <v>299</v>
      </c>
      <c r="AM37" t="s">
        <v>307</v>
      </c>
      <c r="AN37" t="s">
        <v>285</v>
      </c>
      <c r="AO37" t="s">
        <v>286</v>
      </c>
      <c r="AP37" t="s">
        <v>277</v>
      </c>
      <c r="AQ37" t="s">
        <v>285</v>
      </c>
      <c r="AR37" t="s">
        <v>277</v>
      </c>
      <c r="AS37">
        <v>0</v>
      </c>
      <c r="AT37" t="s">
        <v>277</v>
      </c>
      <c r="AU37" t="s">
        <v>277</v>
      </c>
    </row>
    <row r="38" spans="1:47" x14ac:dyDescent="0.25">
      <c r="A38">
        <v>41</v>
      </c>
      <c r="B38">
        <v>1614356</v>
      </c>
      <c r="C38" s="250">
        <v>42686.125</v>
      </c>
      <c r="D38" t="s">
        <v>297</v>
      </c>
      <c r="E38" t="s">
        <v>289</v>
      </c>
      <c r="I38">
        <v>-1</v>
      </c>
      <c r="K38" t="s">
        <v>295</v>
      </c>
      <c r="L38" t="s">
        <v>296</v>
      </c>
      <c r="M38" t="s">
        <v>295</v>
      </c>
      <c r="N38" t="s">
        <v>295</v>
      </c>
      <c r="P38" t="s">
        <v>289</v>
      </c>
      <c r="Q38">
        <v>2016</v>
      </c>
      <c r="R38" t="s">
        <v>289</v>
      </c>
      <c r="S38" t="s">
        <v>289</v>
      </c>
      <c r="T38" t="s">
        <v>289</v>
      </c>
      <c r="U38" t="s">
        <v>277</v>
      </c>
      <c r="V38" t="s">
        <v>294</v>
      </c>
      <c r="W38">
        <v>55</v>
      </c>
      <c r="X38" t="s">
        <v>285</v>
      </c>
      <c r="Y38" t="s">
        <v>322</v>
      </c>
      <c r="Z38" t="s">
        <v>310</v>
      </c>
      <c r="AA38" t="s">
        <v>292</v>
      </c>
      <c r="AB38" t="s">
        <v>291</v>
      </c>
      <c r="AD38" t="s">
        <v>285</v>
      </c>
      <c r="AE38" t="s">
        <v>290</v>
      </c>
      <c r="AF38" t="s">
        <v>289</v>
      </c>
      <c r="AG38" t="s">
        <v>289</v>
      </c>
      <c r="AH38" t="s">
        <v>289</v>
      </c>
      <c r="AI38" t="s">
        <v>289</v>
      </c>
      <c r="AJ38">
        <v>44.212065000000003</v>
      </c>
      <c r="AK38">
        <v>-102.829493999999</v>
      </c>
      <c r="AL38" t="s">
        <v>330</v>
      </c>
      <c r="AM38" t="s">
        <v>307</v>
      </c>
      <c r="AN38" t="s">
        <v>285</v>
      </c>
      <c r="AO38" t="s">
        <v>286</v>
      </c>
      <c r="AP38" t="s">
        <v>277</v>
      </c>
      <c r="AQ38" t="s">
        <v>285</v>
      </c>
      <c r="AR38" t="s">
        <v>277</v>
      </c>
      <c r="AS38">
        <v>0</v>
      </c>
      <c r="AT38" t="s">
        <v>277</v>
      </c>
      <c r="AU38" t="s">
        <v>277</v>
      </c>
    </row>
    <row r="39" spans="1:47" x14ac:dyDescent="0.25">
      <c r="A39">
        <v>42</v>
      </c>
      <c r="B39">
        <v>1615319</v>
      </c>
      <c r="C39" s="250">
        <v>42696.729166666664</v>
      </c>
      <c r="D39" t="s">
        <v>297</v>
      </c>
      <c r="E39" t="s">
        <v>289</v>
      </c>
      <c r="I39">
        <v>-1</v>
      </c>
      <c r="K39" t="s">
        <v>295</v>
      </c>
      <c r="L39" t="s">
        <v>296</v>
      </c>
      <c r="M39" t="s">
        <v>295</v>
      </c>
      <c r="N39" t="s">
        <v>295</v>
      </c>
      <c r="P39" t="s">
        <v>289</v>
      </c>
      <c r="Q39">
        <v>2016</v>
      </c>
      <c r="R39" t="s">
        <v>289</v>
      </c>
      <c r="S39" t="s">
        <v>289</v>
      </c>
      <c r="T39" t="s">
        <v>289</v>
      </c>
      <c r="U39" t="s">
        <v>277</v>
      </c>
      <c r="V39" t="s">
        <v>294</v>
      </c>
      <c r="W39">
        <v>55</v>
      </c>
      <c r="X39" t="s">
        <v>285</v>
      </c>
      <c r="Y39" t="s">
        <v>322</v>
      </c>
      <c r="Z39" t="s">
        <v>310</v>
      </c>
      <c r="AA39" t="s">
        <v>292</v>
      </c>
      <c r="AB39" t="s">
        <v>291</v>
      </c>
      <c r="AD39" t="s">
        <v>285</v>
      </c>
      <c r="AE39" t="s">
        <v>290</v>
      </c>
      <c r="AF39" t="s">
        <v>289</v>
      </c>
      <c r="AG39" t="s">
        <v>289</v>
      </c>
      <c r="AH39" t="s">
        <v>289</v>
      </c>
      <c r="AI39" t="s">
        <v>289</v>
      </c>
      <c r="AJ39">
        <v>44.355725999999898</v>
      </c>
      <c r="AK39">
        <v>-102.840114999999</v>
      </c>
      <c r="AL39" t="s">
        <v>330</v>
      </c>
      <c r="AM39" t="s">
        <v>287</v>
      </c>
      <c r="AN39" t="s">
        <v>285</v>
      </c>
      <c r="AO39" t="s">
        <v>286</v>
      </c>
      <c r="AP39" t="s">
        <v>277</v>
      </c>
      <c r="AQ39" t="s">
        <v>285</v>
      </c>
      <c r="AR39" t="s">
        <v>277</v>
      </c>
      <c r="AS39">
        <v>0</v>
      </c>
      <c r="AT39" t="s">
        <v>277</v>
      </c>
      <c r="AU39" t="s">
        <v>277</v>
      </c>
    </row>
    <row r="40" spans="1:47" x14ac:dyDescent="0.25">
      <c r="A40">
        <v>45</v>
      </c>
      <c r="B40">
        <v>1616326</v>
      </c>
      <c r="C40" s="250">
        <v>42714.440972222219</v>
      </c>
      <c r="D40" t="s">
        <v>297</v>
      </c>
      <c r="E40" t="s">
        <v>289</v>
      </c>
      <c r="G40" t="s">
        <v>315</v>
      </c>
      <c r="H40" t="s">
        <v>314</v>
      </c>
      <c r="I40">
        <v>0</v>
      </c>
      <c r="K40" t="s">
        <v>454</v>
      </c>
      <c r="L40" t="s">
        <v>296</v>
      </c>
      <c r="M40" t="s">
        <v>451</v>
      </c>
      <c r="N40" t="s">
        <v>453</v>
      </c>
      <c r="P40" t="s">
        <v>289</v>
      </c>
      <c r="Q40">
        <v>2016</v>
      </c>
      <c r="R40" t="s">
        <v>289</v>
      </c>
      <c r="S40" t="s">
        <v>289</v>
      </c>
      <c r="T40" t="s">
        <v>289</v>
      </c>
      <c r="U40" t="s">
        <v>280</v>
      </c>
      <c r="V40" t="s">
        <v>294</v>
      </c>
      <c r="W40">
        <v>55</v>
      </c>
      <c r="X40" t="s">
        <v>312</v>
      </c>
      <c r="Y40" t="s">
        <v>311</v>
      </c>
      <c r="Z40" t="s">
        <v>310</v>
      </c>
      <c r="AA40" t="s">
        <v>292</v>
      </c>
      <c r="AB40" t="s">
        <v>291</v>
      </c>
      <c r="AD40" t="s">
        <v>309</v>
      </c>
      <c r="AE40" t="s">
        <v>290</v>
      </c>
      <c r="AF40" t="s">
        <v>289</v>
      </c>
      <c r="AG40" t="s">
        <v>289</v>
      </c>
      <c r="AH40" t="s">
        <v>289</v>
      </c>
      <c r="AI40" t="s">
        <v>289</v>
      </c>
      <c r="AJ40">
        <v>44.398744999999899</v>
      </c>
      <c r="AK40">
        <v>-102.820239</v>
      </c>
      <c r="AL40" t="s">
        <v>330</v>
      </c>
      <c r="AM40" t="s">
        <v>307</v>
      </c>
      <c r="AN40" t="s">
        <v>403</v>
      </c>
      <c r="AO40" t="s">
        <v>305</v>
      </c>
      <c r="AP40" t="s">
        <v>305</v>
      </c>
      <c r="AQ40" t="s">
        <v>305</v>
      </c>
      <c r="AR40" t="s">
        <v>304</v>
      </c>
      <c r="AS40">
        <v>50</v>
      </c>
      <c r="AT40" t="s">
        <v>303</v>
      </c>
      <c r="AU40" t="s">
        <v>303</v>
      </c>
    </row>
    <row r="41" spans="1:47" x14ac:dyDescent="0.25">
      <c r="A41">
        <v>46</v>
      </c>
      <c r="B41">
        <v>1616828</v>
      </c>
      <c r="C41" s="250">
        <v>42713.479166666664</v>
      </c>
      <c r="D41" t="s">
        <v>297</v>
      </c>
      <c r="E41" t="s">
        <v>289</v>
      </c>
      <c r="G41" t="s">
        <v>315</v>
      </c>
      <c r="H41" t="s">
        <v>314</v>
      </c>
      <c r="I41">
        <v>0</v>
      </c>
      <c r="K41" t="s">
        <v>452</v>
      </c>
      <c r="L41" t="s">
        <v>331</v>
      </c>
      <c r="M41" t="s">
        <v>451</v>
      </c>
      <c r="N41" t="s">
        <v>451</v>
      </c>
      <c r="P41" t="s">
        <v>289</v>
      </c>
      <c r="Q41">
        <v>2016</v>
      </c>
      <c r="R41" t="s">
        <v>289</v>
      </c>
      <c r="S41" t="s">
        <v>289</v>
      </c>
      <c r="T41" t="s">
        <v>289</v>
      </c>
      <c r="U41" t="s">
        <v>280</v>
      </c>
      <c r="V41" t="s">
        <v>294</v>
      </c>
      <c r="W41">
        <v>55</v>
      </c>
      <c r="X41" t="s">
        <v>312</v>
      </c>
      <c r="Y41" t="s">
        <v>311</v>
      </c>
      <c r="Z41" t="s">
        <v>310</v>
      </c>
      <c r="AA41" t="s">
        <v>292</v>
      </c>
      <c r="AB41" t="s">
        <v>291</v>
      </c>
      <c r="AD41" t="s">
        <v>309</v>
      </c>
      <c r="AE41" t="s">
        <v>290</v>
      </c>
      <c r="AF41" t="s">
        <v>289</v>
      </c>
      <c r="AG41" t="s">
        <v>289</v>
      </c>
      <c r="AH41" t="s">
        <v>289</v>
      </c>
      <c r="AI41" t="s">
        <v>289</v>
      </c>
      <c r="AJ41">
        <v>44.344141999999898</v>
      </c>
      <c r="AK41">
        <v>-102.836106999999</v>
      </c>
      <c r="AL41" t="s">
        <v>288</v>
      </c>
      <c r="AM41" t="s">
        <v>287</v>
      </c>
      <c r="AN41" t="s">
        <v>371</v>
      </c>
      <c r="AO41" t="s">
        <v>305</v>
      </c>
      <c r="AP41" t="s">
        <v>305</v>
      </c>
      <c r="AQ41" t="s">
        <v>305</v>
      </c>
      <c r="AR41" t="s">
        <v>304</v>
      </c>
      <c r="AS41">
        <v>0</v>
      </c>
      <c r="AT41" t="s">
        <v>303</v>
      </c>
      <c r="AU41" t="s">
        <v>303</v>
      </c>
    </row>
    <row r="42" spans="1:47" x14ac:dyDescent="0.25">
      <c r="A42">
        <v>49</v>
      </c>
      <c r="B42">
        <v>1700865</v>
      </c>
      <c r="C42" s="250">
        <v>42751.666666666664</v>
      </c>
      <c r="D42" t="s">
        <v>297</v>
      </c>
      <c r="E42" t="s">
        <v>289</v>
      </c>
      <c r="G42" t="s">
        <v>315</v>
      </c>
      <c r="H42" t="s">
        <v>314</v>
      </c>
      <c r="I42">
        <v>0</v>
      </c>
      <c r="K42" t="s">
        <v>450</v>
      </c>
      <c r="L42" t="s">
        <v>333</v>
      </c>
      <c r="M42" t="s">
        <v>332</v>
      </c>
      <c r="N42" t="s">
        <v>332</v>
      </c>
      <c r="P42" t="s">
        <v>289</v>
      </c>
      <c r="Q42">
        <v>2017</v>
      </c>
      <c r="R42" t="s">
        <v>289</v>
      </c>
      <c r="S42" t="s">
        <v>289</v>
      </c>
      <c r="T42" t="s">
        <v>289</v>
      </c>
      <c r="U42" t="s">
        <v>279</v>
      </c>
      <c r="V42" t="s">
        <v>294</v>
      </c>
      <c r="W42">
        <v>55</v>
      </c>
      <c r="X42" t="s">
        <v>312</v>
      </c>
      <c r="Y42" t="s">
        <v>311</v>
      </c>
      <c r="Z42" t="s">
        <v>310</v>
      </c>
      <c r="AA42" t="s">
        <v>292</v>
      </c>
      <c r="AB42" t="s">
        <v>291</v>
      </c>
      <c r="AD42" t="s">
        <v>358</v>
      </c>
      <c r="AE42" t="s">
        <v>449</v>
      </c>
      <c r="AF42" t="s">
        <v>289</v>
      </c>
      <c r="AG42" t="s">
        <v>289</v>
      </c>
      <c r="AH42" t="s">
        <v>289</v>
      </c>
      <c r="AI42" t="s">
        <v>289</v>
      </c>
      <c r="AJ42">
        <v>44.190458</v>
      </c>
      <c r="AK42">
        <v>-102.829421999999</v>
      </c>
      <c r="AL42" t="s">
        <v>330</v>
      </c>
      <c r="AM42" t="s">
        <v>307</v>
      </c>
      <c r="AN42" t="s">
        <v>305</v>
      </c>
      <c r="AO42" t="s">
        <v>329</v>
      </c>
      <c r="AP42" t="s">
        <v>305</v>
      </c>
      <c r="AQ42" t="s">
        <v>305</v>
      </c>
      <c r="AR42" t="s">
        <v>400</v>
      </c>
      <c r="AS42">
        <v>40</v>
      </c>
    </row>
    <row r="43" spans="1:47" x14ac:dyDescent="0.25">
      <c r="A43">
        <v>50</v>
      </c>
      <c r="B43">
        <v>1702150</v>
      </c>
      <c r="C43" s="250">
        <v>42780.777777777781</v>
      </c>
      <c r="D43" t="s">
        <v>297</v>
      </c>
      <c r="E43" t="s">
        <v>289</v>
      </c>
      <c r="I43">
        <v>-1</v>
      </c>
      <c r="K43" t="s">
        <v>295</v>
      </c>
      <c r="L43" t="s">
        <v>296</v>
      </c>
      <c r="M43" t="s">
        <v>295</v>
      </c>
      <c r="N43" t="s">
        <v>295</v>
      </c>
      <c r="P43" t="s">
        <v>289</v>
      </c>
      <c r="Q43">
        <v>2017</v>
      </c>
      <c r="R43" t="s">
        <v>289</v>
      </c>
      <c r="S43" t="s">
        <v>289</v>
      </c>
      <c r="T43" t="s">
        <v>289</v>
      </c>
      <c r="U43" t="s">
        <v>277</v>
      </c>
      <c r="V43" t="s">
        <v>294</v>
      </c>
      <c r="W43">
        <v>55</v>
      </c>
      <c r="X43" t="s">
        <v>285</v>
      </c>
      <c r="Y43" t="s">
        <v>322</v>
      </c>
      <c r="Z43" t="s">
        <v>310</v>
      </c>
      <c r="AA43" t="s">
        <v>292</v>
      </c>
      <c r="AB43" t="s">
        <v>291</v>
      </c>
      <c r="AD43" t="s">
        <v>285</v>
      </c>
      <c r="AE43" t="s">
        <v>290</v>
      </c>
      <c r="AF43" t="s">
        <v>289</v>
      </c>
      <c r="AG43" t="s">
        <v>289</v>
      </c>
      <c r="AH43" t="s">
        <v>289</v>
      </c>
      <c r="AI43" t="s">
        <v>289</v>
      </c>
      <c r="AJ43">
        <v>44.449615999999899</v>
      </c>
      <c r="AK43">
        <v>-102.813648999999</v>
      </c>
      <c r="AL43" t="s">
        <v>299</v>
      </c>
      <c r="AM43" t="s">
        <v>307</v>
      </c>
      <c r="AN43" t="s">
        <v>285</v>
      </c>
      <c r="AO43" t="s">
        <v>286</v>
      </c>
      <c r="AP43" t="s">
        <v>277</v>
      </c>
      <c r="AQ43" t="s">
        <v>285</v>
      </c>
      <c r="AR43" t="s">
        <v>277</v>
      </c>
      <c r="AS43">
        <v>0</v>
      </c>
      <c r="AT43" t="s">
        <v>277</v>
      </c>
      <c r="AU43" t="s">
        <v>277</v>
      </c>
    </row>
    <row r="44" spans="1:47" x14ac:dyDescent="0.25">
      <c r="A44">
        <v>51</v>
      </c>
      <c r="B44">
        <v>1708340</v>
      </c>
      <c r="C44" s="250">
        <v>42922.520833333336</v>
      </c>
      <c r="D44" t="s">
        <v>297</v>
      </c>
      <c r="E44" t="s">
        <v>289</v>
      </c>
      <c r="F44" t="s">
        <v>448</v>
      </c>
      <c r="G44" t="s">
        <v>315</v>
      </c>
      <c r="H44" t="s">
        <v>314</v>
      </c>
      <c r="I44">
        <v>0</v>
      </c>
      <c r="K44" t="s">
        <v>447</v>
      </c>
      <c r="L44" t="s">
        <v>296</v>
      </c>
      <c r="M44" t="s">
        <v>384</v>
      </c>
      <c r="N44" t="s">
        <v>384</v>
      </c>
      <c r="O44" t="s">
        <v>382</v>
      </c>
      <c r="P44" t="s">
        <v>289</v>
      </c>
      <c r="Q44">
        <v>2017</v>
      </c>
      <c r="R44" t="s">
        <v>324</v>
      </c>
      <c r="S44" t="s">
        <v>289</v>
      </c>
      <c r="T44" t="s">
        <v>289</v>
      </c>
      <c r="U44" t="s">
        <v>280</v>
      </c>
      <c r="V44" t="s">
        <v>294</v>
      </c>
      <c r="W44">
        <v>55</v>
      </c>
      <c r="X44" t="s">
        <v>312</v>
      </c>
      <c r="Y44" t="s">
        <v>311</v>
      </c>
      <c r="Z44" t="s">
        <v>310</v>
      </c>
      <c r="AA44" t="s">
        <v>292</v>
      </c>
      <c r="AB44" t="s">
        <v>291</v>
      </c>
      <c r="AD44" t="s">
        <v>340</v>
      </c>
      <c r="AE44" t="s">
        <v>290</v>
      </c>
      <c r="AF44" t="s">
        <v>289</v>
      </c>
      <c r="AG44" t="s">
        <v>289</v>
      </c>
      <c r="AH44" t="s">
        <v>289</v>
      </c>
      <c r="AI44" t="s">
        <v>289</v>
      </c>
      <c r="AJ44">
        <v>44.484914000000003</v>
      </c>
      <c r="AK44">
        <v>-102.821495999999</v>
      </c>
      <c r="AL44" t="s">
        <v>379</v>
      </c>
      <c r="AM44" t="s">
        <v>287</v>
      </c>
      <c r="AN44" t="s">
        <v>446</v>
      </c>
      <c r="AO44" t="s">
        <v>305</v>
      </c>
      <c r="AP44" t="s">
        <v>305</v>
      </c>
      <c r="AQ44" t="s">
        <v>305</v>
      </c>
      <c r="AR44" t="s">
        <v>316</v>
      </c>
      <c r="AS44">
        <v>65</v>
      </c>
      <c r="AT44" t="s">
        <v>303</v>
      </c>
      <c r="AU44" t="s">
        <v>303</v>
      </c>
    </row>
    <row r="45" spans="1:47" x14ac:dyDescent="0.25">
      <c r="A45">
        <v>52</v>
      </c>
      <c r="B45">
        <v>1708326</v>
      </c>
      <c r="C45" s="250">
        <v>42924.083333333336</v>
      </c>
      <c r="D45" t="s">
        <v>297</v>
      </c>
      <c r="E45" t="s">
        <v>289</v>
      </c>
      <c r="I45">
        <v>-1</v>
      </c>
      <c r="K45" t="s">
        <v>295</v>
      </c>
      <c r="L45" t="s">
        <v>296</v>
      </c>
      <c r="M45" t="s">
        <v>295</v>
      </c>
      <c r="N45" t="s">
        <v>295</v>
      </c>
      <c r="P45" t="s">
        <v>289</v>
      </c>
      <c r="Q45">
        <v>2017</v>
      </c>
      <c r="R45" t="s">
        <v>289</v>
      </c>
      <c r="S45" t="s">
        <v>289</v>
      </c>
      <c r="T45" t="s">
        <v>289</v>
      </c>
      <c r="U45" t="s">
        <v>277</v>
      </c>
      <c r="V45" t="s">
        <v>294</v>
      </c>
      <c r="W45">
        <v>55</v>
      </c>
      <c r="X45" t="s">
        <v>285</v>
      </c>
      <c r="Y45" t="s">
        <v>322</v>
      </c>
      <c r="Z45" t="s">
        <v>310</v>
      </c>
      <c r="AA45" t="s">
        <v>292</v>
      </c>
      <c r="AB45" t="s">
        <v>291</v>
      </c>
      <c r="AD45" t="s">
        <v>285</v>
      </c>
      <c r="AE45" t="s">
        <v>290</v>
      </c>
      <c r="AF45" t="s">
        <v>289</v>
      </c>
      <c r="AG45" t="s">
        <v>289</v>
      </c>
      <c r="AH45" t="s">
        <v>289</v>
      </c>
      <c r="AI45" t="s">
        <v>289</v>
      </c>
      <c r="AJ45">
        <v>44.226638999999899</v>
      </c>
      <c r="AK45">
        <v>-102.829481</v>
      </c>
      <c r="AL45" t="s">
        <v>299</v>
      </c>
      <c r="AM45" t="s">
        <v>287</v>
      </c>
      <c r="AN45" t="s">
        <v>285</v>
      </c>
      <c r="AO45" t="s">
        <v>286</v>
      </c>
      <c r="AP45" t="s">
        <v>277</v>
      </c>
      <c r="AQ45" t="s">
        <v>285</v>
      </c>
      <c r="AR45" t="s">
        <v>277</v>
      </c>
      <c r="AS45">
        <v>0</v>
      </c>
      <c r="AT45" t="s">
        <v>277</v>
      </c>
      <c r="AU45" t="s">
        <v>277</v>
      </c>
    </row>
    <row r="46" spans="1:47" x14ac:dyDescent="0.25">
      <c r="A46">
        <v>53</v>
      </c>
      <c r="B46">
        <v>1709733</v>
      </c>
      <c r="C46" s="250">
        <v>42951.729166666664</v>
      </c>
      <c r="D46" t="s">
        <v>297</v>
      </c>
      <c r="E46" t="s">
        <v>289</v>
      </c>
      <c r="G46" t="s">
        <v>383</v>
      </c>
      <c r="H46" t="s">
        <v>314</v>
      </c>
      <c r="I46">
        <v>0</v>
      </c>
      <c r="K46" t="s">
        <v>334</v>
      </c>
      <c r="L46" t="s">
        <v>296</v>
      </c>
      <c r="M46" t="s">
        <v>332</v>
      </c>
      <c r="N46" t="s">
        <v>332</v>
      </c>
      <c r="P46" t="s">
        <v>324</v>
      </c>
      <c r="Q46">
        <v>2017</v>
      </c>
      <c r="R46" t="s">
        <v>324</v>
      </c>
      <c r="S46" t="s">
        <v>289</v>
      </c>
      <c r="T46" t="s">
        <v>289</v>
      </c>
      <c r="U46" t="s">
        <v>281</v>
      </c>
      <c r="V46" t="s">
        <v>294</v>
      </c>
      <c r="W46">
        <v>55</v>
      </c>
      <c r="X46" t="s">
        <v>312</v>
      </c>
      <c r="Y46" t="s">
        <v>311</v>
      </c>
      <c r="Z46" t="s">
        <v>310</v>
      </c>
      <c r="AA46" t="s">
        <v>292</v>
      </c>
      <c r="AB46" t="s">
        <v>291</v>
      </c>
      <c r="AD46" t="s">
        <v>366</v>
      </c>
      <c r="AE46" t="s">
        <v>290</v>
      </c>
      <c r="AF46" t="s">
        <v>289</v>
      </c>
      <c r="AG46" t="s">
        <v>289</v>
      </c>
      <c r="AH46" t="s">
        <v>324</v>
      </c>
      <c r="AI46" t="s">
        <v>289</v>
      </c>
      <c r="AJ46">
        <v>44.4872599999999</v>
      </c>
      <c r="AK46">
        <v>-102.823544999999</v>
      </c>
      <c r="AL46" t="s">
        <v>35</v>
      </c>
      <c r="AM46" t="s">
        <v>287</v>
      </c>
      <c r="AN46" t="s">
        <v>445</v>
      </c>
      <c r="AO46" t="s">
        <v>305</v>
      </c>
      <c r="AP46" t="s">
        <v>305</v>
      </c>
      <c r="AQ46" t="s">
        <v>305</v>
      </c>
      <c r="AR46" t="s">
        <v>316</v>
      </c>
      <c r="AS46">
        <v>65</v>
      </c>
      <c r="AT46" t="s">
        <v>303</v>
      </c>
      <c r="AU46" t="s">
        <v>303</v>
      </c>
    </row>
    <row r="47" spans="1:47" x14ac:dyDescent="0.25">
      <c r="A47">
        <v>54</v>
      </c>
      <c r="B47">
        <v>1710100</v>
      </c>
      <c r="C47" s="250">
        <v>42962.416666666664</v>
      </c>
      <c r="D47" t="s">
        <v>297</v>
      </c>
      <c r="E47" t="s">
        <v>289</v>
      </c>
      <c r="G47" t="s">
        <v>315</v>
      </c>
      <c r="H47" t="s">
        <v>314</v>
      </c>
      <c r="I47">
        <v>0</v>
      </c>
      <c r="K47" t="s">
        <v>334</v>
      </c>
      <c r="L47" t="s">
        <v>345</v>
      </c>
      <c r="M47" t="s">
        <v>332</v>
      </c>
      <c r="N47" t="s">
        <v>332</v>
      </c>
      <c r="P47" t="s">
        <v>289</v>
      </c>
      <c r="Q47">
        <v>2017</v>
      </c>
      <c r="R47" t="s">
        <v>289</v>
      </c>
      <c r="S47" t="s">
        <v>289</v>
      </c>
      <c r="T47" t="s">
        <v>289</v>
      </c>
      <c r="U47" t="s">
        <v>279</v>
      </c>
      <c r="V47" t="s">
        <v>294</v>
      </c>
      <c r="W47">
        <v>55</v>
      </c>
      <c r="X47" t="s">
        <v>312</v>
      </c>
      <c r="Y47" t="s">
        <v>311</v>
      </c>
      <c r="Z47" t="s">
        <v>310</v>
      </c>
      <c r="AA47" t="s">
        <v>292</v>
      </c>
      <c r="AB47" t="s">
        <v>291</v>
      </c>
      <c r="AD47" t="s">
        <v>340</v>
      </c>
      <c r="AE47" t="s">
        <v>369</v>
      </c>
      <c r="AF47" t="s">
        <v>324</v>
      </c>
      <c r="AG47" t="s">
        <v>289</v>
      </c>
      <c r="AH47" t="s">
        <v>289</v>
      </c>
      <c r="AI47" t="s">
        <v>289</v>
      </c>
      <c r="AJ47">
        <v>44.3558039999999</v>
      </c>
      <c r="AK47">
        <v>-102.840219</v>
      </c>
      <c r="AL47" t="s">
        <v>288</v>
      </c>
      <c r="AM47" t="s">
        <v>287</v>
      </c>
      <c r="AN47" t="s">
        <v>444</v>
      </c>
      <c r="AO47" t="s">
        <v>329</v>
      </c>
      <c r="AP47" t="s">
        <v>305</v>
      </c>
      <c r="AQ47" t="s">
        <v>305</v>
      </c>
      <c r="AR47" t="s">
        <v>316</v>
      </c>
      <c r="AS47">
        <v>55</v>
      </c>
      <c r="AT47" t="s">
        <v>303</v>
      </c>
      <c r="AU47" t="s">
        <v>303</v>
      </c>
    </row>
    <row r="48" spans="1:47" x14ac:dyDescent="0.25">
      <c r="A48">
        <v>55</v>
      </c>
      <c r="B48">
        <v>1710226</v>
      </c>
      <c r="C48" s="250">
        <v>42964.274305555555</v>
      </c>
      <c r="D48" t="s">
        <v>297</v>
      </c>
      <c r="E48" t="s">
        <v>289</v>
      </c>
      <c r="F48" t="s">
        <v>443</v>
      </c>
      <c r="G48" t="s">
        <v>315</v>
      </c>
      <c r="H48" t="s">
        <v>442</v>
      </c>
      <c r="I48">
        <v>0</v>
      </c>
      <c r="J48">
        <v>0</v>
      </c>
      <c r="K48" t="s">
        <v>334</v>
      </c>
      <c r="L48" t="s">
        <v>296</v>
      </c>
      <c r="M48" t="s">
        <v>332</v>
      </c>
      <c r="N48" t="s">
        <v>332</v>
      </c>
      <c r="O48" t="s">
        <v>325</v>
      </c>
      <c r="P48" t="s">
        <v>289</v>
      </c>
      <c r="Q48">
        <v>2017</v>
      </c>
      <c r="R48" t="s">
        <v>289</v>
      </c>
      <c r="S48" t="s">
        <v>289</v>
      </c>
      <c r="T48" t="s">
        <v>324</v>
      </c>
      <c r="U48" t="s">
        <v>280</v>
      </c>
      <c r="V48" t="s">
        <v>294</v>
      </c>
      <c r="W48">
        <v>0</v>
      </c>
      <c r="X48" t="s">
        <v>312</v>
      </c>
      <c r="Y48" t="s">
        <v>293</v>
      </c>
      <c r="Z48" t="s">
        <v>321</v>
      </c>
      <c r="AA48" t="s">
        <v>292</v>
      </c>
      <c r="AB48" t="s">
        <v>291</v>
      </c>
      <c r="AD48" t="s">
        <v>309</v>
      </c>
      <c r="AE48" t="s">
        <v>290</v>
      </c>
      <c r="AF48" t="s">
        <v>289</v>
      </c>
      <c r="AG48" t="s">
        <v>289</v>
      </c>
      <c r="AH48" t="s">
        <v>289</v>
      </c>
      <c r="AI48" t="s">
        <v>289</v>
      </c>
      <c r="AJ48">
        <v>44.212105000000001</v>
      </c>
      <c r="AK48">
        <v>-102.829498</v>
      </c>
      <c r="AL48" t="s">
        <v>330</v>
      </c>
      <c r="AM48" t="s">
        <v>441</v>
      </c>
      <c r="AN48" t="s">
        <v>440</v>
      </c>
      <c r="AO48" t="s">
        <v>305</v>
      </c>
      <c r="AP48" t="s">
        <v>305</v>
      </c>
      <c r="AQ48" t="s">
        <v>305</v>
      </c>
      <c r="AR48" t="s">
        <v>439</v>
      </c>
      <c r="AS48">
        <v>0</v>
      </c>
      <c r="AT48" t="s">
        <v>303</v>
      </c>
      <c r="AU48" t="s">
        <v>303</v>
      </c>
    </row>
    <row r="49" spans="1:47" x14ac:dyDescent="0.25">
      <c r="A49">
        <v>57</v>
      </c>
      <c r="B49">
        <v>1714194</v>
      </c>
      <c r="C49" s="250">
        <v>43021.930555555555</v>
      </c>
      <c r="D49" t="s">
        <v>297</v>
      </c>
      <c r="E49" t="s">
        <v>289</v>
      </c>
      <c r="G49" t="s">
        <v>315</v>
      </c>
      <c r="H49" t="s">
        <v>314</v>
      </c>
      <c r="I49">
        <v>0</v>
      </c>
      <c r="K49" t="s">
        <v>406</v>
      </c>
      <c r="L49" t="s">
        <v>296</v>
      </c>
      <c r="M49" t="s">
        <v>332</v>
      </c>
      <c r="N49" t="s">
        <v>332</v>
      </c>
      <c r="P49" t="s">
        <v>289</v>
      </c>
      <c r="Q49">
        <v>2017</v>
      </c>
      <c r="R49" t="s">
        <v>324</v>
      </c>
      <c r="S49" t="s">
        <v>289</v>
      </c>
      <c r="T49" t="s">
        <v>289</v>
      </c>
      <c r="U49" t="s">
        <v>282</v>
      </c>
      <c r="V49" t="s">
        <v>294</v>
      </c>
      <c r="W49">
        <v>55</v>
      </c>
      <c r="X49" t="s">
        <v>312</v>
      </c>
      <c r="Y49" t="s">
        <v>322</v>
      </c>
      <c r="Z49" t="s">
        <v>310</v>
      </c>
      <c r="AA49" t="s">
        <v>292</v>
      </c>
      <c r="AB49" t="s">
        <v>291</v>
      </c>
      <c r="AD49" t="s">
        <v>309</v>
      </c>
      <c r="AE49" t="s">
        <v>290</v>
      </c>
      <c r="AF49" t="s">
        <v>289</v>
      </c>
      <c r="AG49" t="s">
        <v>289</v>
      </c>
      <c r="AH49" t="s">
        <v>289</v>
      </c>
      <c r="AI49" t="s">
        <v>289</v>
      </c>
      <c r="AJ49">
        <v>44.2654479999999</v>
      </c>
      <c r="AK49">
        <v>-102.829357</v>
      </c>
      <c r="AL49" t="s">
        <v>299</v>
      </c>
      <c r="AM49" t="s">
        <v>287</v>
      </c>
      <c r="AN49" t="s">
        <v>438</v>
      </c>
      <c r="AO49" t="s">
        <v>286</v>
      </c>
      <c r="AP49" t="s">
        <v>305</v>
      </c>
      <c r="AQ49" t="s">
        <v>305</v>
      </c>
      <c r="AR49" t="s">
        <v>387</v>
      </c>
      <c r="AS49">
        <v>65</v>
      </c>
      <c r="AT49" t="s">
        <v>303</v>
      </c>
      <c r="AU49" t="s">
        <v>303</v>
      </c>
    </row>
    <row r="50" spans="1:47" x14ac:dyDescent="0.25">
      <c r="A50">
        <v>59</v>
      </c>
      <c r="B50">
        <v>1716262</v>
      </c>
      <c r="C50" s="250">
        <v>43056.462500000001</v>
      </c>
      <c r="D50" t="s">
        <v>297</v>
      </c>
      <c r="E50" t="s">
        <v>289</v>
      </c>
      <c r="G50" t="s">
        <v>315</v>
      </c>
      <c r="H50" t="s">
        <v>314</v>
      </c>
      <c r="I50">
        <v>0</v>
      </c>
      <c r="K50" t="s">
        <v>409</v>
      </c>
      <c r="L50" t="s">
        <v>345</v>
      </c>
      <c r="M50" t="s">
        <v>408</v>
      </c>
      <c r="N50" t="s">
        <v>408</v>
      </c>
      <c r="P50" t="s">
        <v>289</v>
      </c>
      <c r="Q50">
        <v>2017</v>
      </c>
      <c r="R50" t="s">
        <v>289</v>
      </c>
      <c r="S50" t="s">
        <v>289</v>
      </c>
      <c r="T50" t="s">
        <v>289</v>
      </c>
      <c r="U50" t="s">
        <v>280</v>
      </c>
      <c r="V50" t="s">
        <v>294</v>
      </c>
      <c r="W50">
        <v>55</v>
      </c>
      <c r="X50" t="s">
        <v>312</v>
      </c>
      <c r="Y50" t="s">
        <v>311</v>
      </c>
      <c r="Z50" t="s">
        <v>310</v>
      </c>
      <c r="AA50" t="s">
        <v>292</v>
      </c>
      <c r="AB50" t="s">
        <v>291</v>
      </c>
      <c r="AD50" t="s">
        <v>366</v>
      </c>
      <c r="AE50" t="s">
        <v>402</v>
      </c>
      <c r="AF50" t="s">
        <v>289</v>
      </c>
      <c r="AG50" t="s">
        <v>289</v>
      </c>
      <c r="AH50" t="s">
        <v>289</v>
      </c>
      <c r="AI50" t="s">
        <v>289</v>
      </c>
      <c r="AJ50">
        <v>44.1418409999999</v>
      </c>
      <c r="AK50">
        <v>-102.830198999999</v>
      </c>
      <c r="AL50" t="s">
        <v>288</v>
      </c>
      <c r="AM50" t="s">
        <v>307</v>
      </c>
      <c r="AN50" t="s">
        <v>371</v>
      </c>
      <c r="AO50" t="s">
        <v>329</v>
      </c>
      <c r="AP50" t="s">
        <v>305</v>
      </c>
      <c r="AQ50" t="s">
        <v>305</v>
      </c>
      <c r="AR50" t="s">
        <v>304</v>
      </c>
      <c r="AS50">
        <v>55</v>
      </c>
      <c r="AT50" t="s">
        <v>303</v>
      </c>
      <c r="AU50" t="s">
        <v>303</v>
      </c>
    </row>
    <row r="51" spans="1:47" x14ac:dyDescent="0.25">
      <c r="A51">
        <v>61</v>
      </c>
      <c r="B51">
        <v>1801676</v>
      </c>
      <c r="C51" s="250">
        <v>43131.832638888889</v>
      </c>
      <c r="D51" t="s">
        <v>297</v>
      </c>
      <c r="E51" t="s">
        <v>289</v>
      </c>
      <c r="G51" t="s">
        <v>315</v>
      </c>
      <c r="H51" t="s">
        <v>314</v>
      </c>
      <c r="I51">
        <v>0</v>
      </c>
      <c r="K51" t="s">
        <v>437</v>
      </c>
      <c r="L51" t="s">
        <v>333</v>
      </c>
      <c r="M51" t="s">
        <v>436</v>
      </c>
      <c r="N51" t="s">
        <v>436</v>
      </c>
      <c r="P51" t="s">
        <v>289</v>
      </c>
      <c r="Q51">
        <v>2018</v>
      </c>
      <c r="R51" t="s">
        <v>324</v>
      </c>
      <c r="S51" t="s">
        <v>289</v>
      </c>
      <c r="T51" t="s">
        <v>289</v>
      </c>
      <c r="U51" t="s">
        <v>280</v>
      </c>
      <c r="V51" t="s">
        <v>294</v>
      </c>
      <c r="W51">
        <v>55</v>
      </c>
      <c r="X51" t="s">
        <v>312</v>
      </c>
      <c r="Y51" t="s">
        <v>322</v>
      </c>
      <c r="Z51" t="s">
        <v>310</v>
      </c>
      <c r="AA51" t="s">
        <v>292</v>
      </c>
      <c r="AB51" t="s">
        <v>291</v>
      </c>
      <c r="AD51" t="s">
        <v>309</v>
      </c>
      <c r="AE51" t="s">
        <v>435</v>
      </c>
      <c r="AF51" t="s">
        <v>289</v>
      </c>
      <c r="AG51" t="s">
        <v>289</v>
      </c>
      <c r="AH51" t="s">
        <v>289</v>
      </c>
      <c r="AI51" t="s">
        <v>289</v>
      </c>
      <c r="AJ51">
        <v>44.172212000000002</v>
      </c>
      <c r="AK51">
        <v>-102.82996900000001</v>
      </c>
      <c r="AL51" t="s">
        <v>330</v>
      </c>
      <c r="AM51" t="s">
        <v>307</v>
      </c>
      <c r="AN51" t="s">
        <v>434</v>
      </c>
      <c r="AO51" t="s">
        <v>329</v>
      </c>
      <c r="AP51" t="s">
        <v>305</v>
      </c>
      <c r="AQ51" t="s">
        <v>305</v>
      </c>
      <c r="AR51" t="s">
        <v>304</v>
      </c>
      <c r="AS51">
        <v>40</v>
      </c>
      <c r="AT51" t="s">
        <v>303</v>
      </c>
      <c r="AU51" t="s">
        <v>303</v>
      </c>
    </row>
    <row r="52" spans="1:47" x14ac:dyDescent="0.25">
      <c r="A52">
        <v>62</v>
      </c>
      <c r="B52">
        <v>1801916</v>
      </c>
      <c r="C52" s="250">
        <v>43135.81527777778</v>
      </c>
      <c r="D52" t="s">
        <v>297</v>
      </c>
      <c r="E52" t="s">
        <v>289</v>
      </c>
      <c r="F52" t="s">
        <v>433</v>
      </c>
      <c r="G52" t="s">
        <v>315</v>
      </c>
      <c r="H52" t="s">
        <v>314</v>
      </c>
      <c r="I52">
        <v>0</v>
      </c>
      <c r="K52" t="s">
        <v>432</v>
      </c>
      <c r="L52" t="s">
        <v>296</v>
      </c>
      <c r="M52" t="s">
        <v>411</v>
      </c>
      <c r="N52" t="s">
        <v>431</v>
      </c>
      <c r="P52" t="s">
        <v>289</v>
      </c>
      <c r="Q52">
        <v>2018</v>
      </c>
      <c r="R52" t="s">
        <v>289</v>
      </c>
      <c r="S52" t="s">
        <v>289</v>
      </c>
      <c r="T52" t="s">
        <v>324</v>
      </c>
      <c r="U52" t="s">
        <v>280</v>
      </c>
      <c r="V52" t="s">
        <v>294</v>
      </c>
      <c r="W52">
        <v>55</v>
      </c>
      <c r="X52" t="s">
        <v>312</v>
      </c>
      <c r="Y52" t="s">
        <v>322</v>
      </c>
      <c r="Z52" t="s">
        <v>310</v>
      </c>
      <c r="AA52" t="s">
        <v>292</v>
      </c>
      <c r="AB52" t="s">
        <v>291</v>
      </c>
      <c r="AD52" t="s">
        <v>309</v>
      </c>
      <c r="AE52" t="s">
        <v>290</v>
      </c>
      <c r="AF52" t="s">
        <v>289</v>
      </c>
      <c r="AG52" t="s">
        <v>289</v>
      </c>
      <c r="AH52" t="s">
        <v>289</v>
      </c>
      <c r="AI52" t="s">
        <v>289</v>
      </c>
      <c r="AJ52">
        <v>44.194059000000003</v>
      </c>
      <c r="AK52">
        <v>-102.829435</v>
      </c>
      <c r="AL52" t="s">
        <v>288</v>
      </c>
      <c r="AM52" t="s">
        <v>307</v>
      </c>
      <c r="AN52" t="s">
        <v>430</v>
      </c>
      <c r="AO52" t="s">
        <v>305</v>
      </c>
      <c r="AP52" t="s">
        <v>305</v>
      </c>
      <c r="AQ52" t="s">
        <v>305</v>
      </c>
      <c r="AR52" t="s">
        <v>429</v>
      </c>
      <c r="AS52">
        <v>55</v>
      </c>
      <c r="AT52" t="s">
        <v>303</v>
      </c>
      <c r="AU52" t="s">
        <v>303</v>
      </c>
    </row>
    <row r="53" spans="1:47" x14ac:dyDescent="0.25">
      <c r="A53">
        <v>63</v>
      </c>
      <c r="B53">
        <v>1802971</v>
      </c>
      <c r="C53" s="250">
        <v>43161.065972222219</v>
      </c>
      <c r="D53" t="s">
        <v>297</v>
      </c>
      <c r="E53" t="s">
        <v>289</v>
      </c>
      <c r="G53" t="s">
        <v>315</v>
      </c>
      <c r="H53" t="s">
        <v>314</v>
      </c>
      <c r="I53">
        <v>0</v>
      </c>
      <c r="K53" t="s">
        <v>370</v>
      </c>
      <c r="L53" t="s">
        <v>296</v>
      </c>
      <c r="M53" t="s">
        <v>370</v>
      </c>
      <c r="N53" t="s">
        <v>370</v>
      </c>
      <c r="P53" t="s">
        <v>289</v>
      </c>
      <c r="Q53">
        <v>2018</v>
      </c>
      <c r="R53" t="s">
        <v>289</v>
      </c>
      <c r="S53" t="s">
        <v>289</v>
      </c>
      <c r="T53" t="s">
        <v>289</v>
      </c>
      <c r="U53" t="s">
        <v>280</v>
      </c>
      <c r="V53" t="s">
        <v>294</v>
      </c>
      <c r="W53">
        <v>55</v>
      </c>
      <c r="X53" t="s">
        <v>312</v>
      </c>
      <c r="Y53" t="s">
        <v>322</v>
      </c>
      <c r="Z53" t="s">
        <v>310</v>
      </c>
      <c r="AA53" t="s">
        <v>292</v>
      </c>
      <c r="AB53" t="s">
        <v>291</v>
      </c>
      <c r="AD53" t="s">
        <v>309</v>
      </c>
      <c r="AE53" t="s">
        <v>290</v>
      </c>
      <c r="AF53" t="s">
        <v>289</v>
      </c>
      <c r="AG53" t="s">
        <v>289</v>
      </c>
      <c r="AH53" t="s">
        <v>289</v>
      </c>
      <c r="AI53" t="s">
        <v>289</v>
      </c>
      <c r="AJ53">
        <v>44.382931999999897</v>
      </c>
      <c r="AK53">
        <v>-102.843418</v>
      </c>
      <c r="AL53" t="s">
        <v>330</v>
      </c>
      <c r="AM53" t="s">
        <v>287</v>
      </c>
      <c r="AN53" t="s">
        <v>305</v>
      </c>
      <c r="AO53" t="s">
        <v>286</v>
      </c>
      <c r="AP53" t="s">
        <v>305</v>
      </c>
      <c r="AQ53" t="s">
        <v>305</v>
      </c>
      <c r="AR53" t="s">
        <v>304</v>
      </c>
      <c r="AS53">
        <v>55</v>
      </c>
      <c r="AT53" t="s">
        <v>303</v>
      </c>
      <c r="AU53" t="s">
        <v>303</v>
      </c>
    </row>
    <row r="54" spans="1:47" x14ac:dyDescent="0.25">
      <c r="A54">
        <v>64</v>
      </c>
      <c r="B54">
        <v>1803608</v>
      </c>
      <c r="C54" s="250">
        <v>43178.459722222222</v>
      </c>
      <c r="D54" t="s">
        <v>297</v>
      </c>
      <c r="E54" t="s">
        <v>289</v>
      </c>
      <c r="F54" t="s">
        <v>428</v>
      </c>
      <c r="G54" t="s">
        <v>342</v>
      </c>
      <c r="H54" t="s">
        <v>314</v>
      </c>
      <c r="I54">
        <v>0</v>
      </c>
      <c r="K54" t="s">
        <v>372</v>
      </c>
      <c r="L54" t="s">
        <v>427</v>
      </c>
      <c r="M54" t="s">
        <v>332</v>
      </c>
      <c r="N54" t="s">
        <v>332</v>
      </c>
      <c r="P54" t="s">
        <v>289</v>
      </c>
      <c r="Q54">
        <v>2018</v>
      </c>
      <c r="R54" t="s">
        <v>324</v>
      </c>
      <c r="S54" t="s">
        <v>289</v>
      </c>
      <c r="T54" t="s">
        <v>289</v>
      </c>
      <c r="U54" t="s">
        <v>279</v>
      </c>
      <c r="V54" t="s">
        <v>294</v>
      </c>
      <c r="W54">
        <v>55</v>
      </c>
      <c r="X54" t="s">
        <v>312</v>
      </c>
      <c r="Y54" t="s">
        <v>311</v>
      </c>
      <c r="Z54" t="s">
        <v>310</v>
      </c>
      <c r="AA54" t="s">
        <v>292</v>
      </c>
      <c r="AB54" t="s">
        <v>291</v>
      </c>
      <c r="AD54" t="s">
        <v>358</v>
      </c>
      <c r="AE54" t="s">
        <v>344</v>
      </c>
      <c r="AF54" t="s">
        <v>324</v>
      </c>
      <c r="AG54" t="s">
        <v>289</v>
      </c>
      <c r="AH54" t="s">
        <v>289</v>
      </c>
      <c r="AI54" t="s">
        <v>289</v>
      </c>
      <c r="AJ54">
        <v>44.207255000000004</v>
      </c>
      <c r="AK54">
        <v>-102.829481</v>
      </c>
      <c r="AL54" t="s">
        <v>299</v>
      </c>
      <c r="AM54" t="s">
        <v>287</v>
      </c>
      <c r="AN54" t="s">
        <v>426</v>
      </c>
      <c r="AO54" t="s">
        <v>329</v>
      </c>
      <c r="AP54" t="s">
        <v>305</v>
      </c>
      <c r="AQ54" t="s">
        <v>305</v>
      </c>
      <c r="AR54" t="s">
        <v>400</v>
      </c>
      <c r="AS54">
        <v>55</v>
      </c>
      <c r="AT54" t="s">
        <v>303</v>
      </c>
      <c r="AU54" t="s">
        <v>303</v>
      </c>
    </row>
    <row r="55" spans="1:47" x14ac:dyDescent="0.25">
      <c r="A55">
        <v>65</v>
      </c>
      <c r="B55">
        <v>1806085</v>
      </c>
      <c r="C55" s="250">
        <v>43249.85</v>
      </c>
      <c r="D55" t="s">
        <v>297</v>
      </c>
      <c r="E55" t="s">
        <v>289</v>
      </c>
      <c r="I55">
        <v>-1</v>
      </c>
      <c r="K55" t="s">
        <v>295</v>
      </c>
      <c r="L55" t="s">
        <v>345</v>
      </c>
      <c r="M55" t="s">
        <v>295</v>
      </c>
      <c r="N55" t="s">
        <v>295</v>
      </c>
      <c r="P55" t="s">
        <v>289</v>
      </c>
      <c r="Q55">
        <v>2018</v>
      </c>
      <c r="R55" t="s">
        <v>289</v>
      </c>
      <c r="S55" t="s">
        <v>289</v>
      </c>
      <c r="T55" t="s">
        <v>289</v>
      </c>
      <c r="U55" t="s">
        <v>277</v>
      </c>
      <c r="V55" t="s">
        <v>294</v>
      </c>
      <c r="W55">
        <v>55</v>
      </c>
      <c r="X55" t="s">
        <v>285</v>
      </c>
      <c r="Y55" t="s">
        <v>322</v>
      </c>
      <c r="Z55" t="s">
        <v>310</v>
      </c>
      <c r="AA55" t="s">
        <v>292</v>
      </c>
      <c r="AB55" t="s">
        <v>291</v>
      </c>
      <c r="AD55" t="s">
        <v>285</v>
      </c>
      <c r="AE55" t="s">
        <v>369</v>
      </c>
      <c r="AF55" t="s">
        <v>289</v>
      </c>
      <c r="AG55" t="s">
        <v>289</v>
      </c>
      <c r="AH55" t="s">
        <v>289</v>
      </c>
      <c r="AI55" t="s">
        <v>289</v>
      </c>
      <c r="AJ55">
        <v>44.196199999999898</v>
      </c>
      <c r="AK55">
        <v>-102.829442</v>
      </c>
      <c r="AL55" t="s">
        <v>299</v>
      </c>
      <c r="AM55" t="s">
        <v>287</v>
      </c>
      <c r="AN55" t="s">
        <v>285</v>
      </c>
      <c r="AO55" t="s">
        <v>286</v>
      </c>
      <c r="AP55" t="s">
        <v>277</v>
      </c>
      <c r="AQ55" t="s">
        <v>285</v>
      </c>
      <c r="AR55" t="s">
        <v>277</v>
      </c>
      <c r="AS55">
        <v>0</v>
      </c>
      <c r="AT55" t="s">
        <v>277</v>
      </c>
      <c r="AU55" t="s">
        <v>277</v>
      </c>
    </row>
    <row r="56" spans="1:47" x14ac:dyDescent="0.25">
      <c r="A56">
        <v>66</v>
      </c>
      <c r="B56">
        <v>1809411</v>
      </c>
      <c r="C56" s="250">
        <v>43312.916666666664</v>
      </c>
      <c r="D56" t="s">
        <v>297</v>
      </c>
      <c r="E56" t="s">
        <v>289</v>
      </c>
      <c r="I56">
        <v>-1</v>
      </c>
      <c r="K56" t="s">
        <v>295</v>
      </c>
      <c r="L56" t="s">
        <v>296</v>
      </c>
      <c r="M56" t="s">
        <v>295</v>
      </c>
      <c r="N56" t="s">
        <v>295</v>
      </c>
      <c r="P56" t="s">
        <v>289</v>
      </c>
      <c r="Q56">
        <v>2018</v>
      </c>
      <c r="R56" t="s">
        <v>289</v>
      </c>
      <c r="S56" t="s">
        <v>289</v>
      </c>
      <c r="T56" t="s">
        <v>289</v>
      </c>
      <c r="U56" t="s">
        <v>277</v>
      </c>
      <c r="V56" t="s">
        <v>294</v>
      </c>
      <c r="W56">
        <v>55</v>
      </c>
      <c r="X56" t="s">
        <v>285</v>
      </c>
      <c r="Y56" t="s">
        <v>311</v>
      </c>
      <c r="Z56" t="s">
        <v>310</v>
      </c>
      <c r="AA56" t="s">
        <v>292</v>
      </c>
      <c r="AB56" t="s">
        <v>291</v>
      </c>
      <c r="AD56" t="s">
        <v>285</v>
      </c>
      <c r="AE56" t="s">
        <v>290</v>
      </c>
      <c r="AF56" t="s">
        <v>289</v>
      </c>
      <c r="AG56" t="s">
        <v>289</v>
      </c>
      <c r="AH56" t="s">
        <v>289</v>
      </c>
      <c r="AI56" t="s">
        <v>289</v>
      </c>
      <c r="AJ56">
        <v>44.3683049999999</v>
      </c>
      <c r="AK56">
        <v>-102.843401999999</v>
      </c>
      <c r="AL56" t="s">
        <v>379</v>
      </c>
      <c r="AM56" t="s">
        <v>287</v>
      </c>
      <c r="AN56" t="s">
        <v>285</v>
      </c>
      <c r="AO56" t="s">
        <v>286</v>
      </c>
      <c r="AP56" t="s">
        <v>277</v>
      </c>
      <c r="AQ56" t="s">
        <v>285</v>
      </c>
      <c r="AR56" t="s">
        <v>277</v>
      </c>
      <c r="AS56">
        <v>0</v>
      </c>
      <c r="AT56" t="s">
        <v>277</v>
      </c>
      <c r="AU56" t="s">
        <v>277</v>
      </c>
    </row>
    <row r="57" spans="1:47" x14ac:dyDescent="0.25">
      <c r="A57">
        <v>67</v>
      </c>
      <c r="B57">
        <v>1815616</v>
      </c>
      <c r="C57" s="250">
        <v>43420.739583333336</v>
      </c>
      <c r="D57" t="s">
        <v>297</v>
      </c>
      <c r="E57" t="s">
        <v>289</v>
      </c>
      <c r="I57">
        <v>-1</v>
      </c>
      <c r="K57" t="s">
        <v>295</v>
      </c>
      <c r="L57" t="s">
        <v>296</v>
      </c>
      <c r="M57" t="s">
        <v>295</v>
      </c>
      <c r="N57" t="s">
        <v>295</v>
      </c>
      <c r="P57" t="s">
        <v>289</v>
      </c>
      <c r="Q57">
        <v>2018</v>
      </c>
      <c r="R57" t="s">
        <v>289</v>
      </c>
      <c r="S57" t="s">
        <v>289</v>
      </c>
      <c r="T57" t="s">
        <v>289</v>
      </c>
      <c r="U57" t="s">
        <v>277</v>
      </c>
      <c r="V57" t="s">
        <v>294</v>
      </c>
      <c r="W57">
        <v>55</v>
      </c>
      <c r="X57" t="s">
        <v>285</v>
      </c>
      <c r="Y57" t="s">
        <v>322</v>
      </c>
      <c r="Z57" t="s">
        <v>310</v>
      </c>
      <c r="AA57" t="s">
        <v>292</v>
      </c>
      <c r="AB57" t="s">
        <v>291</v>
      </c>
      <c r="AD57" t="s">
        <v>285</v>
      </c>
      <c r="AE57" t="s">
        <v>290</v>
      </c>
      <c r="AF57" t="s">
        <v>289</v>
      </c>
      <c r="AG57" t="s">
        <v>289</v>
      </c>
      <c r="AH57" t="s">
        <v>289</v>
      </c>
      <c r="AI57" t="s">
        <v>289</v>
      </c>
      <c r="AJ57">
        <v>44.163874999999898</v>
      </c>
      <c r="AK57">
        <v>-102.829335</v>
      </c>
      <c r="AL57" t="s">
        <v>330</v>
      </c>
      <c r="AM57" t="s">
        <v>287</v>
      </c>
      <c r="AN57" t="s">
        <v>285</v>
      </c>
      <c r="AO57" t="s">
        <v>286</v>
      </c>
      <c r="AP57" t="s">
        <v>277</v>
      </c>
      <c r="AQ57" t="s">
        <v>285</v>
      </c>
      <c r="AR57" t="s">
        <v>277</v>
      </c>
      <c r="AS57">
        <v>0</v>
      </c>
      <c r="AT57" t="s">
        <v>277</v>
      </c>
      <c r="AU57" t="s">
        <v>277</v>
      </c>
    </row>
    <row r="58" spans="1:47" x14ac:dyDescent="0.25">
      <c r="A58">
        <v>68</v>
      </c>
      <c r="B58">
        <v>1815621</v>
      </c>
      <c r="C58" s="250">
        <v>43426.041666666664</v>
      </c>
      <c r="D58" t="s">
        <v>297</v>
      </c>
      <c r="E58" t="s">
        <v>289</v>
      </c>
      <c r="I58">
        <v>-1</v>
      </c>
      <c r="K58" t="s">
        <v>295</v>
      </c>
      <c r="L58" t="s">
        <v>296</v>
      </c>
      <c r="M58" t="s">
        <v>295</v>
      </c>
      <c r="N58" t="s">
        <v>295</v>
      </c>
      <c r="P58" t="s">
        <v>289</v>
      </c>
      <c r="Q58">
        <v>2018</v>
      </c>
      <c r="R58" t="s">
        <v>289</v>
      </c>
      <c r="S58" t="s">
        <v>289</v>
      </c>
      <c r="T58" t="s">
        <v>289</v>
      </c>
      <c r="U58" t="s">
        <v>277</v>
      </c>
      <c r="V58" t="s">
        <v>294</v>
      </c>
      <c r="W58">
        <v>55</v>
      </c>
      <c r="X58" t="s">
        <v>285</v>
      </c>
      <c r="Y58" t="s">
        <v>322</v>
      </c>
      <c r="Z58" t="s">
        <v>310</v>
      </c>
      <c r="AA58" t="s">
        <v>292</v>
      </c>
      <c r="AB58" t="s">
        <v>291</v>
      </c>
      <c r="AD58" t="s">
        <v>285</v>
      </c>
      <c r="AE58" t="s">
        <v>290</v>
      </c>
      <c r="AF58" t="s">
        <v>289</v>
      </c>
      <c r="AG58" t="s">
        <v>289</v>
      </c>
      <c r="AH58" t="s">
        <v>289</v>
      </c>
      <c r="AI58" t="s">
        <v>289</v>
      </c>
      <c r="AJ58">
        <v>44.207611999999898</v>
      </c>
      <c r="AK58">
        <v>-102.829481999999</v>
      </c>
      <c r="AL58" t="s">
        <v>299</v>
      </c>
      <c r="AM58" t="s">
        <v>307</v>
      </c>
      <c r="AN58" t="s">
        <v>285</v>
      </c>
      <c r="AO58" t="s">
        <v>286</v>
      </c>
      <c r="AP58" t="s">
        <v>277</v>
      </c>
      <c r="AQ58" t="s">
        <v>285</v>
      </c>
      <c r="AR58" t="s">
        <v>277</v>
      </c>
      <c r="AS58">
        <v>0</v>
      </c>
      <c r="AT58" t="s">
        <v>277</v>
      </c>
      <c r="AU58" t="s">
        <v>277</v>
      </c>
    </row>
    <row r="59" spans="1:47" x14ac:dyDescent="0.25">
      <c r="A59">
        <v>71</v>
      </c>
      <c r="B59">
        <v>1900353</v>
      </c>
      <c r="C59" s="250">
        <v>43481.804166666669</v>
      </c>
      <c r="D59" t="s">
        <v>297</v>
      </c>
      <c r="E59" t="s">
        <v>289</v>
      </c>
      <c r="G59" t="s">
        <v>315</v>
      </c>
      <c r="H59" t="s">
        <v>314</v>
      </c>
      <c r="I59">
        <v>0</v>
      </c>
      <c r="K59" t="s">
        <v>372</v>
      </c>
      <c r="L59" t="s">
        <v>333</v>
      </c>
      <c r="M59" t="s">
        <v>332</v>
      </c>
      <c r="N59" t="s">
        <v>332</v>
      </c>
      <c r="P59" t="s">
        <v>289</v>
      </c>
      <c r="Q59">
        <v>2019</v>
      </c>
      <c r="R59" t="s">
        <v>289</v>
      </c>
      <c r="S59" t="s">
        <v>289</v>
      </c>
      <c r="T59" t="s">
        <v>289</v>
      </c>
      <c r="U59" t="s">
        <v>280</v>
      </c>
      <c r="V59" t="s">
        <v>294</v>
      </c>
      <c r="W59">
        <v>55</v>
      </c>
      <c r="X59" t="s">
        <v>312</v>
      </c>
      <c r="Y59" t="s">
        <v>322</v>
      </c>
      <c r="Z59" t="s">
        <v>310</v>
      </c>
      <c r="AA59" t="s">
        <v>292</v>
      </c>
      <c r="AB59" t="s">
        <v>291</v>
      </c>
      <c r="AD59" t="s">
        <v>340</v>
      </c>
      <c r="AE59" t="s">
        <v>425</v>
      </c>
      <c r="AF59" t="s">
        <v>289</v>
      </c>
      <c r="AG59" t="s">
        <v>289</v>
      </c>
      <c r="AH59" t="s">
        <v>289</v>
      </c>
      <c r="AI59" t="s">
        <v>289</v>
      </c>
      <c r="AJ59">
        <v>44.394078999999898</v>
      </c>
      <c r="AK59">
        <v>-102.84265600000001</v>
      </c>
      <c r="AL59" t="s">
        <v>330</v>
      </c>
      <c r="AM59" t="s">
        <v>307</v>
      </c>
      <c r="AN59" t="s">
        <v>305</v>
      </c>
      <c r="AO59" t="s">
        <v>329</v>
      </c>
      <c r="AP59" t="s">
        <v>305</v>
      </c>
      <c r="AQ59" t="s">
        <v>305</v>
      </c>
      <c r="AR59" t="s">
        <v>304</v>
      </c>
      <c r="AS59">
        <v>45</v>
      </c>
      <c r="AT59" t="s">
        <v>303</v>
      </c>
      <c r="AU59" t="s">
        <v>303</v>
      </c>
    </row>
    <row r="60" spans="1:47" x14ac:dyDescent="0.25">
      <c r="A60">
        <v>72</v>
      </c>
      <c r="B60">
        <v>1900484</v>
      </c>
      <c r="C60" s="250">
        <v>43486.4375</v>
      </c>
      <c r="D60" t="s">
        <v>297</v>
      </c>
      <c r="E60" t="s">
        <v>289</v>
      </c>
      <c r="G60" t="s">
        <v>315</v>
      </c>
      <c r="H60" t="s">
        <v>314</v>
      </c>
      <c r="I60">
        <v>0</v>
      </c>
      <c r="K60" t="s">
        <v>424</v>
      </c>
      <c r="L60" t="s">
        <v>423</v>
      </c>
      <c r="M60" t="s">
        <v>422</v>
      </c>
      <c r="N60" t="s">
        <v>422</v>
      </c>
      <c r="O60" t="s">
        <v>382</v>
      </c>
      <c r="P60" t="s">
        <v>289</v>
      </c>
      <c r="Q60">
        <v>2019</v>
      </c>
      <c r="R60" t="s">
        <v>324</v>
      </c>
      <c r="S60" t="s">
        <v>289</v>
      </c>
      <c r="T60" t="s">
        <v>289</v>
      </c>
      <c r="U60" t="s">
        <v>280</v>
      </c>
      <c r="V60" t="s">
        <v>294</v>
      </c>
      <c r="W60">
        <v>55</v>
      </c>
      <c r="X60" t="s">
        <v>312</v>
      </c>
      <c r="Y60" t="s">
        <v>311</v>
      </c>
      <c r="Z60" t="s">
        <v>310</v>
      </c>
      <c r="AA60" t="s">
        <v>292</v>
      </c>
      <c r="AB60" t="s">
        <v>291</v>
      </c>
      <c r="AD60" t="s">
        <v>309</v>
      </c>
      <c r="AE60" t="s">
        <v>319</v>
      </c>
      <c r="AF60" t="s">
        <v>289</v>
      </c>
      <c r="AG60" t="s">
        <v>289</v>
      </c>
      <c r="AH60" t="s">
        <v>289</v>
      </c>
      <c r="AI60" t="s">
        <v>289</v>
      </c>
      <c r="AJ60">
        <v>44.483860999999898</v>
      </c>
      <c r="AK60">
        <v>-102.820396</v>
      </c>
      <c r="AL60" t="s">
        <v>330</v>
      </c>
      <c r="AM60" t="s">
        <v>287</v>
      </c>
      <c r="AN60" t="s">
        <v>361</v>
      </c>
      <c r="AO60" t="s">
        <v>305</v>
      </c>
      <c r="AP60" t="s">
        <v>305</v>
      </c>
      <c r="AQ60" t="s">
        <v>305</v>
      </c>
      <c r="AR60" t="s">
        <v>316</v>
      </c>
      <c r="AS60">
        <v>45</v>
      </c>
      <c r="AT60" t="s">
        <v>303</v>
      </c>
      <c r="AU60" t="s">
        <v>303</v>
      </c>
    </row>
    <row r="61" spans="1:47" x14ac:dyDescent="0.25">
      <c r="A61">
        <v>73</v>
      </c>
      <c r="B61">
        <v>1900674</v>
      </c>
      <c r="C61" s="250">
        <v>43485.305555555555</v>
      </c>
      <c r="D61" t="s">
        <v>297</v>
      </c>
      <c r="E61" t="s">
        <v>289</v>
      </c>
      <c r="G61" t="s">
        <v>315</v>
      </c>
      <c r="H61" t="s">
        <v>314</v>
      </c>
      <c r="I61">
        <v>0</v>
      </c>
      <c r="K61" t="s">
        <v>421</v>
      </c>
      <c r="L61" t="s">
        <v>333</v>
      </c>
      <c r="M61" t="s">
        <v>408</v>
      </c>
      <c r="N61" t="s">
        <v>384</v>
      </c>
      <c r="P61" t="s">
        <v>289</v>
      </c>
      <c r="Q61">
        <v>2019</v>
      </c>
      <c r="R61" t="s">
        <v>324</v>
      </c>
      <c r="S61" t="s">
        <v>289</v>
      </c>
      <c r="T61" t="s">
        <v>289</v>
      </c>
      <c r="U61" t="s">
        <v>280</v>
      </c>
      <c r="V61" t="s">
        <v>294</v>
      </c>
      <c r="W61">
        <v>55</v>
      </c>
      <c r="X61" t="s">
        <v>312</v>
      </c>
      <c r="Y61" t="s">
        <v>311</v>
      </c>
      <c r="Z61" t="s">
        <v>310</v>
      </c>
      <c r="AA61" t="s">
        <v>292</v>
      </c>
      <c r="AB61" t="s">
        <v>291</v>
      </c>
      <c r="AD61" t="s">
        <v>340</v>
      </c>
      <c r="AE61" t="s">
        <v>344</v>
      </c>
      <c r="AF61" t="s">
        <v>289</v>
      </c>
      <c r="AG61" t="s">
        <v>289</v>
      </c>
      <c r="AH61" t="s">
        <v>289</v>
      </c>
      <c r="AI61" t="s">
        <v>289</v>
      </c>
      <c r="AJ61">
        <v>44.358519000000001</v>
      </c>
      <c r="AK61">
        <v>-102.843385999999</v>
      </c>
      <c r="AL61" t="s">
        <v>288</v>
      </c>
      <c r="AM61" t="s">
        <v>307</v>
      </c>
      <c r="AN61" t="s">
        <v>361</v>
      </c>
      <c r="AO61" t="s">
        <v>329</v>
      </c>
      <c r="AP61" t="s">
        <v>305</v>
      </c>
      <c r="AQ61" t="s">
        <v>305</v>
      </c>
      <c r="AR61" t="s">
        <v>316</v>
      </c>
      <c r="AS61">
        <v>55</v>
      </c>
      <c r="AT61" t="s">
        <v>303</v>
      </c>
      <c r="AU61" t="s">
        <v>303</v>
      </c>
    </row>
    <row r="62" spans="1:47" x14ac:dyDescent="0.25">
      <c r="A62">
        <v>75</v>
      </c>
      <c r="B62">
        <v>1904698</v>
      </c>
      <c r="C62" s="250">
        <v>43590.600694444445</v>
      </c>
      <c r="D62" t="s">
        <v>297</v>
      </c>
      <c r="E62" t="s">
        <v>289</v>
      </c>
      <c r="G62" t="s">
        <v>315</v>
      </c>
      <c r="H62" t="s">
        <v>314</v>
      </c>
      <c r="I62">
        <v>0</v>
      </c>
      <c r="K62" t="s">
        <v>332</v>
      </c>
      <c r="L62" t="s">
        <v>345</v>
      </c>
      <c r="M62" t="s">
        <v>332</v>
      </c>
      <c r="N62" t="s">
        <v>332</v>
      </c>
      <c r="P62" t="s">
        <v>289</v>
      </c>
      <c r="Q62">
        <v>2019</v>
      </c>
      <c r="R62" t="s">
        <v>289</v>
      </c>
      <c r="S62" t="s">
        <v>289</v>
      </c>
      <c r="T62" t="s">
        <v>289</v>
      </c>
      <c r="U62" t="s">
        <v>278</v>
      </c>
      <c r="V62" t="s">
        <v>294</v>
      </c>
      <c r="W62">
        <v>55</v>
      </c>
      <c r="X62" t="s">
        <v>312</v>
      </c>
      <c r="Y62" t="s">
        <v>311</v>
      </c>
      <c r="Z62" t="s">
        <v>310</v>
      </c>
      <c r="AA62" t="s">
        <v>292</v>
      </c>
      <c r="AB62" t="s">
        <v>291</v>
      </c>
      <c r="AD62" t="s">
        <v>309</v>
      </c>
      <c r="AE62" t="s">
        <v>344</v>
      </c>
      <c r="AF62" t="s">
        <v>289</v>
      </c>
      <c r="AG62" t="s">
        <v>289</v>
      </c>
      <c r="AH62" t="s">
        <v>289</v>
      </c>
      <c r="AI62" t="s">
        <v>289</v>
      </c>
      <c r="AJ62">
        <v>44.394478999999897</v>
      </c>
      <c r="AK62">
        <v>-102.826224999999</v>
      </c>
      <c r="AL62" t="s">
        <v>395</v>
      </c>
      <c r="AM62" t="s">
        <v>287</v>
      </c>
      <c r="AN62" t="s">
        <v>305</v>
      </c>
      <c r="AO62" t="s">
        <v>305</v>
      </c>
      <c r="AP62" t="s">
        <v>305</v>
      </c>
      <c r="AQ62" t="s">
        <v>305</v>
      </c>
      <c r="AR62" t="s">
        <v>316</v>
      </c>
      <c r="AS62">
        <v>5</v>
      </c>
      <c r="AT62" t="s">
        <v>303</v>
      </c>
      <c r="AU62" t="s">
        <v>303</v>
      </c>
    </row>
    <row r="63" spans="1:47" x14ac:dyDescent="0.25">
      <c r="A63">
        <v>78</v>
      </c>
      <c r="B63">
        <v>1907398</v>
      </c>
      <c r="C63" s="250">
        <v>43626.61041666667</v>
      </c>
      <c r="D63" t="s">
        <v>297</v>
      </c>
      <c r="E63" t="s">
        <v>289</v>
      </c>
      <c r="F63" t="s">
        <v>420</v>
      </c>
      <c r="G63" t="s">
        <v>315</v>
      </c>
      <c r="H63" t="s">
        <v>419</v>
      </c>
      <c r="I63">
        <v>0</v>
      </c>
      <c r="K63" t="s">
        <v>418</v>
      </c>
      <c r="L63" t="s">
        <v>296</v>
      </c>
      <c r="M63" t="s">
        <v>352</v>
      </c>
      <c r="N63" t="s">
        <v>352</v>
      </c>
      <c r="P63" t="s">
        <v>289</v>
      </c>
      <c r="Q63">
        <v>2019</v>
      </c>
      <c r="R63" t="s">
        <v>324</v>
      </c>
      <c r="S63" t="s">
        <v>289</v>
      </c>
      <c r="T63" t="s">
        <v>289</v>
      </c>
      <c r="U63" t="s">
        <v>281</v>
      </c>
      <c r="V63" t="s">
        <v>377</v>
      </c>
      <c r="W63">
        <v>55</v>
      </c>
      <c r="X63" t="s">
        <v>312</v>
      </c>
      <c r="Y63" t="s">
        <v>311</v>
      </c>
      <c r="Z63" t="s">
        <v>321</v>
      </c>
      <c r="AA63" t="s">
        <v>292</v>
      </c>
      <c r="AB63" t="s">
        <v>337</v>
      </c>
      <c r="AD63" t="s">
        <v>358</v>
      </c>
      <c r="AE63" t="s">
        <v>290</v>
      </c>
      <c r="AF63" t="s">
        <v>289</v>
      </c>
      <c r="AG63" t="s">
        <v>289</v>
      </c>
      <c r="AH63" t="s">
        <v>289</v>
      </c>
      <c r="AI63" t="s">
        <v>289</v>
      </c>
      <c r="AJ63">
        <v>44.372821000000002</v>
      </c>
      <c r="AK63">
        <v>-102.843417</v>
      </c>
      <c r="AL63" t="s">
        <v>417</v>
      </c>
      <c r="AM63" t="s">
        <v>375</v>
      </c>
      <c r="AN63" t="s">
        <v>416</v>
      </c>
      <c r="AO63" t="s">
        <v>305</v>
      </c>
      <c r="AP63" t="s">
        <v>305</v>
      </c>
      <c r="AQ63" t="s">
        <v>305</v>
      </c>
      <c r="AR63" t="s">
        <v>415</v>
      </c>
      <c r="AS63" t="s">
        <v>414</v>
      </c>
      <c r="AT63" t="s">
        <v>303</v>
      </c>
      <c r="AU63" t="s">
        <v>303</v>
      </c>
    </row>
    <row r="64" spans="1:47" x14ac:dyDescent="0.25">
      <c r="A64">
        <v>79</v>
      </c>
      <c r="B64">
        <v>1908908</v>
      </c>
      <c r="C64" s="250">
        <v>43651.645833333336</v>
      </c>
      <c r="D64" t="s">
        <v>297</v>
      </c>
      <c r="E64" t="s">
        <v>289</v>
      </c>
      <c r="H64" t="s">
        <v>314</v>
      </c>
      <c r="I64">
        <v>0</v>
      </c>
      <c r="K64" t="s">
        <v>413</v>
      </c>
      <c r="L64" t="s">
        <v>412</v>
      </c>
      <c r="M64" t="s">
        <v>384</v>
      </c>
      <c r="N64" t="s">
        <v>411</v>
      </c>
      <c r="P64" t="s">
        <v>289</v>
      </c>
      <c r="Q64">
        <v>2019</v>
      </c>
      <c r="R64" t="s">
        <v>289</v>
      </c>
      <c r="S64" t="s">
        <v>289</v>
      </c>
      <c r="T64" t="s">
        <v>324</v>
      </c>
      <c r="U64" t="s">
        <v>280</v>
      </c>
      <c r="V64" t="s">
        <v>294</v>
      </c>
      <c r="W64">
        <v>55</v>
      </c>
      <c r="X64" t="s">
        <v>312</v>
      </c>
      <c r="Y64" t="s">
        <v>311</v>
      </c>
      <c r="Z64" t="s">
        <v>310</v>
      </c>
      <c r="AA64" t="s">
        <v>292</v>
      </c>
      <c r="AB64" t="s">
        <v>291</v>
      </c>
      <c r="AD64" t="s">
        <v>358</v>
      </c>
      <c r="AE64" t="s">
        <v>344</v>
      </c>
      <c r="AF64" t="s">
        <v>289</v>
      </c>
      <c r="AG64" t="s">
        <v>289</v>
      </c>
      <c r="AH64" t="s">
        <v>289</v>
      </c>
      <c r="AI64" t="s">
        <v>289</v>
      </c>
      <c r="AJ64">
        <v>44.360098000000001</v>
      </c>
      <c r="AK64">
        <v>-102.843397999999</v>
      </c>
      <c r="AL64" t="s">
        <v>299</v>
      </c>
      <c r="AM64" t="s">
        <v>307</v>
      </c>
      <c r="AN64" t="s">
        <v>410</v>
      </c>
      <c r="AO64" t="s">
        <v>305</v>
      </c>
      <c r="AP64" t="s">
        <v>305</v>
      </c>
      <c r="AQ64" t="s">
        <v>305</v>
      </c>
      <c r="AR64" t="s">
        <v>304</v>
      </c>
      <c r="AS64">
        <v>55</v>
      </c>
      <c r="AT64" t="s">
        <v>303</v>
      </c>
      <c r="AU64" t="s">
        <v>303</v>
      </c>
    </row>
    <row r="65" spans="1:47" x14ac:dyDescent="0.25">
      <c r="A65">
        <v>80</v>
      </c>
      <c r="B65">
        <v>1908910</v>
      </c>
      <c r="C65" s="250">
        <v>43656.017361111109</v>
      </c>
      <c r="D65" t="s">
        <v>297</v>
      </c>
      <c r="E65" t="s">
        <v>289</v>
      </c>
      <c r="G65" t="s">
        <v>315</v>
      </c>
      <c r="H65" t="s">
        <v>314</v>
      </c>
      <c r="I65">
        <v>0</v>
      </c>
      <c r="K65" t="s">
        <v>409</v>
      </c>
      <c r="L65" t="s">
        <v>296</v>
      </c>
      <c r="M65" t="s">
        <v>408</v>
      </c>
      <c r="N65" t="s">
        <v>408</v>
      </c>
      <c r="P65" t="s">
        <v>289</v>
      </c>
      <c r="Q65">
        <v>2019</v>
      </c>
      <c r="R65" t="s">
        <v>324</v>
      </c>
      <c r="S65" t="s">
        <v>289</v>
      </c>
      <c r="T65" t="s">
        <v>289</v>
      </c>
      <c r="U65" t="s">
        <v>280</v>
      </c>
      <c r="V65" t="s">
        <v>294</v>
      </c>
      <c r="W65">
        <v>55</v>
      </c>
      <c r="X65" t="s">
        <v>312</v>
      </c>
      <c r="Y65" t="s">
        <v>322</v>
      </c>
      <c r="Z65" t="s">
        <v>310</v>
      </c>
      <c r="AA65" t="s">
        <v>292</v>
      </c>
      <c r="AB65" t="s">
        <v>291</v>
      </c>
      <c r="AD65" t="s">
        <v>340</v>
      </c>
      <c r="AE65" t="s">
        <v>290</v>
      </c>
      <c r="AF65" t="s">
        <v>289</v>
      </c>
      <c r="AG65" t="s">
        <v>289</v>
      </c>
      <c r="AH65" t="s">
        <v>289</v>
      </c>
      <c r="AI65" t="s">
        <v>289</v>
      </c>
      <c r="AJ65">
        <v>44.357469000000002</v>
      </c>
      <c r="AK65">
        <v>-102.84276300000001</v>
      </c>
      <c r="AL65" t="s">
        <v>330</v>
      </c>
      <c r="AM65" t="s">
        <v>287</v>
      </c>
      <c r="AN65" t="s">
        <v>407</v>
      </c>
      <c r="AO65" t="s">
        <v>305</v>
      </c>
      <c r="AP65" t="s">
        <v>305</v>
      </c>
      <c r="AQ65" t="s">
        <v>305</v>
      </c>
      <c r="AR65" t="s">
        <v>304</v>
      </c>
      <c r="AS65">
        <v>70</v>
      </c>
      <c r="AT65" t="s">
        <v>303</v>
      </c>
      <c r="AU65" t="s">
        <v>303</v>
      </c>
    </row>
    <row r="66" spans="1:47" x14ac:dyDescent="0.25">
      <c r="A66">
        <v>82</v>
      </c>
      <c r="B66">
        <v>1910907</v>
      </c>
      <c r="C66" s="250">
        <v>43688.802083333336</v>
      </c>
      <c r="D66" t="s">
        <v>297</v>
      </c>
      <c r="E66" t="s">
        <v>289</v>
      </c>
      <c r="I66">
        <v>-1</v>
      </c>
      <c r="K66" t="s">
        <v>295</v>
      </c>
      <c r="L66" t="s">
        <v>345</v>
      </c>
      <c r="M66" t="s">
        <v>295</v>
      </c>
      <c r="N66" t="s">
        <v>295</v>
      </c>
      <c r="P66" t="s">
        <v>289</v>
      </c>
      <c r="Q66">
        <v>2019</v>
      </c>
      <c r="R66" t="s">
        <v>289</v>
      </c>
      <c r="S66" t="s">
        <v>289</v>
      </c>
      <c r="T66" t="s">
        <v>289</v>
      </c>
      <c r="U66" t="s">
        <v>277</v>
      </c>
      <c r="V66" t="s">
        <v>294</v>
      </c>
      <c r="W66">
        <v>55</v>
      </c>
      <c r="X66" t="s">
        <v>285</v>
      </c>
      <c r="Y66" t="s">
        <v>311</v>
      </c>
      <c r="Z66" t="s">
        <v>285</v>
      </c>
      <c r="AA66" t="s">
        <v>292</v>
      </c>
      <c r="AB66" t="s">
        <v>291</v>
      </c>
      <c r="AD66" t="s">
        <v>285</v>
      </c>
      <c r="AE66" t="s">
        <v>402</v>
      </c>
      <c r="AF66" t="s">
        <v>289</v>
      </c>
      <c r="AG66" t="s">
        <v>289</v>
      </c>
      <c r="AH66" t="s">
        <v>289</v>
      </c>
      <c r="AI66" t="s">
        <v>289</v>
      </c>
      <c r="AJ66">
        <v>44.282249</v>
      </c>
      <c r="AK66">
        <v>-102.82918600000001</v>
      </c>
      <c r="AL66" t="s">
        <v>288</v>
      </c>
      <c r="AM66" t="s">
        <v>287</v>
      </c>
      <c r="AN66" t="s">
        <v>285</v>
      </c>
      <c r="AO66" t="s">
        <v>286</v>
      </c>
      <c r="AP66" t="s">
        <v>277</v>
      </c>
      <c r="AQ66" t="s">
        <v>285</v>
      </c>
      <c r="AR66" t="s">
        <v>277</v>
      </c>
      <c r="AS66">
        <v>0</v>
      </c>
      <c r="AT66" t="s">
        <v>277</v>
      </c>
      <c r="AU66" t="s">
        <v>277</v>
      </c>
    </row>
    <row r="67" spans="1:47" x14ac:dyDescent="0.25">
      <c r="A67">
        <v>83</v>
      </c>
      <c r="B67">
        <v>1912694</v>
      </c>
      <c r="C67" s="250">
        <v>43701.645833333336</v>
      </c>
      <c r="D67" t="s">
        <v>297</v>
      </c>
      <c r="E67" t="s">
        <v>289</v>
      </c>
      <c r="G67" t="s">
        <v>315</v>
      </c>
      <c r="H67" t="s">
        <v>314</v>
      </c>
      <c r="I67">
        <v>0</v>
      </c>
      <c r="K67" t="s">
        <v>406</v>
      </c>
      <c r="L67" t="s">
        <v>296</v>
      </c>
      <c r="M67" t="s">
        <v>332</v>
      </c>
      <c r="N67" t="s">
        <v>332</v>
      </c>
      <c r="O67" t="s">
        <v>382</v>
      </c>
      <c r="P67" t="s">
        <v>289</v>
      </c>
      <c r="Q67">
        <v>2019</v>
      </c>
      <c r="R67" t="s">
        <v>324</v>
      </c>
      <c r="S67" t="s">
        <v>289</v>
      </c>
      <c r="T67" t="s">
        <v>289</v>
      </c>
      <c r="U67" t="s">
        <v>278</v>
      </c>
      <c r="V67" t="s">
        <v>294</v>
      </c>
      <c r="W67">
        <v>55</v>
      </c>
      <c r="X67" t="s">
        <v>312</v>
      </c>
      <c r="Y67" t="s">
        <v>311</v>
      </c>
      <c r="Z67" t="s">
        <v>310</v>
      </c>
      <c r="AA67" t="s">
        <v>292</v>
      </c>
      <c r="AB67" t="s">
        <v>291</v>
      </c>
      <c r="AD67" t="s">
        <v>340</v>
      </c>
      <c r="AE67" t="s">
        <v>290</v>
      </c>
      <c r="AF67" t="s">
        <v>324</v>
      </c>
      <c r="AG67" t="s">
        <v>289</v>
      </c>
      <c r="AH67" t="s">
        <v>289</v>
      </c>
      <c r="AI67" t="s">
        <v>289</v>
      </c>
      <c r="AJ67">
        <v>44.356623999999897</v>
      </c>
      <c r="AK67">
        <v>-102.841488999999</v>
      </c>
      <c r="AL67" t="s">
        <v>299</v>
      </c>
      <c r="AM67" t="s">
        <v>287</v>
      </c>
      <c r="AN67" t="s">
        <v>405</v>
      </c>
      <c r="AO67" t="s">
        <v>305</v>
      </c>
      <c r="AP67" t="s">
        <v>305</v>
      </c>
      <c r="AQ67" t="s">
        <v>305</v>
      </c>
      <c r="AR67" t="s">
        <v>316</v>
      </c>
      <c r="AS67">
        <v>60</v>
      </c>
      <c r="AT67" t="s">
        <v>303</v>
      </c>
      <c r="AU67" t="s">
        <v>303</v>
      </c>
    </row>
    <row r="68" spans="1:47" x14ac:dyDescent="0.25">
      <c r="A68">
        <v>84</v>
      </c>
      <c r="B68">
        <v>1913136</v>
      </c>
      <c r="C68" s="250">
        <v>43736.270833333336</v>
      </c>
      <c r="D68" t="s">
        <v>297</v>
      </c>
      <c r="E68" t="s">
        <v>289</v>
      </c>
      <c r="I68">
        <v>-1</v>
      </c>
      <c r="K68" t="s">
        <v>295</v>
      </c>
      <c r="L68" t="s">
        <v>345</v>
      </c>
      <c r="M68" t="s">
        <v>295</v>
      </c>
      <c r="N68" t="s">
        <v>295</v>
      </c>
      <c r="P68" t="s">
        <v>289</v>
      </c>
      <c r="Q68">
        <v>2019</v>
      </c>
      <c r="R68" t="s">
        <v>289</v>
      </c>
      <c r="S68" t="s">
        <v>289</v>
      </c>
      <c r="T68" t="s">
        <v>289</v>
      </c>
      <c r="U68" t="s">
        <v>277</v>
      </c>
      <c r="V68" t="s">
        <v>294</v>
      </c>
      <c r="W68">
        <v>55</v>
      </c>
      <c r="X68" t="s">
        <v>285</v>
      </c>
      <c r="Y68" t="s">
        <v>322</v>
      </c>
      <c r="Z68" t="s">
        <v>285</v>
      </c>
      <c r="AA68" t="s">
        <v>292</v>
      </c>
      <c r="AB68" t="s">
        <v>291</v>
      </c>
      <c r="AD68" t="s">
        <v>285</v>
      </c>
      <c r="AE68" t="s">
        <v>369</v>
      </c>
      <c r="AF68" t="s">
        <v>289</v>
      </c>
      <c r="AG68" t="s">
        <v>289</v>
      </c>
      <c r="AH68" t="s">
        <v>289</v>
      </c>
      <c r="AI68" t="s">
        <v>289</v>
      </c>
      <c r="AJ68">
        <v>44.394514000000001</v>
      </c>
      <c r="AK68">
        <v>-102.838296</v>
      </c>
      <c r="AL68" t="s">
        <v>330</v>
      </c>
      <c r="AM68" t="s">
        <v>298</v>
      </c>
      <c r="AN68" t="s">
        <v>285</v>
      </c>
      <c r="AO68" t="s">
        <v>286</v>
      </c>
      <c r="AP68" t="s">
        <v>277</v>
      </c>
      <c r="AQ68" t="s">
        <v>285</v>
      </c>
      <c r="AR68" t="s">
        <v>277</v>
      </c>
      <c r="AS68">
        <v>0</v>
      </c>
      <c r="AT68" t="s">
        <v>277</v>
      </c>
      <c r="AU68" t="s">
        <v>277</v>
      </c>
    </row>
    <row r="69" spans="1:47" x14ac:dyDescent="0.25">
      <c r="A69">
        <v>85</v>
      </c>
      <c r="B69">
        <v>1916500</v>
      </c>
      <c r="C69" s="250">
        <v>43774.723611111112</v>
      </c>
      <c r="D69" t="s">
        <v>297</v>
      </c>
      <c r="E69" t="s">
        <v>289</v>
      </c>
      <c r="I69">
        <v>-1</v>
      </c>
      <c r="K69" t="s">
        <v>295</v>
      </c>
      <c r="L69" t="s">
        <v>296</v>
      </c>
      <c r="M69" t="s">
        <v>295</v>
      </c>
      <c r="N69" t="s">
        <v>295</v>
      </c>
      <c r="P69" t="s">
        <v>289</v>
      </c>
      <c r="Q69">
        <v>2019</v>
      </c>
      <c r="R69" t="s">
        <v>289</v>
      </c>
      <c r="S69" t="s">
        <v>289</v>
      </c>
      <c r="T69" t="s">
        <v>289</v>
      </c>
      <c r="U69" t="s">
        <v>277</v>
      </c>
      <c r="V69" t="s">
        <v>294</v>
      </c>
      <c r="W69">
        <v>55</v>
      </c>
      <c r="X69" t="s">
        <v>285</v>
      </c>
      <c r="Y69" t="s">
        <v>346</v>
      </c>
      <c r="Z69" t="s">
        <v>285</v>
      </c>
      <c r="AA69" t="s">
        <v>292</v>
      </c>
      <c r="AB69" t="s">
        <v>291</v>
      </c>
      <c r="AD69" t="s">
        <v>285</v>
      </c>
      <c r="AE69" t="s">
        <v>290</v>
      </c>
      <c r="AF69" t="s">
        <v>289</v>
      </c>
      <c r="AG69" t="s">
        <v>289</v>
      </c>
      <c r="AH69" t="s">
        <v>289</v>
      </c>
      <c r="AI69" t="s">
        <v>289</v>
      </c>
      <c r="AJ69">
        <v>44.206248000000002</v>
      </c>
      <c r="AK69">
        <v>-102.829476999999</v>
      </c>
      <c r="AL69" t="s">
        <v>288</v>
      </c>
      <c r="AM69" t="s">
        <v>287</v>
      </c>
      <c r="AN69" t="s">
        <v>285</v>
      </c>
      <c r="AO69" t="s">
        <v>286</v>
      </c>
      <c r="AP69" t="s">
        <v>277</v>
      </c>
      <c r="AQ69" t="s">
        <v>285</v>
      </c>
      <c r="AR69" t="s">
        <v>277</v>
      </c>
      <c r="AS69">
        <v>0</v>
      </c>
      <c r="AT69" t="s">
        <v>277</v>
      </c>
      <c r="AU69" t="s">
        <v>277</v>
      </c>
    </row>
    <row r="70" spans="1:47" x14ac:dyDescent="0.25">
      <c r="A70">
        <v>89</v>
      </c>
      <c r="B70">
        <v>2007610</v>
      </c>
      <c r="C70" s="250">
        <v>44019.958333333336</v>
      </c>
      <c r="D70" t="s">
        <v>297</v>
      </c>
      <c r="E70" t="s">
        <v>289</v>
      </c>
      <c r="G70" t="s">
        <v>315</v>
      </c>
      <c r="H70" t="s">
        <v>314</v>
      </c>
      <c r="I70">
        <v>0</v>
      </c>
      <c r="K70" t="s">
        <v>404</v>
      </c>
      <c r="L70" t="s">
        <v>306</v>
      </c>
      <c r="M70" t="s">
        <v>332</v>
      </c>
      <c r="N70" t="s">
        <v>332</v>
      </c>
      <c r="P70" t="s">
        <v>289</v>
      </c>
      <c r="Q70">
        <v>2020</v>
      </c>
      <c r="R70" t="s">
        <v>289</v>
      </c>
      <c r="S70" t="s">
        <v>289</v>
      </c>
      <c r="T70" t="s">
        <v>289</v>
      </c>
      <c r="U70" t="s">
        <v>280</v>
      </c>
      <c r="V70" t="s">
        <v>294</v>
      </c>
      <c r="W70">
        <v>55</v>
      </c>
      <c r="X70" t="s">
        <v>312</v>
      </c>
      <c r="Y70" t="s">
        <v>322</v>
      </c>
      <c r="Z70" t="s">
        <v>310</v>
      </c>
      <c r="AA70" t="s">
        <v>292</v>
      </c>
      <c r="AB70" t="s">
        <v>291</v>
      </c>
      <c r="AD70" t="s">
        <v>340</v>
      </c>
      <c r="AE70" t="s">
        <v>290</v>
      </c>
      <c r="AF70" t="s">
        <v>289</v>
      </c>
      <c r="AG70" t="s">
        <v>289</v>
      </c>
      <c r="AH70" t="s">
        <v>289</v>
      </c>
      <c r="AI70" t="s">
        <v>289</v>
      </c>
      <c r="AJ70">
        <v>44.357748000000001</v>
      </c>
      <c r="AK70">
        <v>-102.843046</v>
      </c>
      <c r="AL70" t="s">
        <v>299</v>
      </c>
      <c r="AM70" t="s">
        <v>287</v>
      </c>
      <c r="AN70" t="s">
        <v>403</v>
      </c>
      <c r="AO70" t="s">
        <v>305</v>
      </c>
      <c r="AP70" t="s">
        <v>305</v>
      </c>
      <c r="AQ70" t="s">
        <v>305</v>
      </c>
      <c r="AR70" t="s">
        <v>306</v>
      </c>
      <c r="AS70">
        <v>55</v>
      </c>
      <c r="AT70" t="s">
        <v>303</v>
      </c>
      <c r="AU70" t="s">
        <v>303</v>
      </c>
    </row>
    <row r="71" spans="1:47" x14ac:dyDescent="0.25">
      <c r="A71">
        <v>90</v>
      </c>
      <c r="B71">
        <v>2008100</v>
      </c>
      <c r="C71" s="250">
        <v>44027.25</v>
      </c>
      <c r="D71" t="s">
        <v>297</v>
      </c>
      <c r="E71" t="s">
        <v>289</v>
      </c>
      <c r="I71">
        <v>-1</v>
      </c>
      <c r="K71" t="s">
        <v>295</v>
      </c>
      <c r="L71" t="s">
        <v>296</v>
      </c>
      <c r="M71" t="s">
        <v>295</v>
      </c>
      <c r="N71" t="s">
        <v>295</v>
      </c>
      <c r="P71" t="s">
        <v>289</v>
      </c>
      <c r="Q71">
        <v>2020</v>
      </c>
      <c r="R71" t="s">
        <v>289</v>
      </c>
      <c r="S71" t="s">
        <v>289</v>
      </c>
      <c r="T71" t="s">
        <v>289</v>
      </c>
      <c r="U71" t="s">
        <v>277</v>
      </c>
      <c r="V71" t="s">
        <v>294</v>
      </c>
      <c r="W71">
        <v>55</v>
      </c>
      <c r="X71" t="s">
        <v>285</v>
      </c>
      <c r="Y71" t="s">
        <v>311</v>
      </c>
      <c r="Z71" t="s">
        <v>285</v>
      </c>
      <c r="AA71" t="s">
        <v>292</v>
      </c>
      <c r="AB71" t="s">
        <v>291</v>
      </c>
      <c r="AD71" t="s">
        <v>285</v>
      </c>
      <c r="AE71" t="s">
        <v>290</v>
      </c>
      <c r="AF71" t="s">
        <v>289</v>
      </c>
      <c r="AG71" t="s">
        <v>289</v>
      </c>
      <c r="AH71" t="s">
        <v>289</v>
      </c>
      <c r="AI71" t="s">
        <v>289</v>
      </c>
      <c r="AJ71">
        <v>44.287807000000001</v>
      </c>
      <c r="AK71">
        <v>-102.829138999999</v>
      </c>
      <c r="AL71" t="s">
        <v>330</v>
      </c>
      <c r="AM71" t="s">
        <v>307</v>
      </c>
      <c r="AN71" t="s">
        <v>285</v>
      </c>
      <c r="AO71" t="s">
        <v>286</v>
      </c>
      <c r="AP71" t="s">
        <v>277</v>
      </c>
      <c r="AQ71" t="s">
        <v>285</v>
      </c>
      <c r="AR71" t="s">
        <v>277</v>
      </c>
      <c r="AS71">
        <v>0</v>
      </c>
      <c r="AT71" t="s">
        <v>277</v>
      </c>
      <c r="AU71" t="s">
        <v>277</v>
      </c>
    </row>
    <row r="72" spans="1:47" x14ac:dyDescent="0.25">
      <c r="A72">
        <v>91</v>
      </c>
      <c r="B72">
        <v>2009711</v>
      </c>
      <c r="C72" s="250">
        <v>44065.84375</v>
      </c>
      <c r="D72" t="s">
        <v>297</v>
      </c>
      <c r="E72" t="s">
        <v>289</v>
      </c>
      <c r="I72">
        <v>-1</v>
      </c>
      <c r="K72" t="s">
        <v>295</v>
      </c>
      <c r="L72" t="s">
        <v>296</v>
      </c>
      <c r="M72" t="s">
        <v>295</v>
      </c>
      <c r="N72" t="s">
        <v>295</v>
      </c>
      <c r="P72" t="s">
        <v>289</v>
      </c>
      <c r="Q72">
        <v>2020</v>
      </c>
      <c r="R72" t="s">
        <v>289</v>
      </c>
      <c r="S72" t="s">
        <v>289</v>
      </c>
      <c r="T72" t="s">
        <v>289</v>
      </c>
      <c r="U72" t="s">
        <v>277</v>
      </c>
      <c r="V72" t="s">
        <v>294</v>
      </c>
      <c r="W72">
        <v>55</v>
      </c>
      <c r="X72" t="s">
        <v>285</v>
      </c>
      <c r="Y72" t="s">
        <v>322</v>
      </c>
      <c r="Z72" t="s">
        <v>285</v>
      </c>
      <c r="AA72" t="s">
        <v>292</v>
      </c>
      <c r="AB72" t="s">
        <v>291</v>
      </c>
      <c r="AD72" t="s">
        <v>285</v>
      </c>
      <c r="AE72" t="s">
        <v>290</v>
      </c>
      <c r="AF72" t="s">
        <v>289</v>
      </c>
      <c r="AG72" t="s">
        <v>289</v>
      </c>
      <c r="AH72" t="s">
        <v>289</v>
      </c>
      <c r="AI72" t="s">
        <v>289</v>
      </c>
      <c r="AJ72">
        <v>44.282249</v>
      </c>
      <c r="AK72">
        <v>-102.82918600000001</v>
      </c>
      <c r="AL72" t="s">
        <v>299</v>
      </c>
      <c r="AM72" t="s">
        <v>287</v>
      </c>
      <c r="AN72" t="s">
        <v>285</v>
      </c>
      <c r="AO72" t="s">
        <v>286</v>
      </c>
      <c r="AP72" t="s">
        <v>277</v>
      </c>
      <c r="AQ72" t="s">
        <v>285</v>
      </c>
      <c r="AR72" t="s">
        <v>277</v>
      </c>
      <c r="AS72">
        <v>0</v>
      </c>
      <c r="AT72" t="s">
        <v>277</v>
      </c>
      <c r="AU72" t="s">
        <v>277</v>
      </c>
    </row>
    <row r="73" spans="1:47" x14ac:dyDescent="0.25">
      <c r="A73">
        <v>93</v>
      </c>
      <c r="B73">
        <v>2011415</v>
      </c>
      <c r="C73" s="250">
        <v>44097.979166666664</v>
      </c>
      <c r="D73" t="s">
        <v>297</v>
      </c>
      <c r="E73" t="s">
        <v>289</v>
      </c>
      <c r="I73">
        <v>-1</v>
      </c>
      <c r="K73" t="s">
        <v>295</v>
      </c>
      <c r="L73" t="s">
        <v>296</v>
      </c>
      <c r="M73" t="s">
        <v>295</v>
      </c>
      <c r="N73" t="s">
        <v>295</v>
      </c>
      <c r="P73" t="s">
        <v>289</v>
      </c>
      <c r="Q73">
        <v>2020</v>
      </c>
      <c r="R73" t="s">
        <v>289</v>
      </c>
      <c r="S73" t="s">
        <v>289</v>
      </c>
      <c r="T73" t="s">
        <v>289</v>
      </c>
      <c r="U73" t="s">
        <v>277</v>
      </c>
      <c r="V73" t="s">
        <v>294</v>
      </c>
      <c r="W73">
        <v>55</v>
      </c>
      <c r="X73" t="s">
        <v>285</v>
      </c>
      <c r="Y73" t="s">
        <v>322</v>
      </c>
      <c r="Z73" t="s">
        <v>285</v>
      </c>
      <c r="AA73" t="s">
        <v>292</v>
      </c>
      <c r="AB73" t="s">
        <v>291</v>
      </c>
      <c r="AD73" t="s">
        <v>285</v>
      </c>
      <c r="AE73" t="s">
        <v>290</v>
      </c>
      <c r="AF73" t="s">
        <v>289</v>
      </c>
      <c r="AG73" t="s">
        <v>289</v>
      </c>
      <c r="AH73" t="s">
        <v>289</v>
      </c>
      <c r="AI73" t="s">
        <v>289</v>
      </c>
      <c r="AJ73">
        <v>44.461308000000002</v>
      </c>
      <c r="AK73">
        <v>-102.813738999999</v>
      </c>
      <c r="AL73" t="s">
        <v>288</v>
      </c>
      <c r="AM73" t="s">
        <v>307</v>
      </c>
      <c r="AN73" t="s">
        <v>285</v>
      </c>
      <c r="AO73" t="s">
        <v>286</v>
      </c>
      <c r="AP73" t="s">
        <v>277</v>
      </c>
      <c r="AQ73" t="s">
        <v>285</v>
      </c>
      <c r="AR73" t="s">
        <v>277</v>
      </c>
      <c r="AS73">
        <v>0</v>
      </c>
      <c r="AT73" t="s">
        <v>277</v>
      </c>
      <c r="AU73" t="s">
        <v>277</v>
      </c>
    </row>
    <row r="74" spans="1:47" x14ac:dyDescent="0.25">
      <c r="A74">
        <v>94</v>
      </c>
      <c r="B74">
        <v>2013925</v>
      </c>
      <c r="C74" s="250">
        <v>44120.910416666666</v>
      </c>
      <c r="D74" t="s">
        <v>297</v>
      </c>
      <c r="E74" t="s">
        <v>289</v>
      </c>
      <c r="G74" t="s">
        <v>335</v>
      </c>
      <c r="H74" t="s">
        <v>314</v>
      </c>
      <c r="I74">
        <v>0</v>
      </c>
      <c r="K74" t="s">
        <v>334</v>
      </c>
      <c r="L74" t="s">
        <v>345</v>
      </c>
      <c r="M74" t="s">
        <v>332</v>
      </c>
      <c r="N74" t="s">
        <v>332</v>
      </c>
      <c r="P74" t="s">
        <v>289</v>
      </c>
      <c r="Q74">
        <v>2020</v>
      </c>
      <c r="R74" t="s">
        <v>324</v>
      </c>
      <c r="S74" t="s">
        <v>289</v>
      </c>
      <c r="T74" t="s">
        <v>289</v>
      </c>
      <c r="U74" t="s">
        <v>281</v>
      </c>
      <c r="V74" t="s">
        <v>294</v>
      </c>
      <c r="W74">
        <v>55</v>
      </c>
      <c r="X74" t="s">
        <v>312</v>
      </c>
      <c r="Y74" t="s">
        <v>322</v>
      </c>
      <c r="Z74" t="s">
        <v>310</v>
      </c>
      <c r="AA74" t="s">
        <v>292</v>
      </c>
      <c r="AB74" t="s">
        <v>291</v>
      </c>
      <c r="AD74" t="s">
        <v>340</v>
      </c>
      <c r="AE74" t="s">
        <v>402</v>
      </c>
      <c r="AF74" t="s">
        <v>289</v>
      </c>
      <c r="AG74" t="s">
        <v>289</v>
      </c>
      <c r="AH74" t="s">
        <v>289</v>
      </c>
      <c r="AI74" t="s">
        <v>289</v>
      </c>
      <c r="AJ74">
        <v>44.357573000000002</v>
      </c>
      <c r="AK74">
        <v>-102.842882</v>
      </c>
      <c r="AL74" t="s">
        <v>299</v>
      </c>
      <c r="AM74" t="s">
        <v>287</v>
      </c>
      <c r="AN74" t="s">
        <v>401</v>
      </c>
      <c r="AO74" t="s">
        <v>305</v>
      </c>
      <c r="AP74" t="s">
        <v>305</v>
      </c>
      <c r="AQ74" t="s">
        <v>305</v>
      </c>
      <c r="AR74" t="s">
        <v>400</v>
      </c>
      <c r="AS74">
        <v>80</v>
      </c>
      <c r="AT74" t="s">
        <v>303</v>
      </c>
      <c r="AU74" t="s">
        <v>303</v>
      </c>
    </row>
    <row r="75" spans="1:47" x14ac:dyDescent="0.25">
      <c r="A75">
        <v>95</v>
      </c>
      <c r="B75">
        <v>2016068</v>
      </c>
      <c r="C75" s="250">
        <v>44165.020833333336</v>
      </c>
      <c r="D75" t="s">
        <v>297</v>
      </c>
      <c r="E75" t="s">
        <v>289</v>
      </c>
      <c r="F75" t="s">
        <v>363</v>
      </c>
      <c r="G75" t="s">
        <v>315</v>
      </c>
      <c r="H75" t="s">
        <v>314</v>
      </c>
      <c r="I75">
        <v>0</v>
      </c>
      <c r="K75" t="s">
        <v>334</v>
      </c>
      <c r="L75" t="s">
        <v>296</v>
      </c>
      <c r="M75" t="s">
        <v>332</v>
      </c>
      <c r="N75" t="s">
        <v>332</v>
      </c>
      <c r="P75" t="s">
        <v>289</v>
      </c>
      <c r="Q75">
        <v>2020</v>
      </c>
      <c r="R75" t="s">
        <v>289</v>
      </c>
      <c r="S75" t="s">
        <v>289</v>
      </c>
      <c r="T75" t="s">
        <v>289</v>
      </c>
      <c r="U75" t="s">
        <v>280</v>
      </c>
      <c r="V75" t="s">
        <v>294</v>
      </c>
      <c r="W75">
        <v>55</v>
      </c>
      <c r="X75" t="s">
        <v>312</v>
      </c>
      <c r="Y75" t="s">
        <v>322</v>
      </c>
      <c r="Z75" t="s">
        <v>310</v>
      </c>
      <c r="AA75" t="s">
        <v>292</v>
      </c>
      <c r="AB75" t="s">
        <v>291</v>
      </c>
      <c r="AD75" t="s">
        <v>358</v>
      </c>
      <c r="AE75" t="s">
        <v>290</v>
      </c>
      <c r="AF75" t="s">
        <v>324</v>
      </c>
      <c r="AG75" t="s">
        <v>289</v>
      </c>
      <c r="AH75" t="s">
        <v>289</v>
      </c>
      <c r="AI75" t="s">
        <v>289</v>
      </c>
      <c r="AJ75">
        <v>44.167704000000001</v>
      </c>
      <c r="AK75">
        <v>-102.829515</v>
      </c>
      <c r="AL75" t="s">
        <v>288</v>
      </c>
      <c r="AM75" t="s">
        <v>307</v>
      </c>
      <c r="AN75" t="s">
        <v>399</v>
      </c>
      <c r="AO75" t="s">
        <v>305</v>
      </c>
      <c r="AP75" t="s">
        <v>305</v>
      </c>
      <c r="AQ75" t="s">
        <v>305</v>
      </c>
      <c r="AR75" t="s">
        <v>304</v>
      </c>
      <c r="AS75">
        <v>65</v>
      </c>
      <c r="AT75" t="s">
        <v>303</v>
      </c>
      <c r="AU75" t="s">
        <v>303</v>
      </c>
    </row>
    <row r="76" spans="1:47" x14ac:dyDescent="0.25">
      <c r="A76">
        <v>98</v>
      </c>
      <c r="B76">
        <v>2103005</v>
      </c>
      <c r="C76" s="250">
        <v>44254.829861111109</v>
      </c>
      <c r="D76" t="s">
        <v>297</v>
      </c>
      <c r="E76" t="s">
        <v>289</v>
      </c>
      <c r="G76" t="s">
        <v>315</v>
      </c>
      <c r="H76" t="s">
        <v>314</v>
      </c>
      <c r="I76">
        <v>0</v>
      </c>
      <c r="K76" t="s">
        <v>398</v>
      </c>
      <c r="L76" t="s">
        <v>331</v>
      </c>
      <c r="M76" t="s">
        <v>384</v>
      </c>
      <c r="N76" t="s">
        <v>384</v>
      </c>
      <c r="P76" t="s">
        <v>289</v>
      </c>
      <c r="Q76">
        <v>2021</v>
      </c>
      <c r="R76" t="s">
        <v>324</v>
      </c>
      <c r="S76" t="s">
        <v>289</v>
      </c>
      <c r="T76" t="s">
        <v>289</v>
      </c>
      <c r="U76" t="s">
        <v>280</v>
      </c>
      <c r="V76" t="s">
        <v>294</v>
      </c>
      <c r="W76">
        <v>55</v>
      </c>
      <c r="X76" t="s">
        <v>312</v>
      </c>
      <c r="Y76" t="s">
        <v>322</v>
      </c>
      <c r="Z76" t="s">
        <v>310</v>
      </c>
      <c r="AA76" t="s">
        <v>292</v>
      </c>
      <c r="AB76" t="s">
        <v>291</v>
      </c>
      <c r="AD76" t="s">
        <v>358</v>
      </c>
      <c r="AE76" t="s">
        <v>397</v>
      </c>
      <c r="AF76" t="s">
        <v>289</v>
      </c>
      <c r="AG76" t="s">
        <v>289</v>
      </c>
      <c r="AH76" t="s">
        <v>289</v>
      </c>
      <c r="AI76" t="s">
        <v>289</v>
      </c>
      <c r="AJ76">
        <v>44.35069</v>
      </c>
      <c r="AK76">
        <v>-102.837716</v>
      </c>
      <c r="AL76" t="s">
        <v>288</v>
      </c>
      <c r="AM76" t="s">
        <v>307</v>
      </c>
      <c r="AN76" t="s">
        <v>361</v>
      </c>
      <c r="AO76" t="s">
        <v>329</v>
      </c>
      <c r="AP76" t="s">
        <v>305</v>
      </c>
      <c r="AQ76" t="s">
        <v>317</v>
      </c>
      <c r="AR76" t="s">
        <v>304</v>
      </c>
      <c r="AS76">
        <v>0</v>
      </c>
      <c r="AT76" t="s">
        <v>303</v>
      </c>
      <c r="AU76" t="s">
        <v>303</v>
      </c>
    </row>
    <row r="77" spans="1:47" x14ac:dyDescent="0.25">
      <c r="A77">
        <v>99</v>
      </c>
      <c r="B77">
        <v>2104559</v>
      </c>
      <c r="C77" s="250">
        <v>44278.316666666666</v>
      </c>
      <c r="D77" t="s">
        <v>297</v>
      </c>
      <c r="E77" t="s">
        <v>289</v>
      </c>
      <c r="I77">
        <v>-1</v>
      </c>
      <c r="K77" t="s">
        <v>295</v>
      </c>
      <c r="L77" t="s">
        <v>296</v>
      </c>
      <c r="M77" t="s">
        <v>295</v>
      </c>
      <c r="N77" t="s">
        <v>295</v>
      </c>
      <c r="P77" t="s">
        <v>289</v>
      </c>
      <c r="Q77">
        <v>2021</v>
      </c>
      <c r="R77" t="s">
        <v>289</v>
      </c>
      <c r="S77" t="s">
        <v>289</v>
      </c>
      <c r="T77" t="s">
        <v>289</v>
      </c>
      <c r="U77" t="s">
        <v>277</v>
      </c>
      <c r="V77" t="s">
        <v>294</v>
      </c>
      <c r="W77">
        <v>55</v>
      </c>
      <c r="X77" t="s">
        <v>285</v>
      </c>
      <c r="Y77" t="s">
        <v>293</v>
      </c>
      <c r="Z77" t="s">
        <v>285</v>
      </c>
      <c r="AA77" t="s">
        <v>292</v>
      </c>
      <c r="AB77" t="s">
        <v>291</v>
      </c>
      <c r="AD77" t="s">
        <v>285</v>
      </c>
      <c r="AE77" t="s">
        <v>290</v>
      </c>
      <c r="AF77" t="s">
        <v>289</v>
      </c>
      <c r="AG77" t="s">
        <v>289</v>
      </c>
      <c r="AH77" t="s">
        <v>289</v>
      </c>
      <c r="AI77" t="s">
        <v>289</v>
      </c>
      <c r="AJ77">
        <v>44.357748000000001</v>
      </c>
      <c r="AK77">
        <v>-102.843046</v>
      </c>
      <c r="AL77" t="s">
        <v>288</v>
      </c>
      <c r="AM77" t="s">
        <v>287</v>
      </c>
      <c r="AN77" t="s">
        <v>285</v>
      </c>
      <c r="AO77" t="s">
        <v>286</v>
      </c>
      <c r="AP77" t="s">
        <v>277</v>
      </c>
      <c r="AQ77" t="s">
        <v>285</v>
      </c>
      <c r="AR77" t="s">
        <v>277</v>
      </c>
      <c r="AS77">
        <v>0</v>
      </c>
      <c r="AT77" t="s">
        <v>277</v>
      </c>
      <c r="AU77" t="s">
        <v>277</v>
      </c>
    </row>
    <row r="78" spans="1:47" x14ac:dyDescent="0.25">
      <c r="A78">
        <v>100</v>
      </c>
      <c r="B78">
        <v>2104487</v>
      </c>
      <c r="C78" s="250">
        <v>44294.415277777778</v>
      </c>
      <c r="D78" t="s">
        <v>364</v>
      </c>
      <c r="E78" t="s">
        <v>289</v>
      </c>
      <c r="G78" t="s">
        <v>315</v>
      </c>
      <c r="H78" t="s">
        <v>314</v>
      </c>
      <c r="I78">
        <v>0</v>
      </c>
      <c r="K78" t="s">
        <v>396</v>
      </c>
      <c r="L78" t="s">
        <v>296</v>
      </c>
      <c r="M78" t="s">
        <v>332</v>
      </c>
      <c r="N78" t="s">
        <v>332</v>
      </c>
      <c r="P78" t="s">
        <v>289</v>
      </c>
      <c r="Q78">
        <v>2021</v>
      </c>
      <c r="R78" t="s">
        <v>289</v>
      </c>
      <c r="S78" t="s">
        <v>289</v>
      </c>
      <c r="T78" t="s">
        <v>289</v>
      </c>
      <c r="U78" t="s">
        <v>279</v>
      </c>
      <c r="V78" t="s">
        <v>294</v>
      </c>
      <c r="W78">
        <v>0</v>
      </c>
      <c r="X78" t="s">
        <v>312</v>
      </c>
      <c r="Y78" t="s">
        <v>311</v>
      </c>
      <c r="Z78" t="s">
        <v>310</v>
      </c>
      <c r="AA78" t="s">
        <v>292</v>
      </c>
      <c r="AB78" t="s">
        <v>291</v>
      </c>
      <c r="AD78" t="s">
        <v>366</v>
      </c>
      <c r="AE78" t="s">
        <v>290</v>
      </c>
      <c r="AF78" t="s">
        <v>289</v>
      </c>
      <c r="AG78" t="s">
        <v>289</v>
      </c>
      <c r="AH78" t="s">
        <v>289</v>
      </c>
      <c r="AI78" t="s">
        <v>289</v>
      </c>
      <c r="AJ78">
        <v>44.140486000000003</v>
      </c>
      <c r="AK78">
        <v>-102.82858400000001</v>
      </c>
      <c r="AL78" t="s">
        <v>395</v>
      </c>
      <c r="AM78" t="s">
        <v>307</v>
      </c>
      <c r="AN78" t="s">
        <v>394</v>
      </c>
      <c r="AO78" t="s">
        <v>305</v>
      </c>
      <c r="AP78" t="s">
        <v>305</v>
      </c>
      <c r="AQ78" t="s">
        <v>305</v>
      </c>
      <c r="AR78" t="s">
        <v>316</v>
      </c>
      <c r="AS78">
        <v>65</v>
      </c>
      <c r="AT78" t="s">
        <v>303</v>
      </c>
      <c r="AU78" t="s">
        <v>303</v>
      </c>
    </row>
    <row r="79" spans="1:47" x14ac:dyDescent="0.25">
      <c r="A79">
        <v>102</v>
      </c>
      <c r="B79">
        <v>2104917</v>
      </c>
      <c r="C79" s="250">
        <v>44289.613888888889</v>
      </c>
      <c r="D79" t="s">
        <v>297</v>
      </c>
      <c r="E79" t="s">
        <v>289</v>
      </c>
      <c r="G79" t="s">
        <v>315</v>
      </c>
      <c r="H79" t="s">
        <v>314</v>
      </c>
      <c r="I79">
        <v>0</v>
      </c>
      <c r="K79" t="s">
        <v>360</v>
      </c>
      <c r="L79" t="s">
        <v>296</v>
      </c>
      <c r="M79" t="s">
        <v>359</v>
      </c>
      <c r="N79" t="s">
        <v>332</v>
      </c>
      <c r="P79" t="s">
        <v>289</v>
      </c>
      <c r="Q79">
        <v>2021</v>
      </c>
      <c r="R79" t="s">
        <v>289</v>
      </c>
      <c r="S79" t="s">
        <v>289</v>
      </c>
      <c r="T79" t="s">
        <v>289</v>
      </c>
      <c r="U79" t="s">
        <v>278</v>
      </c>
      <c r="V79" t="s">
        <v>294</v>
      </c>
      <c r="W79">
        <v>55</v>
      </c>
      <c r="X79" t="s">
        <v>312</v>
      </c>
      <c r="Y79" t="s">
        <v>311</v>
      </c>
      <c r="Z79" t="s">
        <v>310</v>
      </c>
      <c r="AA79" t="s">
        <v>292</v>
      </c>
      <c r="AB79" t="s">
        <v>291</v>
      </c>
      <c r="AD79" t="s">
        <v>358</v>
      </c>
      <c r="AE79" t="s">
        <v>290</v>
      </c>
      <c r="AF79" t="s">
        <v>289</v>
      </c>
      <c r="AG79" t="s">
        <v>289</v>
      </c>
      <c r="AH79" t="s">
        <v>289</v>
      </c>
      <c r="AI79" t="s">
        <v>289</v>
      </c>
      <c r="AJ79">
        <v>44.285127000000003</v>
      </c>
      <c r="AK79">
        <v>-102.829161999999</v>
      </c>
      <c r="AL79" t="s">
        <v>299</v>
      </c>
      <c r="AM79" t="s">
        <v>307</v>
      </c>
      <c r="AN79" t="s">
        <v>305</v>
      </c>
      <c r="AO79" t="s">
        <v>305</v>
      </c>
      <c r="AP79" t="s">
        <v>355</v>
      </c>
      <c r="AQ79" t="s">
        <v>305</v>
      </c>
      <c r="AR79" t="s">
        <v>304</v>
      </c>
      <c r="AS79">
        <v>50</v>
      </c>
      <c r="AT79" t="s">
        <v>303</v>
      </c>
      <c r="AU79" t="s">
        <v>303</v>
      </c>
    </row>
    <row r="80" spans="1:47" x14ac:dyDescent="0.25">
      <c r="A80">
        <v>103</v>
      </c>
      <c r="B80">
        <v>2105190</v>
      </c>
      <c r="C80" s="250">
        <v>44312.847222222219</v>
      </c>
      <c r="D80" t="s">
        <v>297</v>
      </c>
      <c r="E80" t="s">
        <v>289</v>
      </c>
      <c r="I80">
        <v>-1</v>
      </c>
      <c r="K80" t="s">
        <v>295</v>
      </c>
      <c r="L80" t="s">
        <v>296</v>
      </c>
      <c r="M80" t="s">
        <v>295</v>
      </c>
      <c r="N80" t="s">
        <v>295</v>
      </c>
      <c r="P80" t="s">
        <v>289</v>
      </c>
      <c r="Q80">
        <v>2021</v>
      </c>
      <c r="R80" t="s">
        <v>289</v>
      </c>
      <c r="S80" t="s">
        <v>289</v>
      </c>
      <c r="T80" t="s">
        <v>289</v>
      </c>
      <c r="U80" t="s">
        <v>277</v>
      </c>
      <c r="V80" t="s">
        <v>294</v>
      </c>
      <c r="W80">
        <v>55</v>
      </c>
      <c r="X80" t="s">
        <v>285</v>
      </c>
      <c r="Y80" t="s">
        <v>322</v>
      </c>
      <c r="Z80" t="s">
        <v>285</v>
      </c>
      <c r="AA80" t="s">
        <v>292</v>
      </c>
      <c r="AB80" t="s">
        <v>291</v>
      </c>
      <c r="AD80" t="s">
        <v>285</v>
      </c>
      <c r="AE80" t="s">
        <v>290</v>
      </c>
      <c r="AF80" t="s">
        <v>289</v>
      </c>
      <c r="AG80" t="s">
        <v>289</v>
      </c>
      <c r="AH80" t="s">
        <v>289</v>
      </c>
      <c r="AI80" t="s">
        <v>289</v>
      </c>
      <c r="AJ80">
        <v>44.393335999999898</v>
      </c>
      <c r="AK80">
        <v>-102.843338</v>
      </c>
      <c r="AL80" t="s">
        <v>330</v>
      </c>
      <c r="AM80" t="s">
        <v>307</v>
      </c>
      <c r="AN80" t="s">
        <v>285</v>
      </c>
      <c r="AO80" t="s">
        <v>286</v>
      </c>
      <c r="AP80" t="s">
        <v>277</v>
      </c>
      <c r="AQ80" t="s">
        <v>285</v>
      </c>
      <c r="AR80" t="s">
        <v>277</v>
      </c>
      <c r="AS80">
        <v>0</v>
      </c>
      <c r="AT80" t="s">
        <v>277</v>
      </c>
      <c r="AU80" t="s">
        <v>277</v>
      </c>
    </row>
    <row r="81" spans="1:47" x14ac:dyDescent="0.25">
      <c r="A81">
        <v>104</v>
      </c>
      <c r="B81">
        <v>2106715</v>
      </c>
      <c r="C81" s="250">
        <v>44349.381249999999</v>
      </c>
      <c r="D81" t="s">
        <v>297</v>
      </c>
      <c r="E81" t="s">
        <v>289</v>
      </c>
      <c r="G81" t="s">
        <v>315</v>
      </c>
      <c r="H81" t="s">
        <v>314</v>
      </c>
      <c r="I81">
        <v>0</v>
      </c>
      <c r="K81" t="s">
        <v>295</v>
      </c>
      <c r="L81" t="s">
        <v>296</v>
      </c>
      <c r="M81" t="s">
        <v>295</v>
      </c>
      <c r="N81" t="s">
        <v>295</v>
      </c>
      <c r="P81" t="s">
        <v>289</v>
      </c>
      <c r="Q81">
        <v>2021</v>
      </c>
      <c r="R81" t="s">
        <v>289</v>
      </c>
      <c r="S81" t="s">
        <v>289</v>
      </c>
      <c r="T81" t="s">
        <v>289</v>
      </c>
      <c r="U81" t="s">
        <v>279</v>
      </c>
      <c r="V81" t="s">
        <v>294</v>
      </c>
      <c r="W81">
        <v>55</v>
      </c>
      <c r="X81" t="s">
        <v>312</v>
      </c>
      <c r="Y81" t="s">
        <v>311</v>
      </c>
      <c r="Z81" t="s">
        <v>310</v>
      </c>
      <c r="AA81" t="s">
        <v>292</v>
      </c>
      <c r="AB81" t="s">
        <v>291</v>
      </c>
      <c r="AD81" t="s">
        <v>358</v>
      </c>
      <c r="AE81" t="s">
        <v>290</v>
      </c>
      <c r="AF81" t="s">
        <v>289</v>
      </c>
      <c r="AG81" t="s">
        <v>289</v>
      </c>
      <c r="AH81" t="s">
        <v>324</v>
      </c>
      <c r="AI81" t="s">
        <v>289</v>
      </c>
      <c r="AJ81">
        <v>44.313952</v>
      </c>
      <c r="AK81">
        <v>-102.828981999999</v>
      </c>
      <c r="AL81" t="s">
        <v>299</v>
      </c>
      <c r="AM81" t="s">
        <v>287</v>
      </c>
      <c r="AN81" t="s">
        <v>393</v>
      </c>
      <c r="AO81" t="s">
        <v>286</v>
      </c>
      <c r="AP81" t="s">
        <v>305</v>
      </c>
      <c r="AQ81" t="s">
        <v>305</v>
      </c>
      <c r="AR81" t="s">
        <v>316</v>
      </c>
      <c r="AS81">
        <v>55</v>
      </c>
      <c r="AT81" t="s">
        <v>303</v>
      </c>
      <c r="AU81" t="s">
        <v>303</v>
      </c>
    </row>
    <row r="82" spans="1:47" x14ac:dyDescent="0.25">
      <c r="A82">
        <v>105</v>
      </c>
      <c r="B82">
        <v>2108606</v>
      </c>
      <c r="C82" s="250">
        <v>44373.026388888888</v>
      </c>
      <c r="D82" t="s">
        <v>297</v>
      </c>
      <c r="E82" t="s">
        <v>289</v>
      </c>
      <c r="I82">
        <v>-1</v>
      </c>
      <c r="K82" t="s">
        <v>295</v>
      </c>
      <c r="L82" t="s">
        <v>296</v>
      </c>
      <c r="M82" t="s">
        <v>295</v>
      </c>
      <c r="N82" t="s">
        <v>295</v>
      </c>
      <c r="P82" t="s">
        <v>289</v>
      </c>
      <c r="Q82">
        <v>2021</v>
      </c>
      <c r="R82" t="s">
        <v>289</v>
      </c>
      <c r="S82" t="s">
        <v>289</v>
      </c>
      <c r="T82" t="s">
        <v>289</v>
      </c>
      <c r="U82" t="s">
        <v>277</v>
      </c>
      <c r="V82" t="s">
        <v>294</v>
      </c>
      <c r="W82">
        <v>55</v>
      </c>
      <c r="X82" t="s">
        <v>285</v>
      </c>
      <c r="Y82" t="s">
        <v>322</v>
      </c>
      <c r="Z82" t="s">
        <v>285</v>
      </c>
      <c r="AA82" t="s">
        <v>292</v>
      </c>
      <c r="AB82" t="s">
        <v>291</v>
      </c>
      <c r="AD82" t="s">
        <v>285</v>
      </c>
      <c r="AE82" t="s">
        <v>290</v>
      </c>
      <c r="AF82" t="s">
        <v>289</v>
      </c>
      <c r="AG82" t="s">
        <v>289</v>
      </c>
      <c r="AH82" t="s">
        <v>289</v>
      </c>
      <c r="AI82" t="s">
        <v>289</v>
      </c>
      <c r="AJ82">
        <v>44.209690000000002</v>
      </c>
      <c r="AK82">
        <v>-102.829488999999</v>
      </c>
      <c r="AL82" t="s">
        <v>288</v>
      </c>
      <c r="AM82" t="s">
        <v>307</v>
      </c>
      <c r="AN82" t="s">
        <v>285</v>
      </c>
      <c r="AO82" t="s">
        <v>286</v>
      </c>
      <c r="AP82" t="s">
        <v>277</v>
      </c>
      <c r="AQ82" t="s">
        <v>285</v>
      </c>
      <c r="AR82" t="s">
        <v>277</v>
      </c>
      <c r="AS82">
        <v>0</v>
      </c>
      <c r="AT82" t="s">
        <v>277</v>
      </c>
      <c r="AU82" t="s">
        <v>277</v>
      </c>
    </row>
    <row r="83" spans="1:47" x14ac:dyDescent="0.25">
      <c r="A83">
        <v>106</v>
      </c>
      <c r="B83">
        <v>2108750</v>
      </c>
      <c r="C83" s="250">
        <v>44380.246527777781</v>
      </c>
      <c r="D83" t="s">
        <v>297</v>
      </c>
      <c r="E83" t="s">
        <v>289</v>
      </c>
      <c r="G83" t="s">
        <v>315</v>
      </c>
      <c r="H83" t="s">
        <v>314</v>
      </c>
      <c r="I83">
        <v>0</v>
      </c>
      <c r="K83" t="s">
        <v>352</v>
      </c>
      <c r="L83" t="s">
        <v>296</v>
      </c>
      <c r="M83" t="s">
        <v>352</v>
      </c>
      <c r="N83" t="s">
        <v>352</v>
      </c>
      <c r="P83" t="s">
        <v>289</v>
      </c>
      <c r="Q83">
        <v>2021</v>
      </c>
      <c r="R83" t="s">
        <v>289</v>
      </c>
      <c r="S83" t="s">
        <v>289</v>
      </c>
      <c r="T83" t="s">
        <v>289</v>
      </c>
      <c r="U83" t="s">
        <v>280</v>
      </c>
      <c r="V83" t="s">
        <v>392</v>
      </c>
      <c r="W83">
        <v>55</v>
      </c>
      <c r="X83" t="s">
        <v>312</v>
      </c>
      <c r="Y83" t="s">
        <v>311</v>
      </c>
      <c r="Z83" t="s">
        <v>310</v>
      </c>
      <c r="AA83" t="s">
        <v>292</v>
      </c>
      <c r="AB83" t="s">
        <v>291</v>
      </c>
      <c r="AD83" t="s">
        <v>309</v>
      </c>
      <c r="AE83" t="s">
        <v>290</v>
      </c>
      <c r="AF83" t="s">
        <v>289</v>
      </c>
      <c r="AG83" t="s">
        <v>289</v>
      </c>
      <c r="AH83" t="s">
        <v>289</v>
      </c>
      <c r="AI83" t="s">
        <v>289</v>
      </c>
      <c r="AJ83">
        <v>44.234755</v>
      </c>
      <c r="AK83">
        <v>-102.829476999999</v>
      </c>
      <c r="AL83" t="s">
        <v>391</v>
      </c>
      <c r="AM83" t="s">
        <v>375</v>
      </c>
      <c r="AN83" t="s">
        <v>390</v>
      </c>
      <c r="AO83" t="s">
        <v>389</v>
      </c>
      <c r="AP83" t="s">
        <v>389</v>
      </c>
      <c r="AQ83" t="s">
        <v>388</v>
      </c>
      <c r="AR83" t="s">
        <v>387</v>
      </c>
      <c r="AS83" t="s">
        <v>386</v>
      </c>
      <c r="AT83" t="s">
        <v>303</v>
      </c>
      <c r="AU83" t="s">
        <v>303</v>
      </c>
    </row>
    <row r="84" spans="1:47" x14ac:dyDescent="0.25">
      <c r="A84">
        <v>109</v>
      </c>
      <c r="B84">
        <v>2110039</v>
      </c>
      <c r="C84" s="250">
        <v>44410.25</v>
      </c>
      <c r="D84" t="s">
        <v>297</v>
      </c>
      <c r="E84" t="s">
        <v>289</v>
      </c>
      <c r="I84">
        <v>-1</v>
      </c>
      <c r="J84">
        <v>34</v>
      </c>
      <c r="K84" t="s">
        <v>295</v>
      </c>
      <c r="L84" t="s">
        <v>296</v>
      </c>
      <c r="M84" t="s">
        <v>295</v>
      </c>
      <c r="N84" t="s">
        <v>295</v>
      </c>
      <c r="P84" t="s">
        <v>289</v>
      </c>
      <c r="Q84">
        <v>2021</v>
      </c>
      <c r="R84" t="s">
        <v>289</v>
      </c>
      <c r="S84" t="s">
        <v>289</v>
      </c>
      <c r="T84" t="s">
        <v>289</v>
      </c>
      <c r="U84" t="s">
        <v>277</v>
      </c>
      <c r="V84" t="s">
        <v>294</v>
      </c>
      <c r="W84">
        <v>65</v>
      </c>
      <c r="X84" t="s">
        <v>285</v>
      </c>
      <c r="Y84" t="s">
        <v>293</v>
      </c>
      <c r="Z84" t="s">
        <v>285</v>
      </c>
      <c r="AA84" t="s">
        <v>302</v>
      </c>
      <c r="AB84" t="s">
        <v>301</v>
      </c>
      <c r="AC84" t="s">
        <v>300</v>
      </c>
      <c r="AD84" t="s">
        <v>285</v>
      </c>
      <c r="AE84" t="s">
        <v>290</v>
      </c>
      <c r="AF84" t="s">
        <v>289</v>
      </c>
      <c r="AG84" t="s">
        <v>289</v>
      </c>
      <c r="AH84" t="s">
        <v>289</v>
      </c>
      <c r="AI84" t="s">
        <v>289</v>
      </c>
      <c r="AJ84">
        <v>44.5233279999999</v>
      </c>
      <c r="AK84">
        <v>-102.82393500000001</v>
      </c>
      <c r="AL84" t="s">
        <v>299</v>
      </c>
      <c r="AM84" t="s">
        <v>298</v>
      </c>
      <c r="AN84" t="s">
        <v>285</v>
      </c>
      <c r="AO84" t="s">
        <v>286</v>
      </c>
      <c r="AP84" t="s">
        <v>277</v>
      </c>
      <c r="AQ84" t="s">
        <v>285</v>
      </c>
      <c r="AR84" t="s">
        <v>277</v>
      </c>
      <c r="AS84">
        <v>0</v>
      </c>
      <c r="AT84" t="s">
        <v>277</v>
      </c>
      <c r="AU84" t="s">
        <v>277</v>
      </c>
    </row>
    <row r="85" spans="1:47" x14ac:dyDescent="0.25">
      <c r="A85">
        <v>110</v>
      </c>
      <c r="B85">
        <v>2111073</v>
      </c>
      <c r="C85" s="250">
        <v>44424.845833333333</v>
      </c>
      <c r="D85" t="s">
        <v>297</v>
      </c>
      <c r="E85" t="s">
        <v>289</v>
      </c>
      <c r="I85">
        <v>-1</v>
      </c>
      <c r="K85" t="s">
        <v>295</v>
      </c>
      <c r="L85" t="s">
        <v>296</v>
      </c>
      <c r="M85" t="s">
        <v>295</v>
      </c>
      <c r="N85" t="s">
        <v>295</v>
      </c>
      <c r="P85" t="s">
        <v>289</v>
      </c>
      <c r="Q85">
        <v>2021</v>
      </c>
      <c r="R85" t="s">
        <v>289</v>
      </c>
      <c r="S85" t="s">
        <v>289</v>
      </c>
      <c r="T85" t="s">
        <v>289</v>
      </c>
      <c r="U85" t="s">
        <v>277</v>
      </c>
      <c r="V85" t="s">
        <v>294</v>
      </c>
      <c r="W85">
        <v>55</v>
      </c>
      <c r="X85" t="s">
        <v>285</v>
      </c>
      <c r="Y85" t="s">
        <v>322</v>
      </c>
      <c r="Z85" t="s">
        <v>285</v>
      </c>
      <c r="AA85" t="s">
        <v>292</v>
      </c>
      <c r="AB85" t="s">
        <v>291</v>
      </c>
      <c r="AD85" t="s">
        <v>285</v>
      </c>
      <c r="AE85" t="s">
        <v>290</v>
      </c>
      <c r="AF85" t="s">
        <v>289</v>
      </c>
      <c r="AG85" t="s">
        <v>289</v>
      </c>
      <c r="AH85" t="s">
        <v>289</v>
      </c>
      <c r="AI85" t="s">
        <v>289</v>
      </c>
      <c r="AJ85">
        <v>44.344661000000002</v>
      </c>
      <c r="AK85">
        <v>-102.836534999999</v>
      </c>
      <c r="AL85" t="s">
        <v>299</v>
      </c>
      <c r="AM85" t="s">
        <v>307</v>
      </c>
      <c r="AN85" t="s">
        <v>285</v>
      </c>
      <c r="AO85" t="s">
        <v>286</v>
      </c>
      <c r="AP85" t="s">
        <v>277</v>
      </c>
      <c r="AQ85" t="s">
        <v>285</v>
      </c>
      <c r="AR85" t="s">
        <v>277</v>
      </c>
      <c r="AS85">
        <v>0</v>
      </c>
      <c r="AT85" t="s">
        <v>277</v>
      </c>
      <c r="AU85" t="s">
        <v>277</v>
      </c>
    </row>
    <row r="86" spans="1:47" x14ac:dyDescent="0.25">
      <c r="A86">
        <v>111</v>
      </c>
      <c r="B86">
        <v>2111075</v>
      </c>
      <c r="C86" s="250">
        <v>44429.15902777778</v>
      </c>
      <c r="D86" t="s">
        <v>297</v>
      </c>
      <c r="E86" t="s">
        <v>289</v>
      </c>
      <c r="I86">
        <v>-1</v>
      </c>
      <c r="K86" t="s">
        <v>295</v>
      </c>
      <c r="L86" t="s">
        <v>296</v>
      </c>
      <c r="M86" t="s">
        <v>295</v>
      </c>
      <c r="N86" t="s">
        <v>295</v>
      </c>
      <c r="P86" t="s">
        <v>289</v>
      </c>
      <c r="Q86">
        <v>2021</v>
      </c>
      <c r="R86" t="s">
        <v>289</v>
      </c>
      <c r="S86" t="s">
        <v>289</v>
      </c>
      <c r="T86" t="s">
        <v>289</v>
      </c>
      <c r="U86" t="s">
        <v>277</v>
      </c>
      <c r="V86" t="s">
        <v>294</v>
      </c>
      <c r="W86">
        <v>55</v>
      </c>
      <c r="X86" t="s">
        <v>285</v>
      </c>
      <c r="Y86" t="s">
        <v>322</v>
      </c>
      <c r="Z86" t="s">
        <v>285</v>
      </c>
      <c r="AA86" t="s">
        <v>292</v>
      </c>
      <c r="AB86" t="s">
        <v>291</v>
      </c>
      <c r="AD86" t="s">
        <v>285</v>
      </c>
      <c r="AE86" t="s">
        <v>290</v>
      </c>
      <c r="AF86" t="s">
        <v>289</v>
      </c>
      <c r="AG86" t="s">
        <v>289</v>
      </c>
      <c r="AH86" t="s">
        <v>289</v>
      </c>
      <c r="AI86" t="s">
        <v>289</v>
      </c>
      <c r="AJ86">
        <v>44.183163999999898</v>
      </c>
      <c r="AK86">
        <v>-102.829397</v>
      </c>
      <c r="AL86" t="s">
        <v>330</v>
      </c>
      <c r="AM86" t="s">
        <v>307</v>
      </c>
      <c r="AN86" t="s">
        <v>285</v>
      </c>
      <c r="AO86" t="s">
        <v>286</v>
      </c>
      <c r="AP86" t="s">
        <v>277</v>
      </c>
      <c r="AQ86" t="s">
        <v>285</v>
      </c>
      <c r="AR86" t="s">
        <v>277</v>
      </c>
      <c r="AS86">
        <v>0</v>
      </c>
      <c r="AT86" t="s">
        <v>277</v>
      </c>
      <c r="AU86" t="s">
        <v>277</v>
      </c>
    </row>
    <row r="87" spans="1:47" x14ac:dyDescent="0.25">
      <c r="A87">
        <v>112</v>
      </c>
      <c r="B87">
        <v>2111418</v>
      </c>
      <c r="C87" s="250">
        <v>44430.834027777775</v>
      </c>
      <c r="D87" t="s">
        <v>297</v>
      </c>
      <c r="E87" t="s">
        <v>289</v>
      </c>
      <c r="I87">
        <v>-1</v>
      </c>
      <c r="K87" t="s">
        <v>295</v>
      </c>
      <c r="L87" t="s">
        <v>296</v>
      </c>
      <c r="M87" t="s">
        <v>295</v>
      </c>
      <c r="N87" t="s">
        <v>295</v>
      </c>
      <c r="P87" t="s">
        <v>289</v>
      </c>
      <c r="Q87">
        <v>2021</v>
      </c>
      <c r="R87" t="s">
        <v>289</v>
      </c>
      <c r="S87" t="s">
        <v>289</v>
      </c>
      <c r="T87" t="s">
        <v>289</v>
      </c>
      <c r="U87" t="s">
        <v>277</v>
      </c>
      <c r="V87" t="s">
        <v>294</v>
      </c>
      <c r="W87">
        <v>55</v>
      </c>
      <c r="X87" t="s">
        <v>285</v>
      </c>
      <c r="Y87" t="s">
        <v>311</v>
      </c>
      <c r="Z87" t="s">
        <v>285</v>
      </c>
      <c r="AA87" t="s">
        <v>292</v>
      </c>
      <c r="AB87" t="s">
        <v>291</v>
      </c>
      <c r="AD87" t="s">
        <v>285</v>
      </c>
      <c r="AE87" t="s">
        <v>290</v>
      </c>
      <c r="AF87" t="s">
        <v>289</v>
      </c>
      <c r="AG87" t="s">
        <v>289</v>
      </c>
      <c r="AH87" t="s">
        <v>289</v>
      </c>
      <c r="AI87" t="s">
        <v>289</v>
      </c>
      <c r="AJ87">
        <v>44.355638999999897</v>
      </c>
      <c r="AK87">
        <v>-102.83999900000001</v>
      </c>
      <c r="AL87" t="s">
        <v>288</v>
      </c>
      <c r="AM87" t="s">
        <v>287</v>
      </c>
      <c r="AN87" t="s">
        <v>285</v>
      </c>
      <c r="AO87" t="s">
        <v>286</v>
      </c>
      <c r="AP87" t="s">
        <v>277</v>
      </c>
      <c r="AQ87" t="s">
        <v>285</v>
      </c>
      <c r="AR87" t="s">
        <v>277</v>
      </c>
      <c r="AS87">
        <v>0</v>
      </c>
      <c r="AT87" t="s">
        <v>277</v>
      </c>
      <c r="AU87" t="s">
        <v>277</v>
      </c>
    </row>
    <row r="88" spans="1:47" x14ac:dyDescent="0.25">
      <c r="A88">
        <v>113</v>
      </c>
      <c r="B88">
        <v>2110479</v>
      </c>
      <c r="C88" s="250">
        <v>44418.496527777781</v>
      </c>
      <c r="D88" t="s">
        <v>364</v>
      </c>
      <c r="E88" t="s">
        <v>289</v>
      </c>
      <c r="F88" t="s">
        <v>328</v>
      </c>
      <c r="G88" t="s">
        <v>383</v>
      </c>
      <c r="H88" t="s">
        <v>314</v>
      </c>
      <c r="I88">
        <v>0</v>
      </c>
      <c r="K88" t="s">
        <v>385</v>
      </c>
      <c r="L88" t="s">
        <v>296</v>
      </c>
      <c r="M88" t="s">
        <v>384</v>
      </c>
      <c r="N88" t="s">
        <v>384</v>
      </c>
      <c r="P88" t="s">
        <v>324</v>
      </c>
      <c r="Q88">
        <v>2021</v>
      </c>
      <c r="R88" t="s">
        <v>324</v>
      </c>
      <c r="S88" t="s">
        <v>289</v>
      </c>
      <c r="T88" t="s">
        <v>289</v>
      </c>
      <c r="U88" t="s">
        <v>281</v>
      </c>
      <c r="V88" t="s">
        <v>294</v>
      </c>
      <c r="W88">
        <v>0</v>
      </c>
      <c r="X88" t="s">
        <v>312</v>
      </c>
      <c r="Y88" t="s">
        <v>311</v>
      </c>
      <c r="Z88" t="s">
        <v>310</v>
      </c>
      <c r="AA88" t="s">
        <v>292</v>
      </c>
      <c r="AB88" t="s">
        <v>291</v>
      </c>
      <c r="AD88" t="s">
        <v>366</v>
      </c>
      <c r="AE88" t="s">
        <v>290</v>
      </c>
      <c r="AF88" t="s">
        <v>289</v>
      </c>
      <c r="AG88" t="s">
        <v>289</v>
      </c>
      <c r="AH88" t="s">
        <v>289</v>
      </c>
      <c r="AI88" t="s">
        <v>289</v>
      </c>
      <c r="AJ88">
        <v>44.140486000000003</v>
      </c>
      <c r="AK88">
        <v>-102.82858400000001</v>
      </c>
      <c r="AL88" t="s">
        <v>35</v>
      </c>
      <c r="AM88" t="s">
        <v>307</v>
      </c>
      <c r="AN88" t="s">
        <v>318</v>
      </c>
      <c r="AO88" t="s">
        <v>305</v>
      </c>
      <c r="AP88" t="s">
        <v>305</v>
      </c>
      <c r="AQ88" t="s">
        <v>305</v>
      </c>
      <c r="AR88" t="s">
        <v>316</v>
      </c>
      <c r="AS88">
        <v>50</v>
      </c>
      <c r="AT88" t="s">
        <v>303</v>
      </c>
      <c r="AU88" t="s">
        <v>303</v>
      </c>
    </row>
    <row r="89" spans="1:47" x14ac:dyDescent="0.25">
      <c r="A89">
        <v>115</v>
      </c>
      <c r="B89">
        <v>2111161</v>
      </c>
      <c r="C89" s="250">
        <v>44425.670138888891</v>
      </c>
      <c r="D89" t="s">
        <v>297</v>
      </c>
      <c r="E89" t="s">
        <v>289</v>
      </c>
      <c r="G89" t="s">
        <v>383</v>
      </c>
      <c r="H89" t="s">
        <v>314</v>
      </c>
      <c r="I89">
        <v>0</v>
      </c>
      <c r="K89" t="s">
        <v>334</v>
      </c>
      <c r="L89" t="s">
        <v>296</v>
      </c>
      <c r="M89" t="s">
        <v>332</v>
      </c>
      <c r="N89" t="s">
        <v>332</v>
      </c>
      <c r="O89" t="s">
        <v>382</v>
      </c>
      <c r="P89" t="s">
        <v>324</v>
      </c>
      <c r="Q89">
        <v>2021</v>
      </c>
      <c r="R89" t="s">
        <v>289</v>
      </c>
      <c r="S89" t="s">
        <v>289</v>
      </c>
      <c r="T89" t="s">
        <v>324</v>
      </c>
      <c r="U89" t="s">
        <v>281</v>
      </c>
      <c r="V89" t="s">
        <v>294</v>
      </c>
      <c r="W89">
        <v>55</v>
      </c>
      <c r="X89" t="s">
        <v>312</v>
      </c>
      <c r="Y89" t="s">
        <v>311</v>
      </c>
      <c r="Z89" t="s">
        <v>381</v>
      </c>
      <c r="AA89" t="s">
        <v>292</v>
      </c>
      <c r="AB89" t="s">
        <v>291</v>
      </c>
      <c r="AD89" t="s">
        <v>366</v>
      </c>
      <c r="AE89" t="s">
        <v>290</v>
      </c>
      <c r="AF89" t="s">
        <v>289</v>
      </c>
      <c r="AG89" t="s">
        <v>289</v>
      </c>
      <c r="AH89" t="s">
        <v>289</v>
      </c>
      <c r="AI89" t="s">
        <v>289</v>
      </c>
      <c r="AJ89">
        <v>44.140720000000002</v>
      </c>
      <c r="AK89">
        <v>-102.828733</v>
      </c>
      <c r="AL89" t="s">
        <v>35</v>
      </c>
      <c r="AM89" t="s">
        <v>307</v>
      </c>
      <c r="AN89" t="s">
        <v>365</v>
      </c>
      <c r="AO89" t="s">
        <v>305</v>
      </c>
      <c r="AP89" t="s">
        <v>305</v>
      </c>
      <c r="AQ89" t="s">
        <v>305</v>
      </c>
      <c r="AR89" t="s">
        <v>380</v>
      </c>
      <c r="AS89">
        <v>25</v>
      </c>
      <c r="AT89" t="s">
        <v>303</v>
      </c>
      <c r="AU89" t="s">
        <v>303</v>
      </c>
    </row>
    <row r="90" spans="1:47" x14ac:dyDescent="0.25">
      <c r="A90">
        <v>116</v>
      </c>
      <c r="B90">
        <v>2113008</v>
      </c>
      <c r="C90" s="250">
        <v>44465.29583333333</v>
      </c>
      <c r="D90" t="s">
        <v>297</v>
      </c>
      <c r="E90" t="s">
        <v>289</v>
      </c>
      <c r="I90">
        <v>-1</v>
      </c>
      <c r="K90" t="s">
        <v>295</v>
      </c>
      <c r="L90" t="s">
        <v>296</v>
      </c>
      <c r="M90" t="s">
        <v>295</v>
      </c>
      <c r="N90" t="s">
        <v>295</v>
      </c>
      <c r="P90" t="s">
        <v>289</v>
      </c>
      <c r="Q90">
        <v>2021</v>
      </c>
      <c r="R90" t="s">
        <v>289</v>
      </c>
      <c r="S90" t="s">
        <v>289</v>
      </c>
      <c r="T90" t="s">
        <v>289</v>
      </c>
      <c r="U90" t="s">
        <v>277</v>
      </c>
      <c r="V90" t="s">
        <v>294</v>
      </c>
      <c r="W90">
        <v>55</v>
      </c>
      <c r="X90" t="s">
        <v>285</v>
      </c>
      <c r="Y90" t="s">
        <v>293</v>
      </c>
      <c r="Z90" t="s">
        <v>285</v>
      </c>
      <c r="AA90" t="s">
        <v>292</v>
      </c>
      <c r="AB90" t="s">
        <v>291</v>
      </c>
      <c r="AD90" t="s">
        <v>285</v>
      </c>
      <c r="AE90" t="s">
        <v>290</v>
      </c>
      <c r="AF90" t="s">
        <v>289</v>
      </c>
      <c r="AG90" t="s">
        <v>289</v>
      </c>
      <c r="AH90" t="s">
        <v>289</v>
      </c>
      <c r="AI90" t="s">
        <v>289</v>
      </c>
      <c r="AJ90">
        <v>44.520147999999899</v>
      </c>
      <c r="AK90">
        <v>-102.823978999999</v>
      </c>
      <c r="AL90" t="s">
        <v>288</v>
      </c>
      <c r="AM90" t="s">
        <v>287</v>
      </c>
      <c r="AN90" t="s">
        <v>285</v>
      </c>
      <c r="AO90" t="s">
        <v>286</v>
      </c>
      <c r="AP90" t="s">
        <v>277</v>
      </c>
      <c r="AQ90" t="s">
        <v>285</v>
      </c>
      <c r="AR90" t="s">
        <v>277</v>
      </c>
      <c r="AS90">
        <v>0</v>
      </c>
      <c r="AT90" t="s">
        <v>277</v>
      </c>
      <c r="AU90" t="s">
        <v>277</v>
      </c>
    </row>
    <row r="91" spans="1:47" x14ac:dyDescent="0.25">
      <c r="A91">
        <v>117</v>
      </c>
      <c r="B91">
        <v>2113006</v>
      </c>
      <c r="C91" s="250">
        <v>44465.885416666664</v>
      </c>
      <c r="D91" t="s">
        <v>297</v>
      </c>
      <c r="E91" t="s">
        <v>289</v>
      </c>
      <c r="I91">
        <v>-1</v>
      </c>
      <c r="K91" t="s">
        <v>295</v>
      </c>
      <c r="L91" t="s">
        <v>296</v>
      </c>
      <c r="M91" t="s">
        <v>295</v>
      </c>
      <c r="N91" t="s">
        <v>295</v>
      </c>
      <c r="P91" t="s">
        <v>289</v>
      </c>
      <c r="Q91">
        <v>2021</v>
      </c>
      <c r="R91" t="s">
        <v>289</v>
      </c>
      <c r="S91" t="s">
        <v>289</v>
      </c>
      <c r="T91" t="s">
        <v>289</v>
      </c>
      <c r="U91" t="s">
        <v>277</v>
      </c>
      <c r="V91" t="s">
        <v>294</v>
      </c>
      <c r="W91">
        <v>55</v>
      </c>
      <c r="X91" t="s">
        <v>285</v>
      </c>
      <c r="Y91" t="s">
        <v>322</v>
      </c>
      <c r="Z91" t="s">
        <v>285</v>
      </c>
      <c r="AA91" t="s">
        <v>292</v>
      </c>
      <c r="AB91" t="s">
        <v>291</v>
      </c>
      <c r="AD91" t="s">
        <v>285</v>
      </c>
      <c r="AE91" t="s">
        <v>290</v>
      </c>
      <c r="AF91" t="s">
        <v>289</v>
      </c>
      <c r="AG91" t="s">
        <v>289</v>
      </c>
      <c r="AH91" t="s">
        <v>289</v>
      </c>
      <c r="AI91" t="s">
        <v>289</v>
      </c>
      <c r="AJ91">
        <v>44.435720000000003</v>
      </c>
      <c r="AK91">
        <v>-102.808639999999</v>
      </c>
      <c r="AL91" t="s">
        <v>379</v>
      </c>
      <c r="AM91" t="s">
        <v>307</v>
      </c>
      <c r="AN91" t="s">
        <v>285</v>
      </c>
      <c r="AO91" t="s">
        <v>286</v>
      </c>
      <c r="AP91" t="s">
        <v>277</v>
      </c>
      <c r="AQ91" t="s">
        <v>285</v>
      </c>
      <c r="AR91" t="s">
        <v>277</v>
      </c>
      <c r="AS91">
        <v>0</v>
      </c>
      <c r="AT91" t="s">
        <v>277</v>
      </c>
      <c r="AU91" t="s">
        <v>277</v>
      </c>
    </row>
    <row r="92" spans="1:47" x14ac:dyDescent="0.25">
      <c r="A92">
        <v>118</v>
      </c>
      <c r="B92">
        <v>2114059</v>
      </c>
      <c r="C92" s="250">
        <v>44462.640972222223</v>
      </c>
      <c r="D92" t="s">
        <v>297</v>
      </c>
      <c r="E92" t="s">
        <v>289</v>
      </c>
      <c r="G92" t="s">
        <v>315</v>
      </c>
      <c r="H92" t="s">
        <v>314</v>
      </c>
      <c r="I92">
        <v>0</v>
      </c>
      <c r="K92" t="s">
        <v>378</v>
      </c>
      <c r="L92" t="s">
        <v>296</v>
      </c>
      <c r="M92" t="s">
        <v>352</v>
      </c>
      <c r="N92" t="s">
        <v>352</v>
      </c>
      <c r="P92" t="s">
        <v>289</v>
      </c>
      <c r="Q92">
        <v>2021</v>
      </c>
      <c r="R92" t="s">
        <v>289</v>
      </c>
      <c r="S92" t="s">
        <v>289</v>
      </c>
      <c r="T92" t="s">
        <v>289</v>
      </c>
      <c r="U92" t="s">
        <v>280</v>
      </c>
      <c r="V92" t="s">
        <v>377</v>
      </c>
      <c r="W92">
        <v>55</v>
      </c>
      <c r="X92" t="s">
        <v>312</v>
      </c>
      <c r="Y92" t="s">
        <v>311</v>
      </c>
      <c r="Z92" t="s">
        <v>310</v>
      </c>
      <c r="AA92" t="s">
        <v>292</v>
      </c>
      <c r="AB92" t="s">
        <v>291</v>
      </c>
      <c r="AD92" t="s">
        <v>358</v>
      </c>
      <c r="AE92" t="s">
        <v>344</v>
      </c>
      <c r="AF92" t="s">
        <v>289</v>
      </c>
      <c r="AG92" t="s">
        <v>289</v>
      </c>
      <c r="AH92" t="s">
        <v>289</v>
      </c>
      <c r="AI92" t="s">
        <v>289</v>
      </c>
      <c r="AJ92">
        <v>44.419151999999897</v>
      </c>
      <c r="AK92">
        <v>-102.79177300000001</v>
      </c>
      <c r="AL92" t="s">
        <v>376</v>
      </c>
      <c r="AM92" t="s">
        <v>375</v>
      </c>
      <c r="AN92" t="s">
        <v>305</v>
      </c>
      <c r="AO92" t="s">
        <v>305</v>
      </c>
      <c r="AP92" t="s">
        <v>374</v>
      </c>
      <c r="AQ92" t="s">
        <v>373</v>
      </c>
      <c r="AR92" t="s">
        <v>347</v>
      </c>
      <c r="AS92">
        <v>65</v>
      </c>
      <c r="AT92" t="s">
        <v>303</v>
      </c>
      <c r="AU92" t="s">
        <v>303</v>
      </c>
    </row>
    <row r="93" spans="1:47" x14ac:dyDescent="0.25">
      <c r="A93">
        <v>119</v>
      </c>
      <c r="B93">
        <v>2115801</v>
      </c>
      <c r="C93" s="250">
        <v>44488.604861111111</v>
      </c>
      <c r="D93" t="s">
        <v>297</v>
      </c>
      <c r="E93" t="s">
        <v>289</v>
      </c>
      <c r="G93" t="s">
        <v>315</v>
      </c>
      <c r="H93" t="s">
        <v>314</v>
      </c>
      <c r="I93">
        <v>0</v>
      </c>
      <c r="K93" t="s">
        <v>372</v>
      </c>
      <c r="L93" t="s">
        <v>296</v>
      </c>
      <c r="M93" t="s">
        <v>332</v>
      </c>
      <c r="N93" t="s">
        <v>332</v>
      </c>
      <c r="P93" t="s">
        <v>289</v>
      </c>
      <c r="Q93">
        <v>2021</v>
      </c>
      <c r="R93" t="s">
        <v>289</v>
      </c>
      <c r="S93" t="s">
        <v>289</v>
      </c>
      <c r="T93" t="s">
        <v>289</v>
      </c>
      <c r="U93" t="s">
        <v>280</v>
      </c>
      <c r="V93" t="s">
        <v>294</v>
      </c>
      <c r="W93">
        <v>55</v>
      </c>
      <c r="X93" t="s">
        <v>312</v>
      </c>
      <c r="Y93" t="s">
        <v>311</v>
      </c>
      <c r="Z93" t="s">
        <v>310</v>
      </c>
      <c r="AA93" t="s">
        <v>292</v>
      </c>
      <c r="AB93" t="s">
        <v>291</v>
      </c>
      <c r="AD93" t="s">
        <v>362</v>
      </c>
      <c r="AE93" t="s">
        <v>290</v>
      </c>
      <c r="AF93" t="s">
        <v>289</v>
      </c>
      <c r="AG93" t="s">
        <v>289</v>
      </c>
      <c r="AH93" t="s">
        <v>289</v>
      </c>
      <c r="AI93" t="s">
        <v>289</v>
      </c>
      <c r="AJ93">
        <v>44.350876</v>
      </c>
      <c r="AK93">
        <v>-102.837716</v>
      </c>
      <c r="AL93" t="s">
        <v>288</v>
      </c>
      <c r="AM93" t="s">
        <v>287</v>
      </c>
      <c r="AN93" t="s">
        <v>371</v>
      </c>
      <c r="AO93" t="s">
        <v>286</v>
      </c>
      <c r="AP93" t="s">
        <v>305</v>
      </c>
      <c r="AQ93" t="s">
        <v>305</v>
      </c>
      <c r="AR93" t="s">
        <v>304</v>
      </c>
      <c r="AS93">
        <v>55</v>
      </c>
      <c r="AT93" t="s">
        <v>303</v>
      </c>
      <c r="AU93" t="s">
        <v>303</v>
      </c>
    </row>
    <row r="94" spans="1:47" x14ac:dyDescent="0.25">
      <c r="A94">
        <v>120</v>
      </c>
      <c r="B94">
        <v>2115806</v>
      </c>
      <c r="C94" s="250">
        <v>44495.918749999997</v>
      </c>
      <c r="D94" t="s">
        <v>297</v>
      </c>
      <c r="E94" t="s">
        <v>289</v>
      </c>
      <c r="G94" t="s">
        <v>315</v>
      </c>
      <c r="H94" t="s">
        <v>314</v>
      </c>
      <c r="I94">
        <v>0</v>
      </c>
      <c r="K94" t="s">
        <v>370</v>
      </c>
      <c r="L94" t="s">
        <v>345</v>
      </c>
      <c r="M94" t="s">
        <v>370</v>
      </c>
      <c r="N94" t="s">
        <v>370</v>
      </c>
      <c r="P94" t="s">
        <v>289</v>
      </c>
      <c r="Q94">
        <v>2021</v>
      </c>
      <c r="R94" t="s">
        <v>289</v>
      </c>
      <c r="S94" t="s">
        <v>289</v>
      </c>
      <c r="T94" t="s">
        <v>289</v>
      </c>
      <c r="U94" t="s">
        <v>280</v>
      </c>
      <c r="V94" t="s">
        <v>294</v>
      </c>
      <c r="W94">
        <v>55</v>
      </c>
      <c r="X94" t="s">
        <v>312</v>
      </c>
      <c r="Y94" t="s">
        <v>322</v>
      </c>
      <c r="Z94" t="s">
        <v>350</v>
      </c>
      <c r="AA94" t="s">
        <v>292</v>
      </c>
      <c r="AB94" t="s">
        <v>291</v>
      </c>
      <c r="AD94" t="s">
        <v>358</v>
      </c>
      <c r="AE94" t="s">
        <v>369</v>
      </c>
      <c r="AF94" t="s">
        <v>289</v>
      </c>
      <c r="AG94" t="s">
        <v>289</v>
      </c>
      <c r="AH94" t="s">
        <v>289</v>
      </c>
      <c r="AI94" t="s">
        <v>289</v>
      </c>
      <c r="AJ94">
        <v>44.387273</v>
      </c>
      <c r="AK94">
        <v>-102.843419999999</v>
      </c>
      <c r="AL94" t="s">
        <v>368</v>
      </c>
      <c r="AM94" t="s">
        <v>287</v>
      </c>
      <c r="AN94" t="s">
        <v>305</v>
      </c>
      <c r="AO94" t="s">
        <v>286</v>
      </c>
      <c r="AP94" t="s">
        <v>305</v>
      </c>
      <c r="AQ94" t="s">
        <v>317</v>
      </c>
      <c r="AR94" t="s">
        <v>304</v>
      </c>
      <c r="AS94">
        <v>60</v>
      </c>
      <c r="AT94" t="s">
        <v>303</v>
      </c>
      <c r="AU94" t="s">
        <v>303</v>
      </c>
    </row>
    <row r="95" spans="1:47" x14ac:dyDescent="0.25">
      <c r="A95">
        <v>121</v>
      </c>
      <c r="B95">
        <v>2118076</v>
      </c>
      <c r="C95" s="250">
        <v>44526.855555555558</v>
      </c>
      <c r="D95" t="s">
        <v>297</v>
      </c>
      <c r="E95" t="s">
        <v>289</v>
      </c>
      <c r="I95">
        <v>-1</v>
      </c>
      <c r="K95" t="s">
        <v>295</v>
      </c>
      <c r="L95" t="s">
        <v>345</v>
      </c>
      <c r="M95" t="s">
        <v>295</v>
      </c>
      <c r="N95" t="s">
        <v>295</v>
      </c>
      <c r="P95" t="s">
        <v>289</v>
      </c>
      <c r="Q95">
        <v>2021</v>
      </c>
      <c r="R95" t="s">
        <v>289</v>
      </c>
      <c r="S95" t="s">
        <v>289</v>
      </c>
      <c r="T95" t="s">
        <v>289</v>
      </c>
      <c r="U95" t="s">
        <v>277</v>
      </c>
      <c r="V95" t="s">
        <v>294</v>
      </c>
      <c r="W95">
        <v>55</v>
      </c>
      <c r="X95" t="s">
        <v>285</v>
      </c>
      <c r="Y95" t="s">
        <v>322</v>
      </c>
      <c r="Z95" t="s">
        <v>285</v>
      </c>
      <c r="AA95" t="s">
        <v>292</v>
      </c>
      <c r="AB95" t="s">
        <v>291</v>
      </c>
      <c r="AD95" t="s">
        <v>285</v>
      </c>
      <c r="AE95" t="s">
        <v>344</v>
      </c>
      <c r="AF95" t="s">
        <v>289</v>
      </c>
      <c r="AG95" t="s">
        <v>289</v>
      </c>
      <c r="AH95" t="s">
        <v>289</v>
      </c>
      <c r="AI95" t="s">
        <v>289</v>
      </c>
      <c r="AJ95">
        <v>44.282249</v>
      </c>
      <c r="AK95">
        <v>-102.82918600000001</v>
      </c>
      <c r="AL95" t="s">
        <v>288</v>
      </c>
      <c r="AM95" t="s">
        <v>287</v>
      </c>
      <c r="AN95" t="s">
        <v>285</v>
      </c>
      <c r="AO95" t="s">
        <v>286</v>
      </c>
      <c r="AP95" t="s">
        <v>277</v>
      </c>
      <c r="AQ95" t="s">
        <v>285</v>
      </c>
      <c r="AR95" t="s">
        <v>277</v>
      </c>
      <c r="AS95">
        <v>0</v>
      </c>
      <c r="AT95" t="s">
        <v>277</v>
      </c>
      <c r="AU95" t="s">
        <v>277</v>
      </c>
    </row>
    <row r="96" spans="1:47" x14ac:dyDescent="0.25">
      <c r="A96">
        <v>123</v>
      </c>
      <c r="B96">
        <v>2207770</v>
      </c>
      <c r="C96" s="250">
        <v>44741.306944444441</v>
      </c>
      <c r="D96" t="s">
        <v>364</v>
      </c>
      <c r="E96" t="s">
        <v>289</v>
      </c>
      <c r="G96" t="s">
        <v>367</v>
      </c>
      <c r="H96" t="s">
        <v>314</v>
      </c>
      <c r="I96">
        <v>0</v>
      </c>
      <c r="K96" t="s">
        <v>334</v>
      </c>
      <c r="L96" t="s">
        <v>296</v>
      </c>
      <c r="M96" t="s">
        <v>332</v>
      </c>
      <c r="N96" t="s">
        <v>332</v>
      </c>
      <c r="P96" t="s">
        <v>324</v>
      </c>
      <c r="Q96">
        <v>2022</v>
      </c>
      <c r="R96" t="s">
        <v>289</v>
      </c>
      <c r="S96" t="s">
        <v>289</v>
      </c>
      <c r="T96" t="s">
        <v>289</v>
      </c>
      <c r="U96" t="s">
        <v>281</v>
      </c>
      <c r="V96" t="s">
        <v>294</v>
      </c>
      <c r="W96">
        <v>0</v>
      </c>
      <c r="X96" t="s">
        <v>312</v>
      </c>
      <c r="Y96" t="s">
        <v>311</v>
      </c>
      <c r="Z96" t="s">
        <v>310</v>
      </c>
      <c r="AA96" t="s">
        <v>292</v>
      </c>
      <c r="AB96" t="s">
        <v>291</v>
      </c>
      <c r="AD96" t="s">
        <v>366</v>
      </c>
      <c r="AE96" t="s">
        <v>290</v>
      </c>
      <c r="AF96" t="s">
        <v>289</v>
      </c>
      <c r="AG96" t="s">
        <v>289</v>
      </c>
      <c r="AH96" t="s">
        <v>289</v>
      </c>
      <c r="AI96" t="s">
        <v>289</v>
      </c>
      <c r="AJ96">
        <v>44.140486000000003</v>
      </c>
      <c r="AK96">
        <v>-102.82858400000001</v>
      </c>
      <c r="AL96" t="s">
        <v>35</v>
      </c>
      <c r="AM96" t="s">
        <v>307</v>
      </c>
      <c r="AN96" t="s">
        <v>365</v>
      </c>
      <c r="AO96" t="s">
        <v>305</v>
      </c>
      <c r="AP96" t="s">
        <v>305</v>
      </c>
      <c r="AQ96" t="s">
        <v>305</v>
      </c>
      <c r="AR96" t="s">
        <v>316</v>
      </c>
      <c r="AS96">
        <v>0</v>
      </c>
      <c r="AT96" t="s">
        <v>303</v>
      </c>
      <c r="AU96" t="s">
        <v>303</v>
      </c>
    </row>
    <row r="97" spans="1:47" x14ac:dyDescent="0.25">
      <c r="A97">
        <v>125</v>
      </c>
      <c r="B97">
        <v>2209454</v>
      </c>
      <c r="C97" s="250">
        <v>44774.322222222225</v>
      </c>
      <c r="D97" t="s">
        <v>364</v>
      </c>
      <c r="E97" t="s">
        <v>289</v>
      </c>
      <c r="F97" t="s">
        <v>363</v>
      </c>
      <c r="G97" t="s">
        <v>335</v>
      </c>
      <c r="H97" t="s">
        <v>314</v>
      </c>
      <c r="I97">
        <v>0</v>
      </c>
      <c r="K97" t="s">
        <v>341</v>
      </c>
      <c r="L97" t="s">
        <v>296</v>
      </c>
      <c r="M97" t="s">
        <v>332</v>
      </c>
      <c r="N97" t="s">
        <v>332</v>
      </c>
      <c r="P97" t="s">
        <v>289</v>
      </c>
      <c r="Q97">
        <v>2022</v>
      </c>
      <c r="R97" t="s">
        <v>324</v>
      </c>
      <c r="S97" t="s">
        <v>289</v>
      </c>
      <c r="T97" t="s">
        <v>289</v>
      </c>
      <c r="U97" t="s">
        <v>279</v>
      </c>
      <c r="V97" t="s">
        <v>294</v>
      </c>
      <c r="W97">
        <v>0</v>
      </c>
      <c r="X97" t="s">
        <v>312</v>
      </c>
      <c r="Y97" t="s">
        <v>311</v>
      </c>
      <c r="Z97" t="s">
        <v>310</v>
      </c>
      <c r="AA97" t="s">
        <v>292</v>
      </c>
      <c r="AB97" t="s">
        <v>291</v>
      </c>
      <c r="AD97" t="s">
        <v>362</v>
      </c>
      <c r="AE97" t="s">
        <v>290</v>
      </c>
      <c r="AF97" t="s">
        <v>289</v>
      </c>
      <c r="AG97" t="s">
        <v>289</v>
      </c>
      <c r="AH97" t="s">
        <v>289</v>
      </c>
      <c r="AI97" t="s">
        <v>289</v>
      </c>
      <c r="AJ97">
        <v>44.140486000000003</v>
      </c>
      <c r="AK97">
        <v>-102.82858400000001</v>
      </c>
      <c r="AL97" t="s">
        <v>308</v>
      </c>
      <c r="AM97" t="s">
        <v>307</v>
      </c>
      <c r="AN97" t="s">
        <v>361</v>
      </c>
      <c r="AO97" t="s">
        <v>305</v>
      </c>
      <c r="AP97" t="s">
        <v>305</v>
      </c>
      <c r="AQ97" t="s">
        <v>305</v>
      </c>
      <c r="AR97" t="s">
        <v>316</v>
      </c>
      <c r="AS97">
        <v>65</v>
      </c>
      <c r="AT97" t="s">
        <v>303</v>
      </c>
      <c r="AU97" t="s">
        <v>303</v>
      </c>
    </row>
    <row r="98" spans="1:47" x14ac:dyDescent="0.25">
      <c r="A98">
        <v>127</v>
      </c>
      <c r="B98">
        <v>2211120</v>
      </c>
      <c r="C98" s="250">
        <v>44797.825694444444</v>
      </c>
      <c r="D98" t="s">
        <v>297</v>
      </c>
      <c r="E98" t="s">
        <v>289</v>
      </c>
      <c r="G98" t="s">
        <v>335</v>
      </c>
      <c r="H98" t="s">
        <v>314</v>
      </c>
      <c r="I98">
        <v>0</v>
      </c>
      <c r="K98" t="s">
        <v>360</v>
      </c>
      <c r="L98" t="s">
        <v>345</v>
      </c>
      <c r="M98" t="s">
        <v>359</v>
      </c>
      <c r="N98" t="s">
        <v>332</v>
      </c>
      <c r="P98" t="s">
        <v>289</v>
      </c>
      <c r="Q98">
        <v>2022</v>
      </c>
      <c r="R98" t="s">
        <v>289</v>
      </c>
      <c r="S98" t="s">
        <v>289</v>
      </c>
      <c r="T98" t="s">
        <v>289</v>
      </c>
      <c r="U98" t="s">
        <v>280</v>
      </c>
      <c r="V98" t="s">
        <v>294</v>
      </c>
      <c r="W98">
        <v>55</v>
      </c>
      <c r="X98" t="s">
        <v>312</v>
      </c>
      <c r="Y98" t="s">
        <v>322</v>
      </c>
      <c r="Z98" t="s">
        <v>310</v>
      </c>
      <c r="AA98" t="s">
        <v>292</v>
      </c>
      <c r="AB98" t="s">
        <v>291</v>
      </c>
      <c r="AD98" t="s">
        <v>358</v>
      </c>
      <c r="AE98" t="s">
        <v>344</v>
      </c>
      <c r="AF98" t="s">
        <v>289</v>
      </c>
      <c r="AG98" t="s">
        <v>289</v>
      </c>
      <c r="AH98" t="s">
        <v>289</v>
      </c>
      <c r="AI98" t="s">
        <v>289</v>
      </c>
      <c r="AJ98">
        <v>44.317642999999897</v>
      </c>
      <c r="AK98">
        <v>-102.828963999999</v>
      </c>
      <c r="AL98" t="s">
        <v>357</v>
      </c>
      <c r="AM98" t="s">
        <v>307</v>
      </c>
      <c r="AN98" t="s">
        <v>305</v>
      </c>
      <c r="AO98" t="s">
        <v>356</v>
      </c>
      <c r="AP98" t="s">
        <v>355</v>
      </c>
      <c r="AQ98" t="s">
        <v>305</v>
      </c>
      <c r="AR98" t="s">
        <v>304</v>
      </c>
      <c r="AS98">
        <v>55</v>
      </c>
      <c r="AT98" t="s">
        <v>303</v>
      </c>
      <c r="AU98" t="s">
        <v>303</v>
      </c>
    </row>
    <row r="99" spans="1:47" x14ac:dyDescent="0.25">
      <c r="A99">
        <v>128</v>
      </c>
      <c r="B99">
        <v>2212202</v>
      </c>
      <c r="C99" s="250">
        <v>44823.583333333336</v>
      </c>
      <c r="D99" t="s">
        <v>297</v>
      </c>
      <c r="E99" t="s">
        <v>289</v>
      </c>
      <c r="G99" t="s">
        <v>315</v>
      </c>
      <c r="H99" t="s">
        <v>354</v>
      </c>
      <c r="I99">
        <v>0</v>
      </c>
      <c r="K99" t="s">
        <v>353</v>
      </c>
      <c r="L99" t="s">
        <v>296</v>
      </c>
      <c r="M99" t="s">
        <v>352</v>
      </c>
      <c r="N99" t="s">
        <v>352</v>
      </c>
      <c r="P99" t="s">
        <v>289</v>
      </c>
      <c r="Q99">
        <v>2022</v>
      </c>
      <c r="R99" t="s">
        <v>289</v>
      </c>
      <c r="S99" t="s">
        <v>289</v>
      </c>
      <c r="T99" t="s">
        <v>289</v>
      </c>
      <c r="U99" t="s">
        <v>280</v>
      </c>
      <c r="V99" t="s">
        <v>351</v>
      </c>
      <c r="W99">
        <v>55</v>
      </c>
      <c r="X99" t="s">
        <v>312</v>
      </c>
      <c r="Y99" t="s">
        <v>311</v>
      </c>
      <c r="Z99" t="s">
        <v>350</v>
      </c>
      <c r="AA99" t="s">
        <v>292</v>
      </c>
      <c r="AB99" t="s">
        <v>291</v>
      </c>
      <c r="AD99" t="s">
        <v>309</v>
      </c>
      <c r="AE99" t="s">
        <v>290</v>
      </c>
      <c r="AF99" t="s">
        <v>289</v>
      </c>
      <c r="AG99" t="s">
        <v>289</v>
      </c>
      <c r="AH99" t="s">
        <v>289</v>
      </c>
      <c r="AI99" t="s">
        <v>289</v>
      </c>
      <c r="AJ99">
        <v>44.387273</v>
      </c>
      <c r="AK99">
        <v>-102.843419999999</v>
      </c>
      <c r="AL99" t="s">
        <v>349</v>
      </c>
      <c r="AM99" t="s">
        <v>307</v>
      </c>
      <c r="AN99" t="s">
        <v>348</v>
      </c>
      <c r="AO99" t="s">
        <v>305</v>
      </c>
      <c r="AP99" t="s">
        <v>305</v>
      </c>
      <c r="AQ99" t="s">
        <v>305</v>
      </c>
      <c r="AR99" t="s">
        <v>347</v>
      </c>
      <c r="AS99">
        <v>0</v>
      </c>
      <c r="AT99" t="s">
        <v>303</v>
      </c>
      <c r="AU99" t="s">
        <v>303</v>
      </c>
    </row>
    <row r="100" spans="1:47" x14ac:dyDescent="0.25">
      <c r="A100">
        <v>129</v>
      </c>
      <c r="B100">
        <v>2211553</v>
      </c>
      <c r="C100" s="250">
        <v>44808.854166666664</v>
      </c>
      <c r="D100" t="s">
        <v>297</v>
      </c>
      <c r="E100" t="s">
        <v>289</v>
      </c>
      <c r="I100">
        <v>-1</v>
      </c>
      <c r="K100" t="s">
        <v>295</v>
      </c>
      <c r="L100" t="s">
        <v>296</v>
      </c>
      <c r="M100" t="s">
        <v>295</v>
      </c>
      <c r="N100" t="s">
        <v>295</v>
      </c>
      <c r="P100" t="s">
        <v>289</v>
      </c>
      <c r="Q100">
        <v>2022</v>
      </c>
      <c r="R100" t="s">
        <v>289</v>
      </c>
      <c r="S100" t="s">
        <v>289</v>
      </c>
      <c r="T100" t="s">
        <v>289</v>
      </c>
      <c r="U100" t="s">
        <v>277</v>
      </c>
      <c r="V100" t="s">
        <v>285</v>
      </c>
      <c r="W100">
        <v>55</v>
      </c>
      <c r="X100" t="s">
        <v>285</v>
      </c>
      <c r="Y100" t="s">
        <v>346</v>
      </c>
      <c r="Z100" t="s">
        <v>285</v>
      </c>
      <c r="AA100" t="s">
        <v>292</v>
      </c>
      <c r="AB100" t="s">
        <v>291</v>
      </c>
      <c r="AD100" t="s">
        <v>285</v>
      </c>
      <c r="AE100" t="s">
        <v>290</v>
      </c>
      <c r="AF100" t="s">
        <v>289</v>
      </c>
      <c r="AG100" t="s">
        <v>289</v>
      </c>
      <c r="AH100" t="s">
        <v>289</v>
      </c>
      <c r="AI100" t="s">
        <v>289</v>
      </c>
      <c r="AJ100">
        <v>44.3367849999999</v>
      </c>
      <c r="AK100">
        <v>-102.835037</v>
      </c>
      <c r="AL100" t="s">
        <v>330</v>
      </c>
      <c r="AM100" t="s">
        <v>307</v>
      </c>
      <c r="AN100" t="s">
        <v>285</v>
      </c>
      <c r="AO100" t="s">
        <v>286</v>
      </c>
      <c r="AP100" t="s">
        <v>277</v>
      </c>
      <c r="AQ100" t="s">
        <v>285</v>
      </c>
      <c r="AR100" t="s">
        <v>277</v>
      </c>
      <c r="AS100">
        <v>0</v>
      </c>
      <c r="AT100" t="s">
        <v>277</v>
      </c>
      <c r="AU100" t="s">
        <v>277</v>
      </c>
    </row>
    <row r="101" spans="1:47" x14ac:dyDescent="0.25">
      <c r="A101">
        <v>130</v>
      </c>
      <c r="B101">
        <v>2213181</v>
      </c>
      <c r="C101" s="250">
        <v>44839.291666666664</v>
      </c>
      <c r="D101" t="s">
        <v>297</v>
      </c>
      <c r="E101" t="s">
        <v>289</v>
      </c>
      <c r="I101">
        <v>-1</v>
      </c>
      <c r="K101" t="s">
        <v>295</v>
      </c>
      <c r="L101" t="s">
        <v>345</v>
      </c>
      <c r="M101" t="s">
        <v>295</v>
      </c>
      <c r="N101" t="s">
        <v>295</v>
      </c>
      <c r="P101" t="s">
        <v>289</v>
      </c>
      <c r="Q101">
        <v>2022</v>
      </c>
      <c r="R101" t="s">
        <v>289</v>
      </c>
      <c r="S101" t="s">
        <v>289</v>
      </c>
      <c r="T101" t="s">
        <v>289</v>
      </c>
      <c r="U101" t="s">
        <v>277</v>
      </c>
      <c r="V101" t="s">
        <v>294</v>
      </c>
      <c r="W101">
        <v>55</v>
      </c>
      <c r="X101" t="s">
        <v>285</v>
      </c>
      <c r="Y101" t="s">
        <v>293</v>
      </c>
      <c r="Z101" t="s">
        <v>285</v>
      </c>
      <c r="AA101" t="s">
        <v>292</v>
      </c>
      <c r="AB101" t="s">
        <v>291</v>
      </c>
      <c r="AD101" t="s">
        <v>285</v>
      </c>
      <c r="AE101" t="s">
        <v>344</v>
      </c>
      <c r="AF101" t="s">
        <v>289</v>
      </c>
      <c r="AG101" t="s">
        <v>289</v>
      </c>
      <c r="AH101" t="s">
        <v>289</v>
      </c>
      <c r="AI101" t="s">
        <v>289</v>
      </c>
      <c r="AJ101">
        <v>44.402172999999898</v>
      </c>
      <c r="AK101">
        <v>-102.79230800000001</v>
      </c>
      <c r="AL101" t="s">
        <v>288</v>
      </c>
      <c r="AM101" t="s">
        <v>287</v>
      </c>
      <c r="AN101" t="s">
        <v>285</v>
      </c>
      <c r="AO101" t="s">
        <v>286</v>
      </c>
      <c r="AP101" t="s">
        <v>277</v>
      </c>
      <c r="AQ101" t="s">
        <v>285</v>
      </c>
      <c r="AR101" t="s">
        <v>277</v>
      </c>
      <c r="AS101">
        <v>0</v>
      </c>
      <c r="AT101" t="s">
        <v>277</v>
      </c>
      <c r="AU101" t="s">
        <v>277</v>
      </c>
    </row>
    <row r="102" spans="1:47" x14ac:dyDescent="0.25">
      <c r="A102">
        <v>131</v>
      </c>
      <c r="B102">
        <v>2212200</v>
      </c>
      <c r="C102" s="250">
        <v>44817.869444444441</v>
      </c>
      <c r="D102" t="s">
        <v>297</v>
      </c>
      <c r="E102" t="s">
        <v>289</v>
      </c>
      <c r="F102" t="s">
        <v>343</v>
      </c>
      <c r="G102" t="s">
        <v>342</v>
      </c>
      <c r="H102" t="s">
        <v>314</v>
      </c>
      <c r="I102">
        <v>0</v>
      </c>
      <c r="K102" t="s">
        <v>341</v>
      </c>
      <c r="L102" t="s">
        <v>296</v>
      </c>
      <c r="M102" t="s">
        <v>332</v>
      </c>
      <c r="N102" t="s">
        <v>332</v>
      </c>
      <c r="P102" t="s">
        <v>289</v>
      </c>
      <c r="Q102">
        <v>2022</v>
      </c>
      <c r="R102" t="s">
        <v>289</v>
      </c>
      <c r="S102" t="s">
        <v>289</v>
      </c>
      <c r="T102" t="s">
        <v>324</v>
      </c>
      <c r="U102" t="s">
        <v>278</v>
      </c>
      <c r="V102" t="s">
        <v>294</v>
      </c>
      <c r="W102">
        <v>55</v>
      </c>
      <c r="X102" t="s">
        <v>312</v>
      </c>
      <c r="Y102" t="s">
        <v>322</v>
      </c>
      <c r="Z102" t="s">
        <v>310</v>
      </c>
      <c r="AA102" t="s">
        <v>292</v>
      </c>
      <c r="AB102" t="s">
        <v>291</v>
      </c>
      <c r="AD102" t="s">
        <v>340</v>
      </c>
      <c r="AE102" t="s">
        <v>290</v>
      </c>
      <c r="AF102" t="s">
        <v>324</v>
      </c>
      <c r="AG102" t="s">
        <v>289</v>
      </c>
      <c r="AH102" t="s">
        <v>289</v>
      </c>
      <c r="AI102" t="s">
        <v>289</v>
      </c>
      <c r="AJ102">
        <v>44.357573000000002</v>
      </c>
      <c r="AK102">
        <v>-102.842882</v>
      </c>
      <c r="AL102" t="s">
        <v>299</v>
      </c>
      <c r="AM102" t="s">
        <v>287</v>
      </c>
      <c r="AN102" t="s">
        <v>339</v>
      </c>
      <c r="AO102" t="s">
        <v>305</v>
      </c>
      <c r="AP102" t="s">
        <v>305</v>
      </c>
      <c r="AQ102" t="s">
        <v>305</v>
      </c>
      <c r="AR102" t="s">
        <v>338</v>
      </c>
      <c r="AS102">
        <v>0</v>
      </c>
      <c r="AT102" t="s">
        <v>303</v>
      </c>
      <c r="AU102" t="s">
        <v>303</v>
      </c>
    </row>
    <row r="103" spans="1:47" x14ac:dyDescent="0.25">
      <c r="A103">
        <v>132</v>
      </c>
      <c r="B103">
        <v>2214362</v>
      </c>
      <c r="C103" s="250">
        <v>44815.255555555559</v>
      </c>
      <c r="D103" t="s">
        <v>297</v>
      </c>
      <c r="E103" t="s">
        <v>289</v>
      </c>
      <c r="I103">
        <v>-1</v>
      </c>
      <c r="K103" t="s">
        <v>295</v>
      </c>
      <c r="L103" t="s">
        <v>296</v>
      </c>
      <c r="M103" t="s">
        <v>295</v>
      </c>
      <c r="N103" t="s">
        <v>295</v>
      </c>
      <c r="P103" t="s">
        <v>289</v>
      </c>
      <c r="Q103">
        <v>2022</v>
      </c>
      <c r="R103" t="s">
        <v>289</v>
      </c>
      <c r="S103" t="s">
        <v>289</v>
      </c>
      <c r="T103" t="s">
        <v>289</v>
      </c>
      <c r="U103" t="s">
        <v>277</v>
      </c>
      <c r="V103" t="s">
        <v>294</v>
      </c>
      <c r="W103">
        <v>55</v>
      </c>
      <c r="X103" t="s">
        <v>285</v>
      </c>
      <c r="Y103" t="s">
        <v>293</v>
      </c>
      <c r="Z103" t="s">
        <v>285</v>
      </c>
      <c r="AA103" t="s">
        <v>292</v>
      </c>
      <c r="AB103" t="s">
        <v>337</v>
      </c>
      <c r="AD103" t="s">
        <v>285</v>
      </c>
      <c r="AE103" t="s">
        <v>290</v>
      </c>
      <c r="AF103" t="s">
        <v>289</v>
      </c>
      <c r="AG103" t="s">
        <v>289</v>
      </c>
      <c r="AH103" t="s">
        <v>289</v>
      </c>
      <c r="AI103" t="s">
        <v>289</v>
      </c>
      <c r="AJ103">
        <v>44.212105000000001</v>
      </c>
      <c r="AK103">
        <v>-102.829498</v>
      </c>
      <c r="AL103" t="s">
        <v>299</v>
      </c>
      <c r="AM103" t="s">
        <v>307</v>
      </c>
      <c r="AN103" t="s">
        <v>285</v>
      </c>
      <c r="AO103" t="s">
        <v>286</v>
      </c>
      <c r="AP103" t="s">
        <v>277</v>
      </c>
      <c r="AQ103" t="s">
        <v>285</v>
      </c>
      <c r="AR103" t="s">
        <v>277</v>
      </c>
      <c r="AS103">
        <v>0</v>
      </c>
      <c r="AT103" t="s">
        <v>277</v>
      </c>
      <c r="AU103" t="s">
        <v>277</v>
      </c>
    </row>
    <row r="104" spans="1:47" x14ac:dyDescent="0.25">
      <c r="A104">
        <v>134</v>
      </c>
      <c r="B104">
        <v>2217239</v>
      </c>
      <c r="C104" s="250">
        <v>44897.73541666667</v>
      </c>
      <c r="D104" t="s">
        <v>297</v>
      </c>
      <c r="E104" t="s">
        <v>289</v>
      </c>
      <c r="I104">
        <v>-1</v>
      </c>
      <c r="K104" t="s">
        <v>295</v>
      </c>
      <c r="L104" t="s">
        <v>296</v>
      </c>
      <c r="M104" t="s">
        <v>295</v>
      </c>
      <c r="N104" t="s">
        <v>295</v>
      </c>
      <c r="P104" t="s">
        <v>289</v>
      </c>
      <c r="Q104">
        <v>2022</v>
      </c>
      <c r="R104" t="s">
        <v>289</v>
      </c>
      <c r="S104" t="s">
        <v>289</v>
      </c>
      <c r="T104" t="s">
        <v>289</v>
      </c>
      <c r="U104" t="s">
        <v>277</v>
      </c>
      <c r="V104" t="s">
        <v>294</v>
      </c>
      <c r="W104">
        <v>55</v>
      </c>
      <c r="X104" t="s">
        <v>285</v>
      </c>
      <c r="Y104" t="s">
        <v>322</v>
      </c>
      <c r="Z104" t="s">
        <v>285</v>
      </c>
      <c r="AA104" t="s">
        <v>292</v>
      </c>
      <c r="AB104" t="s">
        <v>291</v>
      </c>
      <c r="AD104" t="s">
        <v>285</v>
      </c>
      <c r="AE104" t="s">
        <v>290</v>
      </c>
      <c r="AF104" t="s">
        <v>289</v>
      </c>
      <c r="AG104" t="s">
        <v>289</v>
      </c>
      <c r="AH104" t="s">
        <v>289</v>
      </c>
      <c r="AI104" t="s">
        <v>289</v>
      </c>
      <c r="AJ104">
        <v>44.187497</v>
      </c>
      <c r="AK104">
        <v>-102.829412</v>
      </c>
      <c r="AL104" t="s">
        <v>299</v>
      </c>
      <c r="AM104" t="s">
        <v>307</v>
      </c>
      <c r="AN104" t="s">
        <v>285</v>
      </c>
      <c r="AO104" t="s">
        <v>286</v>
      </c>
      <c r="AP104" t="s">
        <v>277</v>
      </c>
      <c r="AQ104" t="s">
        <v>285</v>
      </c>
      <c r="AR104" t="s">
        <v>277</v>
      </c>
      <c r="AS104">
        <v>0</v>
      </c>
      <c r="AT104" t="s">
        <v>277</v>
      </c>
      <c r="AU104" t="s">
        <v>277</v>
      </c>
    </row>
    <row r="105" spans="1:47" x14ac:dyDescent="0.25">
      <c r="A105">
        <v>137</v>
      </c>
      <c r="B105">
        <v>2216916</v>
      </c>
      <c r="C105" s="250">
        <v>44900.477777777778</v>
      </c>
      <c r="D105" t="s">
        <v>297</v>
      </c>
      <c r="E105" t="s">
        <v>289</v>
      </c>
      <c r="F105" t="s">
        <v>336</v>
      </c>
      <c r="G105" t="s">
        <v>335</v>
      </c>
      <c r="H105" t="s">
        <v>314</v>
      </c>
      <c r="I105">
        <v>0</v>
      </c>
      <c r="K105" t="s">
        <v>334</v>
      </c>
      <c r="L105" t="s">
        <v>333</v>
      </c>
      <c r="M105" t="s">
        <v>332</v>
      </c>
      <c r="N105" t="s">
        <v>332</v>
      </c>
      <c r="P105" t="s">
        <v>289</v>
      </c>
      <c r="Q105">
        <v>2022</v>
      </c>
      <c r="R105" t="s">
        <v>289</v>
      </c>
      <c r="S105" t="s">
        <v>289</v>
      </c>
      <c r="T105" t="s">
        <v>289</v>
      </c>
      <c r="U105" t="s">
        <v>279</v>
      </c>
      <c r="V105" t="s">
        <v>294</v>
      </c>
      <c r="W105">
        <v>55</v>
      </c>
      <c r="X105" t="s">
        <v>312</v>
      </c>
      <c r="Y105" t="s">
        <v>311</v>
      </c>
      <c r="Z105" t="s">
        <v>310</v>
      </c>
      <c r="AA105" t="s">
        <v>292</v>
      </c>
      <c r="AB105" t="s">
        <v>291</v>
      </c>
      <c r="AD105" t="s">
        <v>309</v>
      </c>
      <c r="AE105" t="s">
        <v>331</v>
      </c>
      <c r="AF105" t="s">
        <v>289</v>
      </c>
      <c r="AG105" t="s">
        <v>289</v>
      </c>
      <c r="AH105" t="s">
        <v>289</v>
      </c>
      <c r="AI105" t="s">
        <v>289</v>
      </c>
      <c r="AJ105">
        <v>44.20223</v>
      </c>
      <c r="AK105">
        <v>-102.829463</v>
      </c>
      <c r="AL105" t="s">
        <v>330</v>
      </c>
      <c r="AM105" t="s">
        <v>307</v>
      </c>
      <c r="AN105" t="s">
        <v>305</v>
      </c>
      <c r="AO105" t="s">
        <v>329</v>
      </c>
      <c r="AP105" t="s">
        <v>305</v>
      </c>
      <c r="AQ105" t="s">
        <v>305</v>
      </c>
      <c r="AR105" t="s">
        <v>316</v>
      </c>
      <c r="AS105">
        <v>50</v>
      </c>
      <c r="AT105" t="s">
        <v>303</v>
      </c>
      <c r="AU105" t="s">
        <v>303</v>
      </c>
    </row>
    <row r="106" spans="1:47" x14ac:dyDescent="0.25">
      <c r="A106">
        <v>579</v>
      </c>
      <c r="B106">
        <v>1312830</v>
      </c>
      <c r="C106" s="250">
        <v>41583.815972222219</v>
      </c>
      <c r="D106" t="s">
        <v>297</v>
      </c>
      <c r="E106" t="s">
        <v>289</v>
      </c>
      <c r="F106" t="s">
        <v>328</v>
      </c>
      <c r="G106" t="s">
        <v>315</v>
      </c>
      <c r="H106" t="s">
        <v>314</v>
      </c>
      <c r="I106">
        <v>0</v>
      </c>
      <c r="J106">
        <v>34</v>
      </c>
      <c r="K106" t="s">
        <v>327</v>
      </c>
      <c r="L106" t="s">
        <v>296</v>
      </c>
      <c r="M106" t="s">
        <v>326</v>
      </c>
      <c r="N106" t="s">
        <v>326</v>
      </c>
      <c r="O106" t="s">
        <v>325</v>
      </c>
      <c r="P106" t="s">
        <v>289</v>
      </c>
      <c r="Q106">
        <v>2013</v>
      </c>
      <c r="R106" t="s">
        <v>324</v>
      </c>
      <c r="S106" t="s">
        <v>289</v>
      </c>
      <c r="T106" t="s">
        <v>289</v>
      </c>
      <c r="U106" t="s">
        <v>280</v>
      </c>
      <c r="V106" t="s">
        <v>294</v>
      </c>
      <c r="W106">
        <v>65</v>
      </c>
      <c r="X106" t="s">
        <v>323</v>
      </c>
      <c r="Y106" t="s">
        <v>322</v>
      </c>
      <c r="Z106" t="s">
        <v>321</v>
      </c>
      <c r="AA106" t="s">
        <v>302</v>
      </c>
      <c r="AB106" t="s">
        <v>320</v>
      </c>
      <c r="AC106" t="s">
        <v>300</v>
      </c>
      <c r="AD106" t="s">
        <v>309</v>
      </c>
      <c r="AE106" t="s">
        <v>319</v>
      </c>
      <c r="AF106" t="s">
        <v>289</v>
      </c>
      <c r="AG106" t="s">
        <v>289</v>
      </c>
      <c r="AH106" t="s">
        <v>289</v>
      </c>
      <c r="AI106" t="s">
        <v>289</v>
      </c>
      <c r="AJ106">
        <v>44.5233279999999</v>
      </c>
      <c r="AK106">
        <v>-102.82393500000001</v>
      </c>
      <c r="AL106" t="s">
        <v>288</v>
      </c>
      <c r="AM106" t="s">
        <v>307</v>
      </c>
      <c r="AN106" t="s">
        <v>318</v>
      </c>
      <c r="AO106" t="s">
        <v>305</v>
      </c>
      <c r="AP106" t="s">
        <v>305</v>
      </c>
      <c r="AQ106" t="s">
        <v>317</v>
      </c>
      <c r="AR106" t="s">
        <v>316</v>
      </c>
      <c r="AS106">
        <v>65</v>
      </c>
      <c r="AT106" t="s">
        <v>303</v>
      </c>
      <c r="AU106" t="s">
        <v>303</v>
      </c>
    </row>
    <row r="107" spans="1:47" x14ac:dyDescent="0.25">
      <c r="A107">
        <v>1133</v>
      </c>
      <c r="B107">
        <v>1412824</v>
      </c>
      <c r="C107" s="250">
        <v>41948.697916666664</v>
      </c>
      <c r="D107" t="s">
        <v>297</v>
      </c>
      <c r="E107" t="s">
        <v>289</v>
      </c>
      <c r="G107" t="s">
        <v>315</v>
      </c>
      <c r="H107" t="s">
        <v>314</v>
      </c>
      <c r="I107">
        <v>0</v>
      </c>
      <c r="K107" t="s">
        <v>313</v>
      </c>
      <c r="L107" t="s">
        <v>296</v>
      </c>
      <c r="M107" t="s">
        <v>313</v>
      </c>
      <c r="N107" t="s">
        <v>313</v>
      </c>
      <c r="P107" t="s">
        <v>289</v>
      </c>
      <c r="Q107">
        <v>2014</v>
      </c>
      <c r="R107" t="s">
        <v>289</v>
      </c>
      <c r="S107" t="s">
        <v>289</v>
      </c>
      <c r="T107" t="s">
        <v>289</v>
      </c>
      <c r="U107" t="s">
        <v>280</v>
      </c>
      <c r="V107" t="s">
        <v>294</v>
      </c>
      <c r="W107">
        <v>55</v>
      </c>
      <c r="X107" t="s">
        <v>312</v>
      </c>
      <c r="Y107" t="s">
        <v>311</v>
      </c>
      <c r="Z107" t="s">
        <v>310</v>
      </c>
      <c r="AA107" t="s">
        <v>292</v>
      </c>
      <c r="AB107" t="s">
        <v>291</v>
      </c>
      <c r="AD107" t="s">
        <v>309</v>
      </c>
      <c r="AE107" t="s">
        <v>290</v>
      </c>
      <c r="AF107" t="s">
        <v>289</v>
      </c>
      <c r="AG107" t="s">
        <v>289</v>
      </c>
      <c r="AH107" t="s">
        <v>289</v>
      </c>
      <c r="AI107" t="s">
        <v>289</v>
      </c>
      <c r="AJ107">
        <v>44.521703000000002</v>
      </c>
      <c r="AK107">
        <v>-102.823956999999</v>
      </c>
      <c r="AL107" t="s">
        <v>308</v>
      </c>
      <c r="AM107" t="s">
        <v>307</v>
      </c>
      <c r="AN107" t="s">
        <v>305</v>
      </c>
      <c r="AO107" t="s">
        <v>305</v>
      </c>
      <c r="AP107" t="s">
        <v>306</v>
      </c>
      <c r="AQ107" t="s">
        <v>305</v>
      </c>
      <c r="AR107" t="s">
        <v>304</v>
      </c>
      <c r="AS107">
        <v>35</v>
      </c>
      <c r="AT107" t="s">
        <v>303</v>
      </c>
      <c r="AU107" t="s">
        <v>303</v>
      </c>
    </row>
    <row r="108" spans="1:47" x14ac:dyDescent="0.25">
      <c r="A108">
        <v>5155</v>
      </c>
      <c r="B108">
        <v>2110039</v>
      </c>
      <c r="C108" s="250">
        <v>44410.25</v>
      </c>
      <c r="D108" t="s">
        <v>297</v>
      </c>
      <c r="E108" t="s">
        <v>289</v>
      </c>
      <c r="I108">
        <v>-1</v>
      </c>
      <c r="J108">
        <v>34</v>
      </c>
      <c r="K108" t="s">
        <v>295</v>
      </c>
      <c r="L108" t="s">
        <v>296</v>
      </c>
      <c r="M108" t="s">
        <v>295</v>
      </c>
      <c r="N108" t="s">
        <v>295</v>
      </c>
      <c r="P108" t="s">
        <v>289</v>
      </c>
      <c r="Q108">
        <v>2021</v>
      </c>
      <c r="R108" t="s">
        <v>289</v>
      </c>
      <c r="S108" t="s">
        <v>289</v>
      </c>
      <c r="T108" t="s">
        <v>289</v>
      </c>
      <c r="U108" t="s">
        <v>277</v>
      </c>
      <c r="V108" t="s">
        <v>294</v>
      </c>
      <c r="W108">
        <v>65</v>
      </c>
      <c r="X108" t="s">
        <v>285</v>
      </c>
      <c r="Y108" t="s">
        <v>293</v>
      </c>
      <c r="Z108" t="s">
        <v>285</v>
      </c>
      <c r="AA108" t="s">
        <v>302</v>
      </c>
      <c r="AB108" t="s">
        <v>301</v>
      </c>
      <c r="AC108" t="s">
        <v>300</v>
      </c>
      <c r="AD108" t="s">
        <v>285</v>
      </c>
      <c r="AE108" t="s">
        <v>290</v>
      </c>
      <c r="AF108" t="s">
        <v>289</v>
      </c>
      <c r="AG108" t="s">
        <v>289</v>
      </c>
      <c r="AH108" t="s">
        <v>289</v>
      </c>
      <c r="AI108" t="s">
        <v>289</v>
      </c>
      <c r="AJ108">
        <v>44.5233279999999</v>
      </c>
      <c r="AK108">
        <v>-102.82393500000001</v>
      </c>
      <c r="AL108" t="s">
        <v>299</v>
      </c>
      <c r="AM108" t="s">
        <v>298</v>
      </c>
      <c r="AN108" t="s">
        <v>285</v>
      </c>
      <c r="AO108" t="s">
        <v>286</v>
      </c>
      <c r="AP108" t="s">
        <v>277</v>
      </c>
      <c r="AQ108" t="s">
        <v>285</v>
      </c>
      <c r="AR108" t="s">
        <v>277</v>
      </c>
      <c r="AS108">
        <v>0</v>
      </c>
      <c r="AT108" t="s">
        <v>277</v>
      </c>
      <c r="AU108" t="s">
        <v>277</v>
      </c>
    </row>
    <row r="109" spans="1:47" x14ac:dyDescent="0.25">
      <c r="A109">
        <v>5272</v>
      </c>
      <c r="B109">
        <v>2113008</v>
      </c>
      <c r="C109" s="250">
        <v>44465.29583333333</v>
      </c>
      <c r="D109" t="s">
        <v>297</v>
      </c>
      <c r="E109" t="s">
        <v>289</v>
      </c>
      <c r="I109">
        <v>-1</v>
      </c>
      <c r="K109" t="s">
        <v>295</v>
      </c>
      <c r="L109" t="s">
        <v>296</v>
      </c>
      <c r="M109" t="s">
        <v>295</v>
      </c>
      <c r="N109" t="s">
        <v>295</v>
      </c>
      <c r="P109" t="s">
        <v>289</v>
      </c>
      <c r="Q109">
        <v>2021</v>
      </c>
      <c r="R109" t="s">
        <v>289</v>
      </c>
      <c r="S109" t="s">
        <v>289</v>
      </c>
      <c r="T109" t="s">
        <v>289</v>
      </c>
      <c r="U109" t="s">
        <v>277</v>
      </c>
      <c r="V109" t="s">
        <v>294</v>
      </c>
      <c r="W109">
        <v>55</v>
      </c>
      <c r="X109" t="s">
        <v>285</v>
      </c>
      <c r="Y109" t="s">
        <v>293</v>
      </c>
      <c r="Z109" t="s">
        <v>285</v>
      </c>
      <c r="AA109" t="s">
        <v>292</v>
      </c>
      <c r="AB109" t="s">
        <v>291</v>
      </c>
      <c r="AD109" t="s">
        <v>285</v>
      </c>
      <c r="AE109" t="s">
        <v>290</v>
      </c>
      <c r="AF109" t="s">
        <v>289</v>
      </c>
      <c r="AG109" t="s">
        <v>289</v>
      </c>
      <c r="AH109" t="s">
        <v>289</v>
      </c>
      <c r="AI109" t="s">
        <v>289</v>
      </c>
      <c r="AJ109">
        <v>44.520147999999899</v>
      </c>
      <c r="AK109">
        <v>-102.823978999999</v>
      </c>
      <c r="AL109" t="s">
        <v>288</v>
      </c>
      <c r="AM109" t="s">
        <v>287</v>
      </c>
      <c r="AN109" t="s">
        <v>285</v>
      </c>
      <c r="AO109" t="s">
        <v>286</v>
      </c>
      <c r="AP109" t="s">
        <v>277</v>
      </c>
      <c r="AQ109" t="s">
        <v>285</v>
      </c>
      <c r="AR109" t="s">
        <v>277</v>
      </c>
      <c r="AS109">
        <v>0</v>
      </c>
      <c r="AT109" t="s">
        <v>277</v>
      </c>
      <c r="AU109" t="s">
        <v>277</v>
      </c>
    </row>
    <row r="112" spans="1:47" x14ac:dyDescent="0.25">
      <c r="B112" s="249" t="s">
        <v>284</v>
      </c>
      <c r="C112" t="s">
        <v>283</v>
      </c>
      <c r="F112" s="1" t="s">
        <v>589</v>
      </c>
    </row>
    <row r="113" spans="2:3" x14ac:dyDescent="0.25">
      <c r="B113" s="14" t="s">
        <v>282</v>
      </c>
      <c r="C113">
        <v>3</v>
      </c>
    </row>
    <row r="114" spans="2:3" x14ac:dyDescent="0.25">
      <c r="B114" s="14" t="s">
        <v>281</v>
      </c>
      <c r="C114">
        <v>8</v>
      </c>
    </row>
    <row r="115" spans="2:3" x14ac:dyDescent="0.25">
      <c r="B115" s="14" t="s">
        <v>280</v>
      </c>
      <c r="C115">
        <v>41</v>
      </c>
    </row>
    <row r="116" spans="2:3" x14ac:dyDescent="0.25">
      <c r="B116" s="14" t="s">
        <v>279</v>
      </c>
      <c r="C116">
        <v>9</v>
      </c>
    </row>
    <row r="117" spans="2:3" x14ac:dyDescent="0.25">
      <c r="B117" s="14" t="s">
        <v>278</v>
      </c>
      <c r="C117">
        <v>9</v>
      </c>
    </row>
    <row r="118" spans="2:3" x14ac:dyDescent="0.25">
      <c r="B118" s="14" t="s">
        <v>277</v>
      </c>
      <c r="C118">
        <v>38</v>
      </c>
    </row>
    <row r="119" spans="2:3" x14ac:dyDescent="0.25">
      <c r="B119" s="14" t="s">
        <v>276</v>
      </c>
      <c r="C119">
        <v>108</v>
      </c>
    </row>
    <row r="121" spans="2:3" x14ac:dyDescent="0.25">
      <c r="B121" s="23" t="s">
        <v>590</v>
      </c>
      <c r="C121" s="23" t="s">
        <v>591</v>
      </c>
    </row>
    <row r="122" spans="2:3" x14ac:dyDescent="0.25">
      <c r="B122" s="23" t="s">
        <v>18</v>
      </c>
      <c r="C122" s="23">
        <v>3</v>
      </c>
    </row>
    <row r="123" spans="2:3" x14ac:dyDescent="0.25">
      <c r="B123" s="23" t="s">
        <v>19</v>
      </c>
      <c r="C123" s="23">
        <v>8</v>
      </c>
    </row>
    <row r="124" spans="2:3" x14ac:dyDescent="0.25">
      <c r="B124" s="23" t="s">
        <v>20</v>
      </c>
      <c r="C124" s="23">
        <v>9</v>
      </c>
    </row>
    <row r="125" spans="2:3" x14ac:dyDescent="0.25">
      <c r="B125" s="23" t="s">
        <v>21</v>
      </c>
      <c r="C125" s="23">
        <v>9</v>
      </c>
    </row>
    <row r="126" spans="2:3" x14ac:dyDescent="0.25">
      <c r="B126" s="23" t="s">
        <v>59</v>
      </c>
      <c r="C126" s="23">
        <v>79</v>
      </c>
    </row>
  </sheetData>
  <autoFilter ref="U1:U109" xr:uid="{2BC69E09-2FA1-4606-816D-A90FEC8A319D}"/>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FB647-9713-433F-9E7A-FB6228EDF71D}">
  <sheetPr>
    <tabColor theme="0" tint="-0.249977111117893"/>
    <pageSetUpPr fitToPage="1"/>
  </sheetPr>
  <dimension ref="C4:E63"/>
  <sheetViews>
    <sheetView view="pageBreakPreview" zoomScale="55" zoomScaleNormal="55" zoomScaleSheetLayoutView="55" workbookViewId="0"/>
  </sheetViews>
  <sheetFormatPr defaultRowHeight="15" x14ac:dyDescent="0.25"/>
  <cols>
    <col min="3" max="3" width="24.42578125" customWidth="1"/>
    <col min="4" max="5" width="9.5703125" bestFit="1" customWidth="1"/>
    <col min="19" max="19" width="13.42578125" bestFit="1" customWidth="1"/>
  </cols>
  <sheetData>
    <row r="4" spans="3:5" x14ac:dyDescent="0.25">
      <c r="C4" s="1" t="s">
        <v>624</v>
      </c>
    </row>
    <row r="6" spans="3:5" x14ac:dyDescent="0.25">
      <c r="C6" s="232" t="s">
        <v>274</v>
      </c>
    </row>
    <row r="7" spans="3:5" x14ac:dyDescent="0.25">
      <c r="C7" s="22" t="s">
        <v>188</v>
      </c>
      <c r="D7" s="231">
        <v>7729</v>
      </c>
      <c r="E7" s="231">
        <v>6105</v>
      </c>
    </row>
    <row r="8" spans="3:5" x14ac:dyDescent="0.25">
      <c r="C8" s="22" t="s">
        <v>187</v>
      </c>
      <c r="D8" s="231">
        <v>1758</v>
      </c>
      <c r="E8" s="231">
        <v>1789</v>
      </c>
    </row>
    <row r="9" spans="3:5" x14ac:dyDescent="0.25">
      <c r="C9" s="22" t="s">
        <v>186</v>
      </c>
      <c r="D9" s="230">
        <v>0.32600000000000001</v>
      </c>
      <c r="E9" s="230">
        <v>2.093</v>
      </c>
    </row>
    <row r="10" spans="3:5" x14ac:dyDescent="0.25">
      <c r="C10" s="22" t="s">
        <v>185</v>
      </c>
      <c r="D10" s="193">
        <f>D9/SUM($D$9:$E$9)</f>
        <v>0.13476643241008682</v>
      </c>
      <c r="E10" s="193">
        <f>E9/SUM($D$9:$E$9)</f>
        <v>0.86523356758991321</v>
      </c>
    </row>
    <row r="12" spans="3:5" x14ac:dyDescent="0.25">
      <c r="C12" s="1" t="s">
        <v>273</v>
      </c>
    </row>
    <row r="13" spans="3:5" x14ac:dyDescent="0.25">
      <c r="C13" s="22" t="s">
        <v>184</v>
      </c>
      <c r="D13" s="193">
        <f>(($D$10*$D$8)+($E$10*$E$8))/(($D$7*$D$10)+($E$7*$E$10))</f>
        <v>0.28223617330479084</v>
      </c>
    </row>
    <row r="15" spans="3:5" x14ac:dyDescent="0.25">
      <c r="C15" s="1" t="s">
        <v>275</v>
      </c>
    </row>
    <row r="16" spans="3:5" x14ac:dyDescent="0.25">
      <c r="C16" s="22" t="s">
        <v>184</v>
      </c>
      <c r="D16" s="193">
        <f>D13/2</f>
        <v>0.14111808665239542</v>
      </c>
    </row>
    <row r="18" spans="3:3" x14ac:dyDescent="0.25">
      <c r="C18" s="1" t="s">
        <v>183</v>
      </c>
    </row>
    <row r="63" spans="3:4" x14ac:dyDescent="0.25">
      <c r="C63" s="16" t="s">
        <v>182</v>
      </c>
      <c r="D63" s="52" t="s">
        <v>181</v>
      </c>
    </row>
  </sheetData>
  <hyperlinks>
    <hyperlink ref="D63" r:id="rId1" xr:uid="{E88D7EFF-F3C6-459C-A78F-B206908B1BDF}"/>
  </hyperlinks>
  <pageMargins left="0.7" right="0.7" top="0.75" bottom="0.75" header="0.3" footer="0.3"/>
  <pageSetup scale="33"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23</vt:i4>
      </vt:variant>
    </vt:vector>
  </HeadingPairs>
  <TitlesOfParts>
    <vt:vector size="34" baseType="lpstr">
      <vt:lpstr>Assumptions</vt:lpstr>
      <vt:lpstr>BCA Summary </vt:lpstr>
      <vt:lpstr>Travel Time Benefits</vt:lpstr>
      <vt:lpstr>Safety Benefits</vt:lpstr>
      <vt:lpstr>Capital Cost + RCV</vt:lpstr>
      <vt:lpstr>O&amp;M + Rehab</vt:lpstr>
      <vt:lpstr>VOC_Roughness</vt:lpstr>
      <vt:lpstr>Crash Data</vt:lpstr>
      <vt:lpstr>Traffic Data - %HV Assumption</vt:lpstr>
      <vt:lpstr>Operating Cost-Roughness</vt:lpstr>
      <vt:lpstr>Traffic Data - Project AADT</vt:lpstr>
      <vt:lpstr>CompositeCost</vt:lpstr>
      <vt:lpstr>EndYear</vt:lpstr>
      <vt:lpstr>PeakLngthE</vt:lpstr>
      <vt:lpstr>PercentAutoW</vt:lpstr>
      <vt:lpstr>PercentAutoWO</vt:lpstr>
      <vt:lpstr>PercentTrucksW</vt:lpstr>
      <vt:lpstr>PercentTrucksWO</vt:lpstr>
      <vt:lpstr>PercTruckW</vt:lpstr>
      <vt:lpstr>PerTruckE</vt:lpstr>
      <vt:lpstr>PerTruckN</vt:lpstr>
      <vt:lpstr>Assumptions!Print_Area</vt:lpstr>
      <vt:lpstr>'BCA Summary '!Print_Area</vt:lpstr>
      <vt:lpstr>'Capital Cost + RCV'!Print_Area</vt:lpstr>
      <vt:lpstr>'O&amp;M + Rehab'!Print_Area</vt:lpstr>
      <vt:lpstr>'Operating Cost-Roughness'!Print_Area</vt:lpstr>
      <vt:lpstr>'Safety Benefits'!Print_Area</vt:lpstr>
      <vt:lpstr>'Traffic Data - %HV Assumption'!Print_Area</vt:lpstr>
      <vt:lpstr>'Traffic Data - Project AADT'!Print_Area</vt:lpstr>
      <vt:lpstr>'Travel Time Benefits'!Print_Area</vt:lpstr>
      <vt:lpstr>VOC_Roughness!Print_Area</vt:lpstr>
      <vt:lpstr>ProjLoc</vt:lpstr>
      <vt:lpstr>Projlocation</vt:lpstr>
      <vt:lpstr>TruckSpeed</vt:lpstr>
    </vt:vector>
  </TitlesOfParts>
  <Company>SRF Consulting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Ryan Loos</dc:creator>
  <cp:lastModifiedBy>Matt Flanagan</cp:lastModifiedBy>
  <cp:lastPrinted>2023-08-03T18:42:03Z</cp:lastPrinted>
  <dcterms:created xsi:type="dcterms:W3CDTF">2013-05-17T20:57:43Z</dcterms:created>
  <dcterms:modified xsi:type="dcterms:W3CDTF">2023-08-18T20:48:44Z</dcterms:modified>
</cp:coreProperties>
</file>