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Trans\Grant Applications\2023 Grants\MPDG\ICEA\Website\2_BCA\"/>
    </mc:Choice>
  </mc:AlternateContent>
  <xr:revisionPtr revIDLastSave="0" documentId="8_{36612A1C-C225-492A-8013-E6AB71961473}" xr6:coauthVersionLast="47" xr6:coauthVersionMax="47" xr10:uidLastSave="{00000000-0000-0000-0000-000000000000}"/>
  <bookViews>
    <workbookView xWindow="-120" yWindow="-120" windowWidth="20730" windowHeight="11160" tabRatio="925" xr2:uid="{D70FAB2B-D6DF-45FD-8A83-8768DBBAA409}"/>
  </bookViews>
  <sheets>
    <sheet name="Assumptions" sheetId="12" r:id="rId1"/>
    <sheet name="Group BCA Summary" sheetId="3" r:id="rId2"/>
    <sheet name="Individual Summary" sheetId="13" r:id="rId3"/>
    <sheet name="Group Safety Benefits" sheetId="8" r:id="rId4"/>
    <sheet name="Group Capital Cost" sheetId="6" r:id="rId5"/>
    <sheet name="Group O&amp;M" sheetId="20" r:id="rId6"/>
    <sheet name="Chickasaw Annualization" sheetId="15" r:id="rId7"/>
    <sheet name="Chickasaw-VehOpCost" sheetId="24" r:id="rId8"/>
    <sheet name="Chickasaw Travel Time" sheetId="14" r:id="rId9"/>
    <sheet name="Chickasaw Air Quality" sheetId="21" r:id="rId10"/>
    <sheet name="Mitchell Annualization" sheetId="18" r:id="rId11"/>
    <sheet name="Mitchell Travel Time" sheetId="19" r:id="rId12"/>
    <sheet name="Mitchell-VehOpCost" sheetId="25" r:id="rId13"/>
    <sheet name="Mitchell Air Quality" sheetId="22" r:id="rId14"/>
    <sheet name="CrashData" sheetId="2" r:id="rId15"/>
  </sheets>
  <externalReferences>
    <externalReference r:id="rId16"/>
    <externalReference r:id="rId17"/>
    <externalReference r:id="rId18"/>
  </externalReferences>
  <definedNames>
    <definedName name="_Fill" localSheetId="0" hidden="1">#REF!</definedName>
    <definedName name="_Fill" localSheetId="9" hidden="1">#REF!</definedName>
    <definedName name="_Fill" localSheetId="6" hidden="1">#REF!</definedName>
    <definedName name="_Fill" localSheetId="8" hidden="1">#REF!</definedName>
    <definedName name="_Fill" localSheetId="7" hidden="1">#REF!</definedName>
    <definedName name="_Fill" localSheetId="13" hidden="1">#REF!</definedName>
    <definedName name="_Fill" localSheetId="10" hidden="1">#REF!</definedName>
    <definedName name="_Fill" localSheetId="11" hidden="1">#REF!</definedName>
    <definedName name="_Fill" localSheetId="12" hidden="1">#REF!</definedName>
    <definedName name="_Fill" hidden="1">#REF!</definedName>
    <definedName name="_xlnm._FilterDatabase" localSheetId="14" hidden="1">CrashData!$A$1:$AE$323</definedName>
    <definedName name="_Key1" localSheetId="0" hidden="1">#REF!</definedName>
    <definedName name="_Key1" localSheetId="9" hidden="1">'[1]Journal Entry'!#REF!</definedName>
    <definedName name="_Key1" localSheetId="6" hidden="1">#REF!</definedName>
    <definedName name="_Key1" localSheetId="8" hidden="1">#REF!</definedName>
    <definedName name="_Key1" localSheetId="7" hidden="1">'[1]Journal Entry'!#REF!</definedName>
    <definedName name="_Key1" localSheetId="13" hidden="1">'[1]Journal Entry'!#REF!</definedName>
    <definedName name="_Key1" localSheetId="10" hidden="1">#REF!</definedName>
    <definedName name="_Key1" localSheetId="11" hidden="1">#REF!</definedName>
    <definedName name="_Key1" localSheetId="12" hidden="1">'[1]Journal Entry'!#REF!</definedName>
    <definedName name="_Key1" hidden="1">#REF!</definedName>
    <definedName name="_Key2" localSheetId="0" hidden="1">#REF!</definedName>
    <definedName name="_Key2" localSheetId="9" hidden="1">'[1]Journal Entry'!#REF!</definedName>
    <definedName name="_Key2" localSheetId="6" hidden="1">#REF!</definedName>
    <definedName name="_Key2" localSheetId="8" hidden="1">#REF!</definedName>
    <definedName name="_Key2" localSheetId="7" hidden="1">'[1]Journal Entry'!#REF!</definedName>
    <definedName name="_Key2" localSheetId="13" hidden="1">'[1]Journal Entry'!#REF!</definedName>
    <definedName name="_Key2" localSheetId="10" hidden="1">#REF!</definedName>
    <definedName name="_Key2" localSheetId="11" hidden="1">#REF!</definedName>
    <definedName name="_Key2" localSheetId="12" hidden="1">'[1]Journal Entry'!#REF!</definedName>
    <definedName name="_Key2" hidden="1">#REF!</definedName>
    <definedName name="_Order1" hidden="1">255</definedName>
    <definedName name="_Order2" hidden="1">255</definedName>
    <definedName name="BCAnalysisPeriod" localSheetId="0">#REF!</definedName>
    <definedName name="BCAnalysisPeriod" localSheetId="9">[2]Assumptions!#REF!</definedName>
    <definedName name="BCAnalysisPeriod" localSheetId="6">#REF!</definedName>
    <definedName name="BCAnalysisPeriod" localSheetId="8">#REF!</definedName>
    <definedName name="BCAnalysisPeriod" localSheetId="13">[2]Assumptions!#REF!</definedName>
    <definedName name="BCAnalysisPeriod" localSheetId="10">#REF!</definedName>
    <definedName name="BCAnalysisPeriod" localSheetId="11">#REF!</definedName>
    <definedName name="BCAnalysisPeriod">#REF!</definedName>
    <definedName name="BEx3O85IKWARA6NCJOLRBRJFMEWW" localSheetId="9" hidden="1">'[3]Q2 09 Rail BS Leads'!#REF!</definedName>
    <definedName name="BEx3O85IKWARA6NCJOLRBRJFMEWW" localSheetId="6" hidden="1">#REF!</definedName>
    <definedName name="BEx3O85IKWARA6NCJOLRBRJFMEWW" localSheetId="8" hidden="1">#REF!</definedName>
    <definedName name="BEx3O85IKWARA6NCJOLRBRJFMEWW" localSheetId="7" hidden="1">'[3]Q2 09 Rail BS Leads'!#REF!</definedName>
    <definedName name="BEx3O85IKWARA6NCJOLRBRJFMEWW" localSheetId="13" hidden="1">'[3]Q2 09 Rail BS Leads'!#REF!</definedName>
    <definedName name="BEx3O85IKWARA6NCJOLRBRJFMEWW" localSheetId="10" hidden="1">#REF!</definedName>
    <definedName name="BEx3O85IKWARA6NCJOLRBRJFMEWW" localSheetId="11" hidden="1">#REF!</definedName>
    <definedName name="BEx3O85IKWARA6NCJOLRBRJFMEWW" localSheetId="12" hidden="1">'[3]Q2 09 Rail BS Leads'!#REF!</definedName>
    <definedName name="BEx3O85IKWARA6NCJOLRBRJFMEWW" hidden="1">#REF!</definedName>
    <definedName name="BEx5MLQZM68YQSKARVWTTPINFQ2C" localSheetId="9" hidden="1">'[3]Q2 09 Rail BS Leads'!#REF!</definedName>
    <definedName name="BEx5MLQZM68YQSKARVWTTPINFQ2C" localSheetId="6" hidden="1">#REF!</definedName>
    <definedName name="BEx5MLQZM68YQSKARVWTTPINFQ2C" localSheetId="8" hidden="1">#REF!</definedName>
    <definedName name="BEx5MLQZM68YQSKARVWTTPINFQ2C" localSheetId="7" hidden="1">'[3]Q2 09 Rail BS Leads'!#REF!</definedName>
    <definedName name="BEx5MLQZM68YQSKARVWTTPINFQ2C" localSheetId="13" hidden="1">'[3]Q2 09 Rail BS Leads'!#REF!</definedName>
    <definedName name="BEx5MLQZM68YQSKARVWTTPINFQ2C" localSheetId="10" hidden="1">#REF!</definedName>
    <definedName name="BEx5MLQZM68YQSKARVWTTPINFQ2C" localSheetId="11" hidden="1">#REF!</definedName>
    <definedName name="BEx5MLQZM68YQSKARVWTTPINFQ2C" localSheetId="12" hidden="1">'[3]Q2 09 Rail BS Leads'!#REF!</definedName>
    <definedName name="BEx5MLQZM68YQSKARVWTTPINFQ2C" hidden="1">#REF!</definedName>
    <definedName name="BExERWCEBKQRYWRQLYJ4UCMMKTHG" localSheetId="9" hidden="1">'[3]Q2 09 Rail BS Leads'!#REF!</definedName>
    <definedName name="BExERWCEBKQRYWRQLYJ4UCMMKTHG" localSheetId="6" hidden="1">#REF!</definedName>
    <definedName name="BExERWCEBKQRYWRQLYJ4UCMMKTHG" localSheetId="7" hidden="1">'[3]Q2 09 Rail BS Leads'!#REF!</definedName>
    <definedName name="BExERWCEBKQRYWRQLYJ4UCMMKTHG" localSheetId="13" hidden="1">'[3]Q2 09 Rail BS Leads'!#REF!</definedName>
    <definedName name="BExERWCEBKQRYWRQLYJ4UCMMKTHG" localSheetId="10" hidden="1">#REF!</definedName>
    <definedName name="BExERWCEBKQRYWRQLYJ4UCMMKTHG" localSheetId="12" hidden="1">'[3]Q2 09 Rail BS Leads'!#REF!</definedName>
    <definedName name="BExERWCEBKQRYWRQLYJ4UCMMKTHG" hidden="1">#REF!</definedName>
    <definedName name="BExMBYPQDG9AYDQ5E8IECVFREPO6" localSheetId="9" hidden="1">'[3]Q2 09 Rail BS Leads'!#REF!</definedName>
    <definedName name="BExMBYPQDG9AYDQ5E8IECVFREPO6" localSheetId="6" hidden="1">#REF!</definedName>
    <definedName name="BExMBYPQDG9AYDQ5E8IECVFREPO6" localSheetId="7" hidden="1">'[3]Q2 09 Rail BS Leads'!#REF!</definedName>
    <definedName name="BExMBYPQDG9AYDQ5E8IECVFREPO6" localSheetId="13" hidden="1">'[3]Q2 09 Rail BS Leads'!#REF!</definedName>
    <definedName name="BExMBYPQDG9AYDQ5E8IECVFREPO6" localSheetId="10" hidden="1">#REF!</definedName>
    <definedName name="BExMBYPQDG9AYDQ5E8IECVFREPO6" localSheetId="12" hidden="1">'[3]Q2 09 Rail BS Leads'!#REF!</definedName>
    <definedName name="BExMBYPQDG9AYDQ5E8IECVFREPO6" hidden="1">#REF!</definedName>
    <definedName name="BExQ9ZLYHWABXAA9NJDW8ZS0UQ9P" localSheetId="9" hidden="1">'[3]Q2 09 Rail BS Leads'!#REF!</definedName>
    <definedName name="BExQ9ZLYHWABXAA9NJDW8ZS0UQ9P" localSheetId="6" hidden="1">#REF!</definedName>
    <definedName name="BExQ9ZLYHWABXAA9NJDW8ZS0UQ9P" localSheetId="7" hidden="1">'[3]Q2 09 Rail BS Leads'!#REF!</definedName>
    <definedName name="BExQ9ZLYHWABXAA9NJDW8ZS0UQ9P" localSheetId="13" hidden="1">'[3]Q2 09 Rail BS Leads'!#REF!</definedName>
    <definedName name="BExQ9ZLYHWABXAA9NJDW8ZS0UQ9P" localSheetId="10" hidden="1">#REF!</definedName>
    <definedName name="BExQ9ZLYHWABXAA9NJDW8ZS0UQ9P" localSheetId="12" hidden="1">'[3]Q2 09 Rail BS Leads'!#REF!</definedName>
    <definedName name="BExQ9ZLYHWABXAA9NJDW8ZS0UQ9P" hidden="1">#REF!</definedName>
    <definedName name="BExTUY9WNSJ91GV8CP0SKJTEIV82" localSheetId="9" hidden="1">'[3]Q2 09 Rail BS Leads'!#REF!</definedName>
    <definedName name="BExTUY9WNSJ91GV8CP0SKJTEIV82" localSheetId="6" hidden="1">#REF!</definedName>
    <definedName name="BExTUY9WNSJ91GV8CP0SKJTEIV82" localSheetId="7" hidden="1">'[3]Q2 09 Rail BS Leads'!#REF!</definedName>
    <definedName name="BExTUY9WNSJ91GV8CP0SKJTEIV82" localSheetId="13" hidden="1">'[3]Q2 09 Rail BS Leads'!#REF!</definedName>
    <definedName name="BExTUY9WNSJ91GV8CP0SKJTEIV82" localSheetId="10" hidden="1">#REF!</definedName>
    <definedName name="BExTUY9WNSJ91GV8CP0SKJTEIV82" localSheetId="12" hidden="1">'[3]Q2 09 Rail BS Leads'!#REF!</definedName>
    <definedName name="BExTUY9WNSJ91GV8CP0SKJTEIV82" hidden="1">#REF!</definedName>
    <definedName name="_xlnm.Print_Area" localSheetId="0">Assumptions!$B$2:$F$14</definedName>
    <definedName name="_xlnm.Print_Area" localSheetId="9">'Chickasaw Air Quality'!$B$2:$AD$50</definedName>
    <definedName name="_xlnm.Print_Area" localSheetId="6">'Chickasaw Annualization'!$B$8:$K$37</definedName>
    <definedName name="_xlnm.Print_Area" localSheetId="8">'Chickasaw Travel Time'!$B$2:$K$34</definedName>
    <definedName name="_xlnm.Print_Area" localSheetId="1">'Group BCA Summary'!$B$2:$K$71</definedName>
    <definedName name="_xlnm.Print_Area" localSheetId="4">'Group Capital Cost'!$B$2:$S$31</definedName>
    <definedName name="_xlnm.Print_Area" localSheetId="5">'Group O&amp;M'!$B$2:$AB$57</definedName>
    <definedName name="_xlnm.Print_Area" localSheetId="3">'Group Safety Benefits'!$B$2:$X$89</definedName>
    <definedName name="_xlnm.Print_Area" localSheetId="2">'Individual Summary'!$B$2:$H$45</definedName>
    <definedName name="_xlnm.Print_Area" localSheetId="13">'Mitchell Air Quality'!$B$2:$AD$50</definedName>
    <definedName name="_xlnm.Print_Area" localSheetId="10">'Mitchell Annualization'!$B$8:$N$38</definedName>
    <definedName name="_xlnm.Print_Area" localSheetId="11">'Mitchell Travel Time'!$B$2:$K$35</definedName>
    <definedName name="SAPBEXhrIndnt" hidden="1">"Wide"</definedName>
    <definedName name="SAPsysID" hidden="1">"708C5W7SBKP804JT78WJ0JNKI"</definedName>
    <definedName name="SAPwbID" hidden="1">"ARS"</definedName>
    <definedName name="TruckCost" localSheetId="9">[2]Assumptions!#REF!</definedName>
    <definedName name="TruckCost" localSheetId="6">#REF!</definedName>
    <definedName name="TruckCost" localSheetId="8">#REF!</definedName>
    <definedName name="TruckCost" localSheetId="13">[2]Assumptions!#REF!</definedName>
    <definedName name="TruckCost" localSheetId="10">#REF!</definedName>
    <definedName name="TruckCost" localSheetId="11">#REF!</definedName>
    <definedName name="TruckCo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U39" i="8"/>
  <c r="U36" i="8"/>
  <c r="C65" i="8"/>
  <c r="C66" i="8"/>
  <c r="Y36" i="22"/>
  <c r="E25" i="25"/>
  <c r="E24" i="25"/>
  <c r="E23" i="25"/>
  <c r="E22" i="25"/>
  <c r="E21" i="25"/>
  <c r="E20" i="25"/>
  <c r="E19" i="25"/>
  <c r="E18" i="25"/>
  <c r="E17" i="25"/>
  <c r="E16" i="25"/>
  <c r="E15" i="25"/>
  <c r="E14" i="25"/>
  <c r="E13" i="25"/>
  <c r="E12" i="25"/>
  <c r="E11" i="25"/>
  <c r="E10" i="25"/>
  <c r="E9" i="25"/>
  <c r="E8" i="25"/>
  <c r="E7" i="25"/>
  <c r="E6" i="25"/>
  <c r="E25" i="24"/>
  <c r="E24" i="24"/>
  <c r="E23" i="24"/>
  <c r="E22" i="24"/>
  <c r="E21" i="24"/>
  <c r="E20" i="24"/>
  <c r="E19" i="24"/>
  <c r="E18" i="24"/>
  <c r="E17" i="24"/>
  <c r="E16" i="24"/>
  <c r="E15" i="24"/>
  <c r="E14" i="24"/>
  <c r="E13" i="24"/>
  <c r="E12" i="24"/>
  <c r="E11" i="24"/>
  <c r="E10" i="24"/>
  <c r="E9" i="24"/>
  <c r="E8" i="24"/>
  <c r="E7" i="24"/>
  <c r="E6" i="24"/>
  <c r="I62" i="8"/>
  <c r="C61" i="8"/>
  <c r="AH7" i="24"/>
  <c r="AH6" i="24"/>
  <c r="AH11" i="24"/>
  <c r="C13" i="15"/>
  <c r="N44" i="3"/>
  <c r="I14" i="25"/>
  <c r="C25" i="25"/>
  <c r="C24" i="25"/>
  <c r="C23" i="25"/>
  <c r="C22" i="25"/>
  <c r="C21" i="25"/>
  <c r="C20" i="25"/>
  <c r="C19" i="25"/>
  <c r="C18" i="25"/>
  <c r="C17" i="25"/>
  <c r="C16" i="25"/>
  <c r="C15" i="25"/>
  <c r="C14" i="25"/>
  <c r="C13" i="25"/>
  <c r="C12" i="25"/>
  <c r="C11" i="25"/>
  <c r="C10" i="25"/>
  <c r="C9" i="25"/>
  <c r="C8" i="25"/>
  <c r="C7" i="25"/>
  <c r="C6" i="25"/>
  <c r="AH16" i="25"/>
  <c r="AH15" i="25"/>
  <c r="I13" i="25"/>
  <c r="AM12" i="25"/>
  <c r="AL12" i="25"/>
  <c r="AK12" i="25"/>
  <c r="AJ12" i="25"/>
  <c r="AI12" i="25"/>
  <c r="AM11" i="25"/>
  <c r="AL11" i="25"/>
  <c r="AK11" i="25"/>
  <c r="AJ11" i="25"/>
  <c r="AI11" i="25"/>
  <c r="AH10" i="25"/>
  <c r="AH9" i="25"/>
  <c r="AH8" i="25"/>
  <c r="AH7" i="25"/>
  <c r="AH6" i="25"/>
  <c r="B6" i="25"/>
  <c r="B7" i="25" s="1"/>
  <c r="B8" i="25" s="1"/>
  <c r="B9" i="25" s="1"/>
  <c r="B10" i="25" s="1"/>
  <c r="B11" i="25" s="1"/>
  <c r="B12" i="25" s="1"/>
  <c r="B13" i="25" s="1"/>
  <c r="B14" i="25" s="1"/>
  <c r="B15" i="25" s="1"/>
  <c r="B16" i="25" s="1"/>
  <c r="B17" i="25" s="1"/>
  <c r="B18" i="25" s="1"/>
  <c r="B19" i="25" s="1"/>
  <c r="B20" i="25" s="1"/>
  <c r="B21" i="25" s="1"/>
  <c r="B22" i="25" s="1"/>
  <c r="B23" i="25" s="1"/>
  <c r="B24" i="25" s="1"/>
  <c r="B25" i="25" s="1"/>
  <c r="J29" i="3"/>
  <c r="J8" i="3"/>
  <c r="J7" i="3"/>
  <c r="C25" i="24"/>
  <c r="C24" i="24"/>
  <c r="C23" i="24"/>
  <c r="C22" i="24"/>
  <c r="C21" i="24"/>
  <c r="C20" i="24"/>
  <c r="C19" i="24"/>
  <c r="C18" i="24"/>
  <c r="C17" i="24"/>
  <c r="C16" i="24"/>
  <c r="C15" i="24"/>
  <c r="C14" i="24"/>
  <c r="C13" i="24"/>
  <c r="C12" i="24"/>
  <c r="C11" i="24"/>
  <c r="C10" i="24"/>
  <c r="C9" i="24"/>
  <c r="C8" i="24"/>
  <c r="C7" i="24"/>
  <c r="C6" i="24"/>
  <c r="B6" i="24"/>
  <c r="I14" i="24"/>
  <c r="AH16" i="24"/>
  <c r="AH15" i="24"/>
  <c r="I13" i="24"/>
  <c r="AM12" i="24"/>
  <c r="AL12" i="24"/>
  <c r="AK12" i="24"/>
  <c r="AJ12" i="24"/>
  <c r="AI12" i="24"/>
  <c r="AM11" i="24"/>
  <c r="AL11" i="24"/>
  <c r="AK11" i="24"/>
  <c r="AJ11" i="24"/>
  <c r="AI11" i="24"/>
  <c r="AH10" i="24"/>
  <c r="AH9" i="24"/>
  <c r="AH8" i="24"/>
  <c r="B7" i="24"/>
  <c r="AH11" i="25" l="1"/>
  <c r="AS6" i="25"/>
  <c r="AT6" i="25" s="1"/>
  <c r="AR6" i="25"/>
  <c r="AQ6" i="25"/>
  <c r="AP6" i="25"/>
  <c r="AO6" i="25"/>
  <c r="AS7" i="25"/>
  <c r="AT7" i="25" s="1"/>
  <c r="AU7" i="25" s="1"/>
  <c r="AV7" i="25" s="1"/>
  <c r="AR7" i="25"/>
  <c r="AQ7" i="25"/>
  <c r="AP7" i="25"/>
  <c r="AO7" i="25"/>
  <c r="AS8" i="25"/>
  <c r="AT8" i="25" s="1"/>
  <c r="AU8" i="25" s="1"/>
  <c r="AV8" i="25" s="1"/>
  <c r="AR8" i="25"/>
  <c r="AQ8" i="25"/>
  <c r="AP8" i="25"/>
  <c r="AO8" i="25"/>
  <c r="AS9" i="25"/>
  <c r="AT9" i="25" s="1"/>
  <c r="AU9" i="25" s="1"/>
  <c r="AV9" i="25" s="1"/>
  <c r="AR9" i="25"/>
  <c r="AQ9" i="25"/>
  <c r="AP9" i="25"/>
  <c r="AO9" i="25"/>
  <c r="AH12" i="25"/>
  <c r="AS10" i="25"/>
  <c r="AT10" i="25" s="1"/>
  <c r="AR10" i="25"/>
  <c r="AQ10" i="25"/>
  <c r="AP10" i="25"/>
  <c r="AO10" i="25"/>
  <c r="AS6" i="24"/>
  <c r="AT6" i="24" s="1"/>
  <c r="AR6" i="24"/>
  <c r="AQ6" i="24"/>
  <c r="AP6" i="24"/>
  <c r="AO6" i="24"/>
  <c r="B8" i="24"/>
  <c r="AS7" i="24"/>
  <c r="AT7" i="24" s="1"/>
  <c r="AU7" i="24" s="1"/>
  <c r="AV7" i="24" s="1"/>
  <c r="AR7" i="24"/>
  <c r="AQ7" i="24"/>
  <c r="AP7" i="24"/>
  <c r="AO7" i="24"/>
  <c r="AS8" i="24"/>
  <c r="AT8" i="24" s="1"/>
  <c r="AU8" i="24" s="1"/>
  <c r="AV8" i="24" s="1"/>
  <c r="AR8" i="24"/>
  <c r="AQ8" i="24"/>
  <c r="AP8" i="24"/>
  <c r="AO8" i="24"/>
  <c r="AS9" i="24"/>
  <c r="AT9" i="24" s="1"/>
  <c r="AU9" i="24" s="1"/>
  <c r="AV9" i="24" s="1"/>
  <c r="AR9" i="24"/>
  <c r="AQ9" i="24"/>
  <c r="AP9" i="24"/>
  <c r="AO9" i="24"/>
  <c r="AH12" i="24"/>
  <c r="AS10" i="24"/>
  <c r="AT10" i="24" s="1"/>
  <c r="AR10" i="24"/>
  <c r="AQ10" i="24"/>
  <c r="AP10" i="24"/>
  <c r="AO10" i="24"/>
  <c r="AT12" i="25" l="1"/>
  <c r="AU12" i="25" s="1"/>
  <c r="AV12" i="25" s="1"/>
  <c r="I7" i="25" s="1"/>
  <c r="AU10" i="25"/>
  <c r="AV10" i="25" s="1"/>
  <c r="AS12" i="25"/>
  <c r="AR12" i="25"/>
  <c r="AQ12" i="25"/>
  <c r="AP12" i="25"/>
  <c r="AO12" i="25"/>
  <c r="AT11" i="25"/>
  <c r="AU11" i="25" s="1"/>
  <c r="AV11" i="25" s="1"/>
  <c r="I6" i="25" s="1"/>
  <c r="I17" i="25" s="1"/>
  <c r="AU6" i="25"/>
  <c r="AV6" i="25" s="1"/>
  <c r="AS11" i="25"/>
  <c r="AR11" i="25"/>
  <c r="AQ11" i="25"/>
  <c r="AP11" i="25"/>
  <c r="AO11" i="25"/>
  <c r="AT12" i="24"/>
  <c r="AU12" i="24" s="1"/>
  <c r="AV12" i="24" s="1"/>
  <c r="I7" i="24" s="1"/>
  <c r="AU10" i="24"/>
  <c r="AV10" i="24" s="1"/>
  <c r="AS12" i="24"/>
  <c r="AR12" i="24"/>
  <c r="AQ12" i="24"/>
  <c r="AP12" i="24"/>
  <c r="AO12" i="24"/>
  <c r="B9" i="24"/>
  <c r="AT11" i="24"/>
  <c r="AU11" i="24" s="1"/>
  <c r="AV11" i="24" s="1"/>
  <c r="I6" i="24" s="1"/>
  <c r="AU6" i="24"/>
  <c r="AV6" i="24" s="1"/>
  <c r="AS11" i="24"/>
  <c r="AR11" i="24"/>
  <c r="AQ11" i="24"/>
  <c r="AP11" i="24"/>
  <c r="AO11" i="24"/>
  <c r="D6" i="25" l="1"/>
  <c r="D7" i="25"/>
  <c r="D8" i="25"/>
  <c r="D9" i="25"/>
  <c r="D10" i="25"/>
  <c r="D11" i="25"/>
  <c r="D12" i="25"/>
  <c r="D13" i="25"/>
  <c r="D14" i="25"/>
  <c r="D15" i="25"/>
  <c r="D16" i="25"/>
  <c r="D17" i="25"/>
  <c r="D18" i="25"/>
  <c r="D19" i="25"/>
  <c r="D20" i="25"/>
  <c r="D21" i="25"/>
  <c r="D22" i="25"/>
  <c r="D23" i="25"/>
  <c r="D24" i="25"/>
  <c r="D25" i="25"/>
  <c r="B10" i="24"/>
  <c r="E26" i="25" l="1"/>
  <c r="I17" i="24"/>
  <c r="B11" i="24"/>
  <c r="D6" i="24" l="1"/>
  <c r="D7" i="24"/>
  <c r="D8" i="24"/>
  <c r="D9" i="24"/>
  <c r="D10" i="24"/>
  <c r="D11" i="24"/>
  <c r="H14" i="3" s="1"/>
  <c r="D12" i="24"/>
  <c r="H15" i="3" s="1"/>
  <c r="D13" i="24"/>
  <c r="H16" i="3" s="1"/>
  <c r="D14" i="24"/>
  <c r="H17" i="3" s="1"/>
  <c r="D15" i="24"/>
  <c r="H18" i="3" s="1"/>
  <c r="D16" i="24"/>
  <c r="H19" i="3" s="1"/>
  <c r="D17" i="24"/>
  <c r="H20" i="3" s="1"/>
  <c r="D18" i="24"/>
  <c r="H21" i="3" s="1"/>
  <c r="D19" i="24"/>
  <c r="H22" i="3" s="1"/>
  <c r="D20" i="24"/>
  <c r="H23" i="3" s="1"/>
  <c r="D21" i="24"/>
  <c r="H24" i="3" s="1"/>
  <c r="D22" i="24"/>
  <c r="H25" i="3" s="1"/>
  <c r="D23" i="24"/>
  <c r="H26" i="3" s="1"/>
  <c r="D24" i="24"/>
  <c r="H27" i="3" s="1"/>
  <c r="D25" i="24"/>
  <c r="H28" i="3" s="1"/>
  <c r="B12" i="24"/>
  <c r="H13" i="3" l="1"/>
  <c r="H12" i="3"/>
  <c r="H11" i="3"/>
  <c r="H10" i="3"/>
  <c r="H9" i="3"/>
  <c r="B13" i="24"/>
  <c r="B14" i="24" l="1"/>
  <c r="B15" i="24" l="1"/>
  <c r="B16" i="24" l="1"/>
  <c r="B17" i="24" l="1"/>
  <c r="B18" i="24" l="1"/>
  <c r="B19" i="24" l="1"/>
  <c r="B20" i="24" l="1"/>
  <c r="B21" i="24" l="1"/>
  <c r="B22" i="24" l="1"/>
  <c r="B23" i="24" l="1"/>
  <c r="B24" i="24" l="1"/>
  <c r="B25" i="24" l="1"/>
  <c r="E26" i="24" l="1"/>
  <c r="N41" i="3" s="1"/>
  <c r="D36" i="3" l="1"/>
  <c r="D35" i="3"/>
  <c r="I7" i="6"/>
  <c r="P7" i="6"/>
  <c r="M8" i="6"/>
  <c r="N7" i="6"/>
  <c r="D56" i="3"/>
  <c r="C62" i="3"/>
  <c r="P8" i="6"/>
  <c r="D43" i="13"/>
  <c r="D42" i="13"/>
  <c r="D41" i="13"/>
  <c r="D40" i="13"/>
  <c r="D39" i="13"/>
  <c r="D38" i="13"/>
  <c r="D44" i="13" s="1"/>
  <c r="D9" i="3"/>
  <c r="N42" i="3"/>
  <c r="AA31" i="20"/>
  <c r="AB31" i="20"/>
  <c r="N40" i="3"/>
  <c r="O30" i="8"/>
  <c r="U41" i="8" l="1"/>
  <c r="U40" i="8"/>
  <c r="U38" i="8"/>
  <c r="T36" i="8"/>
  <c r="X26" i="8"/>
  <c r="U46" i="8"/>
  <c r="V46" i="8"/>
  <c r="W46" i="8"/>
  <c r="X46" i="8"/>
  <c r="T46" i="8"/>
  <c r="Y35" i="22"/>
  <c r="V44" i="22"/>
  <c r="V45" i="22" s="1"/>
  <c r="V46" i="22" s="1"/>
  <c r="V47" i="22" s="1"/>
  <c r="V48" i="22" s="1"/>
  <c r="V49" i="22" s="1"/>
  <c r="V50" i="22" s="1"/>
  <c r="U44" i="22"/>
  <c r="U45" i="22" s="1"/>
  <c r="U46" i="22" s="1"/>
  <c r="U47" i="22" s="1"/>
  <c r="U48" i="22" s="1"/>
  <c r="U49" i="22" s="1"/>
  <c r="U50" i="22" s="1"/>
  <c r="T44" i="22"/>
  <c r="T45" i="22" s="1"/>
  <c r="T46" i="22" s="1"/>
  <c r="T47" i="22" s="1"/>
  <c r="T48" i="22" s="1"/>
  <c r="T49" i="22" s="1"/>
  <c r="T50" i="22" s="1"/>
  <c r="S44" i="22"/>
  <c r="S45" i="22" s="1"/>
  <c r="S46" i="22" s="1"/>
  <c r="S47" i="22" s="1"/>
  <c r="S48" i="22" s="1"/>
  <c r="S49" i="22" s="1"/>
  <c r="S50" i="22" s="1"/>
  <c r="Y37" i="22"/>
  <c r="Y31" i="22"/>
  <c r="V7" i="22"/>
  <c r="U7" i="22"/>
  <c r="T7" i="22"/>
  <c r="S7" i="22"/>
  <c r="V6" i="22"/>
  <c r="U6" i="22"/>
  <c r="T6" i="22"/>
  <c r="S6" i="22"/>
  <c r="B6" i="22"/>
  <c r="B7" i="22" s="1"/>
  <c r="B8" i="22" s="1"/>
  <c r="B9" i="22" s="1"/>
  <c r="B10" i="22" s="1"/>
  <c r="B11" i="22" s="1"/>
  <c r="B12" i="22" s="1"/>
  <c r="B13" i="22" s="1"/>
  <c r="B14" i="22" s="1"/>
  <c r="B15" i="22" s="1"/>
  <c r="B16" i="22" s="1"/>
  <c r="B17" i="22" s="1"/>
  <c r="B18" i="22" s="1"/>
  <c r="B19" i="22" s="1"/>
  <c r="B20" i="22" s="1"/>
  <c r="B21" i="22" s="1"/>
  <c r="B22" i="22" s="1"/>
  <c r="B23" i="22" s="1"/>
  <c r="B24" i="22" s="1"/>
  <c r="B25" i="22" s="1"/>
  <c r="B6" i="21"/>
  <c r="Y36" i="21"/>
  <c r="Y37" i="21" s="1"/>
  <c r="Y38" i="21" s="1"/>
  <c r="Y35" i="21"/>
  <c r="Y31" i="21"/>
  <c r="F6" i="21" l="1"/>
  <c r="F25" i="21"/>
  <c r="F24" i="21"/>
  <c r="F23" i="21"/>
  <c r="F22" i="21"/>
  <c r="F21" i="21"/>
  <c r="F20" i="21"/>
  <c r="F19" i="21"/>
  <c r="F18" i="21"/>
  <c r="F17" i="21"/>
  <c r="F16" i="21"/>
  <c r="F15" i="21"/>
  <c r="F14" i="21"/>
  <c r="F13" i="21"/>
  <c r="F12" i="21"/>
  <c r="F11" i="21"/>
  <c r="F10" i="21"/>
  <c r="F9" i="21"/>
  <c r="F8" i="21"/>
  <c r="F7" i="21"/>
  <c r="X47" i="8"/>
  <c r="X48" i="8"/>
  <c r="Y38" i="22"/>
  <c r="C7" i="21" l="1"/>
  <c r="I7" i="21"/>
  <c r="H7" i="21"/>
  <c r="G7" i="21"/>
  <c r="C8" i="21"/>
  <c r="I8" i="21"/>
  <c r="H8" i="21"/>
  <c r="G8" i="21"/>
  <c r="C9" i="21"/>
  <c r="I9" i="21"/>
  <c r="H9" i="21"/>
  <c r="G9" i="21"/>
  <c r="C10" i="21"/>
  <c r="I10" i="21"/>
  <c r="H10" i="21"/>
  <c r="G10" i="21"/>
  <c r="C11" i="21"/>
  <c r="I11" i="21"/>
  <c r="H11" i="21"/>
  <c r="G11" i="21"/>
  <c r="C12" i="21"/>
  <c r="I12" i="21"/>
  <c r="H12" i="21"/>
  <c r="G12" i="21"/>
  <c r="C13" i="21"/>
  <c r="I13" i="21"/>
  <c r="H13" i="21"/>
  <c r="G13" i="21"/>
  <c r="C14" i="21"/>
  <c r="I14" i="21"/>
  <c r="H14" i="21"/>
  <c r="G14" i="21"/>
  <c r="C15" i="21"/>
  <c r="I15" i="21"/>
  <c r="H15" i="21"/>
  <c r="G15" i="21"/>
  <c r="C16" i="21"/>
  <c r="I16" i="21"/>
  <c r="H16" i="21"/>
  <c r="G16" i="21"/>
  <c r="C17" i="21"/>
  <c r="I17" i="21"/>
  <c r="H17" i="21"/>
  <c r="G17" i="21"/>
  <c r="C18" i="21"/>
  <c r="I18" i="21"/>
  <c r="H18" i="21"/>
  <c r="G18" i="21"/>
  <c r="C19" i="21"/>
  <c r="I19" i="21"/>
  <c r="H19" i="21"/>
  <c r="G19" i="21"/>
  <c r="C20" i="21"/>
  <c r="I20" i="21"/>
  <c r="H20" i="21"/>
  <c r="G20" i="21"/>
  <c r="C21" i="21"/>
  <c r="I21" i="21"/>
  <c r="H21" i="21"/>
  <c r="G21" i="21"/>
  <c r="C22" i="21"/>
  <c r="I22" i="21"/>
  <c r="H22" i="21"/>
  <c r="G22" i="21"/>
  <c r="C23" i="21"/>
  <c r="I23" i="21"/>
  <c r="H23" i="21"/>
  <c r="G23" i="21"/>
  <c r="C24" i="21"/>
  <c r="I24" i="21"/>
  <c r="H24" i="21"/>
  <c r="G24" i="21"/>
  <c r="C25" i="21"/>
  <c r="I25" i="21"/>
  <c r="H25" i="21"/>
  <c r="G25" i="21"/>
  <c r="C6" i="21"/>
  <c r="I6" i="21"/>
  <c r="H6" i="21"/>
  <c r="G6" i="21"/>
  <c r="J6" i="21" s="1"/>
  <c r="F25" i="22"/>
  <c r="F24" i="22"/>
  <c r="F23" i="22"/>
  <c r="F22" i="22"/>
  <c r="F21" i="22"/>
  <c r="F20" i="22"/>
  <c r="F19" i="22"/>
  <c r="F18" i="22"/>
  <c r="F17" i="22"/>
  <c r="F16" i="22"/>
  <c r="F15" i="22"/>
  <c r="F14" i="22"/>
  <c r="F13" i="22"/>
  <c r="F12" i="22"/>
  <c r="F11" i="22"/>
  <c r="F10" i="22"/>
  <c r="F9" i="22"/>
  <c r="F8" i="22"/>
  <c r="F7" i="22"/>
  <c r="F6" i="22"/>
  <c r="I6" i="22" l="1"/>
  <c r="L6" i="22" s="1"/>
  <c r="H6" i="22"/>
  <c r="K6" i="22" s="1"/>
  <c r="G6" i="22"/>
  <c r="J6" i="22" s="1"/>
  <c r="M6" i="22" s="1"/>
  <c r="C6" i="22"/>
  <c r="D6" i="22" s="1"/>
  <c r="E6" i="22" s="1"/>
  <c r="I7" i="22"/>
  <c r="L7" i="22" s="1"/>
  <c r="H7" i="22"/>
  <c r="K7" i="22" s="1"/>
  <c r="G7" i="22"/>
  <c r="J7" i="22" s="1"/>
  <c r="M7" i="22" s="1"/>
  <c r="C7" i="22"/>
  <c r="D7" i="22" s="1"/>
  <c r="E7" i="22" s="1"/>
  <c r="I8" i="22"/>
  <c r="L8" i="22" s="1"/>
  <c r="H8" i="22"/>
  <c r="K8" i="22" s="1"/>
  <c r="G8" i="22"/>
  <c r="J8" i="22" s="1"/>
  <c r="M8" i="22" s="1"/>
  <c r="C8" i="22"/>
  <c r="D8" i="22" s="1"/>
  <c r="E8" i="22" s="1"/>
  <c r="I9" i="22"/>
  <c r="L9" i="22" s="1"/>
  <c r="H9" i="22"/>
  <c r="K9" i="22" s="1"/>
  <c r="G9" i="22"/>
  <c r="J9" i="22" s="1"/>
  <c r="M9" i="22" s="1"/>
  <c r="C9" i="22"/>
  <c r="D9" i="22" s="1"/>
  <c r="E9" i="22" s="1"/>
  <c r="I10" i="22"/>
  <c r="L10" i="22" s="1"/>
  <c r="H10" i="22"/>
  <c r="K10" i="22" s="1"/>
  <c r="G10" i="22"/>
  <c r="J10" i="22" s="1"/>
  <c r="M10" i="22" s="1"/>
  <c r="C10" i="22"/>
  <c r="D10" i="22" s="1"/>
  <c r="E10" i="22" s="1"/>
  <c r="I11" i="22"/>
  <c r="H11" i="22"/>
  <c r="G11" i="22"/>
  <c r="C11" i="22"/>
  <c r="I12" i="22"/>
  <c r="L12" i="22" s="1"/>
  <c r="H12" i="22"/>
  <c r="K12" i="22" s="1"/>
  <c r="G12" i="22"/>
  <c r="J12" i="22" s="1"/>
  <c r="M12" i="22" s="1"/>
  <c r="C12" i="22"/>
  <c r="D12" i="22" s="1"/>
  <c r="E12" i="22" s="1"/>
  <c r="I13" i="22"/>
  <c r="L13" i="22" s="1"/>
  <c r="H13" i="22"/>
  <c r="K13" i="22" s="1"/>
  <c r="G13" i="22"/>
  <c r="J13" i="22" s="1"/>
  <c r="M13" i="22" s="1"/>
  <c r="C13" i="22"/>
  <c r="D13" i="22" s="1"/>
  <c r="E13" i="22" s="1"/>
  <c r="I14" i="22"/>
  <c r="L14" i="22" s="1"/>
  <c r="H14" i="22"/>
  <c r="K14" i="22" s="1"/>
  <c r="G14" i="22"/>
  <c r="J14" i="22" s="1"/>
  <c r="M14" i="22" s="1"/>
  <c r="C14" i="22"/>
  <c r="D14" i="22" s="1"/>
  <c r="E14" i="22" s="1"/>
  <c r="I15" i="22"/>
  <c r="L15" i="22" s="1"/>
  <c r="H15" i="22"/>
  <c r="K15" i="22" s="1"/>
  <c r="G15" i="22"/>
  <c r="J15" i="22" s="1"/>
  <c r="M15" i="22" s="1"/>
  <c r="C15" i="22"/>
  <c r="D15" i="22" s="1"/>
  <c r="E15" i="22" s="1"/>
  <c r="I16" i="22"/>
  <c r="L16" i="22" s="1"/>
  <c r="H16" i="22"/>
  <c r="K16" i="22" s="1"/>
  <c r="G16" i="22"/>
  <c r="J16" i="22" s="1"/>
  <c r="M16" i="22" s="1"/>
  <c r="C16" i="22"/>
  <c r="D16" i="22" s="1"/>
  <c r="E16" i="22" s="1"/>
  <c r="I17" i="22"/>
  <c r="L17" i="22" s="1"/>
  <c r="H17" i="22"/>
  <c r="K17" i="22" s="1"/>
  <c r="G17" i="22"/>
  <c r="J17" i="22" s="1"/>
  <c r="M17" i="22" s="1"/>
  <c r="C17" i="22"/>
  <c r="D17" i="22" s="1"/>
  <c r="E17" i="22" s="1"/>
  <c r="I18" i="22"/>
  <c r="L18" i="22" s="1"/>
  <c r="H18" i="22"/>
  <c r="K18" i="22" s="1"/>
  <c r="G18" i="22"/>
  <c r="J18" i="22" s="1"/>
  <c r="M18" i="22" s="1"/>
  <c r="C18" i="22"/>
  <c r="D18" i="22" s="1"/>
  <c r="E18" i="22" s="1"/>
  <c r="I19" i="22"/>
  <c r="L19" i="22" s="1"/>
  <c r="H19" i="22"/>
  <c r="K19" i="22" s="1"/>
  <c r="G19" i="22"/>
  <c r="J19" i="22" s="1"/>
  <c r="M19" i="22" s="1"/>
  <c r="C19" i="22"/>
  <c r="D19" i="22" s="1"/>
  <c r="E19" i="22" s="1"/>
  <c r="I20" i="22"/>
  <c r="L20" i="22" s="1"/>
  <c r="H20" i="22"/>
  <c r="K20" i="22" s="1"/>
  <c r="G20" i="22"/>
  <c r="J20" i="22" s="1"/>
  <c r="M20" i="22" s="1"/>
  <c r="C20" i="22"/>
  <c r="D20" i="22" s="1"/>
  <c r="E20" i="22" s="1"/>
  <c r="I21" i="22"/>
  <c r="L21" i="22" s="1"/>
  <c r="H21" i="22"/>
  <c r="K21" i="22" s="1"/>
  <c r="G21" i="22"/>
  <c r="J21" i="22" s="1"/>
  <c r="M21" i="22" s="1"/>
  <c r="C21" i="22"/>
  <c r="D21" i="22" s="1"/>
  <c r="E21" i="22" s="1"/>
  <c r="I22" i="22"/>
  <c r="L22" i="22" s="1"/>
  <c r="H22" i="22"/>
  <c r="K22" i="22" s="1"/>
  <c r="G22" i="22"/>
  <c r="J22" i="22" s="1"/>
  <c r="M22" i="22" s="1"/>
  <c r="C22" i="22"/>
  <c r="D22" i="22" s="1"/>
  <c r="E22" i="22" s="1"/>
  <c r="I23" i="22"/>
  <c r="L23" i="22" s="1"/>
  <c r="H23" i="22"/>
  <c r="K23" i="22" s="1"/>
  <c r="G23" i="22"/>
  <c r="J23" i="22" s="1"/>
  <c r="M23" i="22" s="1"/>
  <c r="C23" i="22"/>
  <c r="D23" i="22" s="1"/>
  <c r="E23" i="22" s="1"/>
  <c r="I24" i="22"/>
  <c r="L24" i="22" s="1"/>
  <c r="H24" i="22"/>
  <c r="K24" i="22" s="1"/>
  <c r="G24" i="22"/>
  <c r="J24" i="22" s="1"/>
  <c r="M24" i="22" s="1"/>
  <c r="C24" i="22"/>
  <c r="D24" i="22" s="1"/>
  <c r="E24" i="22" s="1"/>
  <c r="I25" i="22"/>
  <c r="L25" i="22" s="1"/>
  <c r="H25" i="22"/>
  <c r="K25" i="22" s="1"/>
  <c r="G25" i="22"/>
  <c r="J25" i="22" s="1"/>
  <c r="M25" i="22" s="1"/>
  <c r="C25" i="22"/>
  <c r="D25" i="22" s="1"/>
  <c r="E25" i="22" s="1"/>
  <c r="O25" i="22" l="1"/>
  <c r="N25" i="22"/>
  <c r="P25" i="22" s="1"/>
  <c r="O24" i="22"/>
  <c r="N24" i="22"/>
  <c r="P24" i="22" s="1"/>
  <c r="O23" i="22"/>
  <c r="N23" i="22"/>
  <c r="P23" i="22" s="1"/>
  <c r="O22" i="22"/>
  <c r="N22" i="22"/>
  <c r="P22" i="22" s="1"/>
  <c r="O21" i="22"/>
  <c r="N21" i="22"/>
  <c r="P21" i="22" s="1"/>
  <c r="O20" i="22"/>
  <c r="N20" i="22"/>
  <c r="P20" i="22" s="1"/>
  <c r="O19" i="22"/>
  <c r="N19" i="22"/>
  <c r="P19" i="22" s="1"/>
  <c r="O18" i="22"/>
  <c r="N18" i="22"/>
  <c r="P18" i="22" s="1"/>
  <c r="O17" i="22"/>
  <c r="N17" i="22"/>
  <c r="P17" i="22" s="1"/>
  <c r="O16" i="22"/>
  <c r="N16" i="22"/>
  <c r="P16" i="22" s="1"/>
  <c r="O15" i="22"/>
  <c r="N15" i="22"/>
  <c r="P15" i="22" s="1"/>
  <c r="O14" i="22"/>
  <c r="N14" i="22"/>
  <c r="P14" i="22" s="1"/>
  <c r="O13" i="22"/>
  <c r="N13" i="22"/>
  <c r="P13" i="22" s="1"/>
  <c r="O12" i="22"/>
  <c r="N12" i="22"/>
  <c r="P12" i="22" s="1"/>
  <c r="C26" i="22"/>
  <c r="Y42" i="22" s="1"/>
  <c r="Y42" i="21" s="1"/>
  <c r="D11" i="22"/>
  <c r="E11" i="22" s="1"/>
  <c r="E26" i="22" s="1"/>
  <c r="G26" i="22"/>
  <c r="G27" i="22" s="1"/>
  <c r="Y43" i="22" s="1"/>
  <c r="Y43" i="21" s="1"/>
  <c r="J11" i="22"/>
  <c r="H26" i="22"/>
  <c r="H27" i="22" s="1"/>
  <c r="Y44" i="22" s="1"/>
  <c r="Y44" i="21" s="1"/>
  <c r="K11" i="22"/>
  <c r="I26" i="22"/>
  <c r="I27" i="22" s="1"/>
  <c r="Y45" i="22" s="1"/>
  <c r="Y45" i="21" s="1"/>
  <c r="L11" i="22"/>
  <c r="O10" i="22"/>
  <c r="N10" i="22"/>
  <c r="P10" i="22" s="1"/>
  <c r="O9" i="22"/>
  <c r="N9" i="22"/>
  <c r="P9" i="22" s="1"/>
  <c r="O8" i="22"/>
  <c r="N8" i="22"/>
  <c r="P8" i="22" s="1"/>
  <c r="O7" i="22"/>
  <c r="N7" i="22"/>
  <c r="P7" i="22" s="1"/>
  <c r="O6" i="22"/>
  <c r="N6" i="22"/>
  <c r="P6" i="22" l="1"/>
  <c r="F9" i="13" s="1"/>
  <c r="M11" i="22"/>
  <c r="O11" i="22" l="1"/>
  <c r="O26" i="22" s="1"/>
  <c r="N11" i="22"/>
  <c r="P11" i="22" l="1"/>
  <c r="P26" i="22" s="1"/>
  <c r="N26" i="22"/>
  <c r="V44" i="21" l="1"/>
  <c r="V45" i="21" s="1"/>
  <c r="V46" i="21" s="1"/>
  <c r="V47" i="21" s="1"/>
  <c r="V48" i="21" s="1"/>
  <c r="V49" i="21" s="1"/>
  <c r="V50" i="21" s="1"/>
  <c r="U44" i="21"/>
  <c r="U45" i="21" s="1"/>
  <c r="U46" i="21" s="1"/>
  <c r="U47" i="21" s="1"/>
  <c r="U48" i="21" s="1"/>
  <c r="U49" i="21" s="1"/>
  <c r="U50" i="21" s="1"/>
  <c r="T44" i="21"/>
  <c r="T45" i="21" s="1"/>
  <c r="T46" i="21" s="1"/>
  <c r="T47" i="21" s="1"/>
  <c r="T48" i="21" s="1"/>
  <c r="T49" i="21" s="1"/>
  <c r="T50" i="21" s="1"/>
  <c r="S44" i="21"/>
  <c r="S45" i="21" s="1"/>
  <c r="S46" i="21" s="1"/>
  <c r="S47" i="21" s="1"/>
  <c r="S48" i="21" s="1"/>
  <c r="S49" i="21" s="1"/>
  <c r="S50" i="21" s="1"/>
  <c r="V7" i="21"/>
  <c r="U7" i="21"/>
  <c r="T7" i="21"/>
  <c r="S7" i="21"/>
  <c r="V6" i="21"/>
  <c r="U6" i="21"/>
  <c r="T6" i="21"/>
  <c r="S6" i="21"/>
  <c r="B7" i="21"/>
  <c r="B8" i="21" s="1"/>
  <c r="B9" i="21" s="1"/>
  <c r="B10" i="21" s="1"/>
  <c r="B11" i="21" s="1"/>
  <c r="B12" i="21" s="1"/>
  <c r="B13" i="21" s="1"/>
  <c r="B14" i="21" s="1"/>
  <c r="B15" i="21" s="1"/>
  <c r="B16" i="21" s="1"/>
  <c r="B17" i="21" s="1"/>
  <c r="B18" i="21" s="1"/>
  <c r="B19" i="21" s="1"/>
  <c r="B20" i="21" s="1"/>
  <c r="B21" i="21" s="1"/>
  <c r="B22" i="21" s="1"/>
  <c r="B23" i="21" s="1"/>
  <c r="B24" i="21" s="1"/>
  <c r="B25" i="21" s="1"/>
  <c r="D6" i="21" l="1"/>
  <c r="E6" i="21" s="1"/>
  <c r="G9" i="3" s="1"/>
  <c r="L6" i="21"/>
  <c r="K6" i="21"/>
  <c r="M6" i="21"/>
  <c r="F9" i="3" s="1"/>
  <c r="D25" i="21"/>
  <c r="E25" i="21" s="1"/>
  <c r="G28" i="3" s="1"/>
  <c r="D24" i="21"/>
  <c r="E24" i="21" s="1"/>
  <c r="G27" i="3" s="1"/>
  <c r="D23" i="21"/>
  <c r="E23" i="21" s="1"/>
  <c r="G26" i="3" s="1"/>
  <c r="D22" i="21"/>
  <c r="E22" i="21" s="1"/>
  <c r="G25" i="3" s="1"/>
  <c r="D21" i="21"/>
  <c r="E21" i="21" s="1"/>
  <c r="G24" i="3" s="1"/>
  <c r="D20" i="21"/>
  <c r="E20" i="21" s="1"/>
  <c r="G23" i="3" s="1"/>
  <c r="D19" i="21"/>
  <c r="E19" i="21" s="1"/>
  <c r="G22" i="3" s="1"/>
  <c r="D18" i="21"/>
  <c r="E18" i="21" s="1"/>
  <c r="G21" i="3" s="1"/>
  <c r="D17" i="21"/>
  <c r="E17" i="21" s="1"/>
  <c r="G20" i="3" s="1"/>
  <c r="D16" i="21"/>
  <c r="E16" i="21" s="1"/>
  <c r="G19" i="3" s="1"/>
  <c r="D15" i="21"/>
  <c r="E15" i="21" s="1"/>
  <c r="G18" i="3" s="1"/>
  <c r="D14" i="21"/>
  <c r="E14" i="21" s="1"/>
  <c r="G17" i="3" s="1"/>
  <c r="D13" i="21"/>
  <c r="E13" i="21" s="1"/>
  <c r="G16" i="3" s="1"/>
  <c r="D12" i="21"/>
  <c r="E12" i="21" s="1"/>
  <c r="G15" i="3" s="1"/>
  <c r="D10" i="21"/>
  <c r="E10" i="21" s="1"/>
  <c r="G13" i="3" s="1"/>
  <c r="D9" i="21"/>
  <c r="E9" i="21" s="1"/>
  <c r="G12" i="3" s="1"/>
  <c r="D8" i="21"/>
  <c r="E8" i="21" s="1"/>
  <c r="G11" i="3" s="1"/>
  <c r="D7" i="21"/>
  <c r="E7" i="21" s="1"/>
  <c r="G10" i="3" s="1"/>
  <c r="L7" i="21"/>
  <c r="K7" i="21"/>
  <c r="J7" i="21"/>
  <c r="M7" i="21" s="1"/>
  <c r="F10" i="3" s="1"/>
  <c r="L8" i="21"/>
  <c r="K8" i="21"/>
  <c r="J8" i="21"/>
  <c r="M8" i="21" s="1"/>
  <c r="F11" i="3" s="1"/>
  <c r="L9" i="21"/>
  <c r="K9" i="21"/>
  <c r="J9" i="21"/>
  <c r="M9" i="21" s="1"/>
  <c r="F12" i="3" s="1"/>
  <c r="L10" i="21"/>
  <c r="K10" i="21"/>
  <c r="J10" i="21"/>
  <c r="M10" i="21" s="1"/>
  <c r="F13" i="3" s="1"/>
  <c r="L12" i="21"/>
  <c r="K12" i="21"/>
  <c r="J12" i="21"/>
  <c r="M12" i="21" s="1"/>
  <c r="F15" i="3" s="1"/>
  <c r="L13" i="21"/>
  <c r="K13" i="21"/>
  <c r="J13" i="21"/>
  <c r="M13" i="21" s="1"/>
  <c r="F16" i="3" s="1"/>
  <c r="L14" i="21"/>
  <c r="K14" i="21"/>
  <c r="J14" i="21"/>
  <c r="M14" i="21" s="1"/>
  <c r="F17" i="3" s="1"/>
  <c r="L15" i="21"/>
  <c r="K15" i="21"/>
  <c r="J15" i="21"/>
  <c r="M15" i="21" s="1"/>
  <c r="F18" i="3" s="1"/>
  <c r="L16" i="21"/>
  <c r="K16" i="21"/>
  <c r="J16" i="21"/>
  <c r="M16" i="21" s="1"/>
  <c r="F19" i="3" s="1"/>
  <c r="L17" i="21"/>
  <c r="K17" i="21"/>
  <c r="J17" i="21"/>
  <c r="M17" i="21" s="1"/>
  <c r="F20" i="3" s="1"/>
  <c r="L18" i="21"/>
  <c r="K18" i="21"/>
  <c r="J18" i="21"/>
  <c r="M18" i="21" s="1"/>
  <c r="F21" i="3" s="1"/>
  <c r="L19" i="21"/>
  <c r="K19" i="21"/>
  <c r="J19" i="21"/>
  <c r="M19" i="21" s="1"/>
  <c r="F22" i="3" s="1"/>
  <c r="L20" i="21"/>
  <c r="K20" i="21"/>
  <c r="J20" i="21"/>
  <c r="M20" i="21" s="1"/>
  <c r="F23" i="3" s="1"/>
  <c r="L21" i="21"/>
  <c r="K21" i="21"/>
  <c r="J21" i="21"/>
  <c r="M21" i="21" s="1"/>
  <c r="F24" i="3" s="1"/>
  <c r="L22" i="21"/>
  <c r="K22" i="21"/>
  <c r="J22" i="21"/>
  <c r="M22" i="21" s="1"/>
  <c r="F25" i="3" s="1"/>
  <c r="L23" i="21"/>
  <c r="K23" i="21"/>
  <c r="J23" i="21"/>
  <c r="M23" i="21" s="1"/>
  <c r="F26" i="3" s="1"/>
  <c r="L24" i="21"/>
  <c r="K24" i="21"/>
  <c r="J24" i="21"/>
  <c r="M24" i="21" s="1"/>
  <c r="F27" i="3" s="1"/>
  <c r="L25" i="21"/>
  <c r="K25" i="21"/>
  <c r="J25" i="21"/>
  <c r="M25" i="21" s="1"/>
  <c r="F28" i="3" s="1"/>
  <c r="O25" i="21" l="1"/>
  <c r="N25" i="21"/>
  <c r="P25" i="21" s="1"/>
  <c r="O24" i="21"/>
  <c r="N24" i="21"/>
  <c r="P24" i="21" s="1"/>
  <c r="O23" i="21"/>
  <c r="N23" i="21"/>
  <c r="P23" i="21" s="1"/>
  <c r="O22" i="21"/>
  <c r="N22" i="21"/>
  <c r="P22" i="21" s="1"/>
  <c r="O21" i="21"/>
  <c r="N21" i="21"/>
  <c r="P21" i="21" s="1"/>
  <c r="O20" i="21"/>
  <c r="N20" i="21"/>
  <c r="P20" i="21" s="1"/>
  <c r="O19" i="21"/>
  <c r="N19" i="21"/>
  <c r="P19" i="21" s="1"/>
  <c r="O18" i="21"/>
  <c r="N18" i="21"/>
  <c r="P18" i="21" s="1"/>
  <c r="O17" i="21"/>
  <c r="N17" i="21"/>
  <c r="P17" i="21" s="1"/>
  <c r="O16" i="21"/>
  <c r="N16" i="21"/>
  <c r="P16" i="21" s="1"/>
  <c r="O15" i="21"/>
  <c r="N15" i="21"/>
  <c r="P15" i="21" s="1"/>
  <c r="O14" i="21"/>
  <c r="N14" i="21"/>
  <c r="P14" i="21" s="1"/>
  <c r="O13" i="21"/>
  <c r="N13" i="21"/>
  <c r="P13" i="21" s="1"/>
  <c r="O12" i="21"/>
  <c r="N12" i="21"/>
  <c r="P12" i="21" s="1"/>
  <c r="G26" i="21"/>
  <c r="G27" i="21" s="1"/>
  <c r="J11" i="21"/>
  <c r="H26" i="21"/>
  <c r="H27" i="21" s="1"/>
  <c r="K11" i="21"/>
  <c r="I26" i="21"/>
  <c r="I27" i="21" s="1"/>
  <c r="L11" i="21"/>
  <c r="O10" i="21"/>
  <c r="N10" i="21"/>
  <c r="P10" i="21" s="1"/>
  <c r="O9" i="21"/>
  <c r="N9" i="21"/>
  <c r="P9" i="21" s="1"/>
  <c r="O8" i="21"/>
  <c r="N8" i="21"/>
  <c r="P8" i="21" s="1"/>
  <c r="O7" i="21"/>
  <c r="N7" i="21"/>
  <c r="P7" i="21" s="1"/>
  <c r="C26" i="21"/>
  <c r="D11" i="21"/>
  <c r="E11" i="21" s="1"/>
  <c r="G14" i="3" s="1"/>
  <c r="O6" i="21"/>
  <c r="N6" i="21"/>
  <c r="E26" i="21" l="1"/>
  <c r="P6" i="21"/>
  <c r="M11" i="21"/>
  <c r="F14" i="3" s="1"/>
  <c r="O11" i="21" l="1"/>
  <c r="O26" i="21" s="1"/>
  <c r="N11" i="21"/>
  <c r="P11" i="21" l="1"/>
  <c r="N26" i="21"/>
  <c r="N39" i="3" l="1"/>
  <c r="P26" i="21"/>
  <c r="C27" i="6"/>
  <c r="F8" i="13"/>
  <c r="F7" i="13"/>
  <c r="C8" i="13"/>
  <c r="C29" i="13"/>
  <c r="C7" i="13"/>
  <c r="H29" i="13"/>
  <c r="G29" i="13"/>
  <c r="F29" i="13"/>
  <c r="E29" i="13"/>
  <c r="D29" i="13"/>
  <c r="H9" i="13"/>
  <c r="G9" i="13"/>
  <c r="E9" i="13"/>
  <c r="D9" i="13"/>
  <c r="H8" i="13"/>
  <c r="G8" i="13"/>
  <c r="E8" i="13"/>
  <c r="D8" i="13"/>
  <c r="H7" i="13"/>
  <c r="G7" i="13"/>
  <c r="E7" i="13"/>
  <c r="D7" i="13"/>
  <c r="B6" i="19"/>
  <c r="B7" i="19"/>
  <c r="B13" i="18"/>
  <c r="B14" i="18"/>
  <c r="B15" i="18"/>
  <c r="B6" i="14"/>
  <c r="B7" i="14"/>
  <c r="B8" i="8"/>
  <c r="B9" i="8"/>
  <c r="J13" i="18"/>
  <c r="I14" i="18"/>
  <c r="J14" i="18" s="1"/>
  <c r="C44" i="20"/>
  <c r="C43" i="20"/>
  <c r="C42" i="20"/>
  <c r="C41" i="20"/>
  <c r="D44" i="20"/>
  <c r="D43" i="20"/>
  <c r="D42" i="20"/>
  <c r="D41" i="20"/>
  <c r="D16" i="15"/>
  <c r="C16" i="15"/>
  <c r="D15" i="15"/>
  <c r="C15" i="15"/>
  <c r="D14" i="15"/>
  <c r="C14" i="15"/>
  <c r="D13" i="15"/>
  <c r="I16" i="15"/>
  <c r="I27" i="6" l="1"/>
  <c r="J15" i="15"/>
  <c r="C31" i="13"/>
  <c r="O6" i="6"/>
  <c r="E29" i="3"/>
  <c r="T30" i="20"/>
  <c r="Z30" i="20" s="1"/>
  <c r="R30" i="20"/>
  <c r="X30" i="20" s="1"/>
  <c r="Q30" i="20"/>
  <c r="W30" i="20" s="1"/>
  <c r="P30" i="20"/>
  <c r="V30" i="20" s="1"/>
  <c r="O30" i="20"/>
  <c r="M30" i="20"/>
  <c r="G30" i="20"/>
  <c r="G29" i="20"/>
  <c r="H30" i="8"/>
  <c r="N30" i="8" s="1"/>
  <c r="G30" i="8"/>
  <c r="M30" i="8" s="1"/>
  <c r="F30" i="8"/>
  <c r="L30" i="8" s="1"/>
  <c r="E30" i="8"/>
  <c r="K30" i="8" s="1"/>
  <c r="D30" i="8"/>
  <c r="J30" i="8" s="1"/>
  <c r="C30" i="8"/>
  <c r="O7" i="6"/>
  <c r="C35" i="3"/>
  <c r="O8" i="6"/>
  <c r="C36" i="3" s="1"/>
  <c r="G10" i="8"/>
  <c r="H39" i="20"/>
  <c r="C9" i="20"/>
  <c r="K10" i="20"/>
  <c r="H47" i="20"/>
  <c r="T9" i="20"/>
  <c r="S9" i="20"/>
  <c r="R9" i="20"/>
  <c r="Q9" i="20"/>
  <c r="P9" i="20"/>
  <c r="T8" i="20"/>
  <c r="S8" i="20"/>
  <c r="R8" i="20"/>
  <c r="Q8" i="20"/>
  <c r="O8" i="20"/>
  <c r="D9" i="12"/>
  <c r="D8" i="12"/>
  <c r="I10" i="20"/>
  <c r="I30" i="8" l="1"/>
  <c r="P30" i="8" s="1"/>
  <c r="D29" i="3"/>
  <c r="S30" i="20"/>
  <c r="Y30" i="20" s="1"/>
  <c r="AA30" i="20"/>
  <c r="I29" i="3" s="1"/>
  <c r="U30" i="20"/>
  <c r="AB30" i="20" s="1"/>
  <c r="G28" i="6"/>
  <c r="G27" i="6" s="1"/>
  <c r="M27" i="6" s="1"/>
  <c r="C29" i="3" s="1"/>
  <c r="F28" i="6"/>
  <c r="D28" i="6"/>
  <c r="J16" i="15"/>
  <c r="J17" i="15"/>
  <c r="D8" i="20"/>
  <c r="K29" i="3" l="1"/>
  <c r="C6" i="15"/>
  <c r="C5" i="15"/>
  <c r="P8" i="20"/>
  <c r="AA8" i="20"/>
  <c r="D18" i="20"/>
  <c r="D29" i="20"/>
  <c r="D28" i="20"/>
  <c r="D27" i="20"/>
  <c r="D26" i="20"/>
  <c r="D25" i="20"/>
  <c r="D24" i="20"/>
  <c r="D23" i="20"/>
  <c r="D22" i="20"/>
  <c r="D21" i="20"/>
  <c r="D20" i="20"/>
  <c r="D19" i="20"/>
  <c r="D17" i="20"/>
  <c r="D16" i="20"/>
  <c r="D15" i="20"/>
  <c r="D14" i="20"/>
  <c r="D13" i="20"/>
  <c r="D12" i="20"/>
  <c r="D11" i="20"/>
  <c r="D10" i="20"/>
  <c r="H51" i="20" s="1"/>
  <c r="C10" i="20" l="1"/>
  <c r="I66" i="8"/>
  <c r="I65" i="8"/>
  <c r="I64" i="8"/>
  <c r="I63" i="8"/>
  <c r="I61" i="8"/>
  <c r="D61" i="8"/>
  <c r="D66" i="8"/>
  <c r="O9" i="20" l="1"/>
  <c r="AA9" i="20"/>
  <c r="I14" i="15"/>
  <c r="I17" i="15" s="1"/>
  <c r="E44" i="20"/>
  <c r="E45" i="20" l="1"/>
  <c r="L10" i="20"/>
  <c r="D5" i="15"/>
  <c r="D6" i="15"/>
  <c r="I12" i="18"/>
  <c r="J12" i="18" s="1"/>
  <c r="I7" i="3"/>
  <c r="C19" i="20"/>
  <c r="C29" i="20"/>
  <c r="C28" i="20"/>
  <c r="C27" i="20"/>
  <c r="C26" i="20"/>
  <c r="C25" i="20"/>
  <c r="C24" i="20"/>
  <c r="C23" i="20"/>
  <c r="C22" i="20"/>
  <c r="C21" i="20"/>
  <c r="C20" i="20"/>
  <c r="C18" i="20"/>
  <c r="C17" i="20"/>
  <c r="C16" i="20"/>
  <c r="C15" i="20"/>
  <c r="C14" i="20"/>
  <c r="C13" i="20"/>
  <c r="C12" i="20"/>
  <c r="C11" i="20"/>
  <c r="H50" i="20" s="1"/>
  <c r="H40" i="20" s="1"/>
  <c r="I8" i="3" l="1"/>
  <c r="F10" i="20" l="1"/>
  <c r="H27" i="6" l="1"/>
  <c r="N27" i="6" s="1"/>
  <c r="F27" i="6"/>
  <c r="L27" i="6" s="1"/>
  <c r="E27" i="6"/>
  <c r="K27" i="6" s="1"/>
  <c r="D27" i="6"/>
  <c r="J27" i="6" l="1"/>
  <c r="C28" i="3" s="1"/>
  <c r="O27" i="6"/>
  <c r="F31" i="13"/>
  <c r="C27" i="3"/>
  <c r="D65" i="8"/>
  <c r="D64" i="8"/>
  <c r="D63" i="8"/>
  <c r="D62" i="8"/>
  <c r="C62" i="8"/>
  <c r="B8" i="19"/>
  <c r="B8" i="14"/>
  <c r="B13" i="15"/>
  <c r="B10" i="20"/>
  <c r="S5" i="6"/>
  <c r="B7" i="6" s="1"/>
  <c r="B6" i="6" s="1"/>
  <c r="L7" i="6" s="1"/>
  <c r="U37" i="8" l="1"/>
  <c r="T47" i="8"/>
  <c r="T48" i="8" s="1"/>
  <c r="V47" i="8"/>
  <c r="V48" i="8" s="1"/>
  <c r="W47" i="8"/>
  <c r="W48" i="8" s="1"/>
  <c r="U47" i="8"/>
  <c r="U48" i="8" s="1"/>
  <c r="P6" i="6"/>
  <c r="F33" i="13"/>
  <c r="B11" i="20"/>
  <c r="B12" i="20" s="1"/>
  <c r="B13" i="20" s="1"/>
  <c r="B14" i="20" s="1"/>
  <c r="B15" i="20" s="1"/>
  <c r="B16" i="20" s="1"/>
  <c r="B17" i="20" s="1"/>
  <c r="B18" i="20" s="1"/>
  <c r="B19" i="20" s="1"/>
  <c r="B20" i="20" s="1"/>
  <c r="B21" i="20" s="1"/>
  <c r="B22" i="20" s="1"/>
  <c r="B23" i="20" s="1"/>
  <c r="B24" i="20" s="1"/>
  <c r="B25" i="20" s="1"/>
  <c r="B26" i="20" s="1"/>
  <c r="B27" i="20" s="1"/>
  <c r="B28" i="20" s="1"/>
  <c r="B29" i="20" s="1"/>
  <c r="B9" i="20"/>
  <c r="C63" i="8"/>
  <c r="O10" i="20"/>
  <c r="U10" i="20" s="1"/>
  <c r="J10" i="20"/>
  <c r="I22" i="20"/>
  <c r="O22" i="20" s="1"/>
  <c r="AH10" i="8"/>
  <c r="B8" i="20" l="1"/>
  <c r="V9" i="20"/>
  <c r="W9" i="20"/>
  <c r="X9" i="20"/>
  <c r="Y9" i="20"/>
  <c r="Z9" i="20"/>
  <c r="U9" i="20"/>
  <c r="AB9" i="20" s="1"/>
  <c r="I23" i="20"/>
  <c r="O23" i="20" s="1"/>
  <c r="I13" i="20"/>
  <c r="O13" i="20" s="1"/>
  <c r="I29" i="20"/>
  <c r="O29" i="20" s="1"/>
  <c r="I14" i="20"/>
  <c r="O14" i="20" s="1"/>
  <c r="I12" i="20"/>
  <c r="O12" i="20" s="1"/>
  <c r="I28" i="20"/>
  <c r="O28" i="20" s="1"/>
  <c r="I20" i="20"/>
  <c r="O20" i="20" s="1"/>
  <c r="I15" i="20"/>
  <c r="O15" i="20" s="1"/>
  <c r="I21" i="20"/>
  <c r="O21" i="20" s="1"/>
  <c r="I24" i="20"/>
  <c r="O24" i="20" s="1"/>
  <c r="I25" i="20"/>
  <c r="O25" i="20" s="1"/>
  <c r="I18" i="20"/>
  <c r="O18" i="20" s="1"/>
  <c r="I26" i="20"/>
  <c r="O26" i="20" s="1"/>
  <c r="I16" i="20"/>
  <c r="O16" i="20" s="1"/>
  <c r="I17" i="20"/>
  <c r="O17" i="20" s="1"/>
  <c r="I11" i="20"/>
  <c r="O11" i="20" s="1"/>
  <c r="U11" i="20" s="1"/>
  <c r="I19" i="20"/>
  <c r="O19" i="20" s="1"/>
  <c r="I27" i="20"/>
  <c r="O27" i="20" s="1"/>
  <c r="J29" i="20"/>
  <c r="J28" i="20"/>
  <c r="J27" i="20"/>
  <c r="J26" i="20"/>
  <c r="J25" i="20"/>
  <c r="J24" i="20"/>
  <c r="J23" i="20"/>
  <c r="J22" i="20"/>
  <c r="J21" i="20"/>
  <c r="J20" i="20"/>
  <c r="J19" i="20"/>
  <c r="J18" i="20"/>
  <c r="J17" i="20"/>
  <c r="J16" i="20"/>
  <c r="J15" i="20"/>
  <c r="J14" i="20"/>
  <c r="J13" i="20"/>
  <c r="J12" i="20"/>
  <c r="J11" i="20"/>
  <c r="K29" i="20"/>
  <c r="K28" i="20"/>
  <c r="K27" i="20"/>
  <c r="K26" i="20"/>
  <c r="K25" i="20"/>
  <c r="K24" i="20"/>
  <c r="K23" i="20"/>
  <c r="K22" i="20"/>
  <c r="K21" i="20"/>
  <c r="K20" i="20"/>
  <c r="K19" i="20"/>
  <c r="K18" i="20"/>
  <c r="K17" i="20"/>
  <c r="K16" i="20"/>
  <c r="K15" i="20"/>
  <c r="K14" i="20"/>
  <c r="K13" i="20"/>
  <c r="K12" i="20"/>
  <c r="K11" i="20"/>
  <c r="L29" i="20"/>
  <c r="L28" i="20"/>
  <c r="L27" i="20"/>
  <c r="L26" i="20"/>
  <c r="L25" i="20"/>
  <c r="L24" i="20"/>
  <c r="L23" i="20"/>
  <c r="L22" i="20"/>
  <c r="L21" i="20"/>
  <c r="L20" i="20"/>
  <c r="L19" i="20"/>
  <c r="L18" i="20"/>
  <c r="L17" i="20"/>
  <c r="L16" i="20"/>
  <c r="L15" i="20"/>
  <c r="L14" i="20"/>
  <c r="L13" i="20"/>
  <c r="L12" i="20"/>
  <c r="L11" i="20"/>
  <c r="U8" i="20" l="1"/>
  <c r="W8" i="20"/>
  <c r="X8" i="20"/>
  <c r="Y8" i="20"/>
  <c r="Z8" i="20"/>
  <c r="V8" i="20"/>
  <c r="O31" i="20"/>
  <c r="K8" i="19"/>
  <c r="K16" i="19"/>
  <c r="B16" i="18"/>
  <c r="B17" i="18" s="1"/>
  <c r="B18" i="18" s="1"/>
  <c r="B19" i="18" s="1"/>
  <c r="B20" i="18" s="1"/>
  <c r="B21" i="18" s="1"/>
  <c r="B22" i="18" s="1"/>
  <c r="B23" i="18" s="1"/>
  <c r="B24" i="18" s="1"/>
  <c r="B25" i="18" s="1"/>
  <c r="B26" i="18" s="1"/>
  <c r="B27" i="18" s="1"/>
  <c r="B28" i="18" s="1"/>
  <c r="B29" i="18" s="1"/>
  <c r="B30" i="18" s="1"/>
  <c r="B31" i="18" s="1"/>
  <c r="B32" i="18" s="1"/>
  <c r="B33" i="18" s="1"/>
  <c r="B34" i="18" s="1"/>
  <c r="B14" i="15"/>
  <c r="B15" i="15"/>
  <c r="B16" i="15"/>
  <c r="B17" i="15"/>
  <c r="B18" i="15"/>
  <c r="B19" i="15"/>
  <c r="B20" i="15"/>
  <c r="B21" i="15"/>
  <c r="B22" i="15"/>
  <c r="B23" i="15"/>
  <c r="B24" i="15"/>
  <c r="B25" i="15"/>
  <c r="B26" i="15"/>
  <c r="B27" i="15"/>
  <c r="B28" i="15"/>
  <c r="B29" i="15"/>
  <c r="B30" i="15"/>
  <c r="B31" i="15"/>
  <c r="B32" i="15" s="1"/>
  <c r="B33" i="15" s="1"/>
  <c r="B9" i="14"/>
  <c r="B10" i="14"/>
  <c r="K8" i="14"/>
  <c r="B11" i="14"/>
  <c r="B12" i="14"/>
  <c r="B13" i="14"/>
  <c r="B14" i="14"/>
  <c r="B15" i="14"/>
  <c r="B16" i="14"/>
  <c r="B17" i="14"/>
  <c r="B18" i="14"/>
  <c r="K16" i="14"/>
  <c r="B19" i="14"/>
  <c r="B20" i="14"/>
  <c r="B21" i="14"/>
  <c r="B22" i="14"/>
  <c r="B23" i="14"/>
  <c r="B24" i="14"/>
  <c r="B25" i="14"/>
  <c r="B26" i="14"/>
  <c r="B27" i="14"/>
  <c r="T12" i="8"/>
  <c r="C64" i="8"/>
  <c r="I15" i="18" l="1"/>
  <c r="AB8" i="20"/>
  <c r="B9" i="19"/>
  <c r="B10" i="19" s="1"/>
  <c r="B11" i="19" s="1"/>
  <c r="B12" i="19" s="1"/>
  <c r="B13" i="19" s="1"/>
  <c r="B14" i="19" s="1"/>
  <c r="B15" i="19" s="1"/>
  <c r="B16" i="19" s="1"/>
  <c r="B17" i="19" s="1"/>
  <c r="B18" i="19" s="1"/>
  <c r="B19" i="19" s="1"/>
  <c r="B20" i="19" s="1"/>
  <c r="B21" i="19" s="1"/>
  <c r="B22" i="19" s="1"/>
  <c r="B23" i="19" s="1"/>
  <c r="B24" i="19" s="1"/>
  <c r="B25" i="19" s="1"/>
  <c r="B26" i="19" s="1"/>
  <c r="B27" i="19" s="1"/>
  <c r="D5" i="18"/>
  <c r="J15" i="18"/>
  <c r="C5" i="18" s="1"/>
  <c r="C6" i="18" l="1"/>
  <c r="D17" i="15"/>
  <c r="D32" i="15"/>
  <c r="D33" i="15"/>
  <c r="D6" i="18"/>
  <c r="D31" i="15"/>
  <c r="D26" i="14" s="1"/>
  <c r="D30" i="15"/>
  <c r="D25" i="14" s="1"/>
  <c r="D29" i="15"/>
  <c r="D24" i="14" s="1"/>
  <c r="D28" i="15"/>
  <c r="D23" i="14" s="1"/>
  <c r="D27" i="15"/>
  <c r="D22" i="14" s="1"/>
  <c r="D26" i="15"/>
  <c r="D21" i="14" s="1"/>
  <c r="D25" i="15"/>
  <c r="D20" i="14" s="1"/>
  <c r="D24" i="15"/>
  <c r="D19" i="14" s="1"/>
  <c r="D23" i="15"/>
  <c r="D18" i="14" s="1"/>
  <c r="D34" i="18" l="1"/>
  <c r="D33" i="18"/>
  <c r="D32" i="18"/>
  <c r="D31" i="18"/>
  <c r="D30" i="18"/>
  <c r="D29" i="18"/>
  <c r="D28" i="18"/>
  <c r="D27" i="18"/>
  <c r="D26" i="18"/>
  <c r="D25" i="18"/>
  <c r="D24" i="18"/>
  <c r="D23" i="18"/>
  <c r="D22" i="18"/>
  <c r="D21" i="18"/>
  <c r="D20" i="18"/>
  <c r="D19" i="18"/>
  <c r="D18" i="18"/>
  <c r="D17" i="18"/>
  <c r="D16" i="18"/>
  <c r="D15" i="18"/>
  <c r="C34" i="18"/>
  <c r="C33" i="18"/>
  <c r="C32" i="18"/>
  <c r="C31" i="18"/>
  <c r="C30" i="18"/>
  <c r="C29" i="18"/>
  <c r="C28" i="18"/>
  <c r="C27" i="18"/>
  <c r="C26" i="18"/>
  <c r="C25" i="18"/>
  <c r="C24" i="18"/>
  <c r="C23" i="18"/>
  <c r="C22" i="18"/>
  <c r="C21" i="18"/>
  <c r="C20" i="18"/>
  <c r="C19" i="18"/>
  <c r="C18" i="18"/>
  <c r="C17" i="18"/>
  <c r="C16" i="18"/>
  <c r="C15" i="18"/>
  <c r="D19" i="15"/>
  <c r="D14" i="14" s="1"/>
  <c r="D22" i="15"/>
  <c r="D17" i="14" s="1"/>
  <c r="D18" i="15"/>
  <c r="D13" i="14" s="1"/>
  <c r="D20" i="15"/>
  <c r="D15" i="14" s="1"/>
  <c r="D21" i="15"/>
  <c r="D16" i="14" s="1"/>
  <c r="D9" i="14"/>
  <c r="D10" i="14"/>
  <c r="D11" i="14"/>
  <c r="D12" i="14"/>
  <c r="D7" i="15"/>
  <c r="D27" i="14"/>
  <c r="D27" i="19"/>
  <c r="D26" i="19"/>
  <c r="D25" i="19"/>
  <c r="D24" i="19"/>
  <c r="D23" i="19"/>
  <c r="D22" i="19"/>
  <c r="D21" i="19"/>
  <c r="D20" i="19"/>
  <c r="D19" i="19"/>
  <c r="D18" i="19"/>
  <c r="D17" i="19"/>
  <c r="D16" i="19"/>
  <c r="D15" i="19"/>
  <c r="D14" i="19"/>
  <c r="D13" i="19"/>
  <c r="D12" i="19"/>
  <c r="D11" i="19"/>
  <c r="D10" i="19"/>
  <c r="D9" i="19"/>
  <c r="D8" i="19"/>
  <c r="D7" i="18"/>
  <c r="D8" i="14"/>
  <c r="E15" i="18" l="1"/>
  <c r="C17" i="15"/>
  <c r="E13" i="15"/>
  <c r="C32" i="15"/>
  <c r="C33" i="15"/>
  <c r="E33" i="15" s="1"/>
  <c r="C27" i="19"/>
  <c r="E34" i="18"/>
  <c r="E22" i="18"/>
  <c r="E21" i="18"/>
  <c r="E19" i="18"/>
  <c r="E18" i="18"/>
  <c r="E17" i="18"/>
  <c r="E16" i="18"/>
  <c r="E5" i="18"/>
  <c r="C7" i="18"/>
  <c r="E6" i="18"/>
  <c r="E20" i="18"/>
  <c r="E23" i="18"/>
  <c r="E24" i="18"/>
  <c r="E25" i="18"/>
  <c r="E26" i="18"/>
  <c r="E27" i="18"/>
  <c r="E28" i="18"/>
  <c r="E29" i="18"/>
  <c r="E30" i="18"/>
  <c r="E31" i="18"/>
  <c r="E32" i="18"/>
  <c r="E33" i="18"/>
  <c r="E6" i="15"/>
  <c r="C7" i="15"/>
  <c r="C31" i="15"/>
  <c r="C26" i="14" s="1"/>
  <c r="C30" i="15"/>
  <c r="C25" i="14" s="1"/>
  <c r="C29" i="15"/>
  <c r="C24" i="14" s="1"/>
  <c r="C28" i="15"/>
  <c r="C23" i="14" s="1"/>
  <c r="C27" i="15"/>
  <c r="C22" i="14" s="1"/>
  <c r="C26" i="15"/>
  <c r="C21" i="14" s="1"/>
  <c r="C25" i="15"/>
  <c r="C20" i="14" s="1"/>
  <c r="C24" i="15"/>
  <c r="C19" i="14" s="1"/>
  <c r="C23" i="15"/>
  <c r="C18" i="14" s="1"/>
  <c r="C22" i="15"/>
  <c r="C17" i="14" s="1"/>
  <c r="C21" i="15"/>
  <c r="C16" i="14" s="1"/>
  <c r="C20" i="15"/>
  <c r="C15" i="14" s="1"/>
  <c r="C19" i="15"/>
  <c r="C14" i="14" s="1"/>
  <c r="C18" i="15"/>
  <c r="C13" i="14" s="1"/>
  <c r="C12" i="14"/>
  <c r="C11" i="14"/>
  <c r="C10" i="14"/>
  <c r="E10" i="14" s="1"/>
  <c r="C9" i="14"/>
  <c r="E9" i="14" s="1"/>
  <c r="E5" i="15"/>
  <c r="E7" i="18" l="1"/>
  <c r="C27" i="14"/>
  <c r="E32" i="15"/>
  <c r="C8" i="19"/>
  <c r="E8" i="19" s="1"/>
  <c r="F8" i="19" s="1"/>
  <c r="G8" i="19" s="1"/>
  <c r="C9" i="19"/>
  <c r="E9" i="19" s="1"/>
  <c r="F9" i="19" s="1"/>
  <c r="G9" i="19" s="1"/>
  <c r="C10" i="19"/>
  <c r="E10" i="19" s="1"/>
  <c r="F10" i="19" s="1"/>
  <c r="G10" i="19" s="1"/>
  <c r="C11" i="19"/>
  <c r="E11" i="19" s="1"/>
  <c r="F11" i="19" s="1"/>
  <c r="G11" i="19" s="1"/>
  <c r="C12" i="19"/>
  <c r="E12" i="19" s="1"/>
  <c r="F12" i="19" s="1"/>
  <c r="C13" i="19"/>
  <c r="E13" i="19" s="1"/>
  <c r="F13" i="19" s="1"/>
  <c r="G13" i="19" s="1"/>
  <c r="C14" i="19"/>
  <c r="E14" i="19" s="1"/>
  <c r="F14" i="19" s="1"/>
  <c r="G14" i="19" s="1"/>
  <c r="C15" i="19"/>
  <c r="E15" i="19" s="1"/>
  <c r="F15" i="19" s="1"/>
  <c r="G15" i="19" s="1"/>
  <c r="C16" i="19"/>
  <c r="E16" i="19" s="1"/>
  <c r="F16" i="19" s="1"/>
  <c r="G16" i="19" s="1"/>
  <c r="C17" i="19"/>
  <c r="E17" i="19" s="1"/>
  <c r="F17" i="19" s="1"/>
  <c r="G17" i="19" s="1"/>
  <c r="C18" i="19"/>
  <c r="E18" i="19" s="1"/>
  <c r="F18" i="19" s="1"/>
  <c r="G18" i="19" s="1"/>
  <c r="C19" i="19"/>
  <c r="E19" i="19" s="1"/>
  <c r="F19" i="19" s="1"/>
  <c r="C20" i="19"/>
  <c r="E20" i="19" s="1"/>
  <c r="F20" i="19" s="1"/>
  <c r="G20" i="19" s="1"/>
  <c r="C21" i="19"/>
  <c r="E21" i="19" s="1"/>
  <c r="F21" i="19" s="1"/>
  <c r="G21" i="19" s="1"/>
  <c r="C22" i="19"/>
  <c r="E22" i="19" s="1"/>
  <c r="F22" i="19" s="1"/>
  <c r="G22" i="19" s="1"/>
  <c r="C23" i="19"/>
  <c r="E23" i="19" s="1"/>
  <c r="F23" i="19" s="1"/>
  <c r="G23" i="19" s="1"/>
  <c r="C24" i="19"/>
  <c r="E24" i="19" s="1"/>
  <c r="F24" i="19" s="1"/>
  <c r="G24" i="19" s="1"/>
  <c r="C25" i="19"/>
  <c r="E25" i="19" s="1"/>
  <c r="F25" i="19" s="1"/>
  <c r="G25" i="19" s="1"/>
  <c r="E27" i="19"/>
  <c r="F27" i="19" s="1"/>
  <c r="G27" i="19" s="1"/>
  <c r="C26" i="19"/>
  <c r="E26" i="19" s="1"/>
  <c r="F26" i="19" s="1"/>
  <c r="G12" i="19"/>
  <c r="G19" i="19"/>
  <c r="G26" i="19"/>
  <c r="C8" i="14"/>
  <c r="F10" i="14"/>
  <c r="E14" i="15"/>
  <c r="E11" i="14"/>
  <c r="F11" i="14" s="1"/>
  <c r="E15" i="15"/>
  <c r="E12" i="14"/>
  <c r="F12" i="14" s="1"/>
  <c r="E16" i="15"/>
  <c r="E13" i="14"/>
  <c r="F13" i="14" s="1"/>
  <c r="E14" i="3" s="1"/>
  <c r="E17" i="15"/>
  <c r="E14" i="14"/>
  <c r="F14" i="14" s="1"/>
  <c r="E15" i="3" s="1"/>
  <c r="E18" i="15"/>
  <c r="E15" i="14"/>
  <c r="F15" i="14" s="1"/>
  <c r="E19" i="15"/>
  <c r="E16" i="14"/>
  <c r="F16" i="14" s="1"/>
  <c r="E20" i="15"/>
  <c r="E17" i="14"/>
  <c r="F17" i="14" s="1"/>
  <c r="E18" i="3" s="1"/>
  <c r="E21" i="15"/>
  <c r="E18" i="14"/>
  <c r="F18" i="14" s="1"/>
  <c r="E22" i="15"/>
  <c r="E19" i="14"/>
  <c r="F19" i="14" s="1"/>
  <c r="E20" i="3" s="1"/>
  <c r="E23" i="15"/>
  <c r="E20" i="14"/>
  <c r="F20" i="14" s="1"/>
  <c r="E21" i="3" s="1"/>
  <c r="E24" i="15"/>
  <c r="E21" i="14"/>
  <c r="F21" i="14" s="1"/>
  <c r="E22" i="3" s="1"/>
  <c r="E25" i="15"/>
  <c r="E22" i="14"/>
  <c r="F22" i="14" s="1"/>
  <c r="E23" i="3" s="1"/>
  <c r="E26" i="15"/>
  <c r="E23" i="14"/>
  <c r="F23" i="14" s="1"/>
  <c r="E27" i="15"/>
  <c r="E24" i="14"/>
  <c r="F24" i="14" s="1"/>
  <c r="E28" i="15"/>
  <c r="E25" i="14"/>
  <c r="F25" i="14" s="1"/>
  <c r="E26" i="3" s="1"/>
  <c r="E29" i="15"/>
  <c r="E26" i="14"/>
  <c r="F26" i="14" s="1"/>
  <c r="E27" i="3" s="1"/>
  <c r="E30" i="15"/>
  <c r="E27" i="14"/>
  <c r="F27" i="14" s="1"/>
  <c r="E31" i="15"/>
  <c r="E7" i="15"/>
  <c r="E17" i="3" l="1"/>
  <c r="E25" i="3"/>
  <c r="E16" i="3"/>
  <c r="E28" i="3"/>
  <c r="E24" i="3"/>
  <c r="E19" i="3"/>
  <c r="E13" i="3"/>
  <c r="G12" i="14"/>
  <c r="E12" i="3"/>
  <c r="G11" i="14"/>
  <c r="E11" i="3"/>
  <c r="G10" i="14"/>
  <c r="F9" i="14"/>
  <c r="E8" i="14"/>
  <c r="F8" i="14" s="1"/>
  <c r="G27" i="14"/>
  <c r="G26" i="14"/>
  <c r="G25" i="14"/>
  <c r="G24" i="14"/>
  <c r="G23" i="14"/>
  <c r="G22" i="14"/>
  <c r="G21" i="14"/>
  <c r="G20" i="14"/>
  <c r="G19" i="14"/>
  <c r="G18" i="14"/>
  <c r="G17" i="14"/>
  <c r="G16" i="14"/>
  <c r="G15" i="14"/>
  <c r="G14" i="14"/>
  <c r="G13" i="14"/>
  <c r="E9" i="3" l="1"/>
  <c r="J9" i="3" s="1"/>
  <c r="G8" i="14"/>
  <c r="E10" i="3"/>
  <c r="G9" i="14"/>
  <c r="G28" i="19"/>
  <c r="C9" i="13" l="1"/>
  <c r="N38" i="3"/>
  <c r="G28" i="14"/>
  <c r="I32" i="8" l="1" a="1"/>
  <c r="I32" i="8"/>
  <c r="U12" i="8"/>
  <c r="V12" i="8"/>
  <c r="W12" i="8"/>
  <c r="X12" i="8"/>
  <c r="T13" i="8"/>
  <c r="T30" i="8" s="1"/>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T29" i="8" s="1"/>
  <c r="U21" i="8"/>
  <c r="V21" i="8"/>
  <c r="W21" i="8"/>
  <c r="X21" i="8"/>
  <c r="T26" i="8"/>
  <c r="U26" i="8"/>
  <c r="V26" i="8"/>
  <c r="W26" i="8"/>
  <c r="T27" i="8"/>
  <c r="U27" i="8"/>
  <c r="V27" i="8"/>
  <c r="W27" i="8"/>
  <c r="X27" i="8"/>
  <c r="T28" i="8"/>
  <c r="U28" i="8"/>
  <c r="V28" i="8"/>
  <c r="W28" i="8"/>
  <c r="X28" i="8"/>
  <c r="U29" i="8"/>
  <c r="V29" i="8"/>
  <c r="W29" i="8"/>
  <c r="X29" i="8"/>
  <c r="T31" i="8"/>
  <c r="U31" i="8"/>
  <c r="V31" i="8"/>
  <c r="W31" i="8"/>
  <c r="X31" i="8"/>
  <c r="X30" i="8" l="1"/>
  <c r="W30" i="8"/>
  <c r="V30" i="8"/>
  <c r="U30" i="8"/>
  <c r="N29" i="20"/>
  <c r="N28" i="20"/>
  <c r="N27" i="20"/>
  <c r="N26" i="20"/>
  <c r="N25" i="20"/>
  <c r="N24" i="20"/>
  <c r="N23" i="20"/>
  <c r="N22" i="20"/>
  <c r="N21" i="20"/>
  <c r="N20" i="20"/>
  <c r="N19" i="20"/>
  <c r="N18" i="20"/>
  <c r="N17" i="20"/>
  <c r="N16" i="20"/>
  <c r="N15" i="20"/>
  <c r="N14" i="20"/>
  <c r="N13" i="20"/>
  <c r="N12" i="20"/>
  <c r="N11" i="20"/>
  <c r="N10" i="20"/>
  <c r="D45" i="20"/>
  <c r="M29" i="20"/>
  <c r="M28" i="20"/>
  <c r="M27" i="20"/>
  <c r="M26" i="20"/>
  <c r="M25" i="20"/>
  <c r="M24" i="20"/>
  <c r="M23" i="20"/>
  <c r="M22" i="20"/>
  <c r="M21" i="20"/>
  <c r="M20" i="20"/>
  <c r="M19" i="20"/>
  <c r="M18" i="20"/>
  <c r="M17" i="20"/>
  <c r="M16" i="20"/>
  <c r="M15" i="20"/>
  <c r="M14" i="20"/>
  <c r="M13" i="20"/>
  <c r="M12" i="20"/>
  <c r="M11" i="20"/>
  <c r="B9" i="13" l="1"/>
  <c r="B8" i="13" s="1"/>
  <c r="B10" i="8"/>
  <c r="B35" i="8"/>
  <c r="B9" i="3"/>
  <c r="B8" i="3" s="1"/>
  <c r="K8" i="3" s="1"/>
  <c r="B8" i="6"/>
  <c r="B9" i="6"/>
  <c r="B10" i="6"/>
  <c r="B11" i="6"/>
  <c r="B12" i="6"/>
  <c r="B13" i="6"/>
  <c r="B14" i="6"/>
  <c r="B15" i="6"/>
  <c r="B16" i="6"/>
  <c r="B17" i="6"/>
  <c r="B18" i="6"/>
  <c r="B19" i="6"/>
  <c r="B20" i="6"/>
  <c r="B21" i="6"/>
  <c r="B22" i="6"/>
  <c r="B23" i="6"/>
  <c r="B24" i="6"/>
  <c r="B25" i="6"/>
  <c r="B26" i="6"/>
  <c r="B27" i="6"/>
  <c r="B35" i="3"/>
  <c r="B36" i="3"/>
  <c r="B37" i="3" l="1"/>
  <c r="B38" i="3" s="1"/>
  <c r="B39" i="3" s="1"/>
  <c r="B40" i="3" s="1"/>
  <c r="B41" i="3" s="1"/>
  <c r="B42" i="3" s="1"/>
  <c r="B43" i="3" s="1"/>
  <c r="B44" i="3" s="1"/>
  <c r="B45" i="3" s="1"/>
  <c r="B46" i="3" s="1"/>
  <c r="B47" i="3" s="1"/>
  <c r="B48" i="3" s="1"/>
  <c r="B49" i="3" s="1"/>
  <c r="B50" i="3" s="1"/>
  <c r="B51" i="3" s="1"/>
  <c r="B52" i="3" s="1"/>
  <c r="B53" i="3" s="1"/>
  <c r="B54" i="3" s="1"/>
  <c r="B55" i="3" s="1"/>
  <c r="B7" i="3"/>
  <c r="K7" i="3" s="1"/>
  <c r="B7" i="13"/>
  <c r="B10" i="13"/>
  <c r="B11" i="13" s="1"/>
  <c r="B12" i="13" s="1"/>
  <c r="B13" i="13" s="1"/>
  <c r="B14" i="13" s="1"/>
  <c r="B15" i="13" s="1"/>
  <c r="B16" i="13" s="1"/>
  <c r="B17" i="13" s="1"/>
  <c r="B18" i="13" s="1"/>
  <c r="B19" i="13" s="1"/>
  <c r="B20" i="13" s="1"/>
  <c r="B21" i="13" s="1"/>
  <c r="B22" i="13" s="1"/>
  <c r="B23" i="13" s="1"/>
  <c r="B24" i="13" s="1"/>
  <c r="B25" i="13" s="1"/>
  <c r="B26" i="13" s="1"/>
  <c r="B27" i="13" s="1"/>
  <c r="B28" i="13" s="1"/>
  <c r="U12" i="20"/>
  <c r="H33" i="13"/>
  <c r="G33" i="13"/>
  <c r="K7" i="6"/>
  <c r="E33" i="13" s="1"/>
  <c r="J7" i="6"/>
  <c r="D33" i="13" l="1"/>
  <c r="D31" i="13"/>
  <c r="E31" i="13"/>
  <c r="H31" i="13"/>
  <c r="U13" i="20"/>
  <c r="C33" i="13"/>
  <c r="C69" i="3" l="1"/>
  <c r="G31" i="13"/>
  <c r="U14" i="20"/>
  <c r="B11" i="8"/>
  <c r="B12" i="8" l="1"/>
  <c r="U15" i="20"/>
  <c r="B13" i="8" l="1"/>
  <c r="B14" i="8" s="1"/>
  <c r="B15" i="8" s="1"/>
  <c r="B16" i="8" s="1"/>
  <c r="B17" i="8" s="1"/>
  <c r="B18" i="8" s="1"/>
  <c r="B19" i="8" s="1"/>
  <c r="U16" i="20"/>
  <c r="B36" i="8"/>
  <c r="B10" i="3"/>
  <c r="B20" i="8" l="1"/>
  <c r="U17" i="20"/>
  <c r="B37" i="8"/>
  <c r="B11" i="3"/>
  <c r="B21" i="8" l="1"/>
  <c r="U18" i="20"/>
  <c r="B38" i="8"/>
  <c r="B12" i="3"/>
  <c r="B22" i="8" l="1"/>
  <c r="B23" i="8" s="1"/>
  <c r="B24" i="8" s="1"/>
  <c r="B25" i="8" s="1"/>
  <c r="B26" i="8" s="1"/>
  <c r="B27" i="8" s="1"/>
  <c r="B28" i="8" s="1"/>
  <c r="B29" i="8" s="1"/>
  <c r="U19" i="20"/>
  <c r="B39" i="8"/>
  <c r="B13" i="3"/>
  <c r="U20" i="20" l="1"/>
  <c r="B40" i="8"/>
  <c r="B14" i="3"/>
  <c r="U21" i="20" l="1"/>
  <c r="B41" i="8"/>
  <c r="B15" i="3"/>
  <c r="U22" i="20" l="1"/>
  <c r="B42" i="8"/>
  <c r="B16" i="3"/>
  <c r="U23" i="20" l="1"/>
  <c r="B43" i="8"/>
  <c r="B17" i="3"/>
  <c r="U24" i="20" l="1"/>
  <c r="B44" i="8"/>
  <c r="B18" i="3"/>
  <c r="U25" i="20" l="1"/>
  <c r="B45" i="8"/>
  <c r="B19" i="3"/>
  <c r="U26" i="20" l="1"/>
  <c r="B46" i="8"/>
  <c r="B20" i="3"/>
  <c r="U27" i="20" l="1"/>
  <c r="B47" i="8"/>
  <c r="B21" i="3"/>
  <c r="U28" i="20" l="1"/>
  <c r="B48" i="8"/>
  <c r="B22" i="3"/>
  <c r="U29" i="20" l="1"/>
  <c r="B49" i="8"/>
  <c r="B23" i="3"/>
  <c r="U31" i="20" l="1"/>
  <c r="B50" i="8"/>
  <c r="B24" i="3"/>
  <c r="B51" i="8" l="1"/>
  <c r="B25" i="3"/>
  <c r="H29" i="20" l="1"/>
  <c r="T29" i="20" s="1"/>
  <c r="Z29" i="20" s="1"/>
  <c r="H28" i="20"/>
  <c r="T28" i="20" s="1"/>
  <c r="Z28" i="20" s="1"/>
  <c r="H27" i="20"/>
  <c r="T27" i="20" s="1"/>
  <c r="Z27" i="20" s="1"/>
  <c r="H26" i="20"/>
  <c r="T26" i="20" s="1"/>
  <c r="Z26" i="20" s="1"/>
  <c r="H25" i="20"/>
  <c r="T25" i="20" s="1"/>
  <c r="Z25" i="20" s="1"/>
  <c r="H24" i="20"/>
  <c r="T24" i="20" s="1"/>
  <c r="Z24" i="20" s="1"/>
  <c r="H23" i="20"/>
  <c r="T23" i="20" s="1"/>
  <c r="Z23" i="20" s="1"/>
  <c r="H22" i="20"/>
  <c r="T22" i="20" s="1"/>
  <c r="Z22" i="20" s="1"/>
  <c r="H21" i="20"/>
  <c r="T21" i="20" s="1"/>
  <c r="Z21" i="20" s="1"/>
  <c r="H20" i="20"/>
  <c r="T20" i="20" s="1"/>
  <c r="Z20" i="20" s="1"/>
  <c r="H19" i="20"/>
  <c r="T19" i="20" s="1"/>
  <c r="Z19" i="20" s="1"/>
  <c r="H18" i="20"/>
  <c r="T18" i="20" s="1"/>
  <c r="Z18" i="20" s="1"/>
  <c r="H17" i="20"/>
  <c r="T17" i="20" s="1"/>
  <c r="Z17" i="20" s="1"/>
  <c r="H16" i="20"/>
  <c r="T16" i="20" s="1"/>
  <c r="Z16" i="20" s="1"/>
  <c r="H15" i="20"/>
  <c r="T15" i="20" s="1"/>
  <c r="Z15" i="20" s="1"/>
  <c r="H14" i="20"/>
  <c r="T14" i="20" s="1"/>
  <c r="Z14" i="20" s="1"/>
  <c r="H13" i="20"/>
  <c r="T13" i="20" s="1"/>
  <c r="Z13" i="20" s="1"/>
  <c r="H12" i="20"/>
  <c r="T12" i="20" s="1"/>
  <c r="Z12" i="20" s="1"/>
  <c r="H11" i="20"/>
  <c r="T11" i="20" s="1"/>
  <c r="Z11" i="20" s="1"/>
  <c r="H10" i="20"/>
  <c r="T10" i="20" s="1"/>
  <c r="S29" i="20"/>
  <c r="Y29" i="20" s="1"/>
  <c r="G28" i="20"/>
  <c r="S28" i="20" s="1"/>
  <c r="Y28" i="20" s="1"/>
  <c r="G27" i="20"/>
  <c r="S27" i="20" s="1"/>
  <c r="Y27" i="20" s="1"/>
  <c r="G26" i="20"/>
  <c r="S26" i="20" s="1"/>
  <c r="Y26" i="20" s="1"/>
  <c r="G25" i="20"/>
  <c r="S25" i="20" s="1"/>
  <c r="Y25" i="20" s="1"/>
  <c r="G24" i="20"/>
  <c r="S24" i="20" s="1"/>
  <c r="Y24" i="20" s="1"/>
  <c r="G23" i="20"/>
  <c r="S23" i="20" s="1"/>
  <c r="Y23" i="20" s="1"/>
  <c r="G22" i="20"/>
  <c r="S22" i="20" s="1"/>
  <c r="Y22" i="20" s="1"/>
  <c r="G21" i="20"/>
  <c r="S21" i="20" s="1"/>
  <c r="Y21" i="20" s="1"/>
  <c r="G20" i="20"/>
  <c r="S20" i="20" s="1"/>
  <c r="Y20" i="20" s="1"/>
  <c r="G19" i="20"/>
  <c r="S19" i="20" s="1"/>
  <c r="Y19" i="20" s="1"/>
  <c r="G18" i="20"/>
  <c r="S18" i="20" s="1"/>
  <c r="Y18" i="20" s="1"/>
  <c r="G17" i="20"/>
  <c r="S17" i="20" s="1"/>
  <c r="Y17" i="20" s="1"/>
  <c r="G16" i="20"/>
  <c r="S16" i="20" s="1"/>
  <c r="Y16" i="20" s="1"/>
  <c r="G15" i="20"/>
  <c r="S15" i="20" s="1"/>
  <c r="Y15" i="20" s="1"/>
  <c r="G14" i="20"/>
  <c r="S14" i="20" s="1"/>
  <c r="Y14" i="20" s="1"/>
  <c r="G13" i="20"/>
  <c r="S13" i="20" s="1"/>
  <c r="Y13" i="20" s="1"/>
  <c r="G12" i="20"/>
  <c r="S12" i="20" s="1"/>
  <c r="Y12" i="20" s="1"/>
  <c r="G11" i="20"/>
  <c r="S11" i="20" s="1"/>
  <c r="Y11" i="20" s="1"/>
  <c r="S10" i="20"/>
  <c r="C45" i="20"/>
  <c r="P29" i="20"/>
  <c r="P28" i="20"/>
  <c r="P27" i="20"/>
  <c r="P26" i="20"/>
  <c r="P25" i="20"/>
  <c r="P24" i="20"/>
  <c r="P23" i="20"/>
  <c r="P22" i="20"/>
  <c r="P21" i="20"/>
  <c r="P20" i="20"/>
  <c r="P19" i="20"/>
  <c r="P18" i="20"/>
  <c r="P17" i="20"/>
  <c r="P16" i="20"/>
  <c r="P15" i="20"/>
  <c r="P14" i="20"/>
  <c r="P13" i="20"/>
  <c r="P12" i="20"/>
  <c r="P11" i="20"/>
  <c r="P10" i="20"/>
  <c r="E29" i="20"/>
  <c r="Q29" i="20" s="1"/>
  <c r="W29" i="20" s="1"/>
  <c r="E28" i="20"/>
  <c r="Q28" i="20" s="1"/>
  <c r="W28" i="20" s="1"/>
  <c r="E27" i="20"/>
  <c r="Q27" i="20" s="1"/>
  <c r="W27" i="20" s="1"/>
  <c r="E26" i="20"/>
  <c r="Q26" i="20" s="1"/>
  <c r="W26" i="20" s="1"/>
  <c r="E25" i="20"/>
  <c r="Q25" i="20" s="1"/>
  <c r="W25" i="20" s="1"/>
  <c r="E24" i="20"/>
  <c r="Q24" i="20" s="1"/>
  <c r="W24" i="20" s="1"/>
  <c r="E23" i="20"/>
  <c r="Q23" i="20" s="1"/>
  <c r="W23" i="20" s="1"/>
  <c r="E22" i="20"/>
  <c r="Q22" i="20" s="1"/>
  <c r="W22" i="20" s="1"/>
  <c r="E21" i="20"/>
  <c r="Q21" i="20" s="1"/>
  <c r="W21" i="20" s="1"/>
  <c r="E20" i="20"/>
  <c r="Q20" i="20" s="1"/>
  <c r="W20" i="20" s="1"/>
  <c r="E19" i="20"/>
  <c r="Q19" i="20" s="1"/>
  <c r="W19" i="20" s="1"/>
  <c r="E18" i="20"/>
  <c r="Q18" i="20" s="1"/>
  <c r="W18" i="20" s="1"/>
  <c r="E17" i="20"/>
  <c r="Q17" i="20" s="1"/>
  <c r="W17" i="20" s="1"/>
  <c r="E16" i="20"/>
  <c r="Q16" i="20" s="1"/>
  <c r="W16" i="20" s="1"/>
  <c r="E15" i="20"/>
  <c r="Q15" i="20" s="1"/>
  <c r="W15" i="20" s="1"/>
  <c r="E14" i="20"/>
  <c r="Q14" i="20" s="1"/>
  <c r="W14" i="20" s="1"/>
  <c r="E13" i="20"/>
  <c r="Q13" i="20" s="1"/>
  <c r="W13" i="20" s="1"/>
  <c r="E12" i="20"/>
  <c r="Q12" i="20" s="1"/>
  <c r="W12" i="20" s="1"/>
  <c r="E11" i="20"/>
  <c r="Q11" i="20" s="1"/>
  <c r="W11" i="20" s="1"/>
  <c r="E10" i="20"/>
  <c r="Q10" i="20" s="1"/>
  <c r="F29" i="20"/>
  <c r="R29" i="20" s="1"/>
  <c r="X29" i="20" s="1"/>
  <c r="F28" i="20"/>
  <c r="R28" i="20" s="1"/>
  <c r="X28" i="20" s="1"/>
  <c r="F27" i="20"/>
  <c r="R27" i="20" s="1"/>
  <c r="X27" i="20" s="1"/>
  <c r="F26" i="20"/>
  <c r="R26" i="20" s="1"/>
  <c r="X26" i="20" s="1"/>
  <c r="F25" i="20"/>
  <c r="R25" i="20" s="1"/>
  <c r="X25" i="20" s="1"/>
  <c r="F24" i="20"/>
  <c r="R24" i="20" s="1"/>
  <c r="X24" i="20" s="1"/>
  <c r="F23" i="20"/>
  <c r="R23" i="20" s="1"/>
  <c r="X23" i="20" s="1"/>
  <c r="F22" i="20"/>
  <c r="R22" i="20" s="1"/>
  <c r="X22" i="20" s="1"/>
  <c r="F21" i="20"/>
  <c r="R21" i="20" s="1"/>
  <c r="X21" i="20" s="1"/>
  <c r="F20" i="20"/>
  <c r="R20" i="20" s="1"/>
  <c r="X20" i="20" s="1"/>
  <c r="F19" i="20"/>
  <c r="R19" i="20" s="1"/>
  <c r="X19" i="20" s="1"/>
  <c r="F18" i="20"/>
  <c r="R18" i="20" s="1"/>
  <c r="X18" i="20" s="1"/>
  <c r="F17" i="20"/>
  <c r="R17" i="20" s="1"/>
  <c r="X17" i="20" s="1"/>
  <c r="F16" i="20"/>
  <c r="R16" i="20" s="1"/>
  <c r="X16" i="20" s="1"/>
  <c r="F15" i="20"/>
  <c r="R15" i="20" s="1"/>
  <c r="X15" i="20" s="1"/>
  <c r="F14" i="20"/>
  <c r="R14" i="20" s="1"/>
  <c r="X14" i="20" s="1"/>
  <c r="F13" i="20"/>
  <c r="R13" i="20" s="1"/>
  <c r="X13" i="20" s="1"/>
  <c r="F12" i="20"/>
  <c r="R12" i="20" s="1"/>
  <c r="X12" i="20" s="1"/>
  <c r="F11" i="20"/>
  <c r="R11" i="20" s="1"/>
  <c r="X11" i="20" s="1"/>
  <c r="R10" i="20"/>
  <c r="B52" i="8"/>
  <c r="B26" i="3"/>
  <c r="AA10" i="20" l="1"/>
  <c r="R31" i="20"/>
  <c r="X10" i="20"/>
  <c r="Q31" i="20"/>
  <c r="W10" i="20"/>
  <c r="P31" i="20"/>
  <c r="V10" i="20"/>
  <c r="V11" i="20"/>
  <c r="AB11" i="20" s="1"/>
  <c r="AA11" i="20"/>
  <c r="I10" i="3" s="1"/>
  <c r="V12" i="20"/>
  <c r="AA12" i="20"/>
  <c r="I11" i="3" s="1"/>
  <c r="V13" i="20"/>
  <c r="AB13" i="20" s="1"/>
  <c r="AA13" i="20"/>
  <c r="I12" i="3" s="1"/>
  <c r="V14" i="20"/>
  <c r="AB14" i="20" s="1"/>
  <c r="AA14" i="20"/>
  <c r="I13" i="3" s="1"/>
  <c r="V15" i="20"/>
  <c r="AB15" i="20" s="1"/>
  <c r="AA15" i="20"/>
  <c r="I14" i="3" s="1"/>
  <c r="V16" i="20"/>
  <c r="AA16" i="20"/>
  <c r="I15" i="3" s="1"/>
  <c r="V17" i="20"/>
  <c r="AB17" i="20" s="1"/>
  <c r="AA17" i="20"/>
  <c r="I16" i="3" s="1"/>
  <c r="V18" i="20"/>
  <c r="AB18" i="20" s="1"/>
  <c r="AA18" i="20"/>
  <c r="I17" i="3" s="1"/>
  <c r="V19" i="20"/>
  <c r="AB19" i="20" s="1"/>
  <c r="AA19" i="20"/>
  <c r="I18" i="3" s="1"/>
  <c r="V20" i="20"/>
  <c r="AB20" i="20" s="1"/>
  <c r="AA20" i="20"/>
  <c r="I19" i="3" s="1"/>
  <c r="V21" i="20"/>
  <c r="AB21" i="20" s="1"/>
  <c r="AA21" i="20"/>
  <c r="I20" i="3" s="1"/>
  <c r="V22" i="20"/>
  <c r="AB22" i="20" s="1"/>
  <c r="AA22" i="20"/>
  <c r="I21" i="3" s="1"/>
  <c r="V23" i="20"/>
  <c r="AB23" i="20" s="1"/>
  <c r="AA23" i="20"/>
  <c r="I22" i="3" s="1"/>
  <c r="V24" i="20"/>
  <c r="AA24" i="20"/>
  <c r="I23" i="3" s="1"/>
  <c r="V25" i="20"/>
  <c r="AA25" i="20"/>
  <c r="I24" i="3" s="1"/>
  <c r="V26" i="20"/>
  <c r="AB26" i="20" s="1"/>
  <c r="AA26" i="20"/>
  <c r="I25" i="3" s="1"/>
  <c r="V27" i="20"/>
  <c r="AB27" i="20" s="1"/>
  <c r="AA27" i="20"/>
  <c r="I26" i="3" s="1"/>
  <c r="V28" i="20"/>
  <c r="AA28" i="20"/>
  <c r="I27" i="3" s="1"/>
  <c r="V29" i="20"/>
  <c r="AB29" i="20" s="1"/>
  <c r="AA29" i="20"/>
  <c r="I28" i="3" s="1"/>
  <c r="S31" i="20"/>
  <c r="Y10" i="20"/>
  <c r="AB12" i="20"/>
  <c r="AB16" i="20"/>
  <c r="AB24" i="20"/>
  <c r="AB25" i="20"/>
  <c r="AB28" i="20"/>
  <c r="T31" i="20"/>
  <c r="Z10" i="20"/>
  <c r="B53" i="8"/>
  <c r="B27" i="3"/>
  <c r="I9" i="3" l="1"/>
  <c r="AB10" i="20"/>
  <c r="Z31" i="20"/>
  <c r="Y31" i="20"/>
  <c r="W31" i="20"/>
  <c r="X31" i="20"/>
  <c r="V31" i="20"/>
  <c r="B54" i="8"/>
  <c r="B55" i="8" s="1"/>
  <c r="B28" i="3"/>
  <c r="AE3" i="2" l="1"/>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2" i="2"/>
  <c r="T38" i="8"/>
  <c r="T37" i="8"/>
  <c r="T41" i="8"/>
  <c r="T39" i="8"/>
  <c r="D10" i="8"/>
  <c r="J10" i="8"/>
  <c r="E10" i="8"/>
  <c r="K10" i="8"/>
  <c r="F10" i="8"/>
  <c r="H10" i="8"/>
  <c r="C10" i="8"/>
  <c r="O10" i="8" s="1"/>
  <c r="K9" i="3" s="1"/>
  <c r="I10" i="8"/>
  <c r="L10" i="8"/>
  <c r="M10" i="8"/>
  <c r="N10" i="8"/>
  <c r="P10" i="8" l="1"/>
  <c r="T40" i="8"/>
  <c r="C36" i="8" a="1"/>
  <c r="C36" i="8"/>
  <c r="C37" i="8" a="1"/>
  <c r="C37" i="8"/>
  <c r="C38" i="8" a="1"/>
  <c r="C38" i="8"/>
  <c r="C39" i="8" a="1"/>
  <c r="C39" i="8"/>
  <c r="C40" i="8" a="1"/>
  <c r="C40" i="8"/>
  <c r="C41" i="8" a="1"/>
  <c r="C41" i="8"/>
  <c r="C42" i="8" a="1"/>
  <c r="C42" i="8"/>
  <c r="C43" i="8" a="1"/>
  <c r="C43" i="8"/>
  <c r="C44" i="8" a="1"/>
  <c r="C44" i="8"/>
  <c r="C45" i="8" a="1"/>
  <c r="C45" i="8"/>
  <c r="C46" i="8" a="1"/>
  <c r="C46" i="8"/>
  <c r="C47" i="8" a="1"/>
  <c r="C47" i="8"/>
  <c r="C48" i="8" a="1"/>
  <c r="C48" i="8"/>
  <c r="C49" i="8" a="1"/>
  <c r="C49" i="8"/>
  <c r="C50" i="8" a="1"/>
  <c r="C50" i="8"/>
  <c r="C51" i="8" a="1"/>
  <c r="C51" i="8"/>
  <c r="C52" i="8" a="1"/>
  <c r="C52" i="8"/>
  <c r="C53" i="8" a="1"/>
  <c r="C53" i="8"/>
  <c r="C54" i="8" a="1"/>
  <c r="C54" i="8"/>
  <c r="T42" i="8"/>
  <c r="U42" i="8"/>
  <c r="I41" i="8" a="1"/>
  <c r="G16" i="8"/>
  <c r="M16" i="8" s="1"/>
  <c r="G15" i="13" s="1"/>
  <c r="I42" i="8" a="1"/>
  <c r="G17" i="8"/>
  <c r="M17" i="8" s="1"/>
  <c r="G16" i="13" s="1"/>
  <c r="I43" i="8" a="1"/>
  <c r="G18" i="8"/>
  <c r="M18" i="8" s="1"/>
  <c r="G17" i="13" s="1"/>
  <c r="I44" i="8" a="1"/>
  <c r="G19" i="8"/>
  <c r="M19" i="8" s="1"/>
  <c r="G18" i="13" s="1"/>
  <c r="I45" i="8" a="1"/>
  <c r="G20" i="8"/>
  <c r="M20" i="8" s="1"/>
  <c r="G19" i="13" s="1"/>
  <c r="I47" i="8" a="1"/>
  <c r="G22" i="8"/>
  <c r="M22" i="8" s="1"/>
  <c r="G21" i="13" s="1"/>
  <c r="I48" i="8" a="1"/>
  <c r="G23" i="8"/>
  <c r="M23" i="8" s="1"/>
  <c r="G22" i="13" s="1"/>
  <c r="I49" i="8" a="1"/>
  <c r="G24" i="8"/>
  <c r="M24" i="8" s="1"/>
  <c r="G23" i="13" s="1"/>
  <c r="I50" i="8" a="1"/>
  <c r="G25" i="8"/>
  <c r="M25" i="8" s="1"/>
  <c r="G24" i="13" s="1"/>
  <c r="I51" i="8" a="1"/>
  <c r="G26" i="8"/>
  <c r="M26" i="8" s="1"/>
  <c r="G25" i="13" s="1"/>
  <c r="I52" i="8" a="1"/>
  <c r="G27" i="8"/>
  <c r="M27" i="8" s="1"/>
  <c r="G26" i="13" s="1"/>
  <c r="I53" i="8" a="1"/>
  <c r="G28" i="8"/>
  <c r="M28" i="8" s="1"/>
  <c r="G27" i="13" s="1"/>
  <c r="I54" i="8" a="1"/>
  <c r="G29" i="8"/>
  <c r="M29" i="8" s="1"/>
  <c r="G28" i="13" s="1"/>
  <c r="I46" i="8" a="1"/>
  <c r="E21" i="8"/>
  <c r="K21" i="8" s="1"/>
  <c r="E20" i="13" s="1"/>
  <c r="I37" i="8" a="1"/>
  <c r="I38" i="8" a="1"/>
  <c r="I39" i="8" a="1"/>
  <c r="I36" i="8" a="1"/>
  <c r="I40" i="8" a="1"/>
  <c r="D15" i="8" l="1"/>
  <c r="J15" i="8" s="1"/>
  <c r="D14" i="13" s="1"/>
  <c r="E15" i="8"/>
  <c r="K15" i="8" s="1"/>
  <c r="E14" i="13" s="1"/>
  <c r="F15" i="8"/>
  <c r="L15" i="8" s="1"/>
  <c r="F14" i="13" s="1"/>
  <c r="H15" i="8"/>
  <c r="N15" i="8" s="1"/>
  <c r="H14" i="13" s="1"/>
  <c r="G15" i="8"/>
  <c r="M15" i="8" s="1"/>
  <c r="G14" i="13" s="1"/>
  <c r="I40" i="8"/>
  <c r="C15" i="8" s="1"/>
  <c r="E11" i="8"/>
  <c r="K11" i="8" s="1"/>
  <c r="E10" i="13" s="1"/>
  <c r="G11" i="8"/>
  <c r="M11" i="8" s="1"/>
  <c r="G10" i="13" s="1"/>
  <c r="F11" i="8"/>
  <c r="L11" i="8" s="1"/>
  <c r="F10" i="13" s="1"/>
  <c r="D11" i="8"/>
  <c r="J11" i="8" s="1"/>
  <c r="D10" i="13" s="1"/>
  <c r="H11" i="8"/>
  <c r="N11" i="8" s="1"/>
  <c r="H10" i="13" s="1"/>
  <c r="I36" i="8"/>
  <c r="C11" i="8" s="1"/>
  <c r="D14" i="8"/>
  <c r="J14" i="8" s="1"/>
  <c r="D13" i="13" s="1"/>
  <c r="E14" i="8"/>
  <c r="K14" i="8" s="1"/>
  <c r="E13" i="13" s="1"/>
  <c r="F14" i="8"/>
  <c r="L14" i="8" s="1"/>
  <c r="F13" i="13" s="1"/>
  <c r="H14" i="8"/>
  <c r="N14" i="8" s="1"/>
  <c r="H13" i="13" s="1"/>
  <c r="G14" i="8"/>
  <c r="M14" i="8" s="1"/>
  <c r="G13" i="13" s="1"/>
  <c r="I39" i="8"/>
  <c r="C14" i="8" s="1"/>
  <c r="D13" i="8"/>
  <c r="J13" i="8" s="1"/>
  <c r="D12" i="13" s="1"/>
  <c r="E13" i="8"/>
  <c r="K13" i="8" s="1"/>
  <c r="E12" i="13" s="1"/>
  <c r="F13" i="8"/>
  <c r="L13" i="8" s="1"/>
  <c r="F12" i="13" s="1"/>
  <c r="H13" i="8"/>
  <c r="N13" i="8" s="1"/>
  <c r="H12" i="13" s="1"/>
  <c r="G13" i="8"/>
  <c r="M13" i="8" s="1"/>
  <c r="G12" i="13" s="1"/>
  <c r="I38" i="8"/>
  <c r="C13" i="8" s="1"/>
  <c r="D12" i="8"/>
  <c r="J12" i="8" s="1"/>
  <c r="D11" i="13" s="1"/>
  <c r="E12" i="8"/>
  <c r="K12" i="8" s="1"/>
  <c r="E11" i="13" s="1"/>
  <c r="F12" i="8"/>
  <c r="L12" i="8" s="1"/>
  <c r="F11" i="13" s="1"/>
  <c r="H12" i="8"/>
  <c r="N12" i="8" s="1"/>
  <c r="H11" i="13" s="1"/>
  <c r="G12" i="8"/>
  <c r="M12" i="8" s="1"/>
  <c r="G11" i="13" s="1"/>
  <c r="I37" i="8"/>
  <c r="C12" i="8" s="1"/>
  <c r="I46" i="8"/>
  <c r="C21" i="8" s="1"/>
  <c r="D21" i="8"/>
  <c r="J21" i="8" s="1"/>
  <c r="D20" i="13" s="1"/>
  <c r="F21" i="8"/>
  <c r="L21" i="8" s="1"/>
  <c r="F20" i="13" s="1"/>
  <c r="H21" i="8"/>
  <c r="N21" i="8" s="1"/>
  <c r="H20" i="13" s="1"/>
  <c r="G21" i="8"/>
  <c r="M21" i="8" s="1"/>
  <c r="G20" i="13" s="1"/>
  <c r="I54" i="8"/>
  <c r="C29" i="8" s="1"/>
  <c r="D29" i="8"/>
  <c r="J29" i="8" s="1"/>
  <c r="D28" i="13" s="1"/>
  <c r="E29" i="8"/>
  <c r="K29" i="8" s="1"/>
  <c r="E28" i="13" s="1"/>
  <c r="F29" i="8"/>
  <c r="L29" i="8" s="1"/>
  <c r="F28" i="13" s="1"/>
  <c r="H29" i="8"/>
  <c r="N29" i="8" s="1"/>
  <c r="H28" i="13" s="1"/>
  <c r="I53" i="8"/>
  <c r="C28" i="8" s="1"/>
  <c r="D28" i="8"/>
  <c r="J28" i="8" s="1"/>
  <c r="D27" i="13" s="1"/>
  <c r="E28" i="8"/>
  <c r="K28" i="8" s="1"/>
  <c r="E27" i="13" s="1"/>
  <c r="F28" i="8"/>
  <c r="L28" i="8" s="1"/>
  <c r="F27" i="13" s="1"/>
  <c r="H28" i="8"/>
  <c r="N28" i="8" s="1"/>
  <c r="H27" i="13" s="1"/>
  <c r="I52" i="8"/>
  <c r="C27" i="8" s="1"/>
  <c r="D27" i="8"/>
  <c r="J27" i="8" s="1"/>
  <c r="D26" i="13" s="1"/>
  <c r="E27" i="8"/>
  <c r="K27" i="8" s="1"/>
  <c r="E26" i="13" s="1"/>
  <c r="F27" i="8"/>
  <c r="L27" i="8" s="1"/>
  <c r="F26" i="13" s="1"/>
  <c r="H27" i="8"/>
  <c r="N27" i="8" s="1"/>
  <c r="H26" i="13" s="1"/>
  <c r="I51" i="8"/>
  <c r="C26" i="8" s="1"/>
  <c r="D26" i="8"/>
  <c r="J26" i="8" s="1"/>
  <c r="D25" i="13" s="1"/>
  <c r="E26" i="8"/>
  <c r="K26" i="8" s="1"/>
  <c r="E25" i="13" s="1"/>
  <c r="F26" i="8"/>
  <c r="L26" i="8" s="1"/>
  <c r="F25" i="13" s="1"/>
  <c r="H26" i="8"/>
  <c r="N26" i="8" s="1"/>
  <c r="H25" i="13" s="1"/>
  <c r="I50" i="8"/>
  <c r="C25" i="8" s="1"/>
  <c r="D25" i="8"/>
  <c r="J25" i="8" s="1"/>
  <c r="D24" i="13" s="1"/>
  <c r="E25" i="8"/>
  <c r="K25" i="8" s="1"/>
  <c r="E24" i="13" s="1"/>
  <c r="F25" i="8"/>
  <c r="L25" i="8" s="1"/>
  <c r="F24" i="13" s="1"/>
  <c r="H25" i="8"/>
  <c r="N25" i="8" s="1"/>
  <c r="H24" i="13" s="1"/>
  <c r="I49" i="8"/>
  <c r="C24" i="8" s="1"/>
  <c r="D24" i="8"/>
  <c r="J24" i="8" s="1"/>
  <c r="D23" i="13" s="1"/>
  <c r="E24" i="8"/>
  <c r="K24" i="8" s="1"/>
  <c r="E23" i="13" s="1"/>
  <c r="F24" i="8"/>
  <c r="L24" i="8" s="1"/>
  <c r="F23" i="13" s="1"/>
  <c r="H24" i="8"/>
  <c r="N24" i="8" s="1"/>
  <c r="H23" i="13" s="1"/>
  <c r="I48" i="8"/>
  <c r="C23" i="8" s="1"/>
  <c r="D23" i="8"/>
  <c r="J23" i="8" s="1"/>
  <c r="D22" i="13" s="1"/>
  <c r="E23" i="8"/>
  <c r="K23" i="8" s="1"/>
  <c r="E22" i="13" s="1"/>
  <c r="F23" i="8"/>
  <c r="L23" i="8" s="1"/>
  <c r="F22" i="13" s="1"/>
  <c r="H23" i="8"/>
  <c r="N23" i="8" s="1"/>
  <c r="H22" i="13" s="1"/>
  <c r="I47" i="8"/>
  <c r="C22" i="8" s="1"/>
  <c r="D22" i="8"/>
  <c r="J22" i="8" s="1"/>
  <c r="D21" i="13" s="1"/>
  <c r="E22" i="8"/>
  <c r="K22" i="8" s="1"/>
  <c r="E21" i="13" s="1"/>
  <c r="F22" i="8"/>
  <c r="L22" i="8" s="1"/>
  <c r="F21" i="13" s="1"/>
  <c r="H22" i="8"/>
  <c r="N22" i="8" s="1"/>
  <c r="H21" i="13" s="1"/>
  <c r="I45" i="8"/>
  <c r="C20" i="8" s="1"/>
  <c r="D20" i="8"/>
  <c r="J20" i="8" s="1"/>
  <c r="D19" i="13" s="1"/>
  <c r="E20" i="8"/>
  <c r="K20" i="8" s="1"/>
  <c r="E19" i="13" s="1"/>
  <c r="F20" i="8"/>
  <c r="L20" i="8" s="1"/>
  <c r="F19" i="13" s="1"/>
  <c r="H20" i="8"/>
  <c r="N20" i="8" s="1"/>
  <c r="H19" i="13" s="1"/>
  <c r="I44" i="8"/>
  <c r="C19" i="8" s="1"/>
  <c r="D19" i="8"/>
  <c r="J19" i="8" s="1"/>
  <c r="D18" i="13" s="1"/>
  <c r="E19" i="8"/>
  <c r="K19" i="8" s="1"/>
  <c r="E18" i="13" s="1"/>
  <c r="F19" i="8"/>
  <c r="L19" i="8" s="1"/>
  <c r="F18" i="13" s="1"/>
  <c r="H19" i="8"/>
  <c r="N19" i="8" s="1"/>
  <c r="H18" i="13" s="1"/>
  <c r="I43" i="8"/>
  <c r="C18" i="8" s="1"/>
  <c r="D18" i="8"/>
  <c r="J18" i="8" s="1"/>
  <c r="D17" i="13" s="1"/>
  <c r="E18" i="8"/>
  <c r="K18" i="8" s="1"/>
  <c r="E17" i="13" s="1"/>
  <c r="F18" i="8"/>
  <c r="L18" i="8" s="1"/>
  <c r="F17" i="13" s="1"/>
  <c r="H18" i="8"/>
  <c r="N18" i="8" s="1"/>
  <c r="H17" i="13" s="1"/>
  <c r="I42" i="8"/>
  <c r="C17" i="8" s="1"/>
  <c r="D17" i="8"/>
  <c r="J17" i="8" s="1"/>
  <c r="D16" i="13" s="1"/>
  <c r="E17" i="8"/>
  <c r="K17" i="8" s="1"/>
  <c r="E16" i="13" s="1"/>
  <c r="F17" i="8"/>
  <c r="L17" i="8" s="1"/>
  <c r="F16" i="13" s="1"/>
  <c r="H17" i="8"/>
  <c r="N17" i="8" s="1"/>
  <c r="H16" i="13" s="1"/>
  <c r="I41" i="8"/>
  <c r="C16" i="8" s="1"/>
  <c r="D16" i="8"/>
  <c r="J16" i="8" s="1"/>
  <c r="D15" i="13" s="1"/>
  <c r="E16" i="8"/>
  <c r="K16" i="8" s="1"/>
  <c r="E15" i="13" s="1"/>
  <c r="F16" i="8"/>
  <c r="L16" i="8" s="1"/>
  <c r="F15" i="13" s="1"/>
  <c r="H16" i="8"/>
  <c r="N16" i="8" s="1"/>
  <c r="H15" i="13" s="1"/>
  <c r="G30" i="13" l="1"/>
  <c r="O16" i="8"/>
  <c r="D15" i="3" s="1"/>
  <c r="I16" i="8"/>
  <c r="C15" i="13" s="1"/>
  <c r="O17" i="8"/>
  <c r="D16" i="3" s="1"/>
  <c r="I17" i="8"/>
  <c r="C16" i="13" s="1"/>
  <c r="O18" i="8"/>
  <c r="D17" i="3" s="1"/>
  <c r="I18" i="8"/>
  <c r="C17" i="13" s="1"/>
  <c r="O19" i="8"/>
  <c r="D18" i="3" s="1"/>
  <c r="I19" i="8"/>
  <c r="C18" i="13" s="1"/>
  <c r="O20" i="8"/>
  <c r="D19" i="3" s="1"/>
  <c r="I20" i="8"/>
  <c r="C19" i="13" s="1"/>
  <c r="O22" i="8"/>
  <c r="D21" i="3" s="1"/>
  <c r="I22" i="8"/>
  <c r="C21" i="13" s="1"/>
  <c r="O23" i="8"/>
  <c r="D22" i="3" s="1"/>
  <c r="I23" i="8"/>
  <c r="C22" i="13" s="1"/>
  <c r="O24" i="8"/>
  <c r="D23" i="3" s="1"/>
  <c r="I24" i="8"/>
  <c r="C23" i="13" s="1"/>
  <c r="O25" i="8"/>
  <c r="D24" i="3" s="1"/>
  <c r="I25" i="8"/>
  <c r="C24" i="13" s="1"/>
  <c r="O26" i="8"/>
  <c r="D25" i="3" s="1"/>
  <c r="I26" i="8"/>
  <c r="C25" i="13" s="1"/>
  <c r="O27" i="8"/>
  <c r="D26" i="3" s="1"/>
  <c r="I27" i="8"/>
  <c r="C26" i="13" s="1"/>
  <c r="O28" i="8"/>
  <c r="D27" i="3" s="1"/>
  <c r="I28" i="8"/>
  <c r="C27" i="13" s="1"/>
  <c r="O29" i="8"/>
  <c r="D28" i="3" s="1"/>
  <c r="I29" i="8"/>
  <c r="C28" i="13" s="1"/>
  <c r="O21" i="8"/>
  <c r="D20" i="3" s="1"/>
  <c r="I21" i="8"/>
  <c r="C20" i="13" s="1"/>
  <c r="O12" i="8"/>
  <c r="D11" i="3" s="1"/>
  <c r="I12" i="8"/>
  <c r="C11" i="13" s="1"/>
  <c r="O13" i="8"/>
  <c r="D12" i="3" s="1"/>
  <c r="I13" i="8"/>
  <c r="C12" i="13" s="1"/>
  <c r="O14" i="8"/>
  <c r="D13" i="3" s="1"/>
  <c r="J13" i="3" s="1"/>
  <c r="I14" i="8"/>
  <c r="C13" i="13" s="1"/>
  <c r="O11" i="8"/>
  <c r="D10" i="3" s="1"/>
  <c r="I11" i="8"/>
  <c r="C10" i="13" s="1"/>
  <c r="H30" i="13"/>
  <c r="H32" i="13" s="1"/>
  <c r="H34" i="13" s="1"/>
  <c r="D30" i="13"/>
  <c r="D32" i="13" s="1"/>
  <c r="D34" i="13" s="1"/>
  <c r="F30" i="13"/>
  <c r="F32" i="13" s="1"/>
  <c r="F34" i="13" s="1"/>
  <c r="G32" i="13"/>
  <c r="G34" i="13" s="1"/>
  <c r="E30" i="13"/>
  <c r="E32" i="13" s="1"/>
  <c r="E34" i="13" s="1"/>
  <c r="O15" i="8"/>
  <c r="D14" i="3" s="1"/>
  <c r="I15" i="8"/>
  <c r="C14" i="13" s="1"/>
  <c r="J14" i="3" l="1"/>
  <c r="K14" i="3" s="1"/>
  <c r="J10" i="3"/>
  <c r="K10" i="3" s="1"/>
  <c r="J12" i="3"/>
  <c r="K12" i="3" s="1"/>
  <c r="J11" i="3"/>
  <c r="K11" i="3" s="1"/>
  <c r="J20" i="3"/>
  <c r="K20" i="3" s="1"/>
  <c r="J28" i="3"/>
  <c r="K28" i="3" s="1"/>
  <c r="J27" i="3"/>
  <c r="K27" i="3" s="1"/>
  <c r="J26" i="3"/>
  <c r="K26" i="3" s="1"/>
  <c r="J25" i="3"/>
  <c r="K25" i="3" s="1"/>
  <c r="J24" i="3"/>
  <c r="K24" i="3" s="1"/>
  <c r="J23" i="3"/>
  <c r="K23" i="3" s="1"/>
  <c r="J22" i="3"/>
  <c r="K22" i="3" s="1"/>
  <c r="J21" i="3"/>
  <c r="K21" i="3" s="1"/>
  <c r="J19" i="3"/>
  <c r="K19" i="3" s="1"/>
  <c r="J18" i="3"/>
  <c r="K18" i="3" s="1"/>
  <c r="J17" i="3"/>
  <c r="K17" i="3" s="1"/>
  <c r="J16" i="3"/>
  <c r="K16" i="3" s="1"/>
  <c r="J15" i="3"/>
  <c r="K15" i="3" s="1"/>
  <c r="K13" i="3"/>
  <c r="K30" i="3" s="1"/>
  <c r="P15" i="8"/>
  <c r="P11" i="8"/>
  <c r="C61" i="3"/>
  <c r="C63" i="3" s="1"/>
  <c r="P14" i="8"/>
  <c r="P13" i="8"/>
  <c r="P12" i="8"/>
  <c r="P21" i="8"/>
  <c r="P29" i="8"/>
  <c r="P28" i="8"/>
  <c r="P27" i="8"/>
  <c r="P26" i="8"/>
  <c r="P25" i="8"/>
  <c r="P24" i="8"/>
  <c r="P23" i="8"/>
  <c r="P22" i="8"/>
  <c r="P20" i="8"/>
  <c r="P19" i="8"/>
  <c r="P18" i="8"/>
  <c r="P17" i="8"/>
  <c r="P16" i="8"/>
  <c r="N37" i="3" l="1"/>
  <c r="N43" i="3" s="1"/>
  <c r="C68" i="3"/>
  <c r="C64" i="3"/>
  <c r="C30" i="13"/>
  <c r="C32" i="13" s="1"/>
  <c r="C37" i="13" s="1" a="1"/>
  <c r="N46" i="3" l="1"/>
  <c r="N45" i="3"/>
  <c r="E39" i="13"/>
  <c r="E40" i="13"/>
  <c r="E41" i="13"/>
  <c r="E42" i="13"/>
  <c r="E43" i="13"/>
  <c r="E38" i="13"/>
  <c r="C44" i="13"/>
  <c r="C37" i="13"/>
  <c r="K31" i="3"/>
  <c r="C34" i="13"/>
  <c r="F38" i="13" s="1" a="1"/>
  <c r="F38" i="13" s="1"/>
  <c r="C70" i="3"/>
  <c r="C71" i="3"/>
  <c r="F44" i="13" l="1"/>
  <c r="E44"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<sst xmlns="http://schemas.openxmlformats.org/spreadsheetml/2006/main" count="8610" uniqueCount="3117">
  <si>
    <t>Analysis Year</t>
  </si>
  <si>
    <t>Fayette</t>
  </si>
  <si>
    <t>Wapello</t>
  </si>
  <si>
    <t>Chickasaw</t>
  </si>
  <si>
    <t>Webster</t>
  </si>
  <si>
    <t>Mitchell</t>
  </si>
  <si>
    <t>Guthrie</t>
  </si>
  <si>
    <t>Total</t>
  </si>
  <si>
    <t>BCR</t>
  </si>
  <si>
    <t>OBJECTID</t>
  </si>
  <si>
    <t>Case Number</t>
  </si>
  <si>
    <t>Crash Key</t>
  </si>
  <si>
    <t>Law Enforcement Case Number</t>
  </si>
  <si>
    <t>Date of Crash</t>
  </si>
  <si>
    <t>Latitude</t>
  </si>
  <si>
    <t>Longitude</t>
  </si>
  <si>
    <t>X-Coordinate (UTM NAD 83 Zone 15)</t>
  </si>
  <si>
    <t>Y-Coordinate (UTM NAD 83 Zone 15)</t>
  </si>
  <si>
    <t>Time</t>
  </si>
  <si>
    <t>Day of Week</t>
  </si>
  <si>
    <t>County</t>
  </si>
  <si>
    <t>City Name</t>
  </si>
  <si>
    <t>Road System</t>
  </si>
  <si>
    <t>Route</t>
  </si>
  <si>
    <t>Cardinal Direction of Vehicles</t>
  </si>
  <si>
    <t>Mainline or Ramp</t>
  </si>
  <si>
    <t>Overpass/Underpass Information</t>
  </si>
  <si>
    <t>Derived Literal Description</t>
  </si>
  <si>
    <t>Road Classification</t>
  </si>
  <si>
    <t>Intersection Class</t>
  </si>
  <si>
    <t>Crash Severity</t>
  </si>
  <si>
    <t>Amount of Property Damage</t>
  </si>
  <si>
    <t>Major Cause</t>
  </si>
  <si>
    <t>First Harmful Event</t>
  </si>
  <si>
    <t>Lat</t>
  </si>
  <si>
    <t>Long</t>
  </si>
  <si>
    <t>ProjectArea</t>
  </si>
  <si>
    <t>NEAR_FID</t>
  </si>
  <si>
    <t>NEAR_DIST</t>
  </si>
  <si>
    <t>20191120511</t>
  </si>
  <si>
    <t>19-004791</t>
  </si>
  <si>
    <t>20190625</t>
  </si>
  <si>
    <t>40.9523221587</t>
  </si>
  <si>
    <t>-92.6393629737</t>
  </si>
  <si>
    <t>530351.875</t>
  </si>
  <si>
    <t>4533527</t>
  </si>
  <si>
    <t>18:08</t>
  </si>
  <si>
    <t>Tuesday</t>
  </si>
  <si>
    <t>Local Road</t>
  </si>
  <si>
    <t>1000</t>
  </si>
  <si>
    <t>Northbound (NB)</t>
  </si>
  <si>
    <t>Mainline</t>
  </si>
  <si>
    <t>Not reported</t>
  </si>
  <si>
    <t>T061/MONROE WAPELLO RD</t>
  </si>
  <si>
    <t>Secondary Road</t>
  </si>
  <si>
    <t>Not Indicated as an Intersection</t>
  </si>
  <si>
    <t>Possible/Unknown Injury Crash</t>
  </si>
  <si>
    <t>1500</t>
  </si>
  <si>
    <t>Driving too fast for conditions</t>
  </si>
  <si>
    <t>Other</t>
  </si>
  <si>
    <t>2" Overlay</t>
  </si>
  <si>
    <t>20181038012</t>
  </si>
  <si>
    <t>18030411</t>
  </si>
  <si>
    <t>20180315</t>
  </si>
  <si>
    <t>40.9553399947</t>
  </si>
  <si>
    <t>-92.6393821978</t>
  </si>
  <si>
    <t>530349.125</t>
  </si>
  <si>
    <t>4533861.5</t>
  </si>
  <si>
    <t>00:08</t>
  </si>
  <si>
    <t>Thursday</t>
  </si>
  <si>
    <t>Property Damage Only</t>
  </si>
  <si>
    <t>7050</t>
  </si>
  <si>
    <t>Ran off road - right</t>
  </si>
  <si>
    <t>Utility pole/light support</t>
  </si>
  <si>
    <t>20191104727</t>
  </si>
  <si>
    <t>19030257</t>
  </si>
  <si>
    <t>20190311</t>
  </si>
  <si>
    <t>40.961262648</t>
  </si>
  <si>
    <t>-92.6378526545</t>
  </si>
  <si>
    <t>530475</t>
  </si>
  <si>
    <t>4534520</t>
  </si>
  <si>
    <t>07:42</t>
  </si>
  <si>
    <t>Monday</t>
  </si>
  <si>
    <t>Blakesburg</t>
  </si>
  <si>
    <t>1020</t>
  </si>
  <si>
    <t>MAIN ST</t>
  </si>
  <si>
    <t>Municipal Road</t>
  </si>
  <si>
    <t>3000</t>
  </si>
  <si>
    <t>FTYROW:  From stop sign</t>
  </si>
  <si>
    <t>Vehicle in traffic</t>
  </si>
  <si>
    <t>T61</t>
  </si>
  <si>
    <t>20201185740</t>
  </si>
  <si>
    <t>20080533</t>
  </si>
  <si>
    <t>20200816</t>
  </si>
  <si>
    <t>40.962145481</t>
  </si>
  <si>
    <t>-92.6378597123</t>
  </si>
  <si>
    <t>530474.125</t>
  </si>
  <si>
    <t>4534618.5</t>
  </si>
  <si>
    <t>07:46</t>
  </si>
  <si>
    <t>Sunday</t>
  </si>
  <si>
    <t>3500</t>
  </si>
  <si>
    <t>Followed too close</t>
  </si>
  <si>
    <t>20191131506</t>
  </si>
  <si>
    <t>19090082</t>
  </si>
  <si>
    <t>20190903</t>
  </si>
  <si>
    <t>40.9638210654</t>
  </si>
  <si>
    <t>-92.6378743207</t>
  </si>
  <si>
    <t>530472</t>
  </si>
  <si>
    <t>4534803.5</t>
  </si>
  <si>
    <t>09:27</t>
  </si>
  <si>
    <t>12500</t>
  </si>
  <si>
    <t>Building</t>
  </si>
  <si>
    <t>20160915409</t>
  </si>
  <si>
    <t>2016008133</t>
  </si>
  <si>
    <t>20160330</t>
  </si>
  <si>
    <t>40.9641183332</t>
  </si>
  <si>
    <t>-92.6378726958</t>
  </si>
  <si>
    <t>530471.85</t>
  </si>
  <si>
    <t>4534837.49</t>
  </si>
  <si>
    <t>07:33</t>
  </si>
  <si>
    <t>Wednesday</t>
  </si>
  <si>
    <t>STATE AND MAIN STREET, BLAKESBURG</t>
  </si>
  <si>
    <t>Secondary - Municipal</t>
  </si>
  <si>
    <t>23000</t>
  </si>
  <si>
    <t>Operating vehicle in an reckless, erratic, careless, negligent manner</t>
  </si>
  <si>
    <t>20221329244</t>
  </si>
  <si>
    <t>22110287</t>
  </si>
  <si>
    <t>20221110</t>
  </si>
  <si>
    <t>40.9647939418</t>
  </si>
  <si>
    <t>-92.6378690027</t>
  </si>
  <si>
    <t>530472.062</t>
  </si>
  <si>
    <t>4534912</t>
  </si>
  <si>
    <t>02:07</t>
  </si>
  <si>
    <t>15000</t>
  </si>
  <si>
    <t>Lost control</t>
  </si>
  <si>
    <t>Parked motor vehicle</t>
  </si>
  <si>
    <t>2014828347</t>
  </si>
  <si>
    <t>2014044508</t>
  </si>
  <si>
    <t>14090578</t>
  </si>
  <si>
    <t>20140925</t>
  </si>
  <si>
    <t>40.970188419</t>
  </si>
  <si>
    <t>-92.6373997648</t>
  </si>
  <si>
    <t>530509</t>
  </si>
  <si>
    <t>4535511</t>
  </si>
  <si>
    <t>06:39</t>
  </si>
  <si>
    <t>Farm to Market Route</t>
  </si>
  <si>
    <t>9999</t>
  </si>
  <si>
    <t>Unknown - Not Indicated - Unlocated</t>
  </si>
  <si>
    <t>Co Rd T61/MONROE WAPELLO RD</t>
  </si>
  <si>
    <t>2000</t>
  </si>
  <si>
    <t>Animal</t>
  </si>
  <si>
    <t>20160924866</t>
  </si>
  <si>
    <t>2016014043</t>
  </si>
  <si>
    <t>20160602</t>
  </si>
  <si>
    <t>40.9729984968</t>
  </si>
  <si>
    <t>-92.6372417535</t>
  </si>
  <si>
    <t>530521.38</t>
  </si>
  <si>
    <t>4535822.8</t>
  </si>
  <si>
    <t>09:16</t>
  </si>
  <si>
    <t>T61/MONROE-WAPELLO RD AND 64TH ST</t>
  </si>
  <si>
    <t>8050</t>
  </si>
  <si>
    <t>Overturn/rollover</t>
  </si>
  <si>
    <t>20181054992</t>
  </si>
  <si>
    <t>18060867</t>
  </si>
  <si>
    <t>20180627</t>
  </si>
  <si>
    <t>40.9755727915</t>
  </si>
  <si>
    <t>-92.6365858095</t>
  </si>
  <si>
    <t>530575</t>
  </si>
  <si>
    <t>4536109</t>
  </si>
  <si>
    <t>22:01</t>
  </si>
  <si>
    <t>2013748405</t>
  </si>
  <si>
    <t>2013024016</t>
  </si>
  <si>
    <t>13070188</t>
  </si>
  <si>
    <t>20130707</t>
  </si>
  <si>
    <t>40.9822499932</t>
  </si>
  <si>
    <t>-92.634397582</t>
  </si>
  <si>
    <t>530756</t>
  </si>
  <si>
    <t>4536851</t>
  </si>
  <si>
    <t>09:44</t>
  </si>
  <si>
    <t>Ditch</t>
  </si>
  <si>
    <t>20221308646</t>
  </si>
  <si>
    <t>22070114</t>
  </si>
  <si>
    <t>20220704</t>
  </si>
  <si>
    <t>40.9827274954</t>
  </si>
  <si>
    <t>-92.6344187196</t>
  </si>
  <si>
    <t>530753.937</t>
  </si>
  <si>
    <t>4536904.5</t>
  </si>
  <si>
    <t>10:24</t>
  </si>
  <si>
    <t>MONROE WAPELLO RD</t>
  </si>
  <si>
    <t>6000</t>
  </si>
  <si>
    <t>2014782168</t>
  </si>
  <si>
    <t>2014003683</t>
  </si>
  <si>
    <t>2014006372</t>
  </si>
  <si>
    <t>20140127</t>
  </si>
  <si>
    <t>40.9839887791</t>
  </si>
  <si>
    <t>-92.6344593044</t>
  </si>
  <si>
    <t>530750</t>
  </si>
  <si>
    <t>4537044</t>
  </si>
  <si>
    <t>18:45</t>
  </si>
  <si>
    <t>5000</t>
  </si>
  <si>
    <t>20160944939</t>
  </si>
  <si>
    <t>16100119</t>
  </si>
  <si>
    <t>20161005</t>
  </si>
  <si>
    <t>40.9854211752</t>
  </si>
  <si>
    <t>-92.6344870581</t>
  </si>
  <si>
    <t>530746.78</t>
  </si>
  <si>
    <t>4537203.01</t>
  </si>
  <si>
    <t>19:31</t>
  </si>
  <si>
    <t>20181065713</t>
  </si>
  <si>
    <t>18081015</t>
  </si>
  <si>
    <t>20180831</t>
  </si>
  <si>
    <t>40.9873219925</t>
  </si>
  <si>
    <t>-92.6345122263</t>
  </si>
  <si>
    <t>530743.75</t>
  </si>
  <si>
    <t>4537414</t>
  </si>
  <si>
    <t>11:43</t>
  </si>
  <si>
    <t>Friday</t>
  </si>
  <si>
    <t>20191150185</t>
  </si>
  <si>
    <t>19120237</t>
  </si>
  <si>
    <t>20191208</t>
  </si>
  <si>
    <t>40.9873490167</t>
  </si>
  <si>
    <t>-92.6345120771</t>
  </si>
  <si>
    <t>530743.687</t>
  </si>
  <si>
    <t>4537417</t>
  </si>
  <si>
    <t>07:04</t>
  </si>
  <si>
    <t>2014790879</t>
  </si>
  <si>
    <t>2014011440</t>
  </si>
  <si>
    <t>20140310</t>
  </si>
  <si>
    <t>40.987979659</t>
  </si>
  <si>
    <t>-92.6345323713</t>
  </si>
  <si>
    <t>530742</t>
  </si>
  <si>
    <t>4537487</t>
  </si>
  <si>
    <t>19:35</t>
  </si>
  <si>
    <t>2800</t>
  </si>
  <si>
    <t>20191091386</t>
  </si>
  <si>
    <t>19010205</t>
  </si>
  <si>
    <t>20190108</t>
  </si>
  <si>
    <t>40.9883760126</t>
  </si>
  <si>
    <t>-92.6345301829</t>
  </si>
  <si>
    <t>530741.75</t>
  </si>
  <si>
    <t>4537531</t>
  </si>
  <si>
    <t>18:09</t>
  </si>
  <si>
    <t>20191149786</t>
  </si>
  <si>
    <t>19120146</t>
  </si>
  <si>
    <t>20191205</t>
  </si>
  <si>
    <t>40.9889074136</t>
  </si>
  <si>
    <t>-92.634503472</t>
  </si>
  <si>
    <t>530744.312</t>
  </si>
  <si>
    <t>4537589.5</t>
  </si>
  <si>
    <t>14:40</t>
  </si>
  <si>
    <t>10000</t>
  </si>
  <si>
    <t>20221303683</t>
  </si>
  <si>
    <t>22-004443</t>
  </si>
  <si>
    <t>20220604</t>
  </si>
  <si>
    <t>40.9889254297</t>
  </si>
  <si>
    <t>-92.6345033725</t>
  </si>
  <si>
    <t>530744.375</t>
  </si>
  <si>
    <t>4537591.5</t>
  </si>
  <si>
    <t>05:50</t>
  </si>
  <si>
    <t>Saturday</t>
  </si>
  <si>
    <t>6500</t>
  </si>
  <si>
    <t>2014831371</t>
  </si>
  <si>
    <t>2014047255</t>
  </si>
  <si>
    <t>14110529</t>
  </si>
  <si>
    <t>20141125</t>
  </si>
  <si>
    <t>40.9898710904</t>
  </si>
  <si>
    <t>-92.6344387078</t>
  </si>
  <si>
    <t>530749</t>
  </si>
  <si>
    <t>4537697</t>
  </si>
  <si>
    <t>01:47</t>
  </si>
  <si>
    <t>2014837046</t>
  </si>
  <si>
    <t>2014052300</t>
  </si>
  <si>
    <t>14100679</t>
  </si>
  <si>
    <t>20141031</t>
  </si>
  <si>
    <t>40.9902493917</t>
  </si>
  <si>
    <t>-92.6344247298</t>
  </si>
  <si>
    <t>4537739</t>
  </si>
  <si>
    <t>07:05</t>
  </si>
  <si>
    <t>2014805181</t>
  </si>
  <si>
    <t>2014023856</t>
  </si>
  <si>
    <t>2014035058</t>
  </si>
  <si>
    <t>20140613</t>
  </si>
  <si>
    <t>40.9919341268</t>
  </si>
  <si>
    <t>-92.6344867573</t>
  </si>
  <si>
    <t>530744</t>
  </si>
  <si>
    <t>4537926</t>
  </si>
  <si>
    <t>21:04</t>
  </si>
  <si>
    <t>Co Rd T61/MONROE WAPELLO RD &amp; RIDGE RD</t>
  </si>
  <si>
    <t>Secondary - Secondary</t>
  </si>
  <si>
    <t>Suspected Serious Injury Crash</t>
  </si>
  <si>
    <t>2015869283</t>
  </si>
  <si>
    <t>15070464</t>
  </si>
  <si>
    <t>20150718</t>
  </si>
  <si>
    <t>4000</t>
  </si>
  <si>
    <t>20211267190</t>
  </si>
  <si>
    <t>21100675</t>
  </si>
  <si>
    <t>20211023</t>
  </si>
  <si>
    <t>40.9958145468</t>
  </si>
  <si>
    <t>-92.636664901</t>
  </si>
  <si>
    <t>530559.125</t>
  </si>
  <si>
    <t>4538356</t>
  </si>
  <si>
    <t>07:14</t>
  </si>
  <si>
    <t>20160955056</t>
  </si>
  <si>
    <t>16110541</t>
  </si>
  <si>
    <t>20161119</t>
  </si>
  <si>
    <t>40.996744287</t>
  </si>
  <si>
    <t>-92.6372661743</t>
  </si>
  <si>
    <t>530508.11</t>
  </si>
  <si>
    <t>4538458.78</t>
  </si>
  <si>
    <t>05:44</t>
  </si>
  <si>
    <t>Ran off road - left</t>
  </si>
  <si>
    <t>20201201994</t>
  </si>
  <si>
    <t>20110770</t>
  </si>
  <si>
    <t>20201121</t>
  </si>
  <si>
    <t>40.9977638805</t>
  </si>
  <si>
    <t>-92.6377956329</t>
  </si>
  <si>
    <t>530463.375</t>
  </si>
  <si>
    <t>4538571.5</t>
  </si>
  <si>
    <t>17:58</t>
  </si>
  <si>
    <t>20221333299</t>
  </si>
  <si>
    <t>22110604</t>
  </si>
  <si>
    <t>20221120</t>
  </si>
  <si>
    <t>40.9998642148</t>
  </si>
  <si>
    <t>-92.6382478581</t>
  </si>
  <si>
    <t>530424</t>
  </si>
  <si>
    <t>4538805</t>
  </si>
  <si>
    <t>21:45</t>
  </si>
  <si>
    <t>20181085411</t>
  </si>
  <si>
    <t>18120145</t>
  </si>
  <si>
    <t>20181206</t>
  </si>
  <si>
    <t>41.0025768335</t>
  </si>
  <si>
    <t>-92.638613532</t>
  </si>
  <si>
    <t>530392.125</t>
  </si>
  <si>
    <t>4539106.5</t>
  </si>
  <si>
    <t>04:14</t>
  </si>
  <si>
    <t>2500</t>
  </si>
  <si>
    <t>20170974080</t>
  </si>
  <si>
    <t>17030346</t>
  </si>
  <si>
    <t>20170313</t>
  </si>
  <si>
    <t>41.0028561951</t>
  </si>
  <si>
    <t>-92.6386476786</t>
  </si>
  <si>
    <t>530388.67</t>
  </si>
  <si>
    <t>4539137.2</t>
  </si>
  <si>
    <t>07:26</t>
  </si>
  <si>
    <t>Suspected Minor Injury Crash</t>
  </si>
  <si>
    <t>20221322695</t>
  </si>
  <si>
    <t>22100123</t>
  </si>
  <si>
    <t>20221005</t>
  </si>
  <si>
    <t>41.0036583219</t>
  </si>
  <si>
    <t>-92.6387740984</t>
  </si>
  <si>
    <t>530378.5</t>
  </si>
  <si>
    <t>4539226.5</t>
  </si>
  <si>
    <t>07:13</t>
  </si>
  <si>
    <t>20211271356</t>
  </si>
  <si>
    <t>2021027591</t>
  </si>
  <si>
    <t>20211112</t>
  </si>
  <si>
    <t>41.003802488</t>
  </si>
  <si>
    <t>-92.6387852022</t>
  </si>
  <si>
    <t>530376.625</t>
  </si>
  <si>
    <t>4539242</t>
  </si>
  <si>
    <t>19:20</t>
  </si>
  <si>
    <t>MONROE WAPELLO RD/SOUTH AVERY CREEK</t>
  </si>
  <si>
    <t>7000</t>
  </si>
  <si>
    <t>20201202157</t>
  </si>
  <si>
    <t>20-010347</t>
  </si>
  <si>
    <t>20201124</t>
  </si>
  <si>
    <t>41.0038475655</t>
  </si>
  <si>
    <t>-92.6387968471</t>
  </si>
  <si>
    <t>530376.062</t>
  </si>
  <si>
    <t>4539247</t>
  </si>
  <si>
    <t>07:11</t>
  </si>
  <si>
    <t>20181085412</t>
  </si>
  <si>
    <t>18120279</t>
  </si>
  <si>
    <t>20181211</t>
  </si>
  <si>
    <t>41.0039106592</t>
  </si>
  <si>
    <t>-92.6388083937</t>
  </si>
  <si>
    <t>530375.25</t>
  </si>
  <si>
    <t>4539254</t>
  </si>
  <si>
    <t>17:39</t>
  </si>
  <si>
    <t>20201179001</t>
  </si>
  <si>
    <t>20070035</t>
  </si>
  <si>
    <t>20200702</t>
  </si>
  <si>
    <t>41.005127305</t>
  </si>
  <si>
    <t>-92.63898012</t>
  </si>
  <si>
    <t>530359.812</t>
  </si>
  <si>
    <t>4539389</t>
  </si>
  <si>
    <t>05:32</t>
  </si>
  <si>
    <t>20221291356</t>
  </si>
  <si>
    <t>22-001987</t>
  </si>
  <si>
    <t>20220312</t>
  </si>
  <si>
    <t>41.0095159367</t>
  </si>
  <si>
    <t>-92.6395032016</t>
  </si>
  <si>
    <t>530313.562</t>
  </si>
  <si>
    <t>4539875.5</t>
  </si>
  <si>
    <t>20:59</t>
  </si>
  <si>
    <t>2014831376</t>
  </si>
  <si>
    <t>2014047260</t>
  </si>
  <si>
    <t>14110632</t>
  </si>
  <si>
    <t>20141129</t>
  </si>
  <si>
    <t>41.0147949109</t>
  </si>
  <si>
    <t>-92.6395576762</t>
  </si>
  <si>
    <t>530307</t>
  </si>
  <si>
    <t>4540462</t>
  </si>
  <si>
    <t>16:50</t>
  </si>
  <si>
    <t>20201163316</t>
  </si>
  <si>
    <t>20-001215</t>
  </si>
  <si>
    <t>20200218</t>
  </si>
  <si>
    <t>41.0160201138</t>
  </si>
  <si>
    <t>-92.6395866776</t>
  </si>
  <si>
    <t>530304.125</t>
  </si>
  <si>
    <t>4540598</t>
  </si>
  <si>
    <t>12:14</t>
  </si>
  <si>
    <t>Ran stop sign</t>
  </si>
  <si>
    <t>20191108839</t>
  </si>
  <si>
    <t>19040504</t>
  </si>
  <si>
    <t>20190417</t>
  </si>
  <si>
    <t>41.016056146</t>
  </si>
  <si>
    <t>-92.6395864812</t>
  </si>
  <si>
    <t>530304</t>
  </si>
  <si>
    <t>4540602</t>
  </si>
  <si>
    <t>07:38</t>
  </si>
  <si>
    <t>2013739133</t>
  </si>
  <si>
    <t>2013015978</t>
  </si>
  <si>
    <t>13050227</t>
  </si>
  <si>
    <t>20130511</t>
  </si>
  <si>
    <t>41.0161372199</t>
  </si>
  <si>
    <t>-92.6395860393</t>
  </si>
  <si>
    <t>4540611</t>
  </si>
  <si>
    <t>18:28</t>
  </si>
  <si>
    <t>US Route</t>
  </si>
  <si>
    <t>34</t>
  </si>
  <si>
    <t>Eastbound (EB)</t>
  </si>
  <si>
    <t>US 34 &amp; Co Rd T61/MONROE WAPELLO RD</t>
  </si>
  <si>
    <t>US Route - Secondary</t>
  </si>
  <si>
    <t>FTYROW:  Other</t>
  </si>
  <si>
    <t>2014786960</t>
  </si>
  <si>
    <t>2014007946</t>
  </si>
  <si>
    <t>2014010893</t>
  </si>
  <si>
    <t>20140214</t>
  </si>
  <si>
    <t>09:30</t>
  </si>
  <si>
    <t>Westbound (WB)</t>
  </si>
  <si>
    <t>9000</t>
  </si>
  <si>
    <t>2015845240</t>
  </si>
  <si>
    <t>2015007197</t>
  </si>
  <si>
    <t>20150204</t>
  </si>
  <si>
    <t>Both East and West</t>
  </si>
  <si>
    <t>4500</t>
  </si>
  <si>
    <t>2015860493</t>
  </si>
  <si>
    <t>15050566</t>
  </si>
  <si>
    <t>20150522</t>
  </si>
  <si>
    <t>13:37</t>
  </si>
  <si>
    <t>2015871552</t>
  </si>
  <si>
    <t>15070749</t>
  </si>
  <si>
    <t>20150731</t>
  </si>
  <si>
    <t>14:35</t>
  </si>
  <si>
    <t>2015886973</t>
  </si>
  <si>
    <t>15100633</t>
  </si>
  <si>
    <t>20151027</t>
  </si>
  <si>
    <t>16:16</t>
  </si>
  <si>
    <t>9</t>
  </si>
  <si>
    <t>20160917698</t>
  </si>
  <si>
    <t>2016010287</t>
  </si>
  <si>
    <t>20160422</t>
  </si>
  <si>
    <t>41.0161372183</t>
  </si>
  <si>
    <t>530303.71</t>
  </si>
  <si>
    <t>4540610.93</t>
  </si>
  <si>
    <t>10:40</t>
  </si>
  <si>
    <t>Southbound (SB)</t>
  </si>
  <si>
    <t>HWY 34 AND HWY T61</t>
  </si>
  <si>
    <t>Fatal Crash</t>
  </si>
  <si>
    <t>17000</t>
  </si>
  <si>
    <t>20160927329</t>
  </si>
  <si>
    <t>16060378</t>
  </si>
  <si>
    <t>20160616</t>
  </si>
  <si>
    <t>10:15</t>
  </si>
  <si>
    <t>T061/MONROE WAPELLO RD AND US 34</t>
  </si>
  <si>
    <t>20160946861</t>
  </si>
  <si>
    <t>16-7011998</t>
  </si>
  <si>
    <t>20161012</t>
  </si>
  <si>
    <t>11543</t>
  </si>
  <si>
    <t>20170980667</t>
  </si>
  <si>
    <t>17040858</t>
  </si>
  <si>
    <t>20170429</t>
  </si>
  <si>
    <t>18:00</t>
  </si>
  <si>
    <t>Driver Distraction:  Other interior distraction</t>
  </si>
  <si>
    <t>20171014412</t>
  </si>
  <si>
    <t>17006815</t>
  </si>
  <si>
    <t>20171110</t>
  </si>
  <si>
    <t>530303.73</t>
  </si>
  <si>
    <t>18:58</t>
  </si>
  <si>
    <t>T061 / MONROE WAPELLO RD and US 0034 / US 34</t>
  </si>
  <si>
    <t>20201172556</t>
  </si>
  <si>
    <t>2020011384</t>
  </si>
  <si>
    <t>20200505</t>
  </si>
  <si>
    <t>530303.687</t>
  </si>
  <si>
    <t>US 34 AND T61/MONROE WAPELLO RD</t>
  </si>
  <si>
    <t>25200</t>
  </si>
  <si>
    <t>20211239085</t>
  </si>
  <si>
    <t>2021010500</t>
  </si>
  <si>
    <t>20210505</t>
  </si>
  <si>
    <t>07:20</t>
  </si>
  <si>
    <t>US 34 AND T061/MONROE WAPELLO RD</t>
  </si>
  <si>
    <t>19000</t>
  </si>
  <si>
    <t>2014806501</t>
  </si>
  <si>
    <t>2014037136</t>
  </si>
  <si>
    <t>20140624</t>
  </si>
  <si>
    <t>16:48</t>
  </si>
  <si>
    <t>Monroe</t>
  </si>
  <si>
    <t>2015867779</t>
  </si>
  <si>
    <t>15681177</t>
  </si>
  <si>
    <t>20150619</t>
  </si>
  <si>
    <t>16:49</t>
  </si>
  <si>
    <t>20191148767</t>
  </si>
  <si>
    <t>2019032232</t>
  </si>
  <si>
    <t>20191130</t>
  </si>
  <si>
    <t>41.016137367</t>
  </si>
  <si>
    <t>-92.6396336116</t>
  </si>
  <si>
    <t>530300</t>
  </si>
  <si>
    <t>17:06</t>
  </si>
  <si>
    <t>20181036098</t>
  </si>
  <si>
    <t>2018005087</t>
  </si>
  <si>
    <t>20180226</t>
  </si>
  <si>
    <t>41.0161376273</t>
  </si>
  <si>
    <t>-92.639716863</t>
  </si>
  <si>
    <t>530292.88</t>
  </si>
  <si>
    <t>4540610.55</t>
  </si>
  <si>
    <t>20:03</t>
  </si>
  <si>
    <t>20191153224</t>
  </si>
  <si>
    <t>19120648</t>
  </si>
  <si>
    <t>20191220</t>
  </si>
  <si>
    <t>41.0161455568</t>
  </si>
  <si>
    <t>-92.6393719152</t>
  </si>
  <si>
    <t>530322.125</t>
  </si>
  <si>
    <t>4540611.5</t>
  </si>
  <si>
    <t>18:56</t>
  </si>
  <si>
    <t>US 34</t>
  </si>
  <si>
    <t>20221301094</t>
  </si>
  <si>
    <t>22-0141</t>
  </si>
  <si>
    <t>20220520</t>
  </si>
  <si>
    <t>41.5036817125</t>
  </si>
  <si>
    <t>-94.3184445017</t>
  </si>
  <si>
    <t>389963.75</t>
  </si>
  <si>
    <t>4595511.5</t>
  </si>
  <si>
    <t>17:08</t>
  </si>
  <si>
    <t>Adair</t>
  </si>
  <si>
    <t>Stuart</t>
  </si>
  <si>
    <t>6120</t>
  </si>
  <si>
    <t>FRONT ST</t>
  </si>
  <si>
    <t>5500</t>
  </si>
  <si>
    <t>F65</t>
  </si>
  <si>
    <t>20211230734</t>
  </si>
  <si>
    <t>390321-0737</t>
  </si>
  <si>
    <t>20210309</t>
  </si>
  <si>
    <t>41.503682621</t>
  </si>
  <si>
    <t>-94.282523423</t>
  </si>
  <si>
    <t>392962.218</t>
  </si>
  <si>
    <t>4595467</t>
  </si>
  <si>
    <t>19:19</t>
  </si>
  <si>
    <t>6610</t>
  </si>
  <si>
    <t>F065/WHITE POLE RD</t>
  </si>
  <si>
    <t>8000</t>
  </si>
  <si>
    <t>20201162287</t>
  </si>
  <si>
    <t>2020003871</t>
  </si>
  <si>
    <t>20200206</t>
  </si>
  <si>
    <t>41.5036828112</t>
  </si>
  <si>
    <t>-94.3183486706</t>
  </si>
  <si>
    <t>389972.125</t>
  </si>
  <si>
    <t>17:02</t>
  </si>
  <si>
    <t>S DIVISION ST AND N DIVISION ST AND FRONT ST</t>
  </si>
  <si>
    <t>Municipal - Municipal</t>
  </si>
  <si>
    <t>Made improper turn</t>
  </si>
  <si>
    <t>20171023074</t>
  </si>
  <si>
    <t>T17-0369</t>
  </si>
  <si>
    <t>20171222</t>
  </si>
  <si>
    <t>11:18</t>
  </si>
  <si>
    <t>3100</t>
  </si>
  <si>
    <t>20191098262</t>
  </si>
  <si>
    <t>19-0091</t>
  </si>
  <si>
    <t>20190214</t>
  </si>
  <si>
    <t>08:00</t>
  </si>
  <si>
    <t>20211280418</t>
  </si>
  <si>
    <t>2021031101</t>
  </si>
  <si>
    <t>20211229</t>
  </si>
  <si>
    <t>41.5036894072</t>
  </si>
  <si>
    <t>-94.2939780576</t>
  </si>
  <si>
    <t>392005.937</t>
  </si>
  <si>
    <t>4595482</t>
  </si>
  <si>
    <t>WHITE POLE RD</t>
  </si>
  <si>
    <t>10500</t>
  </si>
  <si>
    <t>Driver Distraction:  Reaching for object(s)/fallen object(s)</t>
  </si>
  <si>
    <t>20181043037</t>
  </si>
  <si>
    <t>18-0082</t>
  </si>
  <si>
    <t>20180417</t>
  </si>
  <si>
    <t>41.5036907551</t>
  </si>
  <si>
    <t>-94.2938582675</t>
  </si>
  <si>
    <t>392016.281</t>
  </si>
  <si>
    <t>4595481.5</t>
  </si>
  <si>
    <t>07:00</t>
  </si>
  <si>
    <t>20181042393</t>
  </si>
  <si>
    <t>18-0079</t>
  </si>
  <si>
    <t>20180412</t>
  </si>
  <si>
    <t>41.5036939611</t>
  </si>
  <si>
    <t>-94.2991662206</t>
  </si>
  <si>
    <t>391573.15</t>
  </si>
  <si>
    <t>4595488.68</t>
  </si>
  <si>
    <t>08:45</t>
  </si>
  <si>
    <t>1520</t>
  </si>
  <si>
    <t>VICTOR AVE and F065 / WHITE POLE RD</t>
  </si>
  <si>
    <t>20160948246</t>
  </si>
  <si>
    <t>CR16-0202</t>
  </si>
  <si>
    <t>20160811</t>
  </si>
  <si>
    <t>41.5036977511</t>
  </si>
  <si>
    <t>-94.3264485872</t>
  </si>
  <si>
    <t>389296.28</t>
  </si>
  <si>
    <t>4595523.66</t>
  </si>
  <si>
    <t>09:00</t>
  </si>
  <si>
    <t>FRONT ST AND N ADAIR ST AND S ADAIR ST</t>
  </si>
  <si>
    <t>No Rumble</t>
  </si>
  <si>
    <t>20170993245</t>
  </si>
  <si>
    <t>17-0278</t>
  </si>
  <si>
    <t>20170717</t>
  </si>
  <si>
    <t>12:00</t>
  </si>
  <si>
    <t>FTYROW:  Making left turn</t>
  </si>
  <si>
    <t>20221341527</t>
  </si>
  <si>
    <t>2022031275</t>
  </si>
  <si>
    <t>20221220</t>
  </si>
  <si>
    <t>41.5037082979</t>
  </si>
  <si>
    <t>-94.3270958129</t>
  </si>
  <si>
    <t>389241.718</t>
  </si>
  <si>
    <t>4595526</t>
  </si>
  <si>
    <t>19:27</t>
  </si>
  <si>
    <t>FRONT ST MEASURING 181 FEET WEST FROM NORTH ADAIR ST</t>
  </si>
  <si>
    <t>11000</t>
  </si>
  <si>
    <t>Swerving/Evasive Action</t>
  </si>
  <si>
    <t>20181057464</t>
  </si>
  <si>
    <t>18-0236</t>
  </si>
  <si>
    <t>20180713</t>
  </si>
  <si>
    <t>41.5037095568</t>
  </si>
  <si>
    <t>-94.2760538343</t>
  </si>
  <si>
    <t>393501.937</t>
  </si>
  <si>
    <t>4595462</t>
  </si>
  <si>
    <t>13:15</t>
  </si>
  <si>
    <t>5100</t>
  </si>
  <si>
    <t>2013722656</t>
  </si>
  <si>
    <t>2013001854</t>
  </si>
  <si>
    <t>2013001150</t>
  </si>
  <si>
    <t>20130109</t>
  </si>
  <si>
    <t>41.5037105186</t>
  </si>
  <si>
    <t>-94.2751552252</t>
  </si>
  <si>
    <t>393577</t>
  </si>
  <si>
    <t>4595461</t>
  </si>
  <si>
    <t>Co Rd F65/WHITE POLE RD &amp; 350TH ST</t>
  </si>
  <si>
    <t>7500</t>
  </si>
  <si>
    <t>2014829747</t>
  </si>
  <si>
    <t>2014045789</t>
  </si>
  <si>
    <t>A391014-2410</t>
  </si>
  <si>
    <t>20141014</t>
  </si>
  <si>
    <t>18:35</t>
  </si>
  <si>
    <t>2750</t>
  </si>
  <si>
    <t>Traffic sign support</t>
  </si>
  <si>
    <t>20160959429</t>
  </si>
  <si>
    <t>2016032747</t>
  </si>
  <si>
    <t>20161216</t>
  </si>
  <si>
    <t>41.5037105175</t>
  </si>
  <si>
    <t>393577.04</t>
  </si>
  <si>
    <t>4595461.22</t>
  </si>
  <si>
    <t>16:06</t>
  </si>
  <si>
    <t>6600</t>
  </si>
  <si>
    <t>F065/WHITE POLE RD AND 350TH ST</t>
  </si>
  <si>
    <t>20160959435</t>
  </si>
  <si>
    <t>2016032756</t>
  </si>
  <si>
    <t>15:45</t>
  </si>
  <si>
    <t>20221312405</t>
  </si>
  <si>
    <t>2022018467</t>
  </si>
  <si>
    <t>20220728</t>
  </si>
  <si>
    <t>41.5037640423</t>
  </si>
  <si>
    <t>-94.2743894455</t>
  </si>
  <si>
    <t>393641.187</t>
  </si>
  <si>
    <t>4595465.5</t>
  </si>
  <si>
    <t>14:30</t>
  </si>
  <si>
    <t>WHITE POLE RD WB E OF 350TH ST</t>
  </si>
  <si>
    <t>20211247994</t>
  </si>
  <si>
    <t>21-0418</t>
  </si>
  <si>
    <t>20210629</t>
  </si>
  <si>
    <t>41.5038900649</t>
  </si>
  <si>
    <t>-94.3183408934</t>
  </si>
  <si>
    <t>389972.687</t>
  </si>
  <si>
    <t>4595535</t>
  </si>
  <si>
    <t>17:19</t>
  </si>
  <si>
    <t>1150</t>
  </si>
  <si>
    <t>N DIVISION ST</t>
  </si>
  <si>
    <t>5002</t>
  </si>
  <si>
    <t>2013755813</t>
  </si>
  <si>
    <t>2013030581</t>
  </si>
  <si>
    <t>T13-083101</t>
  </si>
  <si>
    <t>20130831</t>
  </si>
  <si>
    <t>41.5038956909</t>
  </si>
  <si>
    <t>-94.273888794</t>
  </si>
  <si>
    <t>393683</t>
  </si>
  <si>
    <t>4595480</t>
  </si>
  <si>
    <t>09:09</t>
  </si>
  <si>
    <t>Co Rd F65/WHITE POLE RD</t>
  </si>
  <si>
    <t>Equipment failure</t>
  </si>
  <si>
    <t>20160903028</t>
  </si>
  <si>
    <t>3901116-0155</t>
  </si>
  <si>
    <t>20160114</t>
  </si>
  <si>
    <t>41.5039048277</t>
  </si>
  <si>
    <t>-94.2738769914</t>
  </si>
  <si>
    <t>393684.11</t>
  </si>
  <si>
    <t>4595480.54</t>
  </si>
  <si>
    <t>09:05</t>
  </si>
  <si>
    <t>F065 / WHITE POLE RD</t>
  </si>
  <si>
    <t>2014842938</t>
  </si>
  <si>
    <t>2014052508</t>
  </si>
  <si>
    <t>2014071839</t>
  </si>
  <si>
    <t>20141230</t>
  </si>
  <si>
    <t>41.5040526274</t>
  </si>
  <si>
    <t>-94.273544399</t>
  </si>
  <si>
    <t>393712</t>
  </si>
  <si>
    <t>4595497</t>
  </si>
  <si>
    <t>22:29</t>
  </si>
  <si>
    <t>Exceeded authorized speed</t>
  </si>
  <si>
    <t>2013758037</t>
  </si>
  <si>
    <t>2013032568</t>
  </si>
  <si>
    <t>A390813-1455</t>
  </si>
  <si>
    <t>20130828</t>
  </si>
  <si>
    <t>41.5041812209</t>
  </si>
  <si>
    <t>-94.273319265</t>
  </si>
  <si>
    <t>393731</t>
  </si>
  <si>
    <t>4595511</t>
  </si>
  <si>
    <t>3750</t>
  </si>
  <si>
    <t>20221317789</t>
  </si>
  <si>
    <t>390922-2905</t>
  </si>
  <si>
    <t>20220906</t>
  </si>
  <si>
    <t>41.5042637257</t>
  </si>
  <si>
    <t>-94.2731890817</t>
  </si>
  <si>
    <t>393742.156</t>
  </si>
  <si>
    <t>4595520.5</t>
  </si>
  <si>
    <t>12:30</t>
  </si>
  <si>
    <t>Ran off road - straight</t>
  </si>
  <si>
    <t>2014801004</t>
  </si>
  <si>
    <t>2014020178</t>
  </si>
  <si>
    <t>390214-0333</t>
  </si>
  <si>
    <t>20140215</t>
  </si>
  <si>
    <t>41.5045698871</t>
  </si>
  <si>
    <t>-94.3320379416</t>
  </si>
  <si>
    <t>388831</t>
  </si>
  <si>
    <t>4595628</t>
  </si>
  <si>
    <t>20:58</t>
  </si>
  <si>
    <t>20191111383</t>
  </si>
  <si>
    <t>19-0231</t>
  </si>
  <si>
    <t>20190502</t>
  </si>
  <si>
    <t>41.504646984</t>
  </si>
  <si>
    <t>-94.2727412791</t>
  </si>
  <si>
    <t>393780.375</t>
  </si>
  <si>
    <t>4595561.5</t>
  </si>
  <si>
    <t>19:00</t>
  </si>
  <si>
    <t>W/B F065/WHITE POLE RD EAST 350TH</t>
  </si>
  <si>
    <t>20221334863</t>
  </si>
  <si>
    <t>22-0328</t>
  </si>
  <si>
    <t>20221207</t>
  </si>
  <si>
    <t>41.5054497813</t>
  </si>
  <si>
    <t>-94.2718224042</t>
  </si>
  <si>
    <t>393857.937</t>
  </si>
  <si>
    <t>4595650.5</t>
  </si>
  <si>
    <t>17:34</t>
  </si>
  <si>
    <t>20221288598</t>
  </si>
  <si>
    <t>22-0063</t>
  </si>
  <si>
    <t>20220224</t>
  </si>
  <si>
    <t>41.5070181427</t>
  </si>
  <si>
    <t>-94.2700917</t>
  </si>
  <si>
    <t>394004.968</t>
  </si>
  <si>
    <t>4595821.5</t>
  </si>
  <si>
    <t>15:40</t>
  </si>
  <si>
    <t>20170983475</t>
  </si>
  <si>
    <t>390517-1628</t>
  </si>
  <si>
    <t>20170518</t>
  </si>
  <si>
    <t>41.5073427742</t>
  </si>
  <si>
    <t>-94.3375826968</t>
  </si>
  <si>
    <t>388372.6</t>
  </si>
  <si>
    <t>4595943.07</t>
  </si>
  <si>
    <t>10:29</t>
  </si>
  <si>
    <t>VICTORY TRL AND F065/WHITE POLE RD</t>
  </si>
  <si>
    <t>16000</t>
  </si>
  <si>
    <t>20211273775</t>
  </si>
  <si>
    <t>391121-3713</t>
  </si>
  <si>
    <t>20211128</t>
  </si>
  <si>
    <t>41.5073696498</t>
  </si>
  <si>
    <t>-94.3375952324</t>
  </si>
  <si>
    <t>388371.75</t>
  </si>
  <si>
    <t>4595946.5</t>
  </si>
  <si>
    <t>20:00</t>
  </si>
  <si>
    <t>2050</t>
  </si>
  <si>
    <t>WHITE POLE RD AND VICTORY TRAIL</t>
  </si>
  <si>
    <t>20191101072</t>
  </si>
  <si>
    <t>390219-0640</t>
  </si>
  <si>
    <t>20190227</t>
  </si>
  <si>
    <t>41.5124081023</t>
  </si>
  <si>
    <t>-94.2607542137</t>
  </si>
  <si>
    <t>394792.656</t>
  </si>
  <si>
    <t>4596409</t>
  </si>
  <si>
    <t>07:07</t>
  </si>
  <si>
    <t>6030</t>
  </si>
  <si>
    <t>343RD ST</t>
  </si>
  <si>
    <t>20201201712</t>
  </si>
  <si>
    <t>20-0739</t>
  </si>
  <si>
    <t>20201118</t>
  </si>
  <si>
    <t>41.5129922809</t>
  </si>
  <si>
    <t>-94.2584048151</t>
  </si>
  <si>
    <t>394990.468</t>
  </si>
  <si>
    <t>4596471</t>
  </si>
  <si>
    <t>17:30</t>
  </si>
  <si>
    <t>2015879650</t>
  </si>
  <si>
    <t>3909152682</t>
  </si>
  <si>
    <t>20150917</t>
  </si>
  <si>
    <t>41.5134516213</t>
  </si>
  <si>
    <t>-94.2567599879</t>
  </si>
  <si>
    <t>395128</t>
  </si>
  <si>
    <t>4596520</t>
  </si>
  <si>
    <t>02:35</t>
  </si>
  <si>
    <t>Dexter</t>
  </si>
  <si>
    <t>Landscape/shrubbery</t>
  </si>
  <si>
    <t>2015893149</t>
  </si>
  <si>
    <t>391215-3417</t>
  </si>
  <si>
    <t>20151202</t>
  </si>
  <si>
    <t>41.5139570099</t>
  </si>
  <si>
    <t>-94.2550201581</t>
  </si>
  <si>
    <t>395274</t>
  </si>
  <si>
    <t>4596574</t>
  </si>
  <si>
    <t>21:30</t>
  </si>
  <si>
    <t>20191136274</t>
  </si>
  <si>
    <t>2019026332</t>
  </si>
  <si>
    <t>20190929</t>
  </si>
  <si>
    <t>41.5140319273</t>
  </si>
  <si>
    <t>-94.2547579658</t>
  </si>
  <si>
    <t>395296.343</t>
  </si>
  <si>
    <t>4596582</t>
  </si>
  <si>
    <t>06:00</t>
  </si>
  <si>
    <t>F065/WHITE POLE RD MEASURING 1055 FEET WEST FROM F065/WHITE POLE RD AND ZENITH RD</t>
  </si>
  <si>
    <t>Other post/pole/support</t>
  </si>
  <si>
    <t>20211270552</t>
  </si>
  <si>
    <t>2021026987</t>
  </si>
  <si>
    <t>20211104</t>
  </si>
  <si>
    <t>41.5148734816</t>
  </si>
  <si>
    <t>-94.2519220813</t>
  </si>
  <si>
    <t>395534.406</t>
  </si>
  <si>
    <t>4596672.5</t>
  </si>
  <si>
    <t>15:48</t>
  </si>
  <si>
    <t>WHITE POLE RD EB NEAR ZENITH AVE NB</t>
  </si>
  <si>
    <t>20201157529</t>
  </si>
  <si>
    <t>390119-0042</t>
  </si>
  <si>
    <t>20200103</t>
  </si>
  <si>
    <t>41.5150971717</t>
  </si>
  <si>
    <t>-94.2512313306</t>
  </si>
  <si>
    <t>395592.5</t>
  </si>
  <si>
    <t>4596695.5</t>
  </si>
  <si>
    <t>2014836843</t>
  </si>
  <si>
    <t>2014052196</t>
  </si>
  <si>
    <t>391214-2798</t>
  </si>
  <si>
    <t>20141210</t>
  </si>
  <si>
    <t>41.51510683</t>
  </si>
  <si>
    <t>-94.2511715975</t>
  </si>
  <si>
    <t>395597</t>
  </si>
  <si>
    <t>4596697</t>
  </si>
  <si>
    <t>13:57</t>
  </si>
  <si>
    <t>Co Rd F65/WHITE POLE RD &amp; ZENITH RD</t>
  </si>
  <si>
    <t>20181071814</t>
  </si>
  <si>
    <t>18-0414</t>
  </si>
  <si>
    <t>20181009</t>
  </si>
  <si>
    <t>41.5151158341</t>
  </si>
  <si>
    <t>-94.251171771</t>
  </si>
  <si>
    <t>395596.937</t>
  </si>
  <si>
    <t>4596697.5</t>
  </si>
  <si>
    <t>15:43</t>
  </si>
  <si>
    <t>F065/WHITE POLE RD AND ZENITH RD</t>
  </si>
  <si>
    <t>3300</t>
  </si>
  <si>
    <t>20211278696</t>
  </si>
  <si>
    <t>391221-3751</t>
  </si>
  <si>
    <t>20211202</t>
  </si>
  <si>
    <t>41.5151816084</t>
  </si>
  <si>
    <t>-94.2509213772</t>
  </si>
  <si>
    <t>395618.125</t>
  </si>
  <si>
    <t>4596705</t>
  </si>
  <si>
    <t>20201175137</t>
  </si>
  <si>
    <t>390620-1510</t>
  </si>
  <si>
    <t>20200605</t>
  </si>
  <si>
    <t>41.5157528099</t>
  </si>
  <si>
    <t>-94.2489190744</t>
  </si>
  <si>
    <t>395786.062</t>
  </si>
  <si>
    <t>4596766</t>
  </si>
  <si>
    <t>21:00</t>
  </si>
  <si>
    <t>2013758038</t>
  </si>
  <si>
    <t>2013032569</t>
  </si>
  <si>
    <t>A390913-1537</t>
  </si>
  <si>
    <t>20130913</t>
  </si>
  <si>
    <t>41.5160466884</t>
  </si>
  <si>
    <t>-94.3626405664</t>
  </si>
  <si>
    <t>386297</t>
  </si>
  <si>
    <t>4596942</t>
  </si>
  <si>
    <t>01:43</t>
  </si>
  <si>
    <t>20221329656</t>
  </si>
  <si>
    <t>391122-3578</t>
  </si>
  <si>
    <t>20221111</t>
  </si>
  <si>
    <t>41.5169893128</t>
  </si>
  <si>
    <t>-94.2445326727</t>
  </si>
  <si>
    <t>396154.281</t>
  </si>
  <si>
    <t>4596897.5</t>
  </si>
  <si>
    <t>18:10</t>
  </si>
  <si>
    <t>2013752892</t>
  </si>
  <si>
    <t>2013027979</t>
  </si>
  <si>
    <t>2013044019</t>
  </si>
  <si>
    <t>20130805</t>
  </si>
  <si>
    <t>41.5175902835</t>
  </si>
  <si>
    <t>-94.3691803767</t>
  </si>
  <si>
    <t>385754</t>
  </si>
  <si>
    <t>4597122</t>
  </si>
  <si>
    <t>17:00</t>
  </si>
  <si>
    <t>Co Rd F65/WHITE POLE RD &amp; 345TH TRL</t>
  </si>
  <si>
    <t>20171016908</t>
  </si>
  <si>
    <t>A391117-3940</t>
  </si>
  <si>
    <t>20171124</t>
  </si>
  <si>
    <t>41.5175924225</t>
  </si>
  <si>
    <t>-94.3690006586</t>
  </si>
  <si>
    <t>385768.625</t>
  </si>
  <si>
    <t>4597121.5</t>
  </si>
  <si>
    <t>13:40</t>
  </si>
  <si>
    <t>On overpass</t>
  </si>
  <si>
    <t>F065/WHITE POLE RD AND 345TH TRL</t>
  </si>
  <si>
    <t>2013729878</t>
  </si>
  <si>
    <t>2013008027</t>
  </si>
  <si>
    <t>20130305</t>
  </si>
  <si>
    <t>41.5176731293</t>
  </si>
  <si>
    <t>-94.242100977</t>
  </si>
  <si>
    <t>396358</t>
  </si>
  <si>
    <t>4596971</t>
  </si>
  <si>
    <t>20:09</t>
  </si>
  <si>
    <t>20211272269</t>
  </si>
  <si>
    <t>391121-3601</t>
  </si>
  <si>
    <t>20211117</t>
  </si>
  <si>
    <t>41.5177804135</t>
  </si>
  <si>
    <t>-94.3713655174</t>
  </si>
  <si>
    <t>385571.937</t>
  </si>
  <si>
    <t>4597146.5</t>
  </si>
  <si>
    <t>17:28</t>
  </si>
  <si>
    <t>20191118427</t>
  </si>
  <si>
    <t>390519-1853</t>
  </si>
  <si>
    <t>20190612</t>
  </si>
  <si>
    <t>41.5178040749</t>
  </si>
  <si>
    <t>-94.3678666157</t>
  </si>
  <si>
    <t>385864.406</t>
  </si>
  <si>
    <t>4597144.5</t>
  </si>
  <si>
    <t>11:15</t>
  </si>
  <si>
    <t>17500</t>
  </si>
  <si>
    <t>2015871553</t>
  </si>
  <si>
    <t>A390615-1639</t>
  </si>
  <si>
    <t>20150614</t>
  </si>
  <si>
    <t>41.5180636946</t>
  </si>
  <si>
    <t>-94.3657268933</t>
  </si>
  <si>
    <t>386043</t>
  </si>
  <si>
    <t>4597170</t>
  </si>
  <si>
    <t>On underpass</t>
  </si>
  <si>
    <t>Co Rd F65/WHITE POLE RD &amp; 340TH ST</t>
  </si>
  <si>
    <t>2013742792</t>
  </si>
  <si>
    <t>2013019190</t>
  </si>
  <si>
    <t>A390613-883</t>
  </si>
  <si>
    <t>20130603</t>
  </si>
  <si>
    <t>41.5181030257</t>
  </si>
  <si>
    <t>-94.3662070927</t>
  </si>
  <si>
    <t>386003</t>
  </si>
  <si>
    <t>4597175</t>
  </si>
  <si>
    <t>09:29</t>
  </si>
  <si>
    <t>Crossed centerline (undivided)</t>
  </si>
  <si>
    <t>20181062226</t>
  </si>
  <si>
    <t>2018021037</t>
  </si>
  <si>
    <t>20180811</t>
  </si>
  <si>
    <t>41.5181059475</t>
  </si>
  <si>
    <t>-94.3757826145</t>
  </si>
  <si>
    <t>385204.156</t>
  </si>
  <si>
    <t>4597188.5</t>
  </si>
  <si>
    <t>19:45</t>
  </si>
  <si>
    <t>2587 WHITE POLE RD AND TALON AVE MEASURING 1426 FEET EAST FROM F065/WHITE POLE RD</t>
  </si>
  <si>
    <t>2013729340</t>
  </si>
  <si>
    <t>2013007551</t>
  </si>
  <si>
    <t>20130307</t>
  </si>
  <si>
    <t>41.5181149531</t>
  </si>
  <si>
    <t>-94.3757828053</t>
  </si>
  <si>
    <t>385204</t>
  </si>
  <si>
    <t>4597189</t>
  </si>
  <si>
    <t>16:00</t>
  </si>
  <si>
    <t>Co Rd F65/WHITE POLE RD &amp; TALON AVE</t>
  </si>
  <si>
    <t>20170988360</t>
  </si>
  <si>
    <t>390617-2001</t>
  </si>
  <si>
    <t>20170617</t>
  </si>
  <si>
    <t>41.5181167181</t>
  </si>
  <si>
    <t>-94.3801451292</t>
  </si>
  <si>
    <t>384839.89</t>
  </si>
  <si>
    <t>4597195.37</t>
  </si>
  <si>
    <t>23:00</t>
  </si>
  <si>
    <t>Menlo</t>
  </si>
  <si>
    <t>1600</t>
  </si>
  <si>
    <t>20170983816</t>
  </si>
  <si>
    <t>390517-1621</t>
  </si>
  <si>
    <t>20170517</t>
  </si>
  <si>
    <t>41.518163138</t>
  </si>
  <si>
    <t>-94.394958718</t>
  </si>
  <si>
    <t>383604.35</t>
  </si>
  <si>
    <t>4597219.79</t>
  </si>
  <si>
    <t>16:42</t>
  </si>
  <si>
    <t>1880</t>
  </si>
  <si>
    <t>F065/WHITE POLE RD AND SYCAMORE AVE</t>
  </si>
  <si>
    <t>Other non-fixed object</t>
  </si>
  <si>
    <t>20171024354</t>
  </si>
  <si>
    <t>391217-4239</t>
  </si>
  <si>
    <t>20171224</t>
  </si>
  <si>
    <t>41.5181961731</t>
  </si>
  <si>
    <t>-94.4143739959</t>
  </si>
  <si>
    <t>381984</t>
  </si>
  <si>
    <t>4597249.5</t>
  </si>
  <si>
    <t>00:54</t>
  </si>
  <si>
    <t>P020/REDWOOD RD AND F065/WHITE POLE RD</t>
  </si>
  <si>
    <t>2014801016</t>
  </si>
  <si>
    <t>2014020188</t>
  </si>
  <si>
    <t>A390414-0841</t>
  </si>
  <si>
    <t>20140407</t>
  </si>
  <si>
    <t>41.5182137141</t>
  </si>
  <si>
    <t>-94.4078069811</t>
  </si>
  <si>
    <t>382532</t>
  </si>
  <si>
    <t>4597243</t>
  </si>
  <si>
    <t>7TH ST &amp; SHERIDAN ST</t>
  </si>
  <si>
    <t>FTYROW:  From driveway</t>
  </si>
  <si>
    <t>20181088925</t>
  </si>
  <si>
    <t>2018033259</t>
  </si>
  <si>
    <t>20181228</t>
  </si>
  <si>
    <t>41.5182265525</t>
  </si>
  <si>
    <t>-94.4045475281</t>
  </si>
  <si>
    <t>382803.781</t>
  </si>
  <si>
    <t>4597239.5</t>
  </si>
  <si>
    <t>06:11</t>
  </si>
  <si>
    <t>7TH ST AND SHERMAN ST</t>
  </si>
  <si>
    <t>20160904248</t>
  </si>
  <si>
    <t>2016002232</t>
  </si>
  <si>
    <t>20160125</t>
  </si>
  <si>
    <t>41.518247175</t>
  </si>
  <si>
    <t>-94.4479071614</t>
  </si>
  <si>
    <t>379185.73</t>
  </si>
  <si>
    <t>4597302.22</t>
  </si>
  <si>
    <t>23:15</t>
  </si>
  <si>
    <t>F065/WHITE POLE RD W OF PEACAN AVE.</t>
  </si>
  <si>
    <t>Embankment</t>
  </si>
  <si>
    <t>20170976683</t>
  </si>
  <si>
    <t>390417-1099</t>
  </si>
  <si>
    <t>20170404</t>
  </si>
  <si>
    <t>41.5182477922</t>
  </si>
  <si>
    <t>-94.4528566835</t>
  </si>
  <si>
    <t>378773.39</t>
  </si>
  <si>
    <t>4597308.9</t>
  </si>
  <si>
    <t>12:09</t>
  </si>
  <si>
    <t>Iowa Route</t>
  </si>
  <si>
    <t>25</t>
  </si>
  <si>
    <t>STATE 25/IOWA 25 AND F065/WHITE POLE RD AND PECAN AVE</t>
  </si>
  <si>
    <t>IA Route - Secondary</t>
  </si>
  <si>
    <t>Failed to keep in proper lane</t>
  </si>
  <si>
    <t>20211253502</t>
  </si>
  <si>
    <t>390821-2383</t>
  </si>
  <si>
    <t>20210803</t>
  </si>
  <si>
    <t>41.5182540355</t>
  </si>
  <si>
    <t>-94.4286365748</t>
  </si>
  <si>
    <t>380794.437</t>
  </si>
  <si>
    <t>4597275.5</t>
  </si>
  <si>
    <t>05:30</t>
  </si>
  <si>
    <t>20171023151</t>
  </si>
  <si>
    <t>391217-4109</t>
  </si>
  <si>
    <t>20171208</t>
  </si>
  <si>
    <t>41.5182676813</t>
  </si>
  <si>
    <t>-94.4462777554</t>
  </si>
  <si>
    <t>379322.343</t>
  </si>
  <si>
    <t>4597302</t>
  </si>
  <si>
    <t>00:10</t>
  </si>
  <si>
    <t>Driver Distraction:  Passenger</t>
  </si>
  <si>
    <t>20170962394</t>
  </si>
  <si>
    <t>390117-0041</t>
  </si>
  <si>
    <t>20170104</t>
  </si>
  <si>
    <t>41.518280732</t>
  </si>
  <si>
    <t>-94.4387758786</t>
  </si>
  <si>
    <t>379947.86</t>
  </si>
  <si>
    <t>4597293.41</t>
  </si>
  <si>
    <t>01:00</t>
  </si>
  <si>
    <t>15500</t>
  </si>
  <si>
    <t>20221280818</t>
  </si>
  <si>
    <t>390122-0054</t>
  </si>
  <si>
    <t>20220105</t>
  </si>
  <si>
    <t>41.5185045425</t>
  </si>
  <si>
    <t>-94.4142009458</t>
  </si>
  <si>
    <t>381999</t>
  </si>
  <si>
    <t>4597284</t>
  </si>
  <si>
    <t>21:15</t>
  </si>
  <si>
    <t>1750</t>
  </si>
  <si>
    <t>RANCH TRAIL</t>
  </si>
  <si>
    <t>20221335671</t>
  </si>
  <si>
    <t>22-0790</t>
  </si>
  <si>
    <t>20221206</t>
  </si>
  <si>
    <t>42.3981658232</t>
  </si>
  <si>
    <t>-94.3948831336</t>
  </si>
  <si>
    <t>385201.125</t>
  </si>
  <si>
    <t>4694928.5</t>
  </si>
  <si>
    <t>06:40</t>
  </si>
  <si>
    <t>1040</t>
  </si>
  <si>
    <t>D-36</t>
  </si>
  <si>
    <t>D36/D20</t>
  </si>
  <si>
    <t>20181038441</t>
  </si>
  <si>
    <t>18-10178</t>
  </si>
  <si>
    <t>20180316</t>
  </si>
  <si>
    <t>42.398166858</t>
  </si>
  <si>
    <t>-94.3947981035</t>
  </si>
  <si>
    <t>385208.281</t>
  </si>
  <si>
    <t>D036/270TH ST AND D036/OLD US 20</t>
  </si>
  <si>
    <t>2014804642</t>
  </si>
  <si>
    <t>2014023426</t>
  </si>
  <si>
    <t>14-0347</t>
  </si>
  <si>
    <t>20140622</t>
  </si>
  <si>
    <t>42.3981733614</t>
  </si>
  <si>
    <t>-94.3942636284</t>
  </si>
  <si>
    <t>385252</t>
  </si>
  <si>
    <t>4694928</t>
  </si>
  <si>
    <t>03:00</t>
  </si>
  <si>
    <t>Co Rd D36/OLD US 20</t>
  </si>
  <si>
    <t>2013749971</t>
  </si>
  <si>
    <t>13-036</t>
  </si>
  <si>
    <t>20130706</t>
  </si>
  <si>
    <t>42.3981822868</t>
  </si>
  <si>
    <t>-94.3972285325</t>
  </si>
  <si>
    <t>385008</t>
  </si>
  <si>
    <t>4694933</t>
  </si>
  <si>
    <t>Calhoun</t>
  </si>
  <si>
    <t>20191103127</t>
  </si>
  <si>
    <t>19-0152</t>
  </si>
  <si>
    <t>20190309</t>
  </si>
  <si>
    <t>42.3981940268</t>
  </si>
  <si>
    <t>-94.3940453781</t>
  </si>
  <si>
    <t>385270.187</t>
  </si>
  <si>
    <t>4694930</t>
  </si>
  <si>
    <t>14:04</t>
  </si>
  <si>
    <t>D036/OLD US 20</t>
  </si>
  <si>
    <t>2015849392</t>
  </si>
  <si>
    <t>15-0089</t>
  </si>
  <si>
    <t>20150308</t>
  </si>
  <si>
    <t>42.3984722541</t>
  </si>
  <si>
    <t>-94.3926420804</t>
  </si>
  <si>
    <t>385386</t>
  </si>
  <si>
    <t>4694959</t>
  </si>
  <si>
    <t>1800</t>
  </si>
  <si>
    <t>20221311550</t>
  </si>
  <si>
    <t>22-0434</t>
  </si>
  <si>
    <t>20220722</t>
  </si>
  <si>
    <t>42.4048952018</t>
  </si>
  <si>
    <t>-94.3783357413</t>
  </si>
  <si>
    <t>386574.843</t>
  </si>
  <si>
    <t>4695653</t>
  </si>
  <si>
    <t>18:07</t>
  </si>
  <si>
    <t>Moorland</t>
  </si>
  <si>
    <t>BAXTER AVE</t>
  </si>
  <si>
    <t>20000</t>
  </si>
  <si>
    <t>20181079832</t>
  </si>
  <si>
    <t>2018029175</t>
  </si>
  <si>
    <t>20181112</t>
  </si>
  <si>
    <t>42.4049312154</t>
  </si>
  <si>
    <t>-94.3783365298</t>
  </si>
  <si>
    <t>386574.906</t>
  </si>
  <si>
    <t>4695657</t>
  </si>
  <si>
    <t>11:10</t>
  </si>
  <si>
    <t>P29/D36</t>
  </si>
  <si>
    <t>45000</t>
  </si>
  <si>
    <t>20160943618</t>
  </si>
  <si>
    <t>2016025690</t>
  </si>
  <si>
    <t>20160929</t>
  </si>
  <si>
    <t>42.4049942394</t>
  </si>
  <si>
    <t>-94.3783379096</t>
  </si>
  <si>
    <t>386574.98</t>
  </si>
  <si>
    <t>4695663.69</t>
  </si>
  <si>
    <t>20:10</t>
  </si>
  <si>
    <t>D036/OLD US 20 AND P029/BAXTER AVE</t>
  </si>
  <si>
    <t>35000</t>
  </si>
  <si>
    <t>20171003851</t>
  </si>
  <si>
    <t>2017026498</t>
  </si>
  <si>
    <t>20170918</t>
  </si>
  <si>
    <t>10:10</t>
  </si>
  <si>
    <t>20221299982</t>
  </si>
  <si>
    <t>22-0246</t>
  </si>
  <si>
    <t>20220514</t>
  </si>
  <si>
    <t>42.408478721</t>
  </si>
  <si>
    <t>-94.3708918497</t>
  </si>
  <si>
    <t>387193.625</t>
  </si>
  <si>
    <t>4696041</t>
  </si>
  <si>
    <t>06:10</t>
  </si>
  <si>
    <t>20221331578</t>
  </si>
  <si>
    <t>22-0736</t>
  </si>
  <si>
    <t>20221115</t>
  </si>
  <si>
    <t>42.4113321276</t>
  </si>
  <si>
    <t>-94.364974727</t>
  </si>
  <si>
    <t>387686.437</t>
  </si>
  <si>
    <t>4696350</t>
  </si>
  <si>
    <t>05:45</t>
  </si>
  <si>
    <t>2013743486</t>
  </si>
  <si>
    <t>2013019815</t>
  </si>
  <si>
    <t>13-0128</t>
  </si>
  <si>
    <t>20130312</t>
  </si>
  <si>
    <t>42.414040892</t>
  </si>
  <si>
    <t>-94.3590782531</t>
  </si>
  <si>
    <t>388176</t>
  </si>
  <si>
    <t>4696643</t>
  </si>
  <si>
    <t>13:35</t>
  </si>
  <si>
    <t>2014798194</t>
  </si>
  <si>
    <t>2014017757</t>
  </si>
  <si>
    <t>2014027771</t>
  </si>
  <si>
    <t>20140507</t>
  </si>
  <si>
    <t>42.4163244348</t>
  </si>
  <si>
    <t>-94.3540836765</t>
  </si>
  <si>
    <t>388591</t>
  </si>
  <si>
    <t>4696890</t>
  </si>
  <si>
    <t>20171016687</t>
  </si>
  <si>
    <t>17-0666</t>
  </si>
  <si>
    <t>20171120</t>
  </si>
  <si>
    <t>42.4204049972</t>
  </si>
  <si>
    <t>-94.3448244859</t>
  </si>
  <si>
    <t>389360.125</t>
  </si>
  <si>
    <t>4697331</t>
  </si>
  <si>
    <t>00:25</t>
  </si>
  <si>
    <t>Unknown</t>
  </si>
  <si>
    <t>20160932031</t>
  </si>
  <si>
    <t>16-0363</t>
  </si>
  <si>
    <t>20160722</t>
  </si>
  <si>
    <t>42.4229462789</t>
  </si>
  <si>
    <t>-94.3392995476</t>
  </si>
  <si>
    <t>389818.9</t>
  </si>
  <si>
    <t>4697605.93</t>
  </si>
  <si>
    <t>07:15</t>
  </si>
  <si>
    <t>1050</t>
  </si>
  <si>
    <t>DAKOTA AVE AND D036</t>
  </si>
  <si>
    <t>2013743476</t>
  </si>
  <si>
    <t>2013019806</t>
  </si>
  <si>
    <t>13-0320</t>
  </si>
  <si>
    <t>20130613</t>
  </si>
  <si>
    <t>42.4242492563</t>
  </si>
  <si>
    <t>-94.3364585878</t>
  </si>
  <si>
    <t>390055</t>
  </si>
  <si>
    <t>4697747</t>
  </si>
  <si>
    <t>01:45</t>
  </si>
  <si>
    <t>4800</t>
  </si>
  <si>
    <t>20211262540</t>
  </si>
  <si>
    <t>21-0596</t>
  </si>
  <si>
    <t>20210929</t>
  </si>
  <si>
    <t>42.4259677831</t>
  </si>
  <si>
    <t>-94.3327267884</t>
  </si>
  <si>
    <t>390365.406</t>
  </si>
  <si>
    <t>4697933</t>
  </si>
  <si>
    <t>02:45</t>
  </si>
  <si>
    <t>20191138415</t>
  </si>
  <si>
    <t>19-0586</t>
  </si>
  <si>
    <t>20191011</t>
  </si>
  <si>
    <t>42.4285456329</t>
  </si>
  <si>
    <t>-94.3271043966</t>
  </si>
  <si>
    <t>390831.906</t>
  </si>
  <si>
    <t>4698211.5</t>
  </si>
  <si>
    <t>22:28</t>
  </si>
  <si>
    <t>1700</t>
  </si>
  <si>
    <t>2013761419</t>
  </si>
  <si>
    <t>2013035609</t>
  </si>
  <si>
    <t>13-0547</t>
  </si>
  <si>
    <t>20130929</t>
  </si>
  <si>
    <t>42.4319822527</t>
  </si>
  <si>
    <t>-94.3196152534</t>
  </si>
  <si>
    <t>391454</t>
  </si>
  <si>
    <t>4698584</t>
  </si>
  <si>
    <t>15:20</t>
  </si>
  <si>
    <t>Other non-collision</t>
  </si>
  <si>
    <t>20191147763</t>
  </si>
  <si>
    <t>19-0684</t>
  </si>
  <si>
    <t>20191120</t>
  </si>
  <si>
    <t>42.4337927892</t>
  </si>
  <si>
    <t>-94.3156656304</t>
  </si>
  <si>
    <t>391781.718</t>
  </si>
  <si>
    <t>4698780.5</t>
  </si>
  <si>
    <t>17:47</t>
  </si>
  <si>
    <t>2013770135</t>
  </si>
  <si>
    <t>2013043551</t>
  </si>
  <si>
    <t>13-0680</t>
  </si>
  <si>
    <t>20131129</t>
  </si>
  <si>
    <t>42.4342266994</t>
  </si>
  <si>
    <t>-94.314738585</t>
  </si>
  <si>
    <t>391859</t>
  </si>
  <si>
    <t>4698827</t>
  </si>
  <si>
    <t>06:43</t>
  </si>
  <si>
    <t>20181082171</t>
  </si>
  <si>
    <t>18-0678</t>
  </si>
  <si>
    <t>20181127</t>
  </si>
  <si>
    <t>42.4408946878</t>
  </si>
  <si>
    <t>-94.3002024157</t>
  </si>
  <si>
    <t>393066.062</t>
  </si>
  <si>
    <t>4699549</t>
  </si>
  <si>
    <t>16:28</t>
  </si>
  <si>
    <t>OLD US 20</t>
  </si>
  <si>
    <t>20201196296</t>
  </si>
  <si>
    <t>20-0639</t>
  </si>
  <si>
    <t>20201016</t>
  </si>
  <si>
    <t>42.4410986333</t>
  </si>
  <si>
    <t>-94.292522287</t>
  </si>
  <si>
    <t>393698.062</t>
  </si>
  <si>
    <t>4699562</t>
  </si>
  <si>
    <t>1070</t>
  </si>
  <si>
    <t>1550</t>
  </si>
  <si>
    <t>Mill and Overlay - Detour</t>
  </si>
  <si>
    <t>2013742599</t>
  </si>
  <si>
    <t>2013019015</t>
  </si>
  <si>
    <t>20130520</t>
  </si>
  <si>
    <t>42.4415224926</t>
  </si>
  <si>
    <t>-94.292470206</t>
  </si>
  <si>
    <t>393703</t>
  </si>
  <si>
    <t>4699609</t>
  </si>
  <si>
    <t>Lehigh</t>
  </si>
  <si>
    <t>MAIN ST &amp; FRONT ST</t>
  </si>
  <si>
    <t>Over correcting/over steering</t>
  </si>
  <si>
    <t>Other fixed object</t>
  </si>
  <si>
    <t>20201161513</t>
  </si>
  <si>
    <t>20-0069</t>
  </si>
  <si>
    <t>20200209</t>
  </si>
  <si>
    <t>42.4415508114</t>
  </si>
  <si>
    <t>-94.2907563881</t>
  </si>
  <si>
    <t>393843.75</t>
  </si>
  <si>
    <t>4699609.5</t>
  </si>
  <si>
    <t>08:08</t>
  </si>
  <si>
    <t>GRAND ST AND MAIN ST</t>
  </si>
  <si>
    <t>2600</t>
  </si>
  <si>
    <t>20181073520</t>
  </si>
  <si>
    <t>18-0570</t>
  </si>
  <si>
    <t>20181017</t>
  </si>
  <si>
    <t>42.4430289058</t>
  </si>
  <si>
    <t>-94.2954436876</t>
  </si>
  <si>
    <t>393461.093</t>
  </si>
  <si>
    <t>4699779.5</t>
  </si>
  <si>
    <t>15:50</t>
  </si>
  <si>
    <t>2ND ST</t>
  </si>
  <si>
    <t>2014818887</t>
  </si>
  <si>
    <t>2014035996</t>
  </si>
  <si>
    <t>14-0538</t>
  </si>
  <si>
    <t>20140926</t>
  </si>
  <si>
    <t>42.4432242391</t>
  </si>
  <si>
    <t>-94.2956908961</t>
  </si>
  <si>
    <t>393441</t>
  </si>
  <si>
    <t>4699802</t>
  </si>
  <si>
    <t>OLD US 20 &amp; 2ND ST</t>
  </si>
  <si>
    <t>2015856365</t>
  </si>
  <si>
    <t>15-0167</t>
  </si>
  <si>
    <t>20150424</t>
  </si>
  <si>
    <t>12:50</t>
  </si>
  <si>
    <t>4700</t>
  </si>
  <si>
    <t>20191093927</t>
  </si>
  <si>
    <t>19-0057</t>
  </si>
  <si>
    <t>20190126</t>
  </si>
  <si>
    <t>42.4458010954</t>
  </si>
  <si>
    <t>-94.2907950129</t>
  </si>
  <si>
    <t>393847.843</t>
  </si>
  <si>
    <t>4700081.5</t>
  </si>
  <si>
    <t>11:34</t>
  </si>
  <si>
    <t>1080</t>
  </si>
  <si>
    <t>GRAND ST</t>
  </si>
  <si>
    <t>2014788155</t>
  </si>
  <si>
    <t>2014009017</t>
  </si>
  <si>
    <t>14-0105</t>
  </si>
  <si>
    <t>20140225</t>
  </si>
  <si>
    <t>42.4459227274</t>
  </si>
  <si>
    <t>-94.291989162</t>
  </si>
  <si>
    <t>393750</t>
  </si>
  <si>
    <t>4700097</t>
  </si>
  <si>
    <t>Guardrail - face</t>
  </si>
  <si>
    <t>Webster Recon</t>
  </si>
  <si>
    <t>2013747426</t>
  </si>
  <si>
    <t>2013023161</t>
  </si>
  <si>
    <t>13-0373</t>
  </si>
  <si>
    <t>42.4461542589</t>
  </si>
  <si>
    <t>-94.2914224119</t>
  </si>
  <si>
    <t>393797</t>
  </si>
  <si>
    <t>4700122</t>
  </si>
  <si>
    <t>03:53</t>
  </si>
  <si>
    <t>Other:  No improper action</t>
  </si>
  <si>
    <t>20181074936</t>
  </si>
  <si>
    <t>18-0586</t>
  </si>
  <si>
    <t>20181023</t>
  </si>
  <si>
    <t>42.4462092387</t>
  </si>
  <si>
    <t>-94.291338423</t>
  </si>
  <si>
    <t>393803.906</t>
  </si>
  <si>
    <t>4700127.5</t>
  </si>
  <si>
    <t>Hit and run</t>
  </si>
  <si>
    <t>20160933128</t>
  </si>
  <si>
    <t>16-0348</t>
  </si>
  <si>
    <t>20160718</t>
  </si>
  <si>
    <t>42.4463956118</t>
  </si>
  <si>
    <t>-94.2907829005</t>
  </si>
  <si>
    <t>393850.27</t>
  </si>
  <si>
    <t>4700148.01</t>
  </si>
  <si>
    <t>GRAND ST AND OLD US 20 AND CO RD P33</t>
  </si>
  <si>
    <t>20181083487</t>
  </si>
  <si>
    <t>2018020386</t>
  </si>
  <si>
    <t>20180804</t>
  </si>
  <si>
    <t>393850.281</t>
  </si>
  <si>
    <t>4700148</t>
  </si>
  <si>
    <t>12:25</t>
  </si>
  <si>
    <t>OLD US 20 AND GRAND ST AND CO RD P33 MEASURING 619 FEET WEST FROM OLD US 20</t>
  </si>
  <si>
    <t>30000</t>
  </si>
  <si>
    <t>20211244232</t>
  </si>
  <si>
    <t>21-0337</t>
  </si>
  <si>
    <t>20210608</t>
  </si>
  <si>
    <t>42.4467199112</t>
  </si>
  <si>
    <t>-94.2899748483</t>
  </si>
  <si>
    <t>393917</t>
  </si>
  <si>
    <t>4700183</t>
  </si>
  <si>
    <t>16:24</t>
  </si>
  <si>
    <t>26500</t>
  </si>
  <si>
    <t>20181035759</t>
  </si>
  <si>
    <t>18-0126</t>
  </si>
  <si>
    <t>20180228</t>
  </si>
  <si>
    <t>42.447024283</t>
  </si>
  <si>
    <t>-94.2893366181</t>
  </si>
  <si>
    <t>393969.75</t>
  </si>
  <si>
    <t>4700216</t>
  </si>
  <si>
    <t>08:35</t>
  </si>
  <si>
    <t>2014798965</t>
  </si>
  <si>
    <t>2014018431</t>
  </si>
  <si>
    <t>2014028986</t>
  </si>
  <si>
    <t>20140514</t>
  </si>
  <si>
    <t>42.4496636361</t>
  </si>
  <si>
    <t>-94.2868735455</t>
  </si>
  <si>
    <t>394177</t>
  </si>
  <si>
    <t>4700506</t>
  </si>
  <si>
    <t>Co Rd D20/234TH ST &amp; Co Rd D36/GRANT AVE</t>
  </si>
  <si>
    <t>20211238711</t>
  </si>
  <si>
    <t>2021010418</t>
  </si>
  <si>
    <t>20210504</t>
  </si>
  <si>
    <t>42.4510534781</t>
  </si>
  <si>
    <t>-94.2866101439</t>
  </si>
  <si>
    <t>394201.343</t>
  </si>
  <si>
    <t>4700660</t>
  </si>
  <si>
    <t>09:47</t>
  </si>
  <si>
    <t>20</t>
  </si>
  <si>
    <t>Ramp</t>
  </si>
  <si>
    <t>US 20/SE RAMP 116MM INTERSCTION ON-RAMP</t>
  </si>
  <si>
    <t>20221292813</t>
  </si>
  <si>
    <t>22-0160</t>
  </si>
  <si>
    <t>20220324</t>
  </si>
  <si>
    <t>42.4510686189</t>
  </si>
  <si>
    <t>-94.2868658287</t>
  </si>
  <si>
    <t>394180.437</t>
  </si>
  <si>
    <t>4700661.5</t>
  </si>
  <si>
    <t>07:45</t>
  </si>
  <si>
    <t>RAMP US 20 E TO GRANT AVE, N</t>
  </si>
  <si>
    <t>Struck/struck by object/cargo/person from other vehicle</t>
  </si>
  <si>
    <t>20171004788</t>
  </si>
  <si>
    <t>17-0530</t>
  </si>
  <si>
    <t>20170923</t>
  </si>
  <si>
    <t>42.4510882643</t>
  </si>
  <si>
    <t>-94.2867203024</t>
  </si>
  <si>
    <t>394191.61</t>
  </si>
  <si>
    <t>4700664.26</t>
  </si>
  <si>
    <t>22:15</t>
  </si>
  <si>
    <t>1280</t>
  </si>
  <si>
    <t>D036/GRANT AVE</t>
  </si>
  <si>
    <t>Jackknife</t>
  </si>
  <si>
    <t>20191139957</t>
  </si>
  <si>
    <t>19-0604</t>
  </si>
  <si>
    <t>20191021</t>
  </si>
  <si>
    <t>42.4512055852</t>
  </si>
  <si>
    <t>-94.2866983827</t>
  </si>
  <si>
    <t>394194.468</t>
  </si>
  <si>
    <t>4700677</t>
  </si>
  <si>
    <t>08:50</t>
  </si>
  <si>
    <t>2014786460</t>
  </si>
  <si>
    <t>2014007483</t>
  </si>
  <si>
    <t>14-0090</t>
  </si>
  <si>
    <t>42.4513859329</t>
  </si>
  <si>
    <t>-94.2866777531</t>
  </si>
  <si>
    <t>394196</t>
  </si>
  <si>
    <t>4700697</t>
  </si>
  <si>
    <t>10:45</t>
  </si>
  <si>
    <t>Co Rd D36/GRANT AVE</t>
  </si>
  <si>
    <t>20160933129</t>
  </si>
  <si>
    <t>16-0379</t>
  </si>
  <si>
    <t>20160728</t>
  </si>
  <si>
    <t>42.4519535732</t>
  </si>
  <si>
    <t>-94.2866528909</t>
  </si>
  <si>
    <t>394199.49</t>
  </si>
  <si>
    <t>4700759.66</t>
  </si>
  <si>
    <t>22:40</t>
  </si>
  <si>
    <t>D036 / GRANT AVE</t>
  </si>
  <si>
    <t>2014830794</t>
  </si>
  <si>
    <t>2014046720</t>
  </si>
  <si>
    <t>14-0673</t>
  </si>
  <si>
    <t>20141126</t>
  </si>
  <si>
    <t>42.4526025217</t>
  </si>
  <si>
    <t>-94.2866053708</t>
  </si>
  <si>
    <t>394204</t>
  </si>
  <si>
    <t>4700832</t>
  </si>
  <si>
    <t>US 20 &amp; Co Rd D36/GRANT AVE</t>
  </si>
  <si>
    <t>20201204198</t>
  </si>
  <si>
    <t>20-0752</t>
  </si>
  <si>
    <t>20201208</t>
  </si>
  <si>
    <t>42.4531971729</t>
  </si>
  <si>
    <t>-94.2865810607</t>
  </si>
  <si>
    <t>394207.281</t>
  </si>
  <si>
    <t>4700898.5</t>
  </si>
  <si>
    <t>04:15</t>
  </si>
  <si>
    <t>Bridge/bridge rail parapet</t>
  </si>
  <si>
    <t>20201207621</t>
  </si>
  <si>
    <t>20-0787</t>
  </si>
  <si>
    <t>20201224</t>
  </si>
  <si>
    <t>42.4558832712</t>
  </si>
  <si>
    <t>-94.2863684953</t>
  </si>
  <si>
    <t>394228.593</t>
  </si>
  <si>
    <t>4701196.5</t>
  </si>
  <si>
    <t>3200</t>
  </si>
  <si>
    <t>2014811753</t>
  </si>
  <si>
    <t>2014029683</t>
  </si>
  <si>
    <t>14-0442</t>
  </si>
  <si>
    <t>20140809</t>
  </si>
  <si>
    <t>42.456099497</t>
  </si>
  <si>
    <t>-94.2863607597</t>
  </si>
  <si>
    <t>394230</t>
  </si>
  <si>
    <t>4701220</t>
  </si>
  <si>
    <t>03:09</t>
  </si>
  <si>
    <t>Co Rd D26/230TH ST &amp; Co Rd D36/GRANT AVE</t>
  </si>
  <si>
    <t>20160919138</t>
  </si>
  <si>
    <t>2016011116</t>
  </si>
  <si>
    <t>20160502</t>
  </si>
  <si>
    <t>42.4560994959</t>
  </si>
  <si>
    <t>-94.2863607596</t>
  </si>
  <si>
    <t>394230.24</t>
  </si>
  <si>
    <t>4701219.86</t>
  </si>
  <si>
    <t>13:45</t>
  </si>
  <si>
    <t>D036/GRANT AVE AND D026/230TH ST</t>
  </si>
  <si>
    <t>2010</t>
  </si>
  <si>
    <t>20211255932</t>
  </si>
  <si>
    <t>2021020199</t>
  </si>
  <si>
    <t>20210819</t>
  </si>
  <si>
    <t>394230.25</t>
  </si>
  <si>
    <t>08:20</t>
  </si>
  <si>
    <t>D026/230TH ST AND D036/GRANT AVE</t>
  </si>
  <si>
    <t>2015864616</t>
  </si>
  <si>
    <t>15-0277</t>
  </si>
  <si>
    <t>20150617</t>
  </si>
  <si>
    <t>42.4561262214</t>
  </si>
  <si>
    <t>-94.2839776158</t>
  </si>
  <si>
    <t>394426</t>
  </si>
  <si>
    <t>11:59</t>
  </si>
  <si>
    <t>Co Rd D26/230TH ST</t>
  </si>
  <si>
    <t>Vehicle went airborne</t>
  </si>
  <si>
    <t>20191100041</t>
  </si>
  <si>
    <t>19-0113</t>
  </si>
  <si>
    <t>20190220</t>
  </si>
  <si>
    <t>42.4561432611</t>
  </si>
  <si>
    <t>-94.274382387</t>
  </si>
  <si>
    <t>395214.968</t>
  </si>
  <si>
    <t>4701210.5</t>
  </si>
  <si>
    <t>06:55</t>
  </si>
  <si>
    <t>D026/230TH ST</t>
  </si>
  <si>
    <t>20221287748</t>
  </si>
  <si>
    <t>22-0103</t>
  </si>
  <si>
    <t>20220220</t>
  </si>
  <si>
    <t>42.4561461002</t>
  </si>
  <si>
    <t>-94.274127049</t>
  </si>
  <si>
    <t>395235.875</t>
  </si>
  <si>
    <t>18:15</t>
  </si>
  <si>
    <t>230TH ST</t>
  </si>
  <si>
    <t>20181083703</t>
  </si>
  <si>
    <t>18-0690</t>
  </si>
  <si>
    <t>20181202</t>
  </si>
  <si>
    <t>42.4561506967</t>
  </si>
  <si>
    <t>-94.2785661616</t>
  </si>
  <si>
    <t>394871.093</t>
  </si>
  <si>
    <t>4701215.5</t>
  </si>
  <si>
    <t>18:25</t>
  </si>
  <si>
    <t>Fence</t>
  </si>
  <si>
    <t>2013767633</t>
  </si>
  <si>
    <t>2013041294</t>
  </si>
  <si>
    <t>13-0647</t>
  </si>
  <si>
    <t>20131113</t>
  </si>
  <si>
    <t>42.4561525919</t>
  </si>
  <si>
    <t>-94.2808161139</t>
  </si>
  <si>
    <t>394686</t>
  </si>
  <si>
    <t>4701219</t>
  </si>
  <si>
    <t>2014791130</t>
  </si>
  <si>
    <t>2014011658</t>
  </si>
  <si>
    <t>14-0141</t>
  </si>
  <si>
    <t>20140315</t>
  </si>
  <si>
    <t>42.4561706511</t>
  </si>
  <si>
    <t>-94.2686669421</t>
  </si>
  <si>
    <t>395685</t>
  </si>
  <si>
    <t>4701206</t>
  </si>
  <si>
    <t>18:22</t>
  </si>
  <si>
    <t>Co Rd D20/OLD HWY 20 &amp; Co Rd D26/230TH ST</t>
  </si>
  <si>
    <t>25000</t>
  </si>
  <si>
    <t>20171000185</t>
  </si>
  <si>
    <t>17-0471</t>
  </si>
  <si>
    <t>20170824</t>
  </si>
  <si>
    <t>42.4561706499</t>
  </si>
  <si>
    <t>395684.66</t>
  </si>
  <si>
    <t>4701206.31</t>
  </si>
  <si>
    <t>17:40</t>
  </si>
  <si>
    <t>D026/230TH ST AND D020/OLD HWY 20</t>
  </si>
  <si>
    <t>13000</t>
  </si>
  <si>
    <t>20221282419</t>
  </si>
  <si>
    <t>2022001106</t>
  </si>
  <si>
    <t>20220114</t>
  </si>
  <si>
    <t>42.4562124514</t>
  </si>
  <si>
    <t>-94.2681448323</t>
  </si>
  <si>
    <t>395727.531</t>
  </si>
  <si>
    <t>4701210</t>
  </si>
  <si>
    <t>D20 / 1800' W - HAYES AVE</t>
  </si>
  <si>
    <t>20191103038</t>
  </si>
  <si>
    <t>19-0149</t>
  </si>
  <si>
    <t>20190308</t>
  </si>
  <si>
    <t>42.4563288355</t>
  </si>
  <si>
    <t>-94.2673931533</t>
  </si>
  <si>
    <t>395789.906</t>
  </si>
  <si>
    <t>4701221.5</t>
  </si>
  <si>
    <t>16:45</t>
  </si>
  <si>
    <t>D020/OLD HWY 20</t>
  </si>
  <si>
    <t>20160910940</t>
  </si>
  <si>
    <t>16-0113</t>
  </si>
  <si>
    <t>20160304</t>
  </si>
  <si>
    <t>42.4564245192</t>
  </si>
  <si>
    <t>-94.2668842894</t>
  </si>
  <si>
    <t>395832.14</t>
  </si>
  <si>
    <t>4701232.36</t>
  </si>
  <si>
    <t>05:35</t>
  </si>
  <si>
    <t>8400</t>
  </si>
  <si>
    <t>Driver Distraction:  Manual operation of an electronic communication device</t>
  </si>
  <si>
    <t>20221282097</t>
  </si>
  <si>
    <t>22-0030</t>
  </si>
  <si>
    <t>20220113</t>
  </si>
  <si>
    <t>42.4565378052</t>
  </si>
  <si>
    <t>-94.266412264</t>
  </si>
  <si>
    <t>395870.843</t>
  </si>
  <si>
    <t>4701243.5</t>
  </si>
  <si>
    <t>01:24</t>
  </si>
  <si>
    <t>D20</t>
  </si>
  <si>
    <t>20221312111</t>
  </si>
  <si>
    <t>22-0443</t>
  </si>
  <si>
    <t>20220726</t>
  </si>
  <si>
    <t>42.4575007734</t>
  </si>
  <si>
    <t>-94.2640236017</t>
  </si>
  <si>
    <t>396069.218</t>
  </si>
  <si>
    <t>4701348</t>
  </si>
  <si>
    <t>12:28</t>
  </si>
  <si>
    <t>1600 MM D20</t>
  </si>
  <si>
    <t>6700</t>
  </si>
  <si>
    <t>2013735852</t>
  </si>
  <si>
    <t>2013013156</t>
  </si>
  <si>
    <t>2013021970</t>
  </si>
  <si>
    <t>20130418</t>
  </si>
  <si>
    <t>42.4582945299</t>
  </si>
  <si>
    <t>-94.2622760614</t>
  </si>
  <si>
    <t>396214</t>
  </si>
  <si>
    <t>4701434</t>
  </si>
  <si>
    <t>20:02</t>
  </si>
  <si>
    <t>Co Rd D20/OLD HWY 20 &amp; HAYES AVE</t>
  </si>
  <si>
    <t>Railway vehicle/train</t>
  </si>
  <si>
    <t>20211225150</t>
  </si>
  <si>
    <t>2021003082</t>
  </si>
  <si>
    <t>20210205</t>
  </si>
  <si>
    <t>42.4583404849</t>
  </si>
  <si>
    <t>-94.2621918496</t>
  </si>
  <si>
    <t>396221.468</t>
  </si>
  <si>
    <t>4701439</t>
  </si>
  <si>
    <t>11:03</t>
  </si>
  <si>
    <t>D020/OLD HWY 20 AND HAYES AVE</t>
  </si>
  <si>
    <t>20191102528</t>
  </si>
  <si>
    <t>19-0137</t>
  </si>
  <si>
    <t>20190305</t>
  </si>
  <si>
    <t>42.4584420704</t>
  </si>
  <si>
    <t>-94.2619628093</t>
  </si>
  <si>
    <t>396240.25</t>
  </si>
  <si>
    <t>4701450</t>
  </si>
  <si>
    <t>17:15</t>
  </si>
  <si>
    <t>20181086198</t>
  </si>
  <si>
    <t>2018032202</t>
  </si>
  <si>
    <t>20181214</t>
  </si>
  <si>
    <t>42.4584974318</t>
  </si>
  <si>
    <t>-94.2618422995</t>
  </si>
  <si>
    <t>396249.968</t>
  </si>
  <si>
    <t>4701456</t>
  </si>
  <si>
    <t>07:51</t>
  </si>
  <si>
    <t>D020 EB JUST E HAYES AVE</t>
  </si>
  <si>
    <t>20201189239</t>
  </si>
  <si>
    <t>20-0546</t>
  </si>
  <si>
    <t>20200908</t>
  </si>
  <si>
    <t>42.4587004672</t>
  </si>
  <si>
    <t>-94.2613963754</t>
  </si>
  <si>
    <t>396287.281</t>
  </si>
  <si>
    <t>4701478</t>
  </si>
  <si>
    <t>14:11</t>
  </si>
  <si>
    <t>Fort Dodge</t>
  </si>
  <si>
    <t>Thrown or falling object</t>
  </si>
  <si>
    <t>20181050736</t>
  </si>
  <si>
    <t>18-0320</t>
  </si>
  <si>
    <t>20180603</t>
  </si>
  <si>
    <t>42.4589520707</t>
  </si>
  <si>
    <t>-94.2622649456</t>
  </si>
  <si>
    <t>396215.718</t>
  </si>
  <si>
    <t>4701507</t>
  </si>
  <si>
    <t>23:30</t>
  </si>
  <si>
    <t>1220</t>
  </si>
  <si>
    <t>HAYES AVE</t>
  </si>
  <si>
    <t>Trail</t>
  </si>
  <si>
    <t>20201157147</t>
  </si>
  <si>
    <t>20-0027</t>
  </si>
  <si>
    <t>20200115</t>
  </si>
  <si>
    <t>42.4598814265</t>
  </si>
  <si>
    <t>-94.2588294859</t>
  </si>
  <si>
    <t>396499.781</t>
  </si>
  <si>
    <t>4701605.5</t>
  </si>
  <si>
    <t>20160906260</t>
  </si>
  <si>
    <t>16-0065</t>
  </si>
  <si>
    <t>20160205</t>
  </si>
  <si>
    <t>42.4601952992</t>
  </si>
  <si>
    <t>-94.2581303498</t>
  </si>
  <si>
    <t>396557.56</t>
  </si>
  <si>
    <t>4701639.72</t>
  </si>
  <si>
    <t>2200 MILE D-20</t>
  </si>
  <si>
    <t>20160948056</t>
  </si>
  <si>
    <t>16-0565</t>
  </si>
  <si>
    <t>20161026</t>
  </si>
  <si>
    <t>42.4617638008</t>
  </si>
  <si>
    <t>-94.2547075242</t>
  </si>
  <si>
    <t>396841.88</t>
  </si>
  <si>
    <t>4701809.89</t>
  </si>
  <si>
    <t>08:46</t>
  </si>
  <si>
    <t>20191148508</t>
  </si>
  <si>
    <t>19-0694</t>
  </si>
  <si>
    <t>20191127</t>
  </si>
  <si>
    <t>42.4651217569</t>
  </si>
  <si>
    <t>-94.247391376</t>
  </si>
  <si>
    <t>397449.375</t>
  </si>
  <si>
    <t>4702174.5</t>
  </si>
  <si>
    <t>09:45</t>
  </si>
  <si>
    <t>20170971540</t>
  </si>
  <si>
    <t>2017006310</t>
  </si>
  <si>
    <t>20170224</t>
  </si>
  <si>
    <t>42.4654538331</t>
  </si>
  <si>
    <t>-94.246668159</t>
  </si>
  <si>
    <t>397508.71</t>
  </si>
  <si>
    <t>4702209.9</t>
  </si>
  <si>
    <t>14:58</t>
  </si>
  <si>
    <t>D020/OLD HWY 20 MEASURING 4588 FEET SOUTHWEST FROM D020/OLD HWY 20 AND 220TH ST</t>
  </si>
  <si>
    <t>20211222494</t>
  </si>
  <si>
    <t>21-0050</t>
  </si>
  <si>
    <t>20210124</t>
  </si>
  <si>
    <t>42.4660165517</t>
  </si>
  <si>
    <t>-94.2454386366</t>
  </si>
  <si>
    <t>397611</t>
  </si>
  <si>
    <t>4702271</t>
  </si>
  <si>
    <t>00:58</t>
  </si>
  <si>
    <t>2014825445</t>
  </si>
  <si>
    <t>2014041862</t>
  </si>
  <si>
    <t>14-0626</t>
  </si>
  <si>
    <t>20141104</t>
  </si>
  <si>
    <t>42.4663854248</t>
  </si>
  <si>
    <t>-94.2446431459</t>
  </si>
  <si>
    <t>397677</t>
  </si>
  <si>
    <t>4702311</t>
  </si>
  <si>
    <t>Co Rd D20/OLD HWY 20</t>
  </si>
  <si>
    <t>20191101889</t>
  </si>
  <si>
    <t>19-0129</t>
  </si>
  <si>
    <t>20190302</t>
  </si>
  <si>
    <t>42.4670773404</t>
  </si>
  <si>
    <t>-94.2431242126</t>
  </si>
  <si>
    <t>397803.25</t>
  </si>
  <si>
    <t>4702386</t>
  </si>
  <si>
    <t>15:54</t>
  </si>
  <si>
    <t>20211241866</t>
  </si>
  <si>
    <t>21-0297</t>
  </si>
  <si>
    <t>20210524</t>
  </si>
  <si>
    <t>42.4675755453</t>
  </si>
  <si>
    <t>-94.2420271546</t>
  </si>
  <si>
    <t>397894.5</t>
  </si>
  <si>
    <t>4702440.5</t>
  </si>
  <si>
    <t>20160953083</t>
  </si>
  <si>
    <t>16-0608</t>
  </si>
  <si>
    <t>42.4678613836</t>
  </si>
  <si>
    <t>-94.2414124433</t>
  </si>
  <si>
    <t>397945.43</t>
  </si>
  <si>
    <t>4702471.08</t>
  </si>
  <si>
    <t>06:53</t>
  </si>
  <si>
    <t>2014834003</t>
  </si>
  <si>
    <t>2014049667</t>
  </si>
  <si>
    <t>14-0717</t>
  </si>
  <si>
    <t>20141216</t>
  </si>
  <si>
    <t>42.4679904678</t>
  </si>
  <si>
    <t>-94.2411352222</t>
  </si>
  <si>
    <t>397968</t>
  </si>
  <si>
    <t>4702485</t>
  </si>
  <si>
    <t>18:50</t>
  </si>
  <si>
    <t>20170994816</t>
  </si>
  <si>
    <t>17-0406</t>
  </si>
  <si>
    <t>20170724</t>
  </si>
  <si>
    <t>42.4688483524</t>
  </si>
  <si>
    <t>-94.2392545618</t>
  </si>
  <si>
    <t>398123.95</t>
  </si>
  <si>
    <t>4702577.86</t>
  </si>
  <si>
    <t>14:14</t>
  </si>
  <si>
    <t>150000</t>
  </si>
  <si>
    <t>Non-contact vehicle (phantom)</t>
  </si>
  <si>
    <t>20160926326</t>
  </si>
  <si>
    <t>2016015234</t>
  </si>
  <si>
    <t>20160614</t>
  </si>
  <si>
    <t>42.4701950924</t>
  </si>
  <si>
    <t>-94.2363008458</t>
  </si>
  <si>
    <t>398369.07</t>
  </si>
  <si>
    <t>4702724.49</t>
  </si>
  <si>
    <t>21:55</t>
  </si>
  <si>
    <t>D020/OLD HWY 20 1 SOUTH OF FD</t>
  </si>
  <si>
    <t>20211221749</t>
  </si>
  <si>
    <t>21-0041</t>
  </si>
  <si>
    <t>20210119</t>
  </si>
  <si>
    <t>42.4705085677</t>
  </si>
  <si>
    <t>-94.2356258041</t>
  </si>
  <si>
    <t>398424.937</t>
  </si>
  <si>
    <t>4702757.5</t>
  </si>
  <si>
    <t>16:55</t>
  </si>
  <si>
    <t>20191120051</t>
  </si>
  <si>
    <t>2019016884</t>
  </si>
  <si>
    <t>20190624</t>
  </si>
  <si>
    <t>42.4705639019</t>
  </si>
  <si>
    <t>-94.2355052476</t>
  </si>
  <si>
    <t>398434.593</t>
  </si>
  <si>
    <t>4702763.5</t>
  </si>
  <si>
    <t>05:15</t>
  </si>
  <si>
    <t>D20 / 1834 BUS 20</t>
  </si>
  <si>
    <t>20181074086</t>
  </si>
  <si>
    <t>18-0580</t>
  </si>
  <si>
    <t>20181020</t>
  </si>
  <si>
    <t>42.471449232</t>
  </si>
  <si>
    <t>-94.233576314</t>
  </si>
  <si>
    <t>398595.25</t>
  </si>
  <si>
    <t>4702859.5</t>
  </si>
  <si>
    <t>20:20</t>
  </si>
  <si>
    <t>2014821139</t>
  </si>
  <si>
    <t>2014037993</t>
  </si>
  <si>
    <t>14-0569</t>
  </si>
  <si>
    <t>20141010</t>
  </si>
  <si>
    <t>42.47207641</t>
  </si>
  <si>
    <t>-94.2322018448</t>
  </si>
  <si>
    <t>398709</t>
  </si>
  <si>
    <t>4702928</t>
  </si>
  <si>
    <t>Co Rd D20/OLD HWY 20 &amp; 220TH ST</t>
  </si>
  <si>
    <t>2014829114</t>
  </si>
  <si>
    <t>2014045212</t>
  </si>
  <si>
    <t>2014064511</t>
  </si>
  <si>
    <t>20141118</t>
  </si>
  <si>
    <t>16450</t>
  </si>
  <si>
    <t>20160908993</t>
  </si>
  <si>
    <t>16-0091</t>
  </si>
  <si>
    <t>20160222</t>
  </si>
  <si>
    <t>42.4720764088</t>
  </si>
  <si>
    <t>398708.99</t>
  </si>
  <si>
    <t>4702927.51</t>
  </si>
  <si>
    <t>D020/OLD HWY 20 AND 220TH ST</t>
  </si>
  <si>
    <t>20201206206</t>
  </si>
  <si>
    <t>20-0764</t>
  </si>
  <si>
    <t>20201212</t>
  </si>
  <si>
    <t>42.4744465105</t>
  </si>
  <si>
    <t>-94.2270172834</t>
  </si>
  <si>
    <t>399138.937</t>
  </si>
  <si>
    <t>4703185</t>
  </si>
  <si>
    <t>3150</t>
  </si>
  <si>
    <t>20211233140</t>
  </si>
  <si>
    <t>21-0173</t>
  </si>
  <si>
    <t>20210326</t>
  </si>
  <si>
    <t>42.4759123289</t>
  </si>
  <si>
    <t>-94.2238463843</t>
  </si>
  <si>
    <t>399402.437</t>
  </si>
  <si>
    <t>4703344</t>
  </si>
  <si>
    <t>22:34</t>
  </si>
  <si>
    <t>2100</t>
  </si>
  <si>
    <t>2015837899</t>
  </si>
  <si>
    <t>15-0013</t>
  </si>
  <si>
    <t>20150105</t>
  </si>
  <si>
    <t>42.4770650625</t>
  </si>
  <si>
    <t>-94.2213140376</t>
  </si>
  <si>
    <t>399612</t>
  </si>
  <si>
    <t>4703469</t>
  </si>
  <si>
    <t>18000</t>
  </si>
  <si>
    <t>20171008976</t>
  </si>
  <si>
    <t>17-0575</t>
  </si>
  <si>
    <t>20171016</t>
  </si>
  <si>
    <t>42.4773232605</t>
  </si>
  <si>
    <t>-94.2207472656</t>
  </si>
  <si>
    <t>399658.84</t>
  </si>
  <si>
    <t>4703497.42</t>
  </si>
  <si>
    <t>20:21</t>
  </si>
  <si>
    <t>20191117546</t>
  </si>
  <si>
    <t>19-0345</t>
  </si>
  <si>
    <t>20190609</t>
  </si>
  <si>
    <t>42.4798771876</t>
  </si>
  <si>
    <t>-94.2151639112</t>
  </si>
  <si>
    <t>400121.656</t>
  </si>
  <si>
    <t>4703773.5</t>
  </si>
  <si>
    <t>21:50</t>
  </si>
  <si>
    <t>20171018496</t>
  </si>
  <si>
    <t>2017033104</t>
  </si>
  <si>
    <t>20171201</t>
  </si>
  <si>
    <t>42.4821961167</t>
  </si>
  <si>
    <t>-94.2104880844</t>
  </si>
  <si>
    <t>400510.156</t>
  </si>
  <si>
    <t>4704026</t>
  </si>
  <si>
    <t>D20/A ST W</t>
  </si>
  <si>
    <t>2015884844</t>
  </si>
  <si>
    <t>2015058855</t>
  </si>
  <si>
    <t>20151021</t>
  </si>
  <si>
    <t>42.4823974155</t>
  </si>
  <si>
    <t>-94.2101877951</t>
  </si>
  <si>
    <t>400535</t>
  </si>
  <si>
    <t>4704048</t>
  </si>
  <si>
    <t>2014820849</t>
  </si>
  <si>
    <t>2014037730</t>
  </si>
  <si>
    <t>14-0563</t>
  </si>
  <si>
    <t>20141009</t>
  </si>
  <si>
    <t>42.4827813585</t>
  </si>
  <si>
    <t>-94.2096476858</t>
  </si>
  <si>
    <t>400580</t>
  </si>
  <si>
    <t>4704090</t>
  </si>
  <si>
    <t>22:23</t>
  </si>
  <si>
    <t>500</t>
  </si>
  <si>
    <t>20160941975</t>
  </si>
  <si>
    <t>16-0478</t>
  </si>
  <si>
    <t>20160918</t>
  </si>
  <si>
    <t>42.4828361509</t>
  </si>
  <si>
    <t>-94.2095757401</t>
  </si>
  <si>
    <t>400585.86</t>
  </si>
  <si>
    <t>4704095.93</t>
  </si>
  <si>
    <t>12:29</t>
  </si>
  <si>
    <t>20211256945</t>
  </si>
  <si>
    <t>21-0510</t>
  </si>
  <si>
    <t>20210824</t>
  </si>
  <si>
    <t>42.4835233785</t>
  </si>
  <si>
    <t>-94.2084574465</t>
  </si>
  <si>
    <t>400679.437</t>
  </si>
  <si>
    <t>4704171</t>
  </si>
  <si>
    <t>Oversized load/vehicle</t>
  </si>
  <si>
    <t>20211264890</t>
  </si>
  <si>
    <t>FD21-2560</t>
  </si>
  <si>
    <t>20211012</t>
  </si>
  <si>
    <t>42.4838437733</t>
  </si>
  <si>
    <t>-94.2079647628</t>
  </si>
  <si>
    <t>400720.437</t>
  </si>
  <si>
    <t>4704206.5</t>
  </si>
  <si>
    <t>20:45</t>
  </si>
  <si>
    <t>KENYON RD AND HWY 169</t>
  </si>
  <si>
    <t>2014798659</t>
  </si>
  <si>
    <t>2014018162</t>
  </si>
  <si>
    <t>14-1398</t>
  </si>
  <si>
    <t>20140512</t>
  </si>
  <si>
    <t>42.4838873835</t>
  </si>
  <si>
    <t>-94.20809944</t>
  </si>
  <si>
    <t>400709</t>
  </si>
  <si>
    <t>4704211</t>
  </si>
  <si>
    <t>3501</t>
  </si>
  <si>
    <t>Improper or erratic lane changing</t>
  </si>
  <si>
    <t>20221312327</t>
  </si>
  <si>
    <t>FD22-2207</t>
  </si>
  <si>
    <t>20220801</t>
  </si>
  <si>
    <t>42.4838948472</t>
  </si>
  <si>
    <t>-94.2082455888</t>
  </si>
  <si>
    <t>400697.406</t>
  </si>
  <si>
    <t>4704212.5</t>
  </si>
  <si>
    <t>16:15</t>
  </si>
  <si>
    <t>300 BLK KENYON RD</t>
  </si>
  <si>
    <t>2014828689</t>
  </si>
  <si>
    <t>2014044822</t>
  </si>
  <si>
    <t>14-3705</t>
  </si>
  <si>
    <t>42.4841304587</t>
  </si>
  <si>
    <t>-94.2072524172</t>
  </si>
  <si>
    <t>400779</t>
  </si>
  <si>
    <t>4704237</t>
  </si>
  <si>
    <t>16:54</t>
  </si>
  <si>
    <t>169</t>
  </si>
  <si>
    <t>US 169</t>
  </si>
  <si>
    <t>20170971303</t>
  </si>
  <si>
    <t>17-0534</t>
  </si>
  <si>
    <t>20170227</t>
  </si>
  <si>
    <t>42.4841304574</t>
  </si>
  <si>
    <t>-94.2072524171</t>
  </si>
  <si>
    <t>400779.15</t>
  </si>
  <si>
    <t>4704237.47</t>
  </si>
  <si>
    <t>US 169 (MM: 0) MEASURING 100 FEET SOUTH FROM STATE 926/KENYON RD AND US 169 AND D020/OLD HWY 20 (MM: 1)</t>
  </si>
  <si>
    <t>20171008565</t>
  </si>
  <si>
    <t>17-0572</t>
  </si>
  <si>
    <t>20171015</t>
  </si>
  <si>
    <t>US 169 (MM: 0)</t>
  </si>
  <si>
    <t>2014830796</t>
  </si>
  <si>
    <t>2014046722</t>
  </si>
  <si>
    <t>14-0675</t>
  </si>
  <si>
    <t>42.4841712485</t>
  </si>
  <si>
    <t>-94.2076547176</t>
  </si>
  <si>
    <t>400746</t>
  </si>
  <si>
    <t>4704242</t>
  </si>
  <si>
    <t>18:23</t>
  </si>
  <si>
    <t>2015843004</t>
  </si>
  <si>
    <t>15-0049</t>
  </si>
  <si>
    <t>20150202</t>
  </si>
  <si>
    <t>1358</t>
  </si>
  <si>
    <t>20211222373</t>
  </si>
  <si>
    <t>FD21-0165</t>
  </si>
  <si>
    <t>20210123</t>
  </si>
  <si>
    <t>42.4842810886</t>
  </si>
  <si>
    <t>-94.20748649</t>
  </si>
  <si>
    <t>400759.593</t>
  </si>
  <si>
    <t>4704254</t>
  </si>
  <si>
    <t>14:50</t>
  </si>
  <si>
    <t>HIGHWAY 169/KENYON RD</t>
  </si>
  <si>
    <t>20181030766</t>
  </si>
  <si>
    <t>18-0399</t>
  </si>
  <si>
    <t>20180205</t>
  </si>
  <si>
    <t>42.4843196675</t>
  </si>
  <si>
    <t>-94.2072438883</t>
  </si>
  <si>
    <t>400780.062</t>
  </si>
  <si>
    <t>4704258.5</t>
  </si>
  <si>
    <t>13:31</t>
  </si>
  <si>
    <t>1120</t>
  </si>
  <si>
    <t>US 169 AND KENYON RD AND OLD HWY 20</t>
  </si>
  <si>
    <t>US Route - Municipal</t>
  </si>
  <si>
    <t>20201183059</t>
  </si>
  <si>
    <t>FD20-1912</t>
  </si>
  <si>
    <t>20200729</t>
  </si>
  <si>
    <t>42.4843556831</t>
  </si>
  <si>
    <t>-94.2072445809</t>
  </si>
  <si>
    <t>400780.25</t>
  </si>
  <si>
    <t>4704262.5</t>
  </si>
  <si>
    <t>14:45</t>
  </si>
  <si>
    <t>9500</t>
  </si>
  <si>
    <t>20221314420</t>
  </si>
  <si>
    <t>FD22-2363</t>
  </si>
  <si>
    <t>20220815</t>
  </si>
  <si>
    <t>42.4843564519</t>
  </si>
  <si>
    <t>-94.2071715925</t>
  </si>
  <si>
    <t>400785.656</t>
  </si>
  <si>
    <t>4704261.5</t>
  </si>
  <si>
    <t>12:34</t>
  </si>
  <si>
    <t>KENYON RD AND US 169 N</t>
  </si>
  <si>
    <t>20181035445</t>
  </si>
  <si>
    <t>2018004997</t>
  </si>
  <si>
    <t>42.484364687</t>
  </si>
  <si>
    <t>-94.207244754</t>
  </si>
  <si>
    <t>4704263</t>
  </si>
  <si>
    <t>08:02</t>
  </si>
  <si>
    <t>US 169 &amp; D20</t>
  </si>
  <si>
    <t>2014806941</t>
  </si>
  <si>
    <t>2014025418</t>
  </si>
  <si>
    <t>14-2059</t>
  </si>
  <si>
    <t>20140708</t>
  </si>
  <si>
    <t>42.4844007039</t>
  </si>
  <si>
    <t>-94.2072454466</t>
  </si>
  <si>
    <t>400780</t>
  </si>
  <si>
    <t>4704267</t>
  </si>
  <si>
    <t>08:05</t>
  </si>
  <si>
    <t>Both North and South</t>
  </si>
  <si>
    <t>US 169 &amp; KENYON RD &amp; OLD HWY 20</t>
  </si>
  <si>
    <t>20221298454</t>
  </si>
  <si>
    <t>FD22-1134</t>
  </si>
  <si>
    <t>20220504</t>
  </si>
  <si>
    <t>42.4844017277</t>
  </si>
  <si>
    <t>-94.2071481287</t>
  </si>
  <si>
    <t>400788.5</t>
  </si>
  <si>
    <t>14:00</t>
  </si>
  <si>
    <t>20170967584</t>
  </si>
  <si>
    <t>17-0340</t>
  </si>
  <si>
    <t>20170205</t>
  </si>
  <si>
    <t>42.4844277143</t>
  </si>
  <si>
    <t>-94.207245966</t>
  </si>
  <si>
    <t>400780.24</t>
  </si>
  <si>
    <t>4704270.38</t>
  </si>
  <si>
    <t>13:14</t>
  </si>
  <si>
    <t>STATE 926/KENYON RD AND US 169 AND D020/OLD HWY 20 (MM: 1)</t>
  </si>
  <si>
    <t>20160954167</t>
  </si>
  <si>
    <t>16-3538</t>
  </si>
  <si>
    <t>20161128</t>
  </si>
  <si>
    <t>42.4844367182</t>
  </si>
  <si>
    <t>-94.2072461391</t>
  </si>
  <si>
    <t>400780.15</t>
  </si>
  <si>
    <t>4704270.83</t>
  </si>
  <si>
    <t>2013743856</t>
  </si>
  <si>
    <t>2013020028</t>
  </si>
  <si>
    <t>13-0898</t>
  </si>
  <si>
    <t>20130404</t>
  </si>
  <si>
    <t>42.4844458515</t>
  </si>
  <si>
    <t>-94.2072341476</t>
  </si>
  <si>
    <t>400781</t>
  </si>
  <si>
    <t>4704272</t>
  </si>
  <si>
    <t>06:35</t>
  </si>
  <si>
    <t>US 169 &amp; IA 926/KENYON RD &amp; Co Rd D20/OLD HWY 20</t>
  </si>
  <si>
    <t>US Route - IA Route</t>
  </si>
  <si>
    <t>2013748130</t>
  </si>
  <si>
    <t>2013023771</t>
  </si>
  <si>
    <t>13-1910</t>
  </si>
  <si>
    <t>20130711</t>
  </si>
  <si>
    <t>Ran traffic signal</t>
  </si>
  <si>
    <t>2013750120</t>
  </si>
  <si>
    <t>2013025546</t>
  </si>
  <si>
    <t>13-0424</t>
  </si>
  <si>
    <t>20130725</t>
  </si>
  <si>
    <t>20:55</t>
  </si>
  <si>
    <t>2013765713</t>
  </si>
  <si>
    <t>2013039509</t>
  </si>
  <si>
    <t>13-3329</t>
  </si>
  <si>
    <t>20131107</t>
  </si>
  <si>
    <t>No Travel Direction Consistent with Route</t>
  </si>
  <si>
    <t>2013776411</t>
  </si>
  <si>
    <t>2013049284</t>
  </si>
  <si>
    <t>13-3821</t>
  </si>
  <si>
    <t>20131230</t>
  </si>
  <si>
    <t>11:32</t>
  </si>
  <si>
    <t>8500</t>
  </si>
  <si>
    <t>2014830218</t>
  </si>
  <si>
    <t>2014046202</t>
  </si>
  <si>
    <t>14-3790</t>
  </si>
  <si>
    <t>2015869034</t>
  </si>
  <si>
    <t>15-2153</t>
  </si>
  <si>
    <t>20150717</t>
  </si>
  <si>
    <t>2015893802</t>
  </si>
  <si>
    <t>15-0684</t>
  </si>
  <si>
    <t>20151206</t>
  </si>
  <si>
    <t>18:31</t>
  </si>
  <si>
    <t>20160930448</t>
  </si>
  <si>
    <t>16-1991</t>
  </si>
  <si>
    <t>20160712</t>
  </si>
  <si>
    <t>42.4844458502</t>
  </si>
  <si>
    <t>-94.2072341475</t>
  </si>
  <si>
    <t>400780.67</t>
  </si>
  <si>
    <t>4704271.81</t>
  </si>
  <si>
    <t>12:10</t>
  </si>
  <si>
    <t>20160942539</t>
  </si>
  <si>
    <t>16-2866</t>
  </si>
  <si>
    <t>20160926</t>
  </si>
  <si>
    <t>07:35</t>
  </si>
  <si>
    <t>OLD HWY 20/US 169</t>
  </si>
  <si>
    <t>20160945096</t>
  </si>
  <si>
    <t>16-3064</t>
  </si>
  <si>
    <t>20161011</t>
  </si>
  <si>
    <t>11:00</t>
  </si>
  <si>
    <t>20170987826</t>
  </si>
  <si>
    <t>17-1717</t>
  </si>
  <si>
    <t>20170616</t>
  </si>
  <si>
    <t>09:14</t>
  </si>
  <si>
    <t>20181036603</t>
  </si>
  <si>
    <t>2018004627</t>
  </si>
  <si>
    <t>20180221</t>
  </si>
  <si>
    <t>400780.656</t>
  </si>
  <si>
    <t>07:40</t>
  </si>
  <si>
    <t>20181037452</t>
  </si>
  <si>
    <t>2018006260</t>
  </si>
  <si>
    <t>20180309</t>
  </si>
  <si>
    <t>08:15</t>
  </si>
  <si>
    <t>FTYROW:  From yield sign</t>
  </si>
  <si>
    <t>20181053641</t>
  </si>
  <si>
    <t>18-1724</t>
  </si>
  <si>
    <t>20180610</t>
  </si>
  <si>
    <t>20181060010</t>
  </si>
  <si>
    <t>2018019741</t>
  </si>
  <si>
    <t>20180730</t>
  </si>
  <si>
    <t>11:25</t>
  </si>
  <si>
    <t>20191101434</t>
  </si>
  <si>
    <t>FD19-0563</t>
  </si>
  <si>
    <t>21:03</t>
  </si>
  <si>
    <t>8353</t>
  </si>
  <si>
    <t>Improper backing</t>
  </si>
  <si>
    <t>20191113372</t>
  </si>
  <si>
    <t>FD19-1368</t>
  </si>
  <si>
    <t>20190515</t>
  </si>
  <si>
    <t>11:54</t>
  </si>
  <si>
    <t>20191133190</t>
  </si>
  <si>
    <t>FD19-2738</t>
  </si>
  <si>
    <t>20190913</t>
  </si>
  <si>
    <t>20191148420</t>
  </si>
  <si>
    <t>FD19-3458</t>
  </si>
  <si>
    <t>13:50</t>
  </si>
  <si>
    <t>20201198893</t>
  </si>
  <si>
    <t>FD20-2992</t>
  </si>
  <si>
    <t>20201105</t>
  </si>
  <si>
    <t>Operator inexperience</t>
  </si>
  <si>
    <t>20201205600</t>
  </si>
  <si>
    <t>FD20-3360</t>
  </si>
  <si>
    <t>2015854594</t>
  </si>
  <si>
    <t>15-1072</t>
  </si>
  <si>
    <t>20150415</t>
  </si>
  <si>
    <t>42.484455368</t>
  </si>
  <si>
    <t>-94.2071856617</t>
  </si>
  <si>
    <t>400785</t>
  </si>
  <si>
    <t>4704273</t>
  </si>
  <si>
    <t>09:11</t>
  </si>
  <si>
    <t>1850</t>
  </si>
  <si>
    <t>20221312287</t>
  </si>
  <si>
    <t>FD22-2201</t>
  </si>
  <si>
    <t>42.4844662926</t>
  </si>
  <si>
    <t>-94.2070033636</t>
  </si>
  <si>
    <t>400800.5</t>
  </si>
  <si>
    <t>4704274.5</t>
  </si>
  <si>
    <t>11:31</t>
  </si>
  <si>
    <t>HWY 169 / KENYON RD</t>
  </si>
  <si>
    <t>Fell/jumped from vehicle</t>
  </si>
  <si>
    <t>20170975010</t>
  </si>
  <si>
    <t>17-0772</t>
  </si>
  <si>
    <t>20170324</t>
  </si>
  <si>
    <t>42.4844727338</t>
  </si>
  <si>
    <t>-94.2072468317</t>
  </si>
  <si>
    <t>400779.97</t>
  </si>
  <si>
    <t>4704274.58</t>
  </si>
  <si>
    <t>11:30</t>
  </si>
  <si>
    <t>STATE 926/KENYON RD AND US 169 AND D020</t>
  </si>
  <si>
    <t>20160913532</t>
  </si>
  <si>
    <t>16-0839</t>
  </si>
  <si>
    <t>20160326</t>
  </si>
  <si>
    <t>42.4844732464</t>
  </si>
  <si>
    <t>-94.2071981727</t>
  </si>
  <si>
    <t>400784.5</t>
  </si>
  <si>
    <t>4704275.15</t>
  </si>
  <si>
    <t>01:18</t>
  </si>
  <si>
    <t>US 169 AND STATE 926/KENYON RD</t>
  </si>
  <si>
    <t>12000</t>
  </si>
  <si>
    <t>20211228642</t>
  </si>
  <si>
    <t>FD21-0424</t>
  </si>
  <si>
    <t>20210223</t>
  </si>
  <si>
    <t>42.4844825066</t>
  </si>
  <si>
    <t>-94.2071740163</t>
  </si>
  <si>
    <t>400786.343</t>
  </si>
  <si>
    <t>4704276.5</t>
  </si>
  <si>
    <t>13:10</t>
  </si>
  <si>
    <t>KENYON RD</t>
  </si>
  <si>
    <t>20201158298</t>
  </si>
  <si>
    <t>FD20-0187</t>
  </si>
  <si>
    <t>20200121</t>
  </si>
  <si>
    <t>42.4845099027</t>
  </si>
  <si>
    <t>-94.2071380415</t>
  </si>
  <si>
    <t>400789.25</t>
  </si>
  <si>
    <t>4704279</t>
  </si>
  <si>
    <t>169 AND KENYON RD</t>
  </si>
  <si>
    <t>2014797054</t>
  </si>
  <si>
    <t>2014016767</t>
  </si>
  <si>
    <t>14-1260</t>
  </si>
  <si>
    <t>20140501</t>
  </si>
  <si>
    <t>42.4845187797</t>
  </si>
  <si>
    <t>-94.2071503794</t>
  </si>
  <si>
    <t>400788</t>
  </si>
  <si>
    <t>4704280</t>
  </si>
  <si>
    <t>14:31</t>
  </si>
  <si>
    <t>20191131143</t>
  </si>
  <si>
    <t>FD19-2597</t>
  </si>
  <si>
    <t>20190901</t>
  </si>
  <si>
    <t>42.484519291</t>
  </si>
  <si>
    <t>-94.2071017203</t>
  </si>
  <si>
    <t>400791.562</t>
  </si>
  <si>
    <t>4704280.5</t>
  </si>
  <si>
    <t>3050</t>
  </si>
  <si>
    <t>20201158052</t>
  </si>
  <si>
    <t>FD20-0170</t>
  </si>
  <si>
    <t>20200120</t>
  </si>
  <si>
    <t>42.4845374269</t>
  </si>
  <si>
    <t>-94.2070899018</t>
  </si>
  <si>
    <t>400792.718</t>
  </si>
  <si>
    <t>4704281.5</t>
  </si>
  <si>
    <t>07:57</t>
  </si>
  <si>
    <t>20191096261</t>
  </si>
  <si>
    <t>FD19-0354</t>
  </si>
  <si>
    <t>20190206</t>
  </si>
  <si>
    <t>42.484546559</t>
  </si>
  <si>
    <t>-94.2070779101</t>
  </si>
  <si>
    <t>400794.343</t>
  </si>
  <si>
    <t>4704283</t>
  </si>
  <si>
    <t>20160910557</t>
  </si>
  <si>
    <t>16-0637</t>
  </si>
  <si>
    <t>20160303</t>
  </si>
  <si>
    <t>42.4845544096</t>
  </si>
  <si>
    <t>-94.2071875661</t>
  </si>
  <si>
    <t>400784.57</t>
  </si>
  <si>
    <t>4704284.24</t>
  </si>
  <si>
    <t>14:20</t>
  </si>
  <si>
    <t>13500</t>
  </si>
  <si>
    <t>Re-entering roadway</t>
  </si>
  <si>
    <t>20181047387</t>
  </si>
  <si>
    <t>18-0272</t>
  </si>
  <si>
    <t>20180511</t>
  </si>
  <si>
    <t>42.4846080486</t>
  </si>
  <si>
    <t>-94.2072250993</t>
  </si>
  <si>
    <t>400781.531</t>
  </si>
  <si>
    <t>4704290</t>
  </si>
  <si>
    <t>US 169 AND KENYON RD</t>
  </si>
  <si>
    <t>20170975197</t>
  </si>
  <si>
    <t>17-0792</t>
  </si>
  <si>
    <t>20170326</t>
  </si>
  <si>
    <t>42.4847027337</t>
  </si>
  <si>
    <t>-94.2076406067</t>
  </si>
  <si>
    <t>400748.46</t>
  </si>
  <si>
    <t>4704300.83</t>
  </si>
  <si>
    <t>1130</t>
  </si>
  <si>
    <t>100 KENYON RD</t>
  </si>
  <si>
    <t>20221317363</t>
  </si>
  <si>
    <t>FD22-2576</t>
  </si>
  <si>
    <t>20220902</t>
  </si>
  <si>
    <t>42.4848590044</t>
  </si>
  <si>
    <t>-94.2073394305</t>
  </si>
  <si>
    <t>400772.75</t>
  </si>
  <si>
    <t>4704317.5</t>
  </si>
  <si>
    <t>19:13</t>
  </si>
  <si>
    <t>KENYON RD US 169 S</t>
  </si>
  <si>
    <t>20191095888</t>
  </si>
  <si>
    <t>19-002219</t>
  </si>
  <si>
    <t>20190204</t>
  </si>
  <si>
    <t>42.8278172566</t>
  </si>
  <si>
    <t>-91.6609475031</t>
  </si>
  <si>
    <t>609448.75</t>
  </si>
  <si>
    <t>4742564</t>
  </si>
  <si>
    <t>23:05</t>
  </si>
  <si>
    <t>2070</t>
  </si>
  <si>
    <t>W051/D AVE</t>
  </si>
  <si>
    <t>W51</t>
  </si>
  <si>
    <t>20181021759</t>
  </si>
  <si>
    <t>18-000024</t>
  </si>
  <si>
    <t>20180101</t>
  </si>
  <si>
    <t>42.8288137167</t>
  </si>
  <si>
    <t>-91.6606813003</t>
  </si>
  <si>
    <t>609469.125</t>
  </si>
  <si>
    <t>4742675</t>
  </si>
  <si>
    <t>05:33</t>
  </si>
  <si>
    <t>11</t>
  </si>
  <si>
    <t>20221322599</t>
  </si>
  <si>
    <t>22-022591</t>
  </si>
  <si>
    <t>20221002</t>
  </si>
  <si>
    <t>42.8338049182</t>
  </si>
  <si>
    <t>-91.6570374505</t>
  </si>
  <si>
    <t>609757.75</t>
  </si>
  <si>
    <t>4743234</t>
  </si>
  <si>
    <t>03:17</t>
  </si>
  <si>
    <t>1010</t>
  </si>
  <si>
    <t>MILL ST</t>
  </si>
  <si>
    <t>20170994042</t>
  </si>
  <si>
    <t>17-013948</t>
  </si>
  <si>
    <t>20170718</t>
  </si>
  <si>
    <t>42.8354260094</t>
  </si>
  <si>
    <t>-91.6570512858</t>
  </si>
  <si>
    <t>609754.46</t>
  </si>
  <si>
    <t>4743414.41</t>
  </si>
  <si>
    <t>23:09</t>
  </si>
  <si>
    <t>2013766134</t>
  </si>
  <si>
    <t>2013039895</t>
  </si>
  <si>
    <t>13-009433</t>
  </si>
  <si>
    <t>20131018</t>
  </si>
  <si>
    <t>42.8384509746</t>
  </si>
  <si>
    <t>-91.6569857688</t>
  </si>
  <si>
    <t>609754</t>
  </si>
  <si>
    <t>4743750</t>
  </si>
  <si>
    <t>16:57</t>
  </si>
  <si>
    <t>Wadena</t>
  </si>
  <si>
    <t>MILL ST &amp; S MILL ST &amp; W WATER AVE &amp; E WATER AVE</t>
  </si>
  <si>
    <t>20181058010</t>
  </si>
  <si>
    <t>2018018475</t>
  </si>
  <si>
    <t>20180714</t>
  </si>
  <si>
    <t>42.8397924006</t>
  </si>
  <si>
    <t>-91.6569567119</t>
  </si>
  <si>
    <t>609754.13</t>
  </si>
  <si>
    <t>4743898.92</t>
  </si>
  <si>
    <t>W WILLOW AVE and S MILL ST and E 2ND AVE</t>
  </si>
  <si>
    <t>22000</t>
  </si>
  <si>
    <t>Failed to yield to emergency vehicle</t>
  </si>
  <si>
    <t>20191114086</t>
  </si>
  <si>
    <t>19-008705</t>
  </si>
  <si>
    <t>20190517</t>
  </si>
  <si>
    <t>42.8408723137</t>
  </si>
  <si>
    <t>-91.6568966076</t>
  </si>
  <si>
    <t>609756.812</t>
  </si>
  <si>
    <t>4744019</t>
  </si>
  <si>
    <t>06:20</t>
  </si>
  <si>
    <t>S MILL ST</t>
  </si>
  <si>
    <t>Mlll And Overlay</t>
  </si>
  <si>
    <t>20201164975</t>
  </si>
  <si>
    <t>20-003265</t>
  </si>
  <si>
    <t>20200229</t>
  </si>
  <si>
    <t>42.842900541</t>
  </si>
  <si>
    <t>-91.6570729376</t>
  </si>
  <si>
    <t>609738.937</t>
  </si>
  <si>
    <t>4744243.5</t>
  </si>
  <si>
    <t>6110</t>
  </si>
  <si>
    <t>W HERRIMAN AVE</t>
  </si>
  <si>
    <t>2015880604</t>
  </si>
  <si>
    <t>15-012821</t>
  </si>
  <si>
    <t>42.8429195028</t>
  </si>
  <si>
    <t>-91.654086627</t>
  </si>
  <si>
    <t>609983</t>
  </si>
  <si>
    <t>4744250</t>
  </si>
  <si>
    <t>17:54</t>
  </si>
  <si>
    <t>E HERRIMAN AVE &amp; N RIVER ST</t>
  </si>
  <si>
    <t>20160908571</t>
  </si>
  <si>
    <t>16-002589</t>
  </si>
  <si>
    <t>20160217</t>
  </si>
  <si>
    <t>42.8429694911</t>
  </si>
  <si>
    <t>-91.6537428972</t>
  </si>
  <si>
    <t>610010.9</t>
  </si>
  <si>
    <t>4744255.76</t>
  </si>
  <si>
    <t>E HERRIMAN AVE</t>
  </si>
  <si>
    <t>20221305826</t>
  </si>
  <si>
    <t>22-013946</t>
  </si>
  <si>
    <t>20220619</t>
  </si>
  <si>
    <t>42.8432964856</t>
  </si>
  <si>
    <t>-91.6524508724</t>
  </si>
  <si>
    <t>610116.375</t>
  </si>
  <si>
    <t>4744294</t>
  </si>
  <si>
    <t>03:57</t>
  </si>
  <si>
    <t>6090</t>
  </si>
  <si>
    <t>147TH ST</t>
  </si>
  <si>
    <t>20160953123</t>
  </si>
  <si>
    <t>16-019863</t>
  </si>
  <si>
    <t>42.8450198457</t>
  </si>
  <si>
    <t>-91.651972852</t>
  </si>
  <si>
    <t>610151.59</t>
  </si>
  <si>
    <t>4744485.84</t>
  </si>
  <si>
    <t>16:56</t>
  </si>
  <si>
    <t>2150</t>
  </si>
  <si>
    <t>W051/CEDAR RD MEASURING 610 FEET NORTH FROM E HERRIMAN AVE AND 147TH ST</t>
  </si>
  <si>
    <t>20191147752</t>
  </si>
  <si>
    <t>19-020828</t>
  </si>
  <si>
    <t>20191122</t>
  </si>
  <si>
    <t>42.847144371</t>
  </si>
  <si>
    <t>-91.6519144107</t>
  </si>
  <si>
    <t>610152.562</t>
  </si>
  <si>
    <t>4744722.5</t>
  </si>
  <si>
    <t>W051/CEDAR RD</t>
  </si>
  <si>
    <t>2015855283</t>
  </si>
  <si>
    <t>20150414</t>
  </si>
  <si>
    <t>43.1943278868</t>
  </si>
  <si>
    <t>-92.4168325443</t>
  </si>
  <si>
    <t>547383</t>
  </si>
  <si>
    <t>4782560</t>
  </si>
  <si>
    <t>17:45</t>
  </si>
  <si>
    <t>Alta Vista</t>
  </si>
  <si>
    <t>WHITE ST</t>
  </si>
  <si>
    <t>6</t>
  </si>
  <si>
    <t>Recon</t>
  </si>
  <si>
    <t>2013749784</t>
  </si>
  <si>
    <t>2013025246</t>
  </si>
  <si>
    <t>20130514</t>
  </si>
  <si>
    <t>43.1955075148</t>
  </si>
  <si>
    <t>-92.416833619</t>
  </si>
  <si>
    <t>547382</t>
  </si>
  <si>
    <t>4782691</t>
  </si>
  <si>
    <t>20191152895</t>
  </si>
  <si>
    <t xml:space="preserve"> </t>
  </si>
  <si>
    <t>20191216</t>
  </si>
  <si>
    <t>43.1968312727</t>
  </si>
  <si>
    <t>-92.4168456288</t>
  </si>
  <si>
    <t>547380.45</t>
  </si>
  <si>
    <t>4782837.78</t>
  </si>
  <si>
    <t>00:28</t>
  </si>
  <si>
    <t>20181053696</t>
  </si>
  <si>
    <t>18-008881</t>
  </si>
  <si>
    <t>43.1971734366</t>
  </si>
  <si>
    <t>-92.4168423704</t>
  </si>
  <si>
    <t>547380</t>
  </si>
  <si>
    <t>4782876</t>
  </si>
  <si>
    <t>03:30</t>
  </si>
  <si>
    <t>20181087952</t>
  </si>
  <si>
    <t>18-021941</t>
  </si>
  <si>
    <t>20181222</t>
  </si>
  <si>
    <t>43.1984475008</t>
  </si>
  <si>
    <t>-92.4356742853</t>
  </si>
  <si>
    <t>545849.062</t>
  </si>
  <si>
    <t>4783007</t>
  </si>
  <si>
    <t>17:21</t>
  </si>
  <si>
    <t>6420</t>
  </si>
  <si>
    <t>V018/110TH ST</t>
  </si>
  <si>
    <t>Recon 2</t>
  </si>
  <si>
    <t>2013748993</t>
  </si>
  <si>
    <t>2013024537</t>
  </si>
  <si>
    <t>20130517</t>
  </si>
  <si>
    <t>43.1984483523</t>
  </si>
  <si>
    <t>-92.435846594</t>
  </si>
  <si>
    <t>545835</t>
  </si>
  <si>
    <t>07:08</t>
  </si>
  <si>
    <t>Co Rd T76/110TH ST &amp; Co Rd V18/FAYETTE AVE</t>
  </si>
  <si>
    <t>20181078180</t>
  </si>
  <si>
    <t>2018027906</t>
  </si>
  <si>
    <t>20181028</t>
  </si>
  <si>
    <t>43.1984483506</t>
  </si>
  <si>
    <t>-92.4358465941</t>
  </si>
  <si>
    <t>545834.625</t>
  </si>
  <si>
    <t>19:05</t>
  </si>
  <si>
    <t>1170</t>
  </si>
  <si>
    <t>APPROXIMATLEY 820 FEET EAST OF FAYETTE AVENUE ON 110TH STREET</t>
  </si>
  <si>
    <t>2014804964</t>
  </si>
  <si>
    <t>2014023716</t>
  </si>
  <si>
    <t>20140111</t>
  </si>
  <si>
    <t>43.1984778731</t>
  </si>
  <si>
    <t>-92.4308983719</t>
  </si>
  <si>
    <t>546237</t>
  </si>
  <si>
    <t>4783013</t>
  </si>
  <si>
    <t>21:14</t>
  </si>
  <si>
    <t>Co Rd V18/110TH ST</t>
  </si>
  <si>
    <t>V18</t>
  </si>
  <si>
    <t>20201192411</t>
  </si>
  <si>
    <t>2020022802</t>
  </si>
  <si>
    <t>20200925</t>
  </si>
  <si>
    <t>43.1985242087</t>
  </si>
  <si>
    <t>-92.4168541232</t>
  </si>
  <si>
    <t>547378.5</t>
  </si>
  <si>
    <t>4783025.5</t>
  </si>
  <si>
    <t>14:05</t>
  </si>
  <si>
    <t>APPROXIMATELY 100 FEET SOUTH OF 110TH STREET ON</t>
  </si>
  <si>
    <t>20211209620</t>
  </si>
  <si>
    <t>21000197</t>
  </si>
  <si>
    <t>20210105</t>
  </si>
  <si>
    <t>43.198619433</t>
  </si>
  <si>
    <t>-92.4358450178</t>
  </si>
  <si>
    <t>545834.562</t>
  </si>
  <si>
    <t>4783026.5</t>
  </si>
  <si>
    <t>10:00</t>
  </si>
  <si>
    <t>V018/FAYETTE AVE</t>
  </si>
  <si>
    <t>Recon 3</t>
  </si>
  <si>
    <t>20191103124</t>
  </si>
  <si>
    <t>19-004106</t>
  </si>
  <si>
    <t>43.1996279797</t>
  </si>
  <si>
    <t>-92.4358480342</t>
  </si>
  <si>
    <t>545834.437</t>
  </si>
  <si>
    <t>4783138</t>
  </si>
  <si>
    <t>20181079972</t>
  </si>
  <si>
    <t>18-019636</t>
  </si>
  <si>
    <t>20181116</t>
  </si>
  <si>
    <t>43.2021311851</t>
  </si>
  <si>
    <t>-92.4358249695</t>
  </si>
  <si>
    <t>545834.062</t>
  </si>
  <si>
    <t>4783416.5</t>
  </si>
  <si>
    <t>21:16</t>
  </si>
  <si>
    <t>20191107243</t>
  </si>
  <si>
    <t>19-006019</t>
  </si>
  <si>
    <t>20190405</t>
  </si>
  <si>
    <t>43.2069035408</t>
  </si>
  <si>
    <t>-92.4357932984</t>
  </si>
  <si>
    <t>545833.125</t>
  </si>
  <si>
    <t>4783946</t>
  </si>
  <si>
    <t>21:54</t>
  </si>
  <si>
    <t>2014831433</t>
  </si>
  <si>
    <t>2014047312</t>
  </si>
  <si>
    <t>2014066821</t>
  </si>
  <si>
    <t>20141130</t>
  </si>
  <si>
    <t>43.2086683902</t>
  </si>
  <si>
    <t>-92.4357770316</t>
  </si>
  <si>
    <t>545833</t>
  </si>
  <si>
    <t>4784142</t>
  </si>
  <si>
    <t>08:21</t>
  </si>
  <si>
    <t>Co Rd V18/FAYETTE AVE</t>
  </si>
  <si>
    <t>20191150510</t>
  </si>
  <si>
    <t>19022140</t>
  </si>
  <si>
    <t>20191210</t>
  </si>
  <si>
    <t>43.2119280134</t>
  </si>
  <si>
    <t>-92.4357592943</t>
  </si>
  <si>
    <t>545832.312</t>
  </si>
  <si>
    <t>4784504</t>
  </si>
  <si>
    <t>20181086628</t>
  </si>
  <si>
    <t>4518-078</t>
  </si>
  <si>
    <t>20181210</t>
  </si>
  <si>
    <t>43.215565939</t>
  </si>
  <si>
    <t>-92.4357626888</t>
  </si>
  <si>
    <t>545829.125</t>
  </si>
  <si>
    <t>4784908</t>
  </si>
  <si>
    <t>06:21</t>
  </si>
  <si>
    <t>Howard</t>
  </si>
  <si>
    <t>1140</t>
  </si>
  <si>
    <t>V018/GARDEN AVE</t>
  </si>
  <si>
    <t>2015841525</t>
  </si>
  <si>
    <t>4515-004</t>
  </si>
  <si>
    <t>20150121</t>
  </si>
  <si>
    <t>43.2275784099</t>
  </si>
  <si>
    <t>-92.4357996694</t>
  </si>
  <si>
    <t>545817</t>
  </si>
  <si>
    <t>4786242</t>
  </si>
  <si>
    <t>Co Rd V18/GARDEN AVE &amp; 200TH ST</t>
  </si>
  <si>
    <t>20181029015</t>
  </si>
  <si>
    <t>4518-005</t>
  </si>
  <si>
    <t>20180124</t>
  </si>
  <si>
    <t>43.229469431</t>
  </si>
  <si>
    <t>-92.4358068562</t>
  </si>
  <si>
    <t>545814.687</t>
  </si>
  <si>
    <t>4786452</t>
  </si>
  <si>
    <t>06:24</t>
  </si>
  <si>
    <t>20160957704</t>
  </si>
  <si>
    <t>4516-063</t>
  </si>
  <si>
    <t>20161205</t>
  </si>
  <si>
    <t>43.2318466848</t>
  </si>
  <si>
    <t>-92.4358095577</t>
  </si>
  <si>
    <t>545813.35</t>
  </si>
  <si>
    <t>4786716.04</t>
  </si>
  <si>
    <t>2015859048</t>
  </si>
  <si>
    <t>4515-026</t>
  </si>
  <si>
    <t>20150509</t>
  </si>
  <si>
    <t>43.2344941284</t>
  </si>
  <si>
    <t>-92.4358220813</t>
  </si>
  <si>
    <t>545810</t>
  </si>
  <si>
    <t>4787010</t>
  </si>
  <si>
    <t>12:07</t>
  </si>
  <si>
    <t>Co Rd V18/GARDEN AVE</t>
  </si>
  <si>
    <t>Passing:  With insufficient distance/inadequate visibility</t>
  </si>
  <si>
    <t>20221329029</t>
  </si>
  <si>
    <t>4522-063</t>
  </si>
  <si>
    <t>20221108</t>
  </si>
  <si>
    <t>43.2366463929</t>
  </si>
  <si>
    <t>-92.4358514892</t>
  </si>
  <si>
    <t>545806.437</t>
  </si>
  <si>
    <t>4787249</t>
  </si>
  <si>
    <t>17:36</t>
  </si>
  <si>
    <t>GARDEN AVE</t>
  </si>
  <si>
    <t>2013744259</t>
  </si>
  <si>
    <t>2013020357</t>
  </si>
  <si>
    <t>66-00802</t>
  </si>
  <si>
    <t>20130519</t>
  </si>
  <si>
    <t>43.3772295859</t>
  </si>
  <si>
    <t>-92.8122530104</t>
  </si>
  <si>
    <t>515209</t>
  </si>
  <si>
    <t>4802724</t>
  </si>
  <si>
    <t>16:23</t>
  </si>
  <si>
    <t>218</t>
  </si>
  <si>
    <t>US 218 &amp; Co Rd T40/MONUMENT AVE</t>
  </si>
  <si>
    <t>T40</t>
  </si>
  <si>
    <t>2013745795</t>
  </si>
  <si>
    <t>2013021707</t>
  </si>
  <si>
    <t>66-001141</t>
  </si>
  <si>
    <t>20130625</t>
  </si>
  <si>
    <t>14:56</t>
  </si>
  <si>
    <t>7300</t>
  </si>
  <si>
    <t>2015860691</t>
  </si>
  <si>
    <t>15002840</t>
  </si>
  <si>
    <t>20150519</t>
  </si>
  <si>
    <t>43.3817468633</t>
  </si>
  <si>
    <t>-92.8104489916</t>
  </si>
  <si>
    <t>515354</t>
  </si>
  <si>
    <t>4803226</t>
  </si>
  <si>
    <t>Co Rd T40/MONUMENT AVE</t>
  </si>
  <si>
    <t>5400</t>
  </si>
  <si>
    <t>20160925246</t>
  </si>
  <si>
    <t>16003150</t>
  </si>
  <si>
    <t>20160523</t>
  </si>
  <si>
    <t>43.3846085281</t>
  </si>
  <si>
    <t>-92.809390669</t>
  </si>
  <si>
    <t>515438.79</t>
  </si>
  <si>
    <t>4803543.61</t>
  </si>
  <si>
    <t>15:25</t>
  </si>
  <si>
    <t>1400</t>
  </si>
  <si>
    <t>T040/MONUMENT AVE AND LANCER AVE</t>
  </si>
  <si>
    <t>5200</t>
  </si>
  <si>
    <t>20211261095</t>
  </si>
  <si>
    <t>21-006401</t>
  </si>
  <si>
    <t>20210921</t>
  </si>
  <si>
    <t>43.3847081319</t>
  </si>
  <si>
    <t>-92.8097236984</t>
  </si>
  <si>
    <t>515412.375</t>
  </si>
  <si>
    <t>4803555</t>
  </si>
  <si>
    <t>1410</t>
  </si>
  <si>
    <t>LANCER AVE &amp;T40, MONUMENT AVE</t>
  </si>
  <si>
    <t>20221324739</t>
  </si>
  <si>
    <t>22006710</t>
  </si>
  <si>
    <t>20221017</t>
  </si>
  <si>
    <t>43.3852731436</t>
  </si>
  <si>
    <t>-92.8083638607</t>
  </si>
  <si>
    <t>515521.687</t>
  </si>
  <si>
    <t>4803618.5</t>
  </si>
  <si>
    <t>05:59</t>
  </si>
  <si>
    <t>MONUMENT AVE</t>
  </si>
  <si>
    <t>20170972307</t>
  </si>
  <si>
    <t>17001423</t>
  </si>
  <si>
    <t>20170304</t>
  </si>
  <si>
    <t>43.3856491501</t>
  </si>
  <si>
    <t>-92.8070663281</t>
  </si>
  <si>
    <t>515626.72</t>
  </si>
  <si>
    <t>4803659.93</t>
  </si>
  <si>
    <t>10:25</t>
  </si>
  <si>
    <t>T040/MONUMENT AVE</t>
  </si>
  <si>
    <t>2014808326</t>
  </si>
  <si>
    <t>2014026669</t>
  </si>
  <si>
    <t>001319</t>
  </si>
  <si>
    <t>20140716</t>
  </si>
  <si>
    <t>43.3856529722</t>
  </si>
  <si>
    <t>-92.7988314189</t>
  </si>
  <si>
    <t>516294</t>
  </si>
  <si>
    <t>4803662</t>
  </si>
  <si>
    <t>00:34</t>
  </si>
  <si>
    <t>20211237326</t>
  </si>
  <si>
    <t>21-002596</t>
  </si>
  <si>
    <t>20210426</t>
  </si>
  <si>
    <t>43.3856986469</t>
  </si>
  <si>
    <t>-92.8043993959</t>
  </si>
  <si>
    <t>515843.125</t>
  </si>
  <si>
    <t>4803666</t>
  </si>
  <si>
    <t>13:00</t>
  </si>
  <si>
    <t>9150</t>
  </si>
  <si>
    <t>20181039017</t>
  </si>
  <si>
    <t>18001612</t>
  </si>
  <si>
    <t>20180319</t>
  </si>
  <si>
    <t>43.3860592341</t>
  </si>
  <si>
    <t>-92.7845824977</t>
  </si>
  <si>
    <t>517448.281</t>
  </si>
  <si>
    <t>4803709.5</t>
  </si>
  <si>
    <t>16:09</t>
  </si>
  <si>
    <t>Stacyville</t>
  </si>
  <si>
    <t>T040/MONUMENT AVE MEASURING 0 FEET NORTH FROM T040/MONUMENT AVE</t>
  </si>
  <si>
    <t>78000</t>
  </si>
  <si>
    <t>20170968400</t>
  </si>
  <si>
    <t>17-000940</t>
  </si>
  <si>
    <t>20170210</t>
  </si>
  <si>
    <t>43.3865260194</t>
  </si>
  <si>
    <t>-92.7838153712</t>
  </si>
  <si>
    <t>517509.79</t>
  </si>
  <si>
    <t>4803762.26</t>
  </si>
  <si>
    <t>07:09</t>
  </si>
  <si>
    <t>6260</t>
  </si>
  <si>
    <t>T040/MONUMENT AVE AND A031/430TH ST</t>
  </si>
  <si>
    <t>2013775659</t>
  </si>
  <si>
    <t>2013048614</t>
  </si>
  <si>
    <t>130001741</t>
  </si>
  <si>
    <t>20131225</t>
  </si>
  <si>
    <t>43.3958886165</t>
  </si>
  <si>
    <t>-92.7827324895</t>
  </si>
  <si>
    <t>517595</t>
  </si>
  <si>
    <t>4804802</t>
  </si>
  <si>
    <t>11:06</t>
  </si>
  <si>
    <t>20191127735</t>
  </si>
  <si>
    <t>19006198</t>
  </si>
  <si>
    <t>20190808</t>
  </si>
  <si>
    <t>43.3993013284</t>
  </si>
  <si>
    <t>-92.7827449936</t>
  </si>
  <si>
    <t>517592.562</t>
  </si>
  <si>
    <t>4805181</t>
  </si>
  <si>
    <t>23:57</t>
  </si>
  <si>
    <t>20201170042</t>
  </si>
  <si>
    <t>2020010181</t>
  </si>
  <si>
    <t>20200417</t>
  </si>
  <si>
    <t>43.4072613722</t>
  </si>
  <si>
    <t>-92.7828030008</t>
  </si>
  <si>
    <t>517586.093</t>
  </si>
  <si>
    <t>4806065</t>
  </si>
  <si>
    <t>08:10</t>
  </si>
  <si>
    <t>T-40, 1/2 MILE SOUTH OF 450TH ST</t>
  </si>
  <si>
    <t>29000</t>
  </si>
  <si>
    <t>Passing:  Where prohibited by signs/markings</t>
  </si>
  <si>
    <t>2013730969</t>
  </si>
  <si>
    <t>2013008980</t>
  </si>
  <si>
    <t>130000001330</t>
  </si>
  <si>
    <t>20130320</t>
  </si>
  <si>
    <t>43.4223069957</t>
  </si>
  <si>
    <t>-92.782390967</t>
  </si>
  <si>
    <t>517615</t>
  </si>
  <si>
    <t>4807736</t>
  </si>
  <si>
    <t>12:37</t>
  </si>
  <si>
    <t>3800</t>
  </si>
  <si>
    <t>20160916213</t>
  </si>
  <si>
    <t>16-002194</t>
  </si>
  <si>
    <t>20160413</t>
  </si>
  <si>
    <t>43.4351470534</t>
  </si>
  <si>
    <t>-92.7822708255</t>
  </si>
  <si>
    <t>517620.59</t>
  </si>
  <si>
    <t>4809161.62</t>
  </si>
  <si>
    <t>13:24</t>
  </si>
  <si>
    <t>BROAD ST</t>
  </si>
  <si>
    <t>2300</t>
  </si>
  <si>
    <t>2013726557</t>
  </si>
  <si>
    <t>2013005138</t>
  </si>
  <si>
    <t>13-000000542</t>
  </si>
  <si>
    <t>20130206</t>
  </si>
  <si>
    <t>43.4352821202</t>
  </si>
  <si>
    <t>-92.7822703413</t>
  </si>
  <si>
    <t>517621</t>
  </si>
  <si>
    <t>4809177</t>
  </si>
  <si>
    <t>08:29</t>
  </si>
  <si>
    <t>SCHOOL ST &amp; BROAD ST</t>
  </si>
  <si>
    <t>A23 East Recon</t>
  </si>
  <si>
    <t>20191092897</t>
  </si>
  <si>
    <t>1900502</t>
  </si>
  <si>
    <t>20190121</t>
  </si>
  <si>
    <t>43.4362028785</t>
  </si>
  <si>
    <t>-92.7882969848</t>
  </si>
  <si>
    <t>517132.75</t>
  </si>
  <si>
    <t>4809278</t>
  </si>
  <si>
    <t>15:12</t>
  </si>
  <si>
    <t>6320</t>
  </si>
  <si>
    <t>A023/465TH ST</t>
  </si>
  <si>
    <t>A23 West</t>
  </si>
  <si>
    <t>20160900874</t>
  </si>
  <si>
    <t>16000158</t>
  </si>
  <si>
    <t>20160109</t>
  </si>
  <si>
    <t>43.4362119579</t>
  </si>
  <si>
    <t>-92.7835273649</t>
  </si>
  <si>
    <t>517519.27</t>
  </si>
  <si>
    <t>4809279.65</t>
  </si>
  <si>
    <t>10:42</t>
  </si>
  <si>
    <t>MAIN ST AND JEFFERSON ST</t>
  </si>
  <si>
    <t>10120</t>
  </si>
  <si>
    <t>Year</t>
  </si>
  <si>
    <t>BCA</t>
  </si>
  <si>
    <t>NPV</t>
  </si>
  <si>
    <t>B/C Ratio</t>
  </si>
  <si>
    <t>Costs</t>
  </si>
  <si>
    <t>Benefits</t>
  </si>
  <si>
    <t>Results</t>
  </si>
  <si>
    <t>SUMMARY</t>
  </si>
  <si>
    <t>Total Cost</t>
  </si>
  <si>
    <t>7% Discount</t>
  </si>
  <si>
    <t>Capital Costs</t>
  </si>
  <si>
    <t>COSTS</t>
  </si>
  <si>
    <t>Total Benefit</t>
  </si>
  <si>
    <t>Remaining Capital Value (7%)</t>
  </si>
  <si>
    <t>BENEFITS</t>
  </si>
  <si>
    <t>Length</t>
  </si>
  <si>
    <t>AADT</t>
  </si>
  <si>
    <t>Section</t>
  </si>
  <si>
    <t>PDO</t>
  </si>
  <si>
    <t>C</t>
  </si>
  <si>
    <t>B</t>
  </si>
  <si>
    <t>A</t>
  </si>
  <si>
    <t>K</t>
  </si>
  <si>
    <t>Build Crash Cost</t>
  </si>
  <si>
    <t>No Build Crash Cost</t>
  </si>
  <si>
    <t>CMF</t>
  </si>
  <si>
    <t>Recommended Value</t>
  </si>
  <si>
    <t>STATE OF GOOD REPAIR - OPERATION AND MAINTENANCE COSTS</t>
  </si>
  <si>
    <t>Subtotal</t>
  </si>
  <si>
    <t>No Build</t>
  </si>
  <si>
    <t>Build</t>
  </si>
  <si>
    <t>NOTES:</t>
  </si>
  <si>
    <t>1)</t>
  </si>
  <si>
    <t>Useful Life</t>
  </si>
  <si>
    <t>Analysis Period (years)</t>
  </si>
  <si>
    <t xml:space="preserve">Years of Construction </t>
  </si>
  <si>
    <t>Construction Begins (Year)</t>
  </si>
  <si>
    <t>Remaining Capital Value</t>
  </si>
  <si>
    <t>Table 1 - Years of Construction</t>
  </si>
  <si>
    <t>CAPITAL COST AND RESIDUAL PROJECT VALUE</t>
  </si>
  <si>
    <t>7)</t>
  </si>
  <si>
    <t>6)</t>
  </si>
  <si>
    <t>5)</t>
  </si>
  <si>
    <t>4)</t>
  </si>
  <si>
    <t>3)</t>
  </si>
  <si>
    <t>2)</t>
  </si>
  <si>
    <t>Chickasaw Build Cost</t>
  </si>
  <si>
    <t xml:space="preserve">Fayette Build Cost </t>
  </si>
  <si>
    <t>Guthrie Build Cost</t>
  </si>
  <si>
    <t>Mitchell Build Cost</t>
  </si>
  <si>
    <t>Wapello Build Cost</t>
  </si>
  <si>
    <t>Webster Build Cost</t>
  </si>
  <si>
    <t>Capital Cost Nominal Value</t>
  </si>
  <si>
    <t>Capital Cost Present Value</t>
  </si>
  <si>
    <t>Capital Cost Nominal</t>
  </si>
  <si>
    <t>Capital Cost Real</t>
  </si>
  <si>
    <t>Remaining Capital Nominal Value</t>
  </si>
  <si>
    <t>Summary</t>
  </si>
  <si>
    <t>Base Year</t>
  </si>
  <si>
    <t>Years of Benefit-Cost Analysis Period</t>
  </si>
  <si>
    <t>Benefit-Cost First Year of Benefit</t>
  </si>
  <si>
    <t>Benefit-Cost Final Year of Benefit</t>
  </si>
  <si>
    <t>Chickasaw No Build</t>
  </si>
  <si>
    <t>Fayette No Build</t>
  </si>
  <si>
    <t>Guthrie No Build</t>
  </si>
  <si>
    <t>Mitchell No Build</t>
  </si>
  <si>
    <t>Wapello No Build</t>
  </si>
  <si>
    <t>Webster No Build</t>
  </si>
  <si>
    <t>Chickasaw Build</t>
  </si>
  <si>
    <t>Fayette Build</t>
  </si>
  <si>
    <t>Guthrie Build</t>
  </si>
  <si>
    <t>Mitchell Build</t>
  </si>
  <si>
    <t>Nominal Benefits</t>
  </si>
  <si>
    <t>Real Benefits</t>
  </si>
  <si>
    <t>Total Real Benefits</t>
  </si>
  <si>
    <t>Safety Benefits</t>
  </si>
  <si>
    <t>Chickasaw Benefits</t>
  </si>
  <si>
    <t>Fayette Benefits</t>
  </si>
  <si>
    <t>Guthrie Benefits</t>
  </si>
  <si>
    <t>Mitchell Benefits</t>
  </si>
  <si>
    <t>Wapello Benefits</t>
  </si>
  <si>
    <t>Webster Benefits</t>
  </si>
  <si>
    <t>RCV</t>
  </si>
  <si>
    <t>Chickasaw Savings</t>
  </si>
  <si>
    <t>Fayette Savings</t>
  </si>
  <si>
    <t>Guthrie Savings</t>
  </si>
  <si>
    <t>Mitchell Savings</t>
  </si>
  <si>
    <t>Wapello Savings</t>
  </si>
  <si>
    <t>Webster Savings</t>
  </si>
  <si>
    <t>Project</t>
  </si>
  <si>
    <t>Aggregate Travel Time Cost</t>
  </si>
  <si>
    <t>Table 4 - Travel Time Cost Saving ($ per person hour)</t>
  </si>
  <si>
    <t>Truck Vehicle Occupancy</t>
  </si>
  <si>
    <t>Passenger Vehicle Occupancy</t>
  </si>
  <si>
    <t>Truck Percentage</t>
  </si>
  <si>
    <t>Auto Percentage</t>
  </si>
  <si>
    <t>Truck Travel Time Cost</t>
  </si>
  <si>
    <t>All-Purpose Travel Time Cost</t>
  </si>
  <si>
    <t>Travel Time Cost Savings</t>
  </si>
  <si>
    <t>Change in VHT</t>
  </si>
  <si>
    <t>Build Annual VHT</t>
  </si>
  <si>
    <t xml:space="preserve">No Build Annual VHT </t>
  </si>
  <si>
    <t>DVHT</t>
  </si>
  <si>
    <t>Speed</t>
  </si>
  <si>
    <t>VHT</t>
  </si>
  <si>
    <t>Existing</t>
  </si>
  <si>
    <t>Differential</t>
  </si>
  <si>
    <t>Annual Total Network VHT</t>
  </si>
  <si>
    <t>Annualized Operations</t>
  </si>
  <si>
    <t>Annual Growth</t>
  </si>
  <si>
    <t>Difference</t>
  </si>
  <si>
    <t>Travel Time</t>
  </si>
  <si>
    <t>Discounted Benefits</t>
  </si>
  <si>
    <t>BCA SUMMARY Individual Projects</t>
  </si>
  <si>
    <t>SAFETY - ALL ICEA PROJECTS</t>
  </si>
  <si>
    <t>Table 1. Build and No Build Annual Safety Costs</t>
  </si>
  <si>
    <t>Webster Build</t>
  </si>
  <si>
    <t>Table 3. Crash Modification Factors</t>
  </si>
  <si>
    <t>ECONOMIC COMPETITIVENESS - TRAVEL TIME SAVINGS - CHICKASAW</t>
  </si>
  <si>
    <t>ECONOMIC COMPETITIVENESS - TRAVEL TIME SAVINGS - MITCHELL</t>
  </si>
  <si>
    <t>No Build Maintenance</t>
  </si>
  <si>
    <t>Build Maintenance</t>
  </si>
  <si>
    <t>2025/2035</t>
  </si>
  <si>
    <t>Maintenance Savings</t>
  </si>
  <si>
    <t>Maintenance Savings Nominal</t>
  </si>
  <si>
    <t>Maintenance Totals</t>
  </si>
  <si>
    <t>Nominal</t>
  </si>
  <si>
    <t>Discounted</t>
  </si>
  <si>
    <t>Maintenance Savings Discounted</t>
  </si>
  <si>
    <t>Totals</t>
  </si>
  <si>
    <t>Iowa Crash Analysis Tool (August 2023) https://icat.iowadot.gov/</t>
  </si>
  <si>
    <t>REPLACE STANDARD STOP SIGN WITH FLASHING LED STOP SIGN. (2023, August). Retrieved from CMF Clearinghouse: https://www.cmfclearinghouse.org/detail.php?facid=6602</t>
  </si>
  <si>
    <t>Select</t>
  </si>
  <si>
    <r>
      <t>Table 1 - Per-mile Travel Time Cost by Mode</t>
    </r>
    <r>
      <rPr>
        <b/>
        <vertAlign val="superscript"/>
        <sz val="9"/>
        <color theme="1"/>
        <rFont val="Calibri"/>
        <family val="2"/>
        <scheme val="minor"/>
      </rPr>
      <t>1</t>
    </r>
  </si>
  <si>
    <r>
      <t>Table 2 - Fleet Composition</t>
    </r>
    <r>
      <rPr>
        <b/>
        <vertAlign val="superscript"/>
        <sz val="9"/>
        <color theme="1"/>
        <rFont val="Calibri"/>
        <family val="2"/>
        <scheme val="minor"/>
      </rPr>
      <t>2</t>
    </r>
  </si>
  <si>
    <r>
      <t>Table 3 - Vehicle Occupancy</t>
    </r>
    <r>
      <rPr>
        <b/>
        <vertAlign val="superscript"/>
        <sz val="9"/>
        <color theme="1"/>
        <rFont val="Calibri"/>
        <family val="2"/>
        <scheme val="minor"/>
      </rPr>
      <t>1</t>
    </r>
  </si>
  <si>
    <t>Table 1 - Analysis Assumptions</t>
  </si>
  <si>
    <r>
      <t xml:space="preserve">Sayed, PhD, P.Eng., T., &amp; de Leur, PhD, P.Eng, P. (2008). </t>
    </r>
    <r>
      <rPr>
        <i/>
        <sz val="9"/>
        <color theme="1"/>
        <rFont val="Calibri"/>
        <family val="2"/>
        <scheme val="minor"/>
      </rPr>
      <t>Collision Modification Factors for British Columbia.</t>
    </r>
    <r>
      <rPr>
        <sz val="9"/>
        <color theme="1"/>
        <rFont val="Calibri"/>
        <family val="2"/>
        <scheme val="minor"/>
      </rPr>
      <t xml:space="preserve"> Retrieved 2023, from https://www2.gov.bc.ca/assets/gov/driving-and-transportation/transportation-infrastructure/engineering-standards-and-guidelines/traffic-engineering-and-safety/highway-safety/cmfs_for_bc_2008.pdf</t>
    </r>
  </si>
  <si>
    <r>
      <t>Table 4 - Crash Costs by Severity</t>
    </r>
    <r>
      <rPr>
        <b/>
        <vertAlign val="superscript"/>
        <sz val="9"/>
        <color theme="1"/>
        <rFont val="Calibri"/>
        <family val="2"/>
        <scheme val="minor"/>
      </rPr>
      <t>1</t>
    </r>
  </si>
  <si>
    <r>
      <t>Table 5. County Level Crash Data 2013-2022</t>
    </r>
    <r>
      <rPr>
        <b/>
        <vertAlign val="superscript"/>
        <sz val="9"/>
        <color theme="1"/>
        <rFont val="Calibri"/>
        <family val="2"/>
        <scheme val="minor"/>
      </rPr>
      <t>2</t>
    </r>
  </si>
  <si>
    <t>Table 6. Project Level Crash Data 2013-2022</t>
  </si>
  <si>
    <t>Table 7. Annual Project Crash Costs</t>
  </si>
  <si>
    <t>Table 2. Per Mile Maintenance Costs</t>
  </si>
  <si>
    <t>Slow Down</t>
  </si>
  <si>
    <t>Construction Year</t>
  </si>
  <si>
    <t>Fatal CMF</t>
  </si>
  <si>
    <r>
      <t>Rumble Strips</t>
    </r>
    <r>
      <rPr>
        <b/>
        <vertAlign val="superscript"/>
        <sz val="9"/>
        <color theme="1"/>
        <rFont val="Calibri"/>
        <family val="2"/>
        <scheme val="minor"/>
      </rPr>
      <t>3</t>
    </r>
  </si>
  <si>
    <t>INSTALL SHOULDER RUMBLE STRIPS. (2023, August). Retrieved from CMF Clearinghouse: https://www.cmfclearinghouse.org/detail.php?facid=6649</t>
  </si>
  <si>
    <t>Non-Fatal Non-PDO CMF</t>
  </si>
  <si>
    <t>Real</t>
  </si>
  <si>
    <t>U.S. Department of Transportation. (2023). Benefit-Cost Analysis Guidance for Discretionary Grant Programs. U.S. Department of Transportation.</t>
  </si>
  <si>
    <t>ReplicaHQ (2023) Typical Thursday Fall 2022, Replica: Studies</t>
  </si>
  <si>
    <t>Speed Reduction (mph)</t>
  </si>
  <si>
    <t>Contingency</t>
  </si>
  <si>
    <t>Per Lane Mile</t>
  </si>
  <si>
    <t>CMF Clearinghouse. (2023, August). Retrieved from CHANGE SHOULDER WIDTH FROM X TO Y (IN FEET): https://www.cmfclearinghouse.org/detail.php?facid=4819</t>
  </si>
  <si>
    <t>Shoulder Width Increase</t>
  </si>
  <si>
    <r>
      <t>Install New Fluorescent Curve Signs</t>
    </r>
    <r>
      <rPr>
        <b/>
        <vertAlign val="superscript"/>
        <sz val="9"/>
        <color theme="1"/>
        <rFont val="Calibri"/>
        <family val="2"/>
        <scheme val="minor"/>
      </rPr>
      <t>4</t>
    </r>
  </si>
  <si>
    <r>
      <rPr>
        <b/>
        <sz val="9"/>
        <color theme="1"/>
        <rFont val="Calibri"/>
        <family val="2"/>
        <scheme val="minor"/>
      </rPr>
      <t>Install LED Stop/Yield Sign</t>
    </r>
    <r>
      <rPr>
        <b/>
        <vertAlign val="superscript"/>
        <sz val="9"/>
        <color theme="1"/>
        <rFont val="Calibri"/>
        <family val="2"/>
        <scheme val="minor"/>
      </rPr>
      <t>5</t>
    </r>
  </si>
  <si>
    <r>
      <t>Paved Shoulder</t>
    </r>
    <r>
      <rPr>
        <b/>
        <vertAlign val="superscript"/>
        <sz val="9"/>
        <color theme="1"/>
        <rFont val="Calibri"/>
        <family val="2"/>
        <scheme val="minor"/>
      </rPr>
      <t>7</t>
    </r>
  </si>
  <si>
    <r>
      <t>No Build</t>
    </r>
    <r>
      <rPr>
        <vertAlign val="superscript"/>
        <sz val="9"/>
        <color theme="1"/>
        <rFont val="Calibri"/>
        <family val="2"/>
        <scheme val="minor"/>
      </rPr>
      <t>2</t>
    </r>
  </si>
  <si>
    <t>Interpolated Chickasaw/Howard/Fayette Per Mile Cost - County Provided</t>
  </si>
  <si>
    <r>
      <t>Build</t>
    </r>
    <r>
      <rPr>
        <vertAlign val="superscript"/>
        <sz val="9"/>
        <color theme="1"/>
        <rFont val="Calibri"/>
        <family val="2"/>
        <scheme val="minor"/>
      </rPr>
      <t>1</t>
    </r>
  </si>
  <si>
    <t xml:space="preserve">IOWADOT Per Lane Mile Maintenance Expenditure: Reason Foundation. (2021). 26th Annual Highway Report. Reason Foundation. Washington, D.C.: National Academy Press. Retrieved from https://reason.org/wp-content/uploads/26th-annual-highway-report.pdf
</t>
  </si>
  <si>
    <t>2024/2034</t>
  </si>
  <si>
    <t>Annual</t>
  </si>
  <si>
    <t>a)</t>
  </si>
  <si>
    <t>b)</t>
  </si>
  <si>
    <t>Chickasaw/Howard</t>
  </si>
  <si>
    <t>Lane Mile</t>
  </si>
  <si>
    <t>Unit</t>
  </si>
  <si>
    <t>Schedule</t>
  </si>
  <si>
    <t>Alternative</t>
  </si>
  <si>
    <t>Annual Cost</t>
  </si>
  <si>
    <t>Width Increase Factor</t>
  </si>
  <si>
    <t>Table 1. Average Annual Maintenance Cost</t>
  </si>
  <si>
    <t>Table 3. County Provided Maintenance Costs</t>
  </si>
  <si>
    <t>Slowdown</t>
  </si>
  <si>
    <t>Avg. Speed</t>
  </si>
  <si>
    <t>Avg. AADT</t>
  </si>
  <si>
    <t xml:space="preserve">Table 2. Roughness Slow Down Impacts </t>
  </si>
  <si>
    <t>Table 1. Chickasaw VHT</t>
  </si>
  <si>
    <t>Road</t>
  </si>
  <si>
    <t>US218 to A31</t>
  </si>
  <si>
    <t>A31 to A23</t>
  </si>
  <si>
    <t>A23 to Main St</t>
  </si>
  <si>
    <t>Main St to Spring St</t>
  </si>
  <si>
    <t>A23</t>
  </si>
  <si>
    <t>T40 to Liberty St</t>
  </si>
  <si>
    <t>Water St to T40</t>
  </si>
  <si>
    <t>To B22</t>
  </si>
  <si>
    <t>B22 to T76</t>
  </si>
  <si>
    <t>T76 to B17</t>
  </si>
  <si>
    <t>Table 3. AADT Data</t>
  </si>
  <si>
    <t>Table 1. Mitchell VHT</t>
  </si>
  <si>
    <t>ENVIRONMENTAL SUSTAINABILITY - AIR QUALITY - CHICKASAW</t>
  </si>
  <si>
    <t>CO2 Savings Estimations</t>
  </si>
  <si>
    <t>Other Emissions Cost Savings</t>
  </si>
  <si>
    <t>Total (CO2 + Other Emissions)</t>
  </si>
  <si>
    <t>Change in C02 (metric tons)</t>
  </si>
  <si>
    <t>Yearly CO2 Emissions Savings in Current Dollars ($)</t>
  </si>
  <si>
    <t>CO2 Yearly Carbon Emissions Savings
(3% Discount)</t>
  </si>
  <si>
    <r>
      <t>Change in NOx 
(metric tons)</t>
    </r>
    <r>
      <rPr>
        <b/>
        <vertAlign val="superscript"/>
        <sz val="9"/>
        <color theme="1"/>
        <rFont val="Calibri"/>
        <family val="2"/>
        <scheme val="minor"/>
      </rPr>
      <t>1</t>
    </r>
  </si>
  <si>
    <r>
      <t>Change in SO2
(metric tons)</t>
    </r>
    <r>
      <rPr>
        <b/>
        <vertAlign val="superscript"/>
        <sz val="9"/>
        <color theme="1"/>
        <rFont val="Calibri"/>
        <family val="2"/>
        <scheme val="minor"/>
      </rPr>
      <t>1</t>
    </r>
  </si>
  <si>
    <r>
      <t>Change in PM
(metric tons)</t>
    </r>
    <r>
      <rPr>
        <b/>
        <vertAlign val="superscript"/>
        <sz val="9"/>
        <color theme="1"/>
        <rFont val="Calibri"/>
        <family val="2"/>
        <scheme val="minor"/>
      </rPr>
      <t>1</t>
    </r>
  </si>
  <si>
    <r>
      <t>Change in NOx 
($)</t>
    </r>
    <r>
      <rPr>
        <b/>
        <vertAlign val="superscript"/>
        <sz val="9"/>
        <color theme="1"/>
        <rFont val="Calibri"/>
        <family val="2"/>
        <scheme val="minor"/>
      </rPr>
      <t>(2)</t>
    </r>
  </si>
  <si>
    <r>
      <t>Change in SO2
($)</t>
    </r>
    <r>
      <rPr>
        <b/>
        <vertAlign val="superscript"/>
        <sz val="9"/>
        <color theme="1"/>
        <rFont val="Calibri"/>
        <family val="2"/>
        <scheme val="minor"/>
      </rPr>
      <t>(2)</t>
    </r>
  </si>
  <si>
    <r>
      <t>Change in PM
($)</t>
    </r>
    <r>
      <rPr>
        <b/>
        <vertAlign val="superscript"/>
        <sz val="9"/>
        <color theme="1"/>
        <rFont val="Calibri"/>
        <family val="2"/>
        <scheme val="minor"/>
      </rPr>
      <t>(2)</t>
    </r>
  </si>
  <si>
    <t>Yearly Emissions Savings in Current Dollars Non-CO2 Emissions ($)</t>
  </si>
  <si>
    <t xml:space="preserve"> 7% Discounted</t>
  </si>
  <si>
    <t>Table 1 - Pollution Emission by Mode (g/VMT)</t>
  </si>
  <si>
    <t>Table 3 MOVES Model Output (grams per VMT)</t>
  </si>
  <si>
    <t>Mode</t>
  </si>
  <si>
    <t>NOX</t>
  </si>
  <si>
    <t>SO2</t>
  </si>
  <si>
    <t>PM2.5</t>
  </si>
  <si>
    <t>CO2</t>
  </si>
  <si>
    <t>Source Type</t>
  </si>
  <si>
    <t>HPMS Description</t>
  </si>
  <si>
    <t>Auto/Truck</t>
  </si>
  <si>
    <t>Automobile</t>
  </si>
  <si>
    <t>Motorcycle</t>
  </si>
  <si>
    <t>Auto</t>
  </si>
  <si>
    <t>Trucks</t>
  </si>
  <si>
    <t>Light-Duty Vehicle</t>
  </si>
  <si>
    <t>Table 2 - Damage Costs for Emissions per metric ton.</t>
  </si>
  <si>
    <t>Buses</t>
  </si>
  <si>
    <t>Truck</t>
  </si>
  <si>
    <t>Single-Unit Truck</t>
  </si>
  <si>
    <t>Combination Truck</t>
  </si>
  <si>
    <t>Table 4. Emission Reductions</t>
  </si>
  <si>
    <t>Emission Type</t>
  </si>
  <si>
    <t>Reduction</t>
  </si>
  <si>
    <t>CO2 (metric tons)</t>
  </si>
  <si>
    <t>NOx (kg)</t>
  </si>
  <si>
    <t>SO2 (kg)</t>
  </si>
  <si>
    <t>PM2.5 (kg)</t>
  </si>
  <si>
    <t>MOVES Model Inputs, See Table 3</t>
  </si>
  <si>
    <t>U.S. Department of Transportation. (2023). Benefit-Cost Analysis Guidence for Discretionary Grant Programs. U.S. Department of Transportation.</t>
  </si>
  <si>
    <t>Table 5. Average Gallons of Fuel Consumed Per Hour Idle</t>
  </si>
  <si>
    <t>Automobile (gallons per hour)</t>
  </si>
  <si>
    <t>*Note conservative estimate does not include trucks which  reflects an undercount in benefits.</t>
  </si>
  <si>
    <t>Table 6. Average MPG for VMT Equivalent</t>
  </si>
  <si>
    <t>Type</t>
  </si>
  <si>
    <t>Average MPG</t>
  </si>
  <si>
    <t>Table 7. VHT to VMT</t>
  </si>
  <si>
    <t>VMT Equivalent</t>
  </si>
  <si>
    <t>VMT</t>
  </si>
  <si>
    <t>1 hour of delay is equivalent to</t>
  </si>
  <si>
    <t>Annual VHT</t>
  </si>
  <si>
    <t>Change in Annual Equivilent VMT</t>
  </si>
  <si>
    <t>VMT Difference</t>
  </si>
  <si>
    <t>Emissions no CO2</t>
  </si>
  <si>
    <t>Emissions: CO2 (3%)</t>
  </si>
  <si>
    <t>Days in Traffic Analysis Year</t>
  </si>
  <si>
    <t>O</t>
  </si>
  <si>
    <t>Avoided Crashes</t>
  </si>
  <si>
    <t>Scenario</t>
  </si>
  <si>
    <t>Emissions</t>
  </si>
  <si>
    <t>Real Benefit</t>
  </si>
  <si>
    <t>RVC</t>
  </si>
  <si>
    <t>Category</t>
  </si>
  <si>
    <t>Total Benefits</t>
  </si>
  <si>
    <r>
      <t>Table 1 - Per-mile Operating Cost</t>
    </r>
    <r>
      <rPr>
        <b/>
        <vertAlign val="superscript"/>
        <sz val="11"/>
        <color theme="1"/>
        <rFont val="Calibri"/>
        <family val="2"/>
        <scheme val="minor"/>
      </rPr>
      <t>1</t>
    </r>
  </si>
  <si>
    <t>Auto Vehicle Operating Cost - Roughness</t>
  </si>
  <si>
    <t>Truck Vehicle Operating Cost - Roughness</t>
  </si>
  <si>
    <t>ECONOMIC COMPETITIVENESS - USER BENEFIT CALCULATION OF VEHICLE OPERATING COSTS DUE TO PAVEMENT ROUGHNESS</t>
  </si>
  <si>
    <t>Vehicle Class</t>
  </si>
  <si>
    <t>Baseline Cost cents/mile</t>
  </si>
  <si>
    <t>Adjustment Factors from Baseline</t>
  </si>
  <si>
    <t>Veh Op Cost (VOC) for IRI level (cents/mile)</t>
  </si>
  <si>
    <t>Average VOC with roughness</t>
  </si>
  <si>
    <t>Net increase in VOC from Baseline</t>
  </si>
  <si>
    <t>VMT Cost Savings</t>
  </si>
  <si>
    <t>IRI</t>
  </si>
  <si>
    <t>cents/mile</t>
  </si>
  <si>
    <t>dollar/mile</t>
  </si>
  <si>
    <t>4,5,6</t>
  </si>
  <si>
    <t>35 MPH</t>
  </si>
  <si>
    <t>Medium Car</t>
  </si>
  <si>
    <t>Van</t>
  </si>
  <si>
    <t>* Values inflated from year 2011 to 2021 with GDP deflators</t>
  </si>
  <si>
    <t>SUV</t>
  </si>
  <si>
    <t>Light Truck</t>
  </si>
  <si>
    <t>Articulated Truck</t>
  </si>
  <si>
    <t>Auto VOC</t>
  </si>
  <si>
    <r>
      <t>Table 2 - Fleet Composition</t>
    </r>
    <r>
      <rPr>
        <b/>
        <vertAlign val="superscript"/>
        <sz val="11"/>
        <color theme="1"/>
        <rFont val="Calibri"/>
        <family val="2"/>
        <scheme val="minor"/>
      </rPr>
      <t>2</t>
    </r>
  </si>
  <si>
    <t>Truck VOC</t>
  </si>
  <si>
    <t>1 m/km =</t>
  </si>
  <si>
    <t>in/mi</t>
  </si>
  <si>
    <t>3 m/km =</t>
  </si>
  <si>
    <t>this is considered moderate failure per SDDOT pavement management source</t>
  </si>
  <si>
    <t>Table 3 - Per-mile Operating Cost</t>
  </si>
  <si>
    <t>4 m/km =</t>
  </si>
  <si>
    <t>this is considered extreme failure per SDDOT pavement management source</t>
  </si>
  <si>
    <t>Aggregate Vehicle Operating Cost - Roughness</t>
  </si>
  <si>
    <t>Table 4 - GDP Deflators - BCA Guidence</t>
  </si>
  <si>
    <t>Note: Project roadway segments were originally built in 1965-67; nearing end of service life and will continue to degrade in the future</t>
  </si>
  <si>
    <t>Factor</t>
  </si>
  <si>
    <t>Vehicle operating costs for years 2020 and 2040 were valued in accordance with the Benefit-Cost Analysis Guidance for Discretionary Grant Programs - February 2021 (https://www.transportation.gov/sites/dot.gov/files/2021-02/Benefit%20Cost%20Analysis%20Guidance%202021.pdf). Operating costs were derived from the need for vehicles to drive over substandard pavement, resulting in increased damage costs to vehicles.</t>
  </si>
  <si>
    <t>Source: NCHRP Report 720</t>
  </si>
  <si>
    <t>Estimating the Effects of Pavement Condition on Vehicle Operating Costs (2012)</t>
  </si>
  <si>
    <t>https://www.nap.edu/download/22808</t>
  </si>
  <si>
    <t>The truck percentage used in the analysis was 4.0 percent was estimated from MnDOT traffic counts available online. Truck counts were compared to traffic to calculate the 4% value</t>
  </si>
  <si>
    <t>Existing and 20-year forecast daily traffic volumes were obtained for the I-90 corridor from the SDDOT Interactive Needs Book (https://apps.sd.gov/hr53needsbook/).  Average travel time per vehicle data was obtained from google maps. Year 2020 and 2040 VHT and VMT for each alternative were calculated using AADT information, average corridor travel time per vehicle, and an assumed 365 analysis days in a year.</t>
  </si>
  <si>
    <t>No Build and Build VMT for years between 2020 and 2040 were interpolated based on a linear annual growth rate, and VMT for years between 2020 and 2040 were extrapolated based on the same growth rate.</t>
  </si>
  <si>
    <t>Per-mile operating costs associated with additional impacts of pavement roughness were derived using values from NCHRP Report 720 - "Estimating the Effects of Pavement Condition on Vehicle Operating Costs"; Table 7-5 (see calculations to the right). Current and future pavement roughness under the No Build scenario was assumed to fall in the bottom three categories (used an average of 4-6 in Table 7-5) based on current pavement condition and the expectation that pavement were further deteriorate if left unmaintained.</t>
  </si>
  <si>
    <t>Traffic avoiding I-90 due to detours beginning in years 2025 and 2030 in the No Build was factored into the VMT estimations undergoing increased vehicle operating costs.</t>
  </si>
  <si>
    <t>(CREATE FREE ACCOUNT FOR ACESS)</t>
  </si>
  <si>
    <t>This method currently considers the new future condition of the road as IRI=6</t>
  </si>
  <si>
    <t>Cost</t>
  </si>
  <si>
    <r>
      <t>INSTALL NEW FLUORESCENT CURVE SIGNS OR UPGRADE EXISTING CURVE SIGNS TO FLUORESCENT SHEETING</t>
    </r>
    <r>
      <rPr>
        <sz val="9"/>
        <color theme="1"/>
        <rFont val="Calibri"/>
        <family val="2"/>
        <scheme val="minor"/>
      </rPr>
      <t>. (2023, August). Retrieved from CMF Clearinghouse: https://www.cmfclearinghouse.org/detail.php?facid=2435</t>
    </r>
  </si>
  <si>
    <t>Table 4. Combined Emission Reductions</t>
  </si>
  <si>
    <t>Vehicle Operating Cost Savings</t>
  </si>
  <si>
    <t>BCA SUMMARY Overall ICEA Network of Projects Project</t>
  </si>
  <si>
    <t>Vehicle Maintanence</t>
  </si>
  <si>
    <t>Operating and Maintenance</t>
  </si>
  <si>
    <t>* It was assumed projects would address existing drainage issues with pavement reconstruction and rehabiliation activities</t>
  </si>
  <si>
    <r>
      <t>*Improve Drainage</t>
    </r>
    <r>
      <rPr>
        <b/>
        <vertAlign val="superscript"/>
        <sz val="9"/>
        <color theme="1"/>
        <rFont val="Calibri"/>
        <family val="2"/>
        <scheme val="minor"/>
      </rPr>
      <t>6</t>
    </r>
  </si>
  <si>
    <t>BCA SUMMARY - Iowa's Farm-to-Market Network of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</si>
</sst>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0_);\(#,##0_)"/>
    <numFmt numFmtId="169" formatCode="0.0000"/>
    <numFmt numFmtId="170" formatCode="&quot;$&quot;#,##0.00"/>
    <numFmt numFmtId="171" formatCode="0.0"/>
    <numFmt numFmtId="172" formatCode="#,##0.000"/>
    <numFmt numFmtId="173" formatCode="0.000"/>
    <numFmt numFmtId="174" formatCode="&quot;$&quot;#,##0.000"/>
    <numFmt numFmtId="175" formatCode="#,##0.0"/>
  </numFmts>
  <fonts count="31" x14ac:knownFonts="1">
    <font>
      <sz val="11"/>
      <color theme="1"/>
      <name val="Calibri"/>
      <family val="2"/>
      <scheme val="minor"/>
    </font>
    <font>
      <sz val="11"/>
      <color theme="1"/>
      <name val="Calibri"/>
      <family val="2"/>
      <scheme val="minor"/>
    </font>
    <font>
      <sz val="9"/>
      <color theme="1"/>
      <name val="Calibri"/>
      <family val="2"/>
      <scheme val="minor"/>
    </font>
    <font>
      <b/>
      <sz val="12"/>
      <name val="Calibri"/>
      <family val="2"/>
    </font>
    <font>
      <b/>
      <sz val="9"/>
      <color theme="1"/>
      <name val="Calibri"/>
      <family val="2"/>
      <scheme val="minor"/>
    </font>
    <font>
      <sz val="9"/>
      <color theme="0" tint="-0.249977111117893"/>
      <name val="Calibri"/>
      <family val="2"/>
      <scheme val="minor"/>
    </font>
    <font>
      <sz val="9"/>
      <color rgb="FF0070C0"/>
      <name val="Calibri"/>
      <family val="2"/>
      <scheme val="minor"/>
    </font>
    <font>
      <sz val="9"/>
      <color theme="0" tint="-0.34998626667073579"/>
      <name val="Calibri"/>
      <family val="2"/>
      <scheme val="minor"/>
    </font>
    <font>
      <sz val="9"/>
      <name val="Calibri"/>
      <family val="2"/>
      <scheme val="minor"/>
    </font>
    <font>
      <b/>
      <sz val="9"/>
      <name val="Calibri"/>
      <family val="2"/>
      <scheme val="minor"/>
    </font>
    <font>
      <sz val="10"/>
      <name val="Arial"/>
      <family val="2"/>
    </font>
    <font>
      <sz val="9"/>
      <name val="Arial"/>
      <family val="2"/>
    </font>
    <font>
      <b/>
      <sz val="9"/>
      <name val="Arial"/>
      <family val="2"/>
    </font>
    <font>
      <sz val="9"/>
      <color rgb="FFFF0000"/>
      <name val="Calibri"/>
      <family val="2"/>
      <scheme val="minor"/>
    </font>
    <font>
      <vertAlign val="superscript"/>
      <sz val="9"/>
      <color theme="1"/>
      <name val="Calibri"/>
      <family val="2"/>
      <scheme val="minor"/>
    </font>
    <font>
      <b/>
      <vertAlign val="superscript"/>
      <sz val="9"/>
      <color theme="1"/>
      <name val="Calibri"/>
      <family val="2"/>
      <scheme val="minor"/>
    </font>
    <font>
      <sz val="9"/>
      <color rgb="FF00B050"/>
      <name val="Calibri"/>
      <family val="2"/>
      <scheme val="minor"/>
    </font>
    <font>
      <i/>
      <sz val="9"/>
      <name val="Calibri"/>
      <family val="2"/>
      <scheme val="minor"/>
    </font>
    <font>
      <sz val="9"/>
      <color theme="0" tint="-4.9989318521683403E-2"/>
      <name val="Calibri"/>
      <family val="2"/>
      <scheme val="minor"/>
    </font>
    <font>
      <i/>
      <sz val="9"/>
      <color theme="1"/>
      <name val="Calibri"/>
      <family val="2"/>
      <scheme val="minor"/>
    </font>
    <font>
      <b/>
      <sz val="9"/>
      <color rgb="FFFF0000"/>
      <name val="Calibri"/>
      <family val="2"/>
      <scheme val="minor"/>
    </font>
    <font>
      <b/>
      <sz val="9"/>
      <name val="Calibri"/>
      <family val="2"/>
    </font>
    <font>
      <sz val="11"/>
      <color rgb="FFFF0000"/>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sz val="11"/>
      <color theme="2"/>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auto="1"/>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9">
    <xf numFmtId="0" fontId="0" fillId="0" borderId="0"/>
    <xf numFmtId="44" fontId="1" fillId="0" borderId="0" applyFont="0" applyFill="0" applyBorder="0" applyAlignment="0" applyProtection="0"/>
    <xf numFmtId="0" fontId="3" fillId="3" borderId="14">
      <alignment horizontal="left"/>
    </xf>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0" fontId="24" fillId="0" borderId="0" applyNumberFormat="0" applyFill="0" applyBorder="0" applyAlignment="0" applyProtection="0"/>
    <xf numFmtId="0" fontId="10" fillId="0" borderId="0"/>
  </cellStyleXfs>
  <cellXfs count="607">
    <xf numFmtId="0" fontId="0" fillId="0" borderId="0" xfId="0"/>
    <xf numFmtId="0" fontId="2" fillId="0" borderId="6" xfId="0" applyFont="1" applyBorder="1" applyAlignment="1">
      <alignment horizontal="center"/>
    </xf>
    <xf numFmtId="0" fontId="2" fillId="0" borderId="7" xfId="0" applyFont="1" applyBorder="1" applyAlignment="1">
      <alignment horizontal="center"/>
    </xf>
    <xf numFmtId="165" fontId="5" fillId="0" borderId="0" xfId="0" applyNumberFormat="1" applyFont="1" applyAlignment="1">
      <alignment horizontal="center"/>
    </xf>
    <xf numFmtId="165" fontId="2" fillId="0" borderId="4" xfId="0" applyNumberFormat="1" applyFont="1" applyBorder="1" applyAlignment="1">
      <alignment horizontal="center"/>
    </xf>
    <xf numFmtId="165" fontId="2" fillId="0" borderId="0" xfId="0" applyNumberFormat="1" applyFont="1" applyAlignment="1">
      <alignment horizontal="center"/>
    </xf>
    <xf numFmtId="165" fontId="2" fillId="0" borderId="0" xfId="0" applyNumberFormat="1" applyFont="1" applyAlignment="1">
      <alignment horizontal="left"/>
    </xf>
    <xf numFmtId="0" fontId="2" fillId="0" borderId="43" xfId="0" applyFont="1" applyBorder="1" applyAlignment="1">
      <alignment horizontal="center" vertical="center"/>
    </xf>
    <xf numFmtId="165" fontId="4" fillId="0" borderId="0" xfId="0" applyNumberFormat="1" applyFont="1"/>
    <xf numFmtId="1" fontId="2" fillId="0" borderId="0" xfId="0" applyNumberFormat="1" applyFont="1" applyAlignment="1">
      <alignment horizontal="center"/>
    </xf>
    <xf numFmtId="164" fontId="2" fillId="0" borderId="0" xfId="1" applyNumberFormat="1" applyFont="1" applyBorder="1" applyAlignment="1">
      <alignment horizontal="center"/>
    </xf>
    <xf numFmtId="0" fontId="2" fillId="0" borderId="0" xfId="0" applyFont="1" applyAlignment="1">
      <alignment horizontal="center"/>
    </xf>
    <xf numFmtId="165" fontId="6" fillId="0" borderId="0" xfId="0" applyNumberFormat="1" applyFont="1" applyAlignment="1">
      <alignment horizontal="center"/>
    </xf>
    <xf numFmtId="165" fontId="7" fillId="0" borderId="0" xfId="0" applyNumberFormat="1" applyFont="1" applyAlignment="1">
      <alignment horizontal="center"/>
    </xf>
    <xf numFmtId="6" fontId="2" fillId="0" borderId="13" xfId="0" applyNumberFormat="1" applyFont="1" applyBorder="1" applyAlignment="1">
      <alignment horizontal="center"/>
    </xf>
    <xf numFmtId="0" fontId="2" fillId="0" borderId="23" xfId="0" applyFont="1" applyBorder="1" applyAlignment="1">
      <alignment horizontal="center"/>
    </xf>
    <xf numFmtId="6" fontId="2" fillId="0" borderId="2" xfId="0" applyNumberFormat="1" applyFont="1" applyBorder="1" applyAlignment="1">
      <alignment horizontal="center"/>
    </xf>
    <xf numFmtId="0" fontId="2" fillId="0" borderId="0" xfId="0" applyFont="1"/>
    <xf numFmtId="0" fontId="2" fillId="0" borderId="50" xfId="0" applyFont="1" applyBorder="1" applyAlignment="1">
      <alignment horizontal="center" vertical="center"/>
    </xf>
    <xf numFmtId="0" fontId="2" fillId="0" borderId="51" xfId="0" applyFont="1" applyBorder="1" applyAlignment="1">
      <alignment horizontal="center" vertical="center"/>
    </xf>
    <xf numFmtId="44" fontId="2" fillId="0" borderId="10" xfId="1" applyFont="1" applyBorder="1" applyAlignment="1">
      <alignment horizontal="center"/>
    </xf>
    <xf numFmtId="0" fontId="2" fillId="0" borderId="6" xfId="0" applyFont="1" applyBorder="1" applyAlignment="1">
      <alignment horizontal="center" vertical="center" wrapText="1"/>
    </xf>
    <xf numFmtId="0" fontId="2" fillId="0" borderId="2" xfId="0" applyFont="1" applyBorder="1" applyAlignment="1">
      <alignment horizontal="center"/>
    </xf>
    <xf numFmtId="0" fontId="8" fillId="0" borderId="10" xfId="0" applyFont="1" applyBorder="1" applyAlignment="1">
      <alignment vertical="center"/>
    </xf>
    <xf numFmtId="0" fontId="2" fillId="0" borderId="18" xfId="0" applyFont="1" applyBorder="1" applyAlignment="1">
      <alignment horizontal="center"/>
    </xf>
    <xf numFmtId="0" fontId="8" fillId="0" borderId="16" xfId="0" applyFont="1" applyBorder="1" applyAlignment="1">
      <alignment vertical="center"/>
    </xf>
    <xf numFmtId="0" fontId="4" fillId="2" borderId="21" xfId="0" applyFont="1" applyFill="1" applyBorder="1" applyAlignment="1">
      <alignment horizontal="center"/>
    </xf>
    <xf numFmtId="0" fontId="9" fillId="2" borderId="19" xfId="0" applyFont="1" applyFill="1" applyBorder="1" applyAlignment="1">
      <alignment vertical="center"/>
    </xf>
    <xf numFmtId="0" fontId="2" fillId="0" borderId="41" xfId="0" applyFont="1" applyBorder="1" applyAlignment="1">
      <alignment horizontal="center" vertical="center"/>
    </xf>
    <xf numFmtId="164" fontId="2" fillId="0" borderId="45" xfId="1" applyNumberFormat="1" applyFont="1" applyBorder="1" applyAlignment="1">
      <alignment horizontal="center"/>
    </xf>
    <xf numFmtId="164" fontId="2" fillId="0" borderId="52" xfId="1" applyNumberFormat="1" applyFont="1" applyBorder="1" applyAlignment="1">
      <alignment horizontal="center"/>
    </xf>
    <xf numFmtId="164" fontId="2" fillId="0" borderId="52" xfId="1" applyNumberFormat="1" applyFont="1" applyFill="1" applyBorder="1" applyAlignment="1">
      <alignment horizontal="center"/>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165" fontId="2" fillId="0" borderId="32" xfId="0" applyNumberFormat="1" applyFont="1" applyBorder="1" applyAlignment="1">
      <alignment horizontal="center"/>
    </xf>
    <xf numFmtId="164" fontId="2" fillId="0" borderId="45" xfId="0" applyNumberFormat="1" applyFont="1" applyBorder="1"/>
    <xf numFmtId="164" fontId="2" fillId="0" borderId="37" xfId="0" applyNumberFormat="1" applyFont="1" applyBorder="1"/>
    <xf numFmtId="0" fontId="2" fillId="0" borderId="26" xfId="0" applyFont="1" applyBorder="1"/>
    <xf numFmtId="0" fontId="2" fillId="0" borderId="10" xfId="0" applyFont="1" applyBorder="1"/>
    <xf numFmtId="0" fontId="2" fillId="0" borderId="2" xfId="0" applyFont="1" applyBorder="1"/>
    <xf numFmtId="0" fontId="2" fillId="0" borderId="49" xfId="0" applyFont="1" applyBorder="1"/>
    <xf numFmtId="0" fontId="2" fillId="0" borderId="48" xfId="0" applyFont="1" applyBorder="1"/>
    <xf numFmtId="0" fontId="4" fillId="0" borderId="0" xfId="0" applyFont="1"/>
    <xf numFmtId="0" fontId="8" fillId="0" borderId="0" xfId="5" applyFont="1" applyAlignment="1">
      <alignment horizontal="left"/>
    </xf>
    <xf numFmtId="0" fontId="8" fillId="0" borderId="1" xfId="5" applyFont="1" applyBorder="1" applyAlignment="1">
      <alignment horizontal="left" vertical="center"/>
    </xf>
    <xf numFmtId="0" fontId="8" fillId="0" borderId="1" xfId="5" applyFont="1" applyBorder="1" applyAlignment="1">
      <alignment horizontal="center" vertical="center"/>
    </xf>
    <xf numFmtId="0" fontId="9" fillId="0" borderId="0" xfId="0" applyFont="1" applyAlignment="1">
      <alignment horizontal="left"/>
    </xf>
    <xf numFmtId="0" fontId="8" fillId="0" borderId="0" xfId="5" applyFont="1" applyAlignment="1">
      <alignment horizontal="right"/>
    </xf>
    <xf numFmtId="165" fontId="2" fillId="0" borderId="5" xfId="3" applyNumberFormat="1" applyFont="1" applyBorder="1" applyAlignment="1">
      <alignment horizontal="center"/>
    </xf>
    <xf numFmtId="0" fontId="2" fillId="0" borderId="22" xfId="0" applyFont="1" applyBorder="1" applyAlignment="1">
      <alignment horizontal="center" vertical="center" wrapText="1"/>
    </xf>
    <xf numFmtId="164" fontId="2" fillId="0" borderId="27" xfId="1" applyNumberFormat="1" applyFont="1" applyBorder="1"/>
    <xf numFmtId="164" fontId="2" fillId="0" borderId="52" xfId="1" applyNumberFormat="1" applyFont="1" applyBorder="1"/>
    <xf numFmtId="164" fontId="2" fillId="0" borderId="37" xfId="1" applyNumberFormat="1" applyFont="1" applyBorder="1"/>
    <xf numFmtId="164" fontId="2" fillId="0" borderId="26" xfId="1" applyNumberFormat="1" applyFont="1" applyBorder="1"/>
    <xf numFmtId="164" fontId="2" fillId="0" borderId="1" xfId="1" applyNumberFormat="1" applyFont="1" applyBorder="1"/>
    <xf numFmtId="164" fontId="2" fillId="0" borderId="2" xfId="1" applyNumberFormat="1" applyFont="1" applyBorder="1"/>
    <xf numFmtId="164" fontId="2" fillId="0" borderId="30" xfId="1" applyNumberFormat="1" applyFont="1" applyBorder="1"/>
    <xf numFmtId="164" fontId="2" fillId="0" borderId="31" xfId="1" applyNumberFormat="1" applyFont="1" applyBorder="1"/>
    <xf numFmtId="164" fontId="2" fillId="0" borderId="48" xfId="1" applyNumberFormat="1" applyFont="1" applyBorder="1"/>
    <xf numFmtId="0" fontId="2" fillId="0" borderId="45" xfId="0" applyFont="1" applyBorder="1"/>
    <xf numFmtId="0" fontId="2" fillId="0" borderId="11" xfId="0" applyFont="1" applyBorder="1"/>
    <xf numFmtId="164" fontId="2" fillId="0" borderId="12" xfId="0" applyNumberFormat="1" applyFont="1" applyBorder="1"/>
    <xf numFmtId="0" fontId="2" fillId="0" borderId="19" xfId="0" applyFont="1" applyBorder="1" applyAlignment="1">
      <alignment horizontal="center" vertical="center" wrapText="1"/>
    </xf>
    <xf numFmtId="0" fontId="2" fillId="0" borderId="56" xfId="0" applyFont="1" applyBorder="1" applyAlignment="1">
      <alignment horizontal="center" vertical="center" wrapText="1"/>
    </xf>
    <xf numFmtId="2" fontId="2" fillId="0" borderId="9" xfId="0" applyNumberFormat="1" applyFont="1" applyBorder="1"/>
    <xf numFmtId="0" fontId="2" fillId="0" borderId="1" xfId="0" applyFont="1" applyBorder="1"/>
    <xf numFmtId="164" fontId="2" fillId="0" borderId="20" xfId="1" applyNumberFormat="1" applyFont="1" applyBorder="1"/>
    <xf numFmtId="164" fontId="2" fillId="0" borderId="21" xfId="1" applyNumberFormat="1" applyFont="1" applyBorder="1"/>
    <xf numFmtId="164" fontId="2" fillId="0" borderId="13" xfId="0" applyNumberFormat="1" applyFont="1" applyBorder="1"/>
    <xf numFmtId="166" fontId="2" fillId="0" borderId="6" xfId="3" applyNumberFormat="1" applyFont="1" applyFill="1" applyBorder="1" applyAlignment="1">
      <alignment horizontal="right" indent="1"/>
    </xf>
    <xf numFmtId="166" fontId="2" fillId="0" borderId="2" xfId="3" applyNumberFormat="1" applyFont="1" applyFill="1" applyBorder="1" applyAlignment="1">
      <alignment horizontal="right" indent="1"/>
    </xf>
    <xf numFmtId="166" fontId="2" fillId="0" borderId="22" xfId="3" applyNumberFormat="1" applyFont="1" applyFill="1" applyBorder="1" applyAlignment="1">
      <alignment horizontal="right" indent="1"/>
    </xf>
    <xf numFmtId="166" fontId="2" fillId="0" borderId="37" xfId="3" applyNumberFormat="1" applyFont="1" applyFill="1" applyBorder="1" applyAlignment="1">
      <alignment horizontal="right" indent="1"/>
    </xf>
    <xf numFmtId="0" fontId="2" fillId="0" borderId="22" xfId="0" applyFont="1" applyBorder="1" applyAlignment="1">
      <alignment horizontal="center"/>
    </xf>
    <xf numFmtId="10" fontId="11" fillId="4" borderId="1" xfId="4" applyNumberFormat="1" applyFont="1" applyFill="1" applyBorder="1" applyAlignment="1">
      <alignment horizontal="center"/>
    </xf>
    <xf numFmtId="0" fontId="12" fillId="0" borderId="1" xfId="0" applyFont="1" applyBorder="1" applyAlignment="1">
      <alignment horizontal="right"/>
    </xf>
    <xf numFmtId="166" fontId="11" fillId="4" borderId="1" xfId="6" applyNumberFormat="1" applyFont="1" applyFill="1" applyBorder="1" applyAlignment="1">
      <alignment horizontal="center"/>
    </xf>
    <xf numFmtId="0" fontId="12" fillId="0" borderId="1" xfId="0" applyFont="1" applyBorder="1" applyAlignment="1">
      <alignment horizontal="center"/>
    </xf>
    <xf numFmtId="0" fontId="12" fillId="0" borderId="1" xfId="0" applyFont="1" applyBorder="1"/>
    <xf numFmtId="0" fontId="11" fillId="0" borderId="0" xfId="0" applyFont="1"/>
    <xf numFmtId="0" fontId="13" fillId="0" borderId="0" xfId="0" applyFont="1"/>
    <xf numFmtId="6" fontId="2" fillId="0" borderId="1" xfId="0" applyNumberFormat="1" applyFont="1" applyBorder="1" applyAlignment="1">
      <alignment horizontal="center"/>
    </xf>
    <xf numFmtId="6" fontId="2" fillId="0" borderId="37" xfId="0" applyNumberFormat="1" applyFont="1" applyBorder="1" applyAlignment="1">
      <alignment horizontal="center"/>
    </xf>
    <xf numFmtId="164" fontId="2" fillId="0" borderId="32" xfId="1" applyNumberFormat="1" applyFont="1" applyBorder="1"/>
    <xf numFmtId="0" fontId="4" fillId="2" borderId="19" xfId="0" applyFont="1" applyFill="1" applyBorder="1"/>
    <xf numFmtId="0" fontId="4" fillId="2" borderId="20" xfId="0" applyFont="1" applyFill="1" applyBorder="1" applyAlignment="1">
      <alignment horizontal="center"/>
    </xf>
    <xf numFmtId="0" fontId="2" fillId="0" borderId="16" xfId="0" applyFont="1" applyBorder="1"/>
    <xf numFmtId="0" fontId="2" fillId="0" borderId="17" xfId="0" applyFont="1" applyBorder="1"/>
    <xf numFmtId="0" fontId="2" fillId="0" borderId="18" xfId="0" applyFont="1" applyBorder="1"/>
    <xf numFmtId="166" fontId="2" fillId="0" borderId="12" xfId="3" applyNumberFormat="1" applyFont="1" applyBorder="1"/>
    <xf numFmtId="166" fontId="2" fillId="0" borderId="13" xfId="3" applyNumberFormat="1" applyFont="1" applyBorder="1"/>
    <xf numFmtId="0" fontId="2" fillId="0" borderId="52" xfId="0" applyFont="1" applyBorder="1"/>
    <xf numFmtId="0" fontId="2" fillId="0" borderId="37" xfId="0" applyFont="1" applyBorder="1"/>
    <xf numFmtId="1" fontId="2" fillId="0" borderId="1" xfId="0" applyNumberFormat="1" applyFont="1" applyBorder="1"/>
    <xf numFmtId="1" fontId="2" fillId="0" borderId="2" xfId="0" applyNumberFormat="1" applyFont="1" applyBorder="1"/>
    <xf numFmtId="164" fontId="2" fillId="0" borderId="16" xfId="1" applyNumberFormat="1" applyFont="1" applyBorder="1" applyAlignment="1">
      <alignment horizontal="center"/>
    </xf>
    <xf numFmtId="2" fontId="2" fillId="0" borderId="37" xfId="0" applyNumberFormat="1" applyFont="1" applyBorder="1"/>
    <xf numFmtId="0" fontId="4" fillId="2" borderId="15" xfId="0" applyFont="1" applyFill="1" applyBorder="1"/>
    <xf numFmtId="164" fontId="2" fillId="0" borderId="10" xfId="1" applyNumberFormat="1" applyFont="1" applyBorder="1" applyAlignment="1">
      <alignment horizontal="center"/>
    </xf>
    <xf numFmtId="164" fontId="2" fillId="0" borderId="1" xfId="1" applyNumberFormat="1" applyFont="1" applyBorder="1" applyAlignment="1">
      <alignment horizontal="center"/>
    </xf>
    <xf numFmtId="164" fontId="2" fillId="0" borderId="1" xfId="1" applyNumberFormat="1" applyFont="1" applyFill="1" applyBorder="1" applyAlignment="1">
      <alignment horizontal="center"/>
    </xf>
    <xf numFmtId="164" fontId="2" fillId="0" borderId="1" xfId="1" applyNumberFormat="1" applyFont="1" applyBorder="1" applyAlignment="1">
      <alignment horizontal="center" vertical="center"/>
    </xf>
    <xf numFmtId="164" fontId="2" fillId="0" borderId="2" xfId="1" applyNumberFormat="1" applyFont="1" applyBorder="1" applyAlignment="1">
      <alignment horizontal="center"/>
    </xf>
    <xf numFmtId="164" fontId="2" fillId="0" borderId="12" xfId="1" applyNumberFormat="1" applyFont="1" applyBorder="1" applyAlignment="1">
      <alignment horizontal="center"/>
    </xf>
    <xf numFmtId="164" fontId="2" fillId="0" borderId="12" xfId="1" applyNumberFormat="1" applyFont="1" applyFill="1" applyBorder="1" applyAlignment="1">
      <alignment horizontal="center"/>
    </xf>
    <xf numFmtId="164" fontId="2" fillId="0" borderId="12" xfId="1" applyNumberFormat="1" applyFont="1" applyBorder="1" applyAlignment="1">
      <alignment horizontal="center" vertical="center"/>
    </xf>
    <xf numFmtId="164" fontId="2" fillId="0" borderId="13" xfId="1" applyNumberFormat="1" applyFont="1" applyBorder="1" applyAlignment="1">
      <alignment horizontal="center"/>
    </xf>
    <xf numFmtId="164" fontId="2" fillId="0" borderId="17" xfId="1" applyNumberFormat="1" applyFont="1" applyBorder="1" applyAlignment="1">
      <alignment horizontal="center"/>
    </xf>
    <xf numFmtId="164" fontId="2" fillId="0" borderId="17" xfId="1" applyNumberFormat="1" applyFont="1" applyFill="1" applyBorder="1" applyAlignment="1">
      <alignment horizontal="center"/>
    </xf>
    <xf numFmtId="164" fontId="2" fillId="0" borderId="17" xfId="1" applyNumberFormat="1" applyFont="1" applyBorder="1" applyAlignment="1">
      <alignment horizontal="center" vertical="center"/>
    </xf>
    <xf numFmtId="164" fontId="2" fillId="0" borderId="18" xfId="1" applyNumberFormat="1" applyFont="1" applyBorder="1" applyAlignment="1">
      <alignment horizontal="center"/>
    </xf>
    <xf numFmtId="0" fontId="2" fillId="0" borderId="44" xfId="0" applyFont="1" applyBorder="1"/>
    <xf numFmtId="0" fontId="2" fillId="0" borderId="22" xfId="0" applyFont="1" applyBorder="1"/>
    <xf numFmtId="164" fontId="2" fillId="0" borderId="10" xfId="1" applyNumberFormat="1" applyFont="1" applyBorder="1"/>
    <xf numFmtId="0" fontId="2" fillId="0" borderId="6" xfId="0" applyFont="1" applyBorder="1"/>
    <xf numFmtId="164" fontId="2" fillId="0" borderId="29" xfId="1" applyNumberFormat="1" applyFont="1" applyBorder="1"/>
    <xf numFmtId="0" fontId="2" fillId="0" borderId="23" xfId="0" applyFont="1" applyBorder="1"/>
    <xf numFmtId="164" fontId="2" fillId="0" borderId="12" xfId="1" applyNumberFormat="1" applyFont="1" applyBorder="1"/>
    <xf numFmtId="164" fontId="2" fillId="0" borderId="13" xfId="1" applyNumberFormat="1" applyFont="1" applyBorder="1"/>
    <xf numFmtId="164" fontId="2" fillId="0" borderId="53" xfId="0" applyNumberFormat="1" applyFont="1" applyBorder="1"/>
    <xf numFmtId="164" fontId="2" fillId="0" borderId="44" xfId="0" applyNumberFormat="1" applyFont="1" applyBorder="1"/>
    <xf numFmtId="164" fontId="2" fillId="0" borderId="67" xfId="0" applyNumberFormat="1" applyFont="1" applyBorder="1"/>
    <xf numFmtId="0" fontId="4" fillId="2" borderId="62" xfId="0" applyFont="1" applyFill="1" applyBorder="1"/>
    <xf numFmtId="0" fontId="4" fillId="2" borderId="19" xfId="0" applyFont="1" applyFill="1" applyBorder="1" applyAlignment="1">
      <alignment horizontal="center"/>
    </xf>
    <xf numFmtId="0" fontId="4" fillId="2" borderId="20" xfId="0" applyFont="1" applyFill="1" applyBorder="1" applyAlignment="1">
      <alignment horizontal="center" vertical="center"/>
    </xf>
    <xf numFmtId="0" fontId="4" fillId="2" borderId="20" xfId="0" applyFont="1" applyFill="1" applyBorder="1"/>
    <xf numFmtId="0" fontId="4" fillId="2" borderId="21" xfId="0" applyFont="1" applyFill="1" applyBorder="1"/>
    <xf numFmtId="0" fontId="2" fillId="0" borderId="20" xfId="0" applyFont="1" applyBorder="1"/>
    <xf numFmtId="0" fontId="2" fillId="0" borderId="13" xfId="0" applyFont="1" applyBorder="1"/>
    <xf numFmtId="0" fontId="2"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vertical="top" wrapText="1"/>
    </xf>
    <xf numFmtId="6" fontId="2" fillId="0" borderId="12" xfId="0" applyNumberFormat="1" applyFont="1" applyBorder="1" applyAlignment="1">
      <alignment horizontal="center"/>
    </xf>
    <xf numFmtId="0" fontId="4" fillId="0" borderId="0" xfId="0" applyFont="1" applyAlignment="1">
      <alignment horizontal="left"/>
    </xf>
    <xf numFmtId="2" fontId="2" fillId="0" borderId="55" xfId="0" applyNumberFormat="1" applyFont="1" applyBorder="1"/>
    <xf numFmtId="0" fontId="8" fillId="0" borderId="0" xfId="0" applyFont="1" applyAlignment="1">
      <alignment vertical="top" wrapText="1"/>
    </xf>
    <xf numFmtId="0" fontId="2" fillId="0" borderId="57" xfId="0" applyFont="1" applyBorder="1" applyAlignment="1">
      <alignment horizontal="center"/>
    </xf>
    <xf numFmtId="37" fontId="2" fillId="0" borderId="10" xfId="3" applyNumberFormat="1" applyFont="1" applyFill="1" applyBorder="1" applyAlignment="1">
      <alignment horizontal="center"/>
    </xf>
    <xf numFmtId="37" fontId="2" fillId="0" borderId="52" xfId="3" applyNumberFormat="1" applyFont="1" applyFill="1" applyBorder="1" applyAlignment="1">
      <alignment horizontal="center"/>
    </xf>
    <xf numFmtId="37" fontId="2" fillId="0" borderId="37" xfId="3" applyNumberFormat="1" applyFont="1" applyFill="1" applyBorder="1" applyAlignment="1">
      <alignment horizontal="center"/>
    </xf>
    <xf numFmtId="6" fontId="2" fillId="0" borderId="45" xfId="3" applyNumberFormat="1" applyFont="1" applyFill="1" applyBorder="1" applyAlignment="1">
      <alignment horizontal="right"/>
    </xf>
    <xf numFmtId="6" fontId="2" fillId="0" borderId="37" xfId="0" applyNumberFormat="1" applyFont="1" applyBorder="1" applyAlignment="1">
      <alignment horizontal="right"/>
    </xf>
    <xf numFmtId="0" fontId="2" fillId="0" borderId="51" xfId="0" applyFont="1" applyBorder="1" applyAlignment="1">
      <alignment horizontal="center"/>
    </xf>
    <xf numFmtId="37" fontId="2" fillId="0" borderId="1" xfId="3" applyNumberFormat="1" applyFont="1" applyFill="1" applyBorder="1" applyAlignment="1">
      <alignment horizontal="center"/>
    </xf>
    <xf numFmtId="37" fontId="2" fillId="0" borderId="2" xfId="3" applyNumberFormat="1" applyFont="1" applyFill="1" applyBorder="1" applyAlignment="1">
      <alignment horizontal="center"/>
    </xf>
    <xf numFmtId="6" fontId="2" fillId="0" borderId="10" xfId="3" applyNumberFormat="1" applyFont="1" applyFill="1" applyBorder="1" applyAlignment="1">
      <alignment horizontal="right"/>
    </xf>
    <xf numFmtId="6" fontId="2" fillId="0" borderId="2" xfId="0" applyNumberFormat="1" applyFont="1" applyBorder="1" applyAlignment="1">
      <alignment horizontal="right"/>
    </xf>
    <xf numFmtId="0" fontId="2" fillId="0" borderId="50" xfId="0" applyFont="1" applyBorder="1" applyAlignment="1">
      <alignment horizontal="center"/>
    </xf>
    <xf numFmtId="37" fontId="2" fillId="0" borderId="11" xfId="3" applyNumberFormat="1" applyFont="1" applyFill="1" applyBorder="1" applyAlignment="1">
      <alignment horizontal="center"/>
    </xf>
    <xf numFmtId="37" fontId="2" fillId="0" borderId="12" xfId="3" applyNumberFormat="1" applyFont="1" applyFill="1" applyBorder="1" applyAlignment="1">
      <alignment horizontal="center"/>
    </xf>
    <xf numFmtId="37" fontId="2" fillId="0" borderId="13" xfId="3" applyNumberFormat="1" applyFont="1" applyFill="1" applyBorder="1" applyAlignment="1">
      <alignment horizontal="center"/>
    </xf>
    <xf numFmtId="6" fontId="2" fillId="0" borderId="11" xfId="3" applyNumberFormat="1" applyFont="1" applyFill="1" applyBorder="1" applyAlignment="1">
      <alignment horizontal="right"/>
    </xf>
    <xf numFmtId="6" fontId="2" fillId="0" borderId="13" xfId="0" applyNumberFormat="1" applyFont="1" applyBorder="1" applyAlignment="1">
      <alignment horizontal="right"/>
    </xf>
    <xf numFmtId="37" fontId="2" fillId="0" borderId="0" xfId="0" applyNumberFormat="1" applyFont="1"/>
    <xf numFmtId="6" fontId="4" fillId="0" borderId="0" xfId="0" applyNumberFormat="1" applyFont="1" applyAlignment="1">
      <alignment horizontal="right"/>
    </xf>
    <xf numFmtId="6" fontId="2" fillId="0" borderId="4" xfId="0" applyNumberFormat="1" applyFont="1" applyBorder="1" applyAlignment="1">
      <alignment horizontal="right" indent="1"/>
    </xf>
    <xf numFmtId="0" fontId="4" fillId="2" borderId="22" xfId="0" applyFont="1" applyFill="1" applyBorder="1" applyAlignment="1">
      <alignment horizontal="left"/>
    </xf>
    <xf numFmtId="170" fontId="2" fillId="0" borderId="69" xfId="0" applyNumberFormat="1" applyFont="1" applyBorder="1" applyAlignment="1">
      <alignment horizontal="center"/>
    </xf>
    <xf numFmtId="0" fontId="4" fillId="2" borderId="23" xfId="0" applyFont="1" applyFill="1" applyBorder="1" applyAlignment="1">
      <alignment horizontal="left"/>
    </xf>
    <xf numFmtId="170" fontId="2" fillId="0" borderId="70" xfId="0" applyNumberFormat="1" applyFont="1" applyBorder="1" applyAlignment="1">
      <alignment horizontal="center"/>
    </xf>
    <xf numFmtId="166" fontId="2" fillId="0" borderId="0" xfId="3" applyNumberFormat="1" applyFont="1" applyFill="1" applyBorder="1"/>
    <xf numFmtId="37" fontId="2" fillId="0" borderId="45" xfId="3" applyNumberFormat="1" applyFont="1" applyFill="1" applyBorder="1" applyAlignment="1">
      <alignment horizontal="center"/>
    </xf>
    <xf numFmtId="0" fontId="2" fillId="0" borderId="0" xfId="0" applyFont="1" applyAlignment="1">
      <alignment horizontal="left"/>
    </xf>
    <xf numFmtId="170" fontId="2" fillId="0" borderId="0" xfId="1" applyNumberFormat="1" applyFont="1" applyFill="1" applyBorder="1" applyAlignment="1">
      <alignment horizontal="center"/>
    </xf>
    <xf numFmtId="3" fontId="2" fillId="0" borderId="0" xfId="4" applyNumberFormat="1" applyFont="1" applyFill="1" applyBorder="1" applyAlignment="1">
      <alignment horizontal="center"/>
    </xf>
    <xf numFmtId="43" fontId="2" fillId="0" borderId="0" xfId="0" applyNumberFormat="1" applyFont="1"/>
    <xf numFmtId="1" fontId="2" fillId="0" borderId="0" xfId="0" applyNumberFormat="1" applyFont="1"/>
    <xf numFmtId="167" fontId="2" fillId="0" borderId="69" xfId="4" applyNumberFormat="1" applyFont="1" applyFill="1" applyBorder="1" applyAlignment="1">
      <alignment horizontal="center"/>
    </xf>
    <xf numFmtId="167" fontId="2" fillId="0" borderId="70" xfId="4" applyNumberFormat="1" applyFont="1" applyFill="1" applyBorder="1" applyAlignment="1">
      <alignment horizontal="center"/>
    </xf>
    <xf numFmtId="167" fontId="2" fillId="0" borderId="0" xfId="4" applyNumberFormat="1" applyFont="1" applyFill="1" applyBorder="1"/>
    <xf numFmtId="44" fontId="2" fillId="0" borderId="0" xfId="1" applyFont="1" applyFill="1" applyBorder="1"/>
    <xf numFmtId="2" fontId="2" fillId="0" borderId="69" xfId="4" applyNumberFormat="1" applyFont="1" applyFill="1" applyBorder="1" applyAlignment="1">
      <alignment horizontal="center"/>
    </xf>
    <xf numFmtId="2" fontId="2" fillId="0" borderId="70" xfId="4" applyNumberFormat="1" applyFont="1" applyFill="1" applyBorder="1" applyAlignment="1">
      <alignment horizontal="center"/>
    </xf>
    <xf numFmtId="170" fontId="2" fillId="0" borderId="38" xfId="1" applyNumberFormat="1" applyFont="1" applyFill="1" applyBorder="1" applyAlignment="1">
      <alignment horizontal="center"/>
    </xf>
    <xf numFmtId="166" fontId="2" fillId="0" borderId="0" xfId="0" applyNumberFormat="1" applyFont="1" applyAlignment="1">
      <alignment horizontal="center"/>
    </xf>
    <xf numFmtId="43" fontId="2" fillId="0" borderId="0" xfId="0" applyNumberFormat="1" applyFont="1" applyAlignment="1">
      <alignment horizontal="center"/>
    </xf>
    <xf numFmtId="166" fontId="2"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right" vertical="top" wrapText="1"/>
    </xf>
    <xf numFmtId="0" fontId="16" fillId="0" borderId="0" xfId="0" quotePrefix="1" applyFont="1"/>
    <xf numFmtId="0" fontId="13" fillId="0" borderId="0" xfId="0" quotePrefix="1" applyFont="1"/>
    <xf numFmtId="0" fontId="8" fillId="0" borderId="0" xfId="0" applyFont="1" applyAlignment="1">
      <alignment horizontal="right"/>
    </xf>
    <xf numFmtId="168" fontId="17" fillId="0" borderId="0" xfId="5" applyNumberFormat="1" applyFont="1" applyAlignment="1">
      <alignment horizontal="left" vertical="top"/>
    </xf>
    <xf numFmtId="0" fontId="2" fillId="0" borderId="0" xfId="0" applyFont="1" applyAlignment="1">
      <alignment vertical="center"/>
    </xf>
    <xf numFmtId="0" fontId="5" fillId="0" borderId="0" xfId="0" applyFont="1"/>
    <xf numFmtId="0" fontId="4" fillId="0" borderId="0" xfId="0" applyFont="1" applyAlignment="1">
      <alignment horizontal="center"/>
    </xf>
    <xf numFmtId="6" fontId="5" fillId="0" borderId="0" xfId="0" applyNumberFormat="1" applyFont="1" applyAlignment="1">
      <alignment horizontal="center"/>
    </xf>
    <xf numFmtId="38" fontId="2" fillId="0" borderId="0" xfId="0" applyNumberFormat="1" applyFont="1"/>
    <xf numFmtId="165" fontId="2" fillId="0" borderId="0" xfId="0" applyNumberFormat="1" applyFont="1"/>
    <xf numFmtId="0" fontId="4" fillId="0" borderId="0" xfId="0" applyFont="1" applyAlignment="1">
      <alignment horizontal="right"/>
    </xf>
    <xf numFmtId="9" fontId="4" fillId="0" borderId="0" xfId="0" applyNumberFormat="1" applyFont="1" applyAlignment="1">
      <alignment horizontal="center"/>
    </xf>
    <xf numFmtId="0" fontId="2" fillId="0" borderId="42" xfId="0" applyFont="1" applyBorder="1"/>
    <xf numFmtId="9" fontId="4" fillId="2" borderId="21" xfId="0" applyNumberFormat="1" applyFont="1" applyFill="1" applyBorder="1" applyAlignment="1">
      <alignment horizontal="center"/>
    </xf>
    <xf numFmtId="2" fontId="2" fillId="0" borderId="0" xfId="0" applyNumberFormat="1" applyFont="1" applyAlignment="1">
      <alignment horizontal="center"/>
    </xf>
    <xf numFmtId="0" fontId="4" fillId="2" borderId="41" xfId="0" applyFont="1" applyFill="1" applyBorder="1"/>
    <xf numFmtId="165" fontId="2" fillId="0" borderId="18" xfId="0" applyNumberFormat="1" applyFont="1" applyBorder="1" applyAlignment="1">
      <alignment horizontal="center"/>
    </xf>
    <xf numFmtId="0" fontId="4" fillId="2" borderId="40" xfId="0" applyFont="1" applyFill="1" applyBorder="1"/>
    <xf numFmtId="165" fontId="2" fillId="0" borderId="35" xfId="0" applyNumberFormat="1" applyFont="1" applyBorder="1" applyAlignment="1">
      <alignment horizontal="center"/>
    </xf>
    <xf numFmtId="0" fontId="4" fillId="2" borderId="39" xfId="0" applyFont="1" applyFill="1" applyBorder="1"/>
    <xf numFmtId="2" fontId="4" fillId="0" borderId="33" xfId="0" applyNumberFormat="1" applyFont="1" applyBorder="1" applyAlignment="1">
      <alignment horizontal="center"/>
    </xf>
    <xf numFmtId="0" fontId="4" fillId="2" borderId="11" xfId="0" applyFont="1" applyFill="1" applyBorder="1"/>
    <xf numFmtId="165" fontId="2" fillId="0" borderId="13" xfId="0" applyNumberFormat="1" applyFont="1" applyBorder="1" applyAlignment="1">
      <alignment horizontal="center"/>
    </xf>
    <xf numFmtId="166" fontId="4" fillId="0" borderId="0" xfId="3" applyNumberFormat="1" applyFont="1"/>
    <xf numFmtId="0" fontId="2" fillId="0" borderId="19" xfId="0" applyFont="1" applyBorder="1"/>
    <xf numFmtId="9" fontId="4" fillId="2" borderId="38" xfId="0" applyNumberFormat="1" applyFont="1" applyFill="1" applyBorder="1" applyAlignment="1">
      <alignment horizontal="center"/>
    </xf>
    <xf numFmtId="0" fontId="4" fillId="2" borderId="16" xfId="0" applyFont="1" applyFill="1" applyBorder="1"/>
    <xf numFmtId="165" fontId="2" fillId="0" borderId="37" xfId="0" applyNumberFormat="1" applyFont="1" applyBorder="1" applyAlignment="1">
      <alignment horizontal="center"/>
    </xf>
    <xf numFmtId="0" fontId="4" fillId="2" borderId="36" xfId="0" applyFont="1" applyFill="1" applyBorder="1"/>
    <xf numFmtId="0" fontId="4" fillId="2" borderId="34" xfId="0" applyFont="1" applyFill="1" applyBorder="1"/>
    <xf numFmtId="6" fontId="2" fillId="0" borderId="0" xfId="0" applyNumberFormat="1" applyFont="1"/>
    <xf numFmtId="0" fontId="4" fillId="2" borderId="19" xfId="0" applyFont="1" applyFill="1" applyBorder="1" applyAlignment="1">
      <alignment horizontal="left"/>
    </xf>
    <xf numFmtId="165" fontId="4" fillId="2" borderId="20" xfId="0" applyNumberFormat="1" applyFont="1" applyFill="1" applyBorder="1" applyAlignment="1">
      <alignment horizontal="center"/>
    </xf>
    <xf numFmtId="0" fontId="8" fillId="0" borderId="56" xfId="0" applyFont="1" applyBorder="1" applyAlignment="1">
      <alignment horizontal="left"/>
    </xf>
    <xf numFmtId="165" fontId="8" fillId="0" borderId="9" xfId="0" applyNumberFormat="1" applyFont="1" applyBorder="1" applyAlignment="1">
      <alignment horizontal="center"/>
    </xf>
    <xf numFmtId="165" fontId="8" fillId="0" borderId="55" xfId="0" applyNumberFormat="1" applyFont="1" applyBorder="1" applyAlignment="1">
      <alignment horizontal="center"/>
    </xf>
    <xf numFmtId="0" fontId="2" fillId="0" borderId="5" xfId="0" applyFont="1" applyBorder="1"/>
    <xf numFmtId="0" fontId="2" fillId="0" borderId="60" xfId="0" applyFont="1" applyBorder="1"/>
    <xf numFmtId="0" fontId="2" fillId="0" borderId="59" xfId="0" applyFont="1" applyBorder="1"/>
    <xf numFmtId="0" fontId="2" fillId="0" borderId="12" xfId="0" applyFont="1" applyBorder="1"/>
    <xf numFmtId="20" fontId="2" fillId="0" borderId="0" xfId="0" applyNumberFormat="1" applyFont="1"/>
    <xf numFmtId="0" fontId="18" fillId="0" borderId="0" xfId="0" applyFont="1"/>
    <xf numFmtId="0" fontId="2" fillId="0" borderId="7" xfId="0" applyFont="1" applyBorder="1"/>
    <xf numFmtId="0" fontId="2" fillId="0" borderId="15" xfId="0" applyFont="1" applyBorder="1"/>
    <xf numFmtId="164" fontId="2" fillId="0" borderId="32" xfId="0" applyNumberFormat="1" applyFont="1" applyBorder="1"/>
    <xf numFmtId="164" fontId="2" fillId="0" borderId="21" xfId="1" applyNumberFormat="1" applyFont="1" applyFill="1" applyBorder="1"/>
    <xf numFmtId="9" fontId="2" fillId="0" borderId="0" xfId="4" applyFont="1"/>
    <xf numFmtId="44" fontId="2" fillId="0" borderId="0" xfId="1" applyFont="1"/>
    <xf numFmtId="0" fontId="20" fillId="0" borderId="0" xfId="0" applyFont="1"/>
    <xf numFmtId="0" fontId="4" fillId="0" borderId="44" xfId="0" applyFont="1" applyBorder="1"/>
    <xf numFmtId="0" fontId="2" fillId="0" borderId="0" xfId="0" applyFont="1" applyAlignment="1">
      <alignment wrapText="1"/>
    </xf>
    <xf numFmtId="0" fontId="2" fillId="0" borderId="0" xfId="0" applyFont="1" applyAlignment="1">
      <alignment vertical="top"/>
    </xf>
    <xf numFmtId="166" fontId="2" fillId="0" borderId="7" xfId="3" applyNumberFormat="1" applyFont="1" applyFill="1" applyBorder="1" applyAlignment="1">
      <alignment horizontal="right" indent="1"/>
    </xf>
    <xf numFmtId="166" fontId="2" fillId="0" borderId="13" xfId="3" applyNumberFormat="1" applyFont="1" applyFill="1" applyBorder="1" applyAlignment="1">
      <alignment horizontal="right" indent="1"/>
    </xf>
    <xf numFmtId="166" fontId="2" fillId="0" borderId="23" xfId="3" applyNumberFormat="1" applyFont="1" applyFill="1" applyBorder="1" applyAlignment="1">
      <alignment horizontal="right" indent="1"/>
    </xf>
    <xf numFmtId="164" fontId="2" fillId="0" borderId="56" xfId="1" applyNumberFormat="1" applyFont="1" applyBorder="1" applyAlignment="1">
      <alignment horizontal="center"/>
    </xf>
    <xf numFmtId="164" fontId="2" fillId="0" borderId="52" xfId="1" applyNumberFormat="1" applyFont="1" applyBorder="1" applyAlignment="1">
      <alignment horizontal="center" vertical="center"/>
    </xf>
    <xf numFmtId="164" fontId="2" fillId="0" borderId="37" xfId="1" applyNumberFormat="1"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5" borderId="51" xfId="0" applyFont="1" applyFill="1" applyBorder="1"/>
    <xf numFmtId="2" fontId="2" fillId="5" borderId="10" xfId="0" applyNumberFormat="1" applyFont="1" applyFill="1" applyBorder="1" applyAlignment="1">
      <alignment horizontal="center" vertical="center"/>
    </xf>
    <xf numFmtId="2" fontId="2" fillId="5" borderId="1" xfId="0" applyNumberFormat="1" applyFont="1" applyFill="1" applyBorder="1" applyAlignment="1">
      <alignment horizontal="center" vertical="center"/>
    </xf>
    <xf numFmtId="164" fontId="2" fillId="0" borderId="76" xfId="1" applyNumberFormat="1" applyFont="1" applyBorder="1" applyAlignment="1">
      <alignment horizontal="center"/>
    </xf>
    <xf numFmtId="169" fontId="0" fillId="0" borderId="0" xfId="0" applyNumberFormat="1"/>
    <xf numFmtId="0" fontId="21" fillId="3" borderId="14" xfId="2" applyFont="1">
      <alignment horizontal="left"/>
    </xf>
    <xf numFmtId="0" fontId="21" fillId="3" borderId="0" xfId="2" applyFont="1" applyBorder="1">
      <alignment horizontal="left"/>
    </xf>
    <xf numFmtId="164" fontId="2" fillId="0" borderId="45" xfId="1" applyNumberFormat="1" applyFont="1" applyBorder="1"/>
    <xf numFmtId="164" fontId="2" fillId="0" borderId="58" xfId="1" applyNumberFormat="1" applyFont="1" applyBorder="1"/>
    <xf numFmtId="164" fontId="2" fillId="0" borderId="11" xfId="1" applyNumberFormat="1" applyFont="1" applyBorder="1"/>
    <xf numFmtId="164" fontId="2" fillId="0" borderId="77" xfId="1" applyNumberFormat="1" applyFont="1" applyBorder="1"/>
    <xf numFmtId="165" fontId="2" fillId="0" borderId="38" xfId="0" applyNumberFormat="1" applyFont="1" applyBorder="1" applyAlignment="1">
      <alignment horizontal="center"/>
    </xf>
    <xf numFmtId="0" fontId="2" fillId="0" borderId="4" xfId="0" applyFont="1" applyBorder="1"/>
    <xf numFmtId="43" fontId="2" fillId="0" borderId="52" xfId="0" applyNumberFormat="1" applyFont="1" applyBorder="1"/>
    <xf numFmtId="2" fontId="2" fillId="5" borderId="45" xfId="0" applyNumberFormat="1" applyFont="1" applyFill="1" applyBorder="1" applyAlignment="1">
      <alignment horizontal="center" vertical="center"/>
    </xf>
    <xf numFmtId="2" fontId="2" fillId="5" borderId="52" xfId="0" applyNumberFormat="1" applyFont="1" applyFill="1" applyBorder="1" applyAlignment="1">
      <alignment horizontal="center" vertical="center"/>
    </xf>
    <xf numFmtId="0" fontId="2" fillId="5" borderId="57" xfId="0" applyFont="1" applyFill="1" applyBorder="1"/>
    <xf numFmtId="2" fontId="2" fillId="5" borderId="58" xfId="0" applyNumberFormat="1" applyFont="1" applyFill="1" applyBorder="1" applyAlignment="1">
      <alignment horizontal="center" vertical="center"/>
    </xf>
    <xf numFmtId="2" fontId="2" fillId="5" borderId="29" xfId="0" applyNumberFormat="1" applyFont="1" applyFill="1" applyBorder="1" applyAlignment="1">
      <alignment horizontal="center" vertical="center"/>
    </xf>
    <xf numFmtId="0" fontId="2" fillId="0" borderId="0" xfId="0" applyFont="1" applyAlignment="1">
      <alignment vertical="center" wrapText="1"/>
    </xf>
    <xf numFmtId="0" fontId="2" fillId="5" borderId="78" xfId="0" applyFont="1" applyFill="1" applyBorder="1"/>
    <xf numFmtId="2" fontId="2" fillId="5" borderId="49" xfId="0" applyNumberFormat="1" applyFont="1" applyFill="1" applyBorder="1" applyAlignment="1">
      <alignment horizontal="center" vertical="center"/>
    </xf>
    <xf numFmtId="2" fontId="2" fillId="5" borderId="31" xfId="0" applyNumberFormat="1" applyFont="1" applyFill="1" applyBorder="1" applyAlignment="1">
      <alignment horizontal="center" vertical="center"/>
    </xf>
    <xf numFmtId="2" fontId="2" fillId="5" borderId="79" xfId="0" applyNumberFormat="1" applyFont="1" applyFill="1" applyBorder="1" applyAlignment="1">
      <alignment horizontal="center" vertical="center"/>
    </xf>
    <xf numFmtId="0" fontId="2" fillId="0" borderId="21" xfId="0" applyFont="1" applyBorder="1"/>
    <xf numFmtId="0" fontId="2" fillId="0" borderId="0" xfId="0" applyFont="1" applyAlignment="1">
      <alignment horizontal="right" wrapText="1"/>
    </xf>
    <xf numFmtId="164" fontId="2" fillId="0" borderId="59" xfId="1" applyNumberFormat="1" applyFont="1" applyBorder="1"/>
    <xf numFmtId="0" fontId="2" fillId="5" borderId="22" xfId="0" applyFont="1" applyFill="1" applyBorder="1"/>
    <xf numFmtId="0" fontId="2" fillId="5" borderId="6" xfId="0" applyFont="1" applyFill="1" applyBorder="1"/>
    <xf numFmtId="0" fontId="2" fillId="5" borderId="23" xfId="0" applyFont="1" applyFill="1" applyBorder="1"/>
    <xf numFmtId="0" fontId="2" fillId="5" borderId="15" xfId="0" applyFont="1" applyFill="1" applyBorder="1"/>
    <xf numFmtId="6" fontId="2" fillId="0" borderId="1" xfId="0" applyNumberFormat="1" applyFont="1" applyBorder="1"/>
    <xf numFmtId="44" fontId="2" fillId="0" borderId="1" xfId="0" applyNumberFormat="1" applyFont="1" applyBorder="1"/>
    <xf numFmtId="166" fontId="4" fillId="2" borderId="19" xfId="3" applyNumberFormat="1" applyFont="1" applyFill="1" applyBorder="1" applyAlignment="1">
      <alignment horizontal="center"/>
    </xf>
    <xf numFmtId="166" fontId="4" fillId="2" borderId="21" xfId="3" applyNumberFormat="1" applyFont="1" applyFill="1" applyBorder="1" applyAlignment="1">
      <alignment horizontal="center"/>
    </xf>
    <xf numFmtId="0" fontId="4" fillId="2" borderId="45" xfId="0" applyFont="1" applyFill="1" applyBorder="1" applyAlignment="1">
      <alignment horizontal="center"/>
    </xf>
    <xf numFmtId="166" fontId="4" fillId="2" borderId="37" xfId="3" applyNumberFormat="1" applyFont="1" applyFill="1" applyBorder="1" applyAlignment="1">
      <alignment horizontal="center"/>
    </xf>
    <xf numFmtId="0" fontId="2" fillId="0" borderId="10" xfId="0" applyFont="1" applyBorder="1" applyAlignment="1">
      <alignment horizontal="right"/>
    </xf>
    <xf numFmtId="44" fontId="2" fillId="0" borderId="12" xfId="0" applyNumberFormat="1" applyFont="1" applyBorder="1"/>
    <xf numFmtId="164" fontId="2" fillId="0" borderId="19" xfId="1" applyNumberFormat="1" applyFont="1" applyBorder="1"/>
    <xf numFmtId="0" fontId="4" fillId="2" borderId="3" xfId="0" applyFont="1" applyFill="1" applyBorder="1" applyAlignment="1">
      <alignment horizontal="center"/>
    </xf>
    <xf numFmtId="43" fontId="2" fillId="0" borderId="22" xfId="0" applyNumberFormat="1" applyFont="1" applyBorder="1"/>
    <xf numFmtId="43" fontId="2" fillId="0" borderId="6" xfId="0" applyNumberFormat="1" applyFont="1" applyBorder="1"/>
    <xf numFmtId="43" fontId="2" fillId="0" borderId="23" xfId="0" applyNumberFormat="1" applyFont="1" applyBorder="1"/>
    <xf numFmtId="43" fontId="2" fillId="0" borderId="4" xfId="0" applyNumberFormat="1" applyFont="1" applyBorder="1"/>
    <xf numFmtId="164" fontId="2" fillId="0" borderId="10" xfId="0" applyNumberFormat="1" applyFont="1" applyBorder="1"/>
    <xf numFmtId="0" fontId="12" fillId="0" borderId="1" xfId="0" applyFont="1" applyBorder="1" applyAlignment="1">
      <alignment horizontal="left"/>
    </xf>
    <xf numFmtId="164" fontId="2" fillId="0" borderId="2" xfId="0" applyNumberFormat="1" applyFont="1" applyBorder="1"/>
    <xf numFmtId="44" fontId="2" fillId="0" borderId="11" xfId="1" applyFont="1" applyBorder="1" applyAlignment="1">
      <alignment horizontal="center"/>
    </xf>
    <xf numFmtId="0" fontId="2" fillId="0" borderId="78" xfId="0" applyFont="1" applyBorder="1" applyAlignment="1">
      <alignment horizontal="center" vertical="center"/>
    </xf>
    <xf numFmtId="164" fontId="2" fillId="0" borderId="49" xfId="1" applyNumberFormat="1" applyFont="1" applyBorder="1" applyAlignment="1">
      <alignment horizontal="center"/>
    </xf>
    <xf numFmtId="164" fontId="2" fillId="0" borderId="31" xfId="1" applyNumberFormat="1" applyFont="1" applyBorder="1" applyAlignment="1">
      <alignment horizontal="center"/>
    </xf>
    <xf numFmtId="164" fontId="2" fillId="0" borderId="31" xfId="1" applyNumberFormat="1" applyFont="1" applyFill="1" applyBorder="1" applyAlignment="1">
      <alignment horizontal="center"/>
    </xf>
    <xf numFmtId="164" fontId="2" fillId="0" borderId="31" xfId="1" applyNumberFormat="1" applyFont="1" applyBorder="1" applyAlignment="1">
      <alignment horizontal="center" vertical="center"/>
    </xf>
    <xf numFmtId="164" fontId="2" fillId="0" borderId="48" xfId="1" applyNumberFormat="1" applyFont="1" applyBorder="1" applyAlignment="1">
      <alignment horizontal="center"/>
    </xf>
    <xf numFmtId="164" fontId="2" fillId="0" borderId="54" xfId="1" applyNumberFormat="1" applyFont="1" applyBorder="1" applyAlignment="1">
      <alignment horizontal="center"/>
    </xf>
    <xf numFmtId="165" fontId="2" fillId="0" borderId="73" xfId="3" applyNumberFormat="1" applyFont="1" applyBorder="1" applyAlignment="1">
      <alignment horizontal="center"/>
    </xf>
    <xf numFmtId="0" fontId="2" fillId="0" borderId="19" xfId="0" applyFont="1" applyBorder="1" applyAlignment="1">
      <alignment horizontal="center" vertical="center"/>
    </xf>
    <xf numFmtId="164" fontId="2" fillId="0" borderId="20" xfId="1" applyNumberFormat="1" applyFont="1" applyBorder="1" applyAlignment="1">
      <alignment horizontal="center"/>
    </xf>
    <xf numFmtId="164" fontId="2" fillId="0" borderId="20" xfId="1" applyNumberFormat="1" applyFont="1" applyFill="1" applyBorder="1" applyAlignment="1">
      <alignment horizontal="center"/>
    </xf>
    <xf numFmtId="164" fontId="2" fillId="0" borderId="20" xfId="1" applyNumberFormat="1" applyFont="1" applyBorder="1" applyAlignment="1">
      <alignment horizontal="center" vertical="center"/>
    </xf>
    <xf numFmtId="165" fontId="2" fillId="0" borderId="21" xfId="3" applyNumberFormat="1" applyFont="1" applyBorder="1" applyAlignment="1">
      <alignment horizontal="center"/>
    </xf>
    <xf numFmtId="164" fontId="2" fillId="0" borderId="49" xfId="1" applyNumberFormat="1" applyFont="1" applyBorder="1"/>
    <xf numFmtId="164" fontId="2" fillId="0" borderId="79" xfId="1" applyNumberFormat="1" applyFont="1" applyBorder="1"/>
    <xf numFmtId="0" fontId="2" fillId="0" borderId="19" xfId="0" applyFont="1" applyBorder="1" applyAlignment="1">
      <alignment horizontal="center"/>
    </xf>
    <xf numFmtId="6" fontId="2" fillId="0" borderId="52" xfId="0" applyNumberFormat="1" applyFont="1" applyBorder="1" applyAlignment="1">
      <alignment horizontal="center"/>
    </xf>
    <xf numFmtId="164" fontId="2" fillId="0" borderId="52" xfId="0" applyNumberFormat="1" applyFont="1" applyBorder="1"/>
    <xf numFmtId="44" fontId="2" fillId="0" borderId="1" xfId="1" applyFont="1" applyBorder="1" applyAlignment="1">
      <alignment horizontal="center"/>
    </xf>
    <xf numFmtId="44" fontId="2" fillId="0" borderId="2" xfId="1" applyFont="1" applyBorder="1" applyAlignment="1">
      <alignment horizontal="center"/>
    </xf>
    <xf numFmtId="44" fontId="2" fillId="0" borderId="12" xfId="1" applyFont="1" applyBorder="1" applyAlignment="1">
      <alignment horizontal="center"/>
    </xf>
    <xf numFmtId="44" fontId="2" fillId="0" borderId="13" xfId="1" applyFont="1" applyBorder="1" applyAlignment="1">
      <alignment horizontal="center"/>
    </xf>
    <xf numFmtId="166" fontId="2" fillId="0" borderId="0" xfId="3" applyNumberFormat="1" applyFont="1" applyFill="1" applyBorder="1" applyAlignment="1">
      <alignment horizontal="right" indent="1"/>
    </xf>
    <xf numFmtId="0" fontId="4" fillId="2" borderId="47" xfId="0" applyFont="1" applyFill="1" applyBorder="1"/>
    <xf numFmtId="0" fontId="4" fillId="2" borderId="8" xfId="0" applyFont="1" applyFill="1" applyBorder="1"/>
    <xf numFmtId="0" fontId="4" fillId="2" borderId="46" xfId="0" applyFont="1" applyFill="1" applyBorder="1"/>
    <xf numFmtId="2" fontId="2" fillId="0" borderId="52" xfId="0" applyNumberFormat="1" applyFont="1" applyBorder="1"/>
    <xf numFmtId="2" fontId="2" fillId="0" borderId="12" xfId="0" applyNumberFormat="1" applyFont="1" applyBorder="1"/>
    <xf numFmtId="2" fontId="2" fillId="0" borderId="13" xfId="0" applyNumberFormat="1" applyFont="1" applyBorder="1"/>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171" fontId="2" fillId="0" borderId="16" xfId="0" applyNumberFormat="1" applyFont="1" applyBorder="1" applyAlignment="1">
      <alignment horizontal="center"/>
    </xf>
    <xf numFmtId="6" fontId="2" fillId="0" borderId="17" xfId="0" applyNumberFormat="1" applyFont="1" applyBorder="1" applyAlignment="1">
      <alignment horizontal="center"/>
    </xf>
    <xf numFmtId="6" fontId="2" fillId="0" borderId="18" xfId="0" applyNumberFormat="1" applyFont="1" applyBorder="1" applyAlignment="1">
      <alignment horizontal="center"/>
    </xf>
    <xf numFmtId="3" fontId="2" fillId="0" borderId="5" xfId="0" applyNumberFormat="1" applyFont="1" applyBorder="1" applyAlignment="1">
      <alignment horizontal="center"/>
    </xf>
    <xf numFmtId="172" fontId="2" fillId="0" borderId="16" xfId="0" applyNumberFormat="1" applyFont="1" applyBorder="1" applyAlignment="1">
      <alignment horizontal="center"/>
    </xf>
    <xf numFmtId="172" fontId="2" fillId="0" borderId="17" xfId="0" applyNumberFormat="1" applyFont="1" applyBorder="1" applyAlignment="1">
      <alignment horizontal="center"/>
    </xf>
    <xf numFmtId="172" fontId="2" fillId="0" borderId="18" xfId="0" applyNumberFormat="1" applyFont="1" applyBorder="1" applyAlignment="1">
      <alignment horizontal="center"/>
    </xf>
    <xf numFmtId="6" fontId="2" fillId="0" borderId="16" xfId="0" applyNumberFormat="1" applyFont="1" applyBorder="1" applyAlignment="1">
      <alignment horizontal="center"/>
    </xf>
    <xf numFmtId="6" fontId="2" fillId="0" borderId="5" xfId="0" applyNumberFormat="1" applyFont="1" applyBorder="1" applyAlignment="1">
      <alignment horizontal="center"/>
    </xf>
    <xf numFmtId="6" fontId="2" fillId="0" borderId="80" xfId="0" applyNumberFormat="1" applyFont="1" applyBorder="1" applyAlignment="1">
      <alignment horizontal="center"/>
    </xf>
    <xf numFmtId="173" fontId="2" fillId="0" borderId="17" xfId="0" applyNumberFormat="1" applyFont="1" applyBorder="1"/>
    <xf numFmtId="173" fontId="2" fillId="0" borderId="18" xfId="0" applyNumberFormat="1" applyFont="1" applyBorder="1"/>
    <xf numFmtId="0" fontId="2" fillId="0" borderId="16" xfId="0" applyFont="1" applyBorder="1" applyAlignment="1">
      <alignment horizontal="center"/>
    </xf>
    <xf numFmtId="169" fontId="2" fillId="0" borderId="17" xfId="0" applyNumberFormat="1" applyFont="1" applyBorder="1"/>
    <xf numFmtId="169" fontId="2" fillId="0" borderId="18" xfId="0" applyNumberFormat="1" applyFont="1" applyBorder="1"/>
    <xf numFmtId="171" fontId="2" fillId="0" borderId="10" xfId="0" applyNumberFormat="1" applyFont="1" applyBorder="1" applyAlignment="1">
      <alignment horizontal="center"/>
    </xf>
    <xf numFmtId="3" fontId="2" fillId="0" borderId="6" xfId="0" applyNumberFormat="1" applyFont="1" applyBorder="1" applyAlignment="1">
      <alignment horizontal="center"/>
    </xf>
    <xf numFmtId="172" fontId="2" fillId="0" borderId="10" xfId="0" applyNumberFormat="1" applyFont="1" applyBorder="1" applyAlignment="1">
      <alignment horizontal="center"/>
    </xf>
    <xf numFmtId="172" fontId="2" fillId="0" borderId="1" xfId="0" applyNumberFormat="1" applyFont="1" applyBorder="1" applyAlignment="1">
      <alignment horizontal="center"/>
    </xf>
    <xf numFmtId="172" fontId="2" fillId="0" borderId="2" xfId="0" applyNumberFormat="1" applyFont="1" applyBorder="1" applyAlignment="1">
      <alignment horizontal="center"/>
    </xf>
    <xf numFmtId="6" fontId="2" fillId="0" borderId="10" xfId="0" applyNumberFormat="1" applyFont="1" applyBorder="1" applyAlignment="1">
      <alignment horizontal="center"/>
    </xf>
    <xf numFmtId="6" fontId="2" fillId="0" borderId="6" xfId="0" applyNumberFormat="1" applyFont="1" applyBorder="1" applyAlignment="1">
      <alignment horizontal="center"/>
    </xf>
    <xf numFmtId="6" fontId="2" fillId="0" borderId="81" xfId="0" applyNumberFormat="1" applyFont="1" applyBorder="1" applyAlignment="1">
      <alignment horizontal="center"/>
    </xf>
    <xf numFmtId="173" fontId="2" fillId="0" borderId="12" xfId="0" applyNumberFormat="1" applyFont="1" applyBorder="1"/>
    <xf numFmtId="173" fontId="2" fillId="0" borderId="13" xfId="0" applyNumberFormat="1" applyFont="1" applyBorder="1"/>
    <xf numFmtId="169" fontId="2" fillId="0" borderId="1" xfId="0" applyNumberFormat="1" applyFont="1" applyBorder="1"/>
    <xf numFmtId="169" fontId="2" fillId="0" borderId="2" xfId="0" applyNumberFormat="1" applyFont="1" applyBorder="1"/>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8" fillId="5" borderId="16" xfId="0" applyFont="1" applyFill="1" applyBorder="1" applyAlignment="1">
      <alignment horizontal="center" vertical="center"/>
    </xf>
    <xf numFmtId="6" fontId="8" fillId="5" borderId="17" xfId="0" applyNumberFormat="1" applyFont="1" applyFill="1" applyBorder="1"/>
    <xf numFmtId="6" fontId="8" fillId="5" borderId="18" xfId="0" applyNumberFormat="1" applyFont="1" applyFill="1" applyBorder="1"/>
    <xf numFmtId="0" fontId="8" fillId="5" borderId="10" xfId="0" applyFont="1" applyFill="1" applyBorder="1" applyAlignment="1">
      <alignment horizontal="center" vertical="center"/>
    </xf>
    <xf numFmtId="6" fontId="8" fillId="5" borderId="1" xfId="0" applyNumberFormat="1" applyFont="1" applyFill="1" applyBorder="1"/>
    <xf numFmtId="6" fontId="8" fillId="5" borderId="2" xfId="0" applyNumberFormat="1" applyFont="1" applyFill="1" applyBorder="1"/>
    <xf numFmtId="169" fontId="2" fillId="0" borderId="12" xfId="0" applyNumberFormat="1" applyFont="1" applyBorder="1"/>
    <xf numFmtId="169" fontId="2" fillId="0" borderId="13" xfId="0" applyNumberFormat="1" applyFont="1" applyBorder="1"/>
    <xf numFmtId="171" fontId="2" fillId="0" borderId="11" xfId="0" applyNumberFormat="1" applyFont="1" applyBorder="1" applyAlignment="1">
      <alignment horizontal="center"/>
    </xf>
    <xf numFmtId="3" fontId="2" fillId="0" borderId="23" xfId="0" applyNumberFormat="1" applyFont="1" applyBorder="1" applyAlignment="1">
      <alignment horizontal="center"/>
    </xf>
    <xf numFmtId="172" fontId="2" fillId="0" borderId="11" xfId="0" applyNumberFormat="1" applyFont="1" applyBorder="1" applyAlignment="1">
      <alignment horizontal="center"/>
    </xf>
    <xf numFmtId="172" fontId="2" fillId="0" borderId="12" xfId="0" applyNumberFormat="1" applyFont="1" applyBorder="1" applyAlignment="1">
      <alignment horizontal="center"/>
    </xf>
    <xf numFmtId="172" fontId="2" fillId="0" borderId="13" xfId="0" applyNumberFormat="1" applyFont="1" applyBorder="1" applyAlignment="1">
      <alignment horizontal="center"/>
    </xf>
    <xf numFmtId="6" fontId="2" fillId="0" borderId="11" xfId="0" applyNumberFormat="1" applyFont="1" applyBorder="1" applyAlignment="1">
      <alignment horizontal="center"/>
    </xf>
    <xf numFmtId="6" fontId="2" fillId="0" borderId="23" xfId="0" applyNumberFormat="1" applyFont="1" applyBorder="1" applyAlignment="1">
      <alignment horizontal="center"/>
    </xf>
    <xf numFmtId="6" fontId="2" fillId="0" borderId="68" xfId="0" applyNumberFormat="1" applyFont="1" applyBorder="1" applyAlignment="1">
      <alignment horizontal="center"/>
    </xf>
    <xf numFmtId="3" fontId="2" fillId="0" borderId="0" xfId="0" applyNumberFormat="1" applyFont="1"/>
    <xf numFmtId="6" fontId="4" fillId="0" borderId="0" xfId="0" applyNumberFormat="1" applyFont="1"/>
    <xf numFmtId="6" fontId="2" fillId="0" borderId="0" xfId="0" applyNumberFormat="1" applyFont="1" applyAlignment="1">
      <alignment horizontal="center"/>
    </xf>
    <xf numFmtId="172" fontId="2" fillId="0" borderId="0" xfId="0" applyNumberFormat="1" applyFont="1"/>
    <xf numFmtId="166" fontId="2" fillId="0" borderId="0" xfId="0" applyNumberFormat="1" applyFont="1"/>
    <xf numFmtId="0" fontId="4" fillId="0" borderId="0" xfId="0" applyFont="1" applyAlignment="1">
      <alignment horizontal="center" vertical="center" textRotation="90" wrapText="1"/>
    </xf>
    <xf numFmtId="0" fontId="8" fillId="5" borderId="11" xfId="0" applyFont="1" applyFill="1" applyBorder="1" applyAlignment="1">
      <alignment horizontal="center" vertical="center"/>
    </xf>
    <xf numFmtId="6" fontId="8" fillId="5" borderId="12" xfId="0" applyNumberFormat="1" applyFont="1" applyFill="1" applyBorder="1"/>
    <xf numFmtId="6" fontId="8" fillId="5" borderId="13" xfId="0" applyNumberFormat="1" applyFont="1" applyFill="1" applyBorder="1"/>
    <xf numFmtId="0" fontId="2" fillId="0" borderId="21" xfId="0" applyFont="1" applyBorder="1" applyAlignment="1">
      <alignment horizontal="left"/>
    </xf>
    <xf numFmtId="0" fontId="4" fillId="2" borderId="21" xfId="0" applyFont="1" applyFill="1" applyBorder="1" applyAlignment="1">
      <alignment horizontal="left"/>
    </xf>
    <xf numFmtId="169" fontId="2" fillId="0" borderId="56" xfId="0" applyNumberFormat="1" applyFont="1" applyBorder="1" applyAlignment="1">
      <alignment horizontal="left"/>
    </xf>
    <xf numFmtId="169" fontId="2" fillId="0" borderId="55" xfId="0" applyNumberFormat="1" applyFont="1" applyBorder="1" applyAlignment="1">
      <alignment horizontal="left"/>
    </xf>
    <xf numFmtId="0" fontId="4" fillId="2" borderId="19" xfId="0" applyFont="1" applyFill="1" applyBorder="1" applyAlignment="1">
      <alignment horizontal="left" vertical="center"/>
    </xf>
    <xf numFmtId="0" fontId="4" fillId="2" borderId="21" xfId="0" applyFont="1" applyFill="1" applyBorder="1" applyAlignment="1">
      <alignment horizontal="left" vertical="center"/>
    </xf>
    <xf numFmtId="0" fontId="2" fillId="0" borderId="16" xfId="0" applyFont="1" applyBorder="1" applyAlignment="1">
      <alignment horizontal="left" vertical="top"/>
    </xf>
    <xf numFmtId="3" fontId="2" fillId="0" borderId="18" xfId="0" applyNumberFormat="1" applyFont="1" applyBorder="1" applyAlignment="1">
      <alignment horizontal="left" vertical="top"/>
    </xf>
    <xf numFmtId="0" fontId="2" fillId="0" borderId="10" xfId="0" applyFont="1" applyBorder="1" applyAlignment="1">
      <alignment horizontal="left" vertical="top"/>
    </xf>
    <xf numFmtId="3" fontId="2" fillId="0" borderId="2" xfId="0" applyNumberFormat="1" applyFont="1" applyBorder="1" applyAlignment="1">
      <alignment horizontal="left" vertical="top"/>
    </xf>
    <xf numFmtId="0" fontId="2" fillId="0" borderId="11" xfId="0" applyFont="1" applyBorder="1" applyAlignment="1">
      <alignment horizontal="left" vertical="top"/>
    </xf>
    <xf numFmtId="3" fontId="2" fillId="0" borderId="13" xfId="0" applyNumberFormat="1" applyFont="1" applyBorder="1" applyAlignment="1">
      <alignment horizontal="left" vertical="top"/>
    </xf>
    <xf numFmtId="0" fontId="2" fillId="0" borderId="63" xfId="0" applyFont="1" applyBorder="1" applyAlignment="1">
      <alignment horizontal="left" vertical="top" wrapText="1"/>
    </xf>
    <xf numFmtId="166" fontId="2" fillId="0" borderId="0" xfId="3" applyNumberFormat="1" applyFont="1"/>
    <xf numFmtId="0" fontId="2" fillId="0" borderId="63" xfId="0" applyFont="1" applyBorder="1" applyAlignment="1">
      <alignment horizontal="left" vertical="top"/>
    </xf>
    <xf numFmtId="1" fontId="8" fillId="0" borderId="1" xfId="5" applyNumberFormat="1" applyFont="1" applyBorder="1" applyAlignment="1">
      <alignment horizontal="center" vertical="center"/>
    </xf>
    <xf numFmtId="171" fontId="2" fillId="0" borderId="1" xfId="0" applyNumberFormat="1" applyFont="1" applyBorder="1"/>
    <xf numFmtId="0" fontId="4" fillId="2" borderId="45" xfId="0" applyFont="1" applyFill="1" applyBorder="1"/>
    <xf numFmtId="0" fontId="4" fillId="2" borderId="52" xfId="0" applyFont="1" applyFill="1" applyBorder="1"/>
    <xf numFmtId="0" fontId="4" fillId="2" borderId="37" xfId="0" applyFont="1" applyFill="1" applyBorder="1"/>
    <xf numFmtId="6" fontId="2" fillId="0" borderId="27" xfId="0" applyNumberFormat="1" applyFont="1" applyBorder="1" applyAlignment="1">
      <alignment horizontal="center"/>
    </xf>
    <xf numFmtId="6" fontId="2" fillId="0" borderId="26" xfId="0" applyNumberFormat="1" applyFont="1" applyBorder="1" applyAlignment="1">
      <alignment horizontal="center"/>
    </xf>
    <xf numFmtId="6" fontId="2" fillId="0" borderId="59" xfId="0" applyNumberFormat="1" applyFont="1" applyBorder="1" applyAlignment="1">
      <alignment horizontal="center"/>
    </xf>
    <xf numFmtId="0" fontId="2" fillId="0" borderId="10" xfId="0" applyFont="1" applyBorder="1" applyAlignment="1">
      <alignment horizontal="left"/>
    </xf>
    <xf numFmtId="171" fontId="2" fillId="0" borderId="10" xfId="0" applyNumberFormat="1" applyFont="1" applyBorder="1"/>
    <xf numFmtId="171" fontId="2" fillId="0" borderId="2" xfId="0" applyNumberFormat="1" applyFont="1" applyBorder="1"/>
    <xf numFmtId="171" fontId="2" fillId="0" borderId="16" xfId="0" applyNumberFormat="1" applyFont="1" applyBorder="1"/>
    <xf numFmtId="171" fontId="2" fillId="0" borderId="18" xfId="0" applyNumberFormat="1" applyFont="1" applyBorder="1"/>
    <xf numFmtId="164" fontId="2" fillId="0" borderId="17" xfId="1" applyNumberFormat="1" applyFont="1" applyBorder="1"/>
    <xf numFmtId="164" fontId="2" fillId="0" borderId="0" xfId="0" applyNumberFormat="1" applyFont="1"/>
    <xf numFmtId="171" fontId="2" fillId="0" borderId="49" xfId="0" applyNumberFormat="1" applyFont="1" applyBorder="1"/>
    <xf numFmtId="171" fontId="2" fillId="0" borderId="48" xfId="0" applyNumberFormat="1" applyFont="1" applyBorder="1"/>
    <xf numFmtId="164" fontId="2" fillId="0" borderId="20" xfId="0" applyNumberFormat="1" applyFont="1" applyBorder="1"/>
    <xf numFmtId="2" fontId="2" fillId="0" borderId="21" xfId="0" applyNumberFormat="1" applyFont="1" applyBorder="1"/>
    <xf numFmtId="0" fontId="23" fillId="0" borderId="0" xfId="0" applyFont="1"/>
    <xf numFmtId="0" fontId="23" fillId="0" borderId="0" xfId="0" applyFont="1" applyAlignment="1">
      <alignment horizontal="center"/>
    </xf>
    <xf numFmtId="166" fontId="23" fillId="0" borderId="0" xfId="3" applyNumberFormat="1" applyFont="1" applyFill="1" applyBorder="1" applyAlignment="1">
      <alignment horizontal="center"/>
    </xf>
    <xf numFmtId="0" fontId="0" fillId="0" borderId="1" xfId="0" applyBorder="1" applyAlignment="1">
      <alignment horizontal="left"/>
    </xf>
    <xf numFmtId="170"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left"/>
    </xf>
    <xf numFmtId="0" fontId="23" fillId="0" borderId="1" xfId="0" applyFont="1" applyBorder="1" applyAlignment="1">
      <alignment horizontal="center" wrapText="1"/>
    </xf>
    <xf numFmtId="0" fontId="0" fillId="0" borderId="1" xfId="0" applyBorder="1" applyAlignment="1">
      <alignment horizontal="center"/>
    </xf>
    <xf numFmtId="0" fontId="23" fillId="0" borderId="1" xfId="0" applyFont="1" applyBorder="1"/>
    <xf numFmtId="6" fontId="2" fillId="0" borderId="22" xfId="3" applyNumberFormat="1" applyFont="1" applyFill="1" applyBorder="1" applyAlignment="1">
      <alignment horizontal="right"/>
    </xf>
    <xf numFmtId="6" fontId="2" fillId="0" borderId="81" xfId="3" applyNumberFormat="1" applyFont="1" applyFill="1" applyBorder="1" applyAlignment="1">
      <alignment horizontal="right"/>
    </xf>
    <xf numFmtId="170" fontId="0" fillId="0" borderId="0" xfId="0" applyNumberFormat="1" applyAlignment="1">
      <alignment horizontal="center"/>
    </xf>
    <xf numFmtId="0" fontId="0" fillId="0" borderId="1" xfId="0" applyBorder="1"/>
    <xf numFmtId="2" fontId="0" fillId="0" borderId="1" xfId="0" applyNumberFormat="1" applyBorder="1"/>
    <xf numFmtId="2" fontId="0" fillId="6" borderId="1" xfId="0" applyNumberFormat="1" applyFill="1" applyBorder="1"/>
    <xf numFmtId="2" fontId="0" fillId="0" borderId="1" xfId="0" applyNumberFormat="1" applyBorder="1" applyAlignment="1">
      <alignment horizontal="center"/>
    </xf>
    <xf numFmtId="44" fontId="0" fillId="0" borderId="1" xfId="1" applyFont="1" applyBorder="1" applyAlignment="1">
      <alignment horizontal="center"/>
    </xf>
    <xf numFmtId="37" fontId="2" fillId="0" borderId="71" xfId="3" applyNumberFormat="1" applyFont="1" applyFill="1" applyBorder="1" applyAlignment="1">
      <alignment horizontal="center"/>
    </xf>
    <xf numFmtId="6" fontId="2" fillId="0" borderId="6" xfId="3" applyNumberFormat="1" applyFont="1" applyFill="1" applyBorder="1" applyAlignment="1">
      <alignment horizontal="right"/>
    </xf>
    <xf numFmtId="1" fontId="0" fillId="0" borderId="0" xfId="0" applyNumberFormat="1"/>
    <xf numFmtId="170" fontId="0" fillId="0" borderId="0" xfId="1" applyNumberFormat="1" applyFont="1" applyFill="1" applyBorder="1" applyAlignment="1">
      <alignment horizontal="center"/>
    </xf>
    <xf numFmtId="0" fontId="26" fillId="0" borderId="0" xfId="0" applyFont="1" applyAlignment="1">
      <alignment horizontal="left"/>
    </xf>
    <xf numFmtId="0" fontId="22" fillId="0" borderId="0" xfId="0" applyFont="1" applyAlignment="1">
      <alignment horizontal="left"/>
    </xf>
    <xf numFmtId="0" fontId="0" fillId="0" borderId="31" xfId="0" applyBorder="1"/>
    <xf numFmtId="2" fontId="0" fillId="0" borderId="31" xfId="0" applyNumberFormat="1" applyBorder="1"/>
    <xf numFmtId="2" fontId="0" fillId="6" borderId="31" xfId="0" applyNumberFormat="1" applyFill="1" applyBorder="1"/>
    <xf numFmtId="2" fontId="0" fillId="0" borderId="31" xfId="0" applyNumberFormat="1" applyBorder="1" applyAlignment="1">
      <alignment horizontal="center"/>
    </xf>
    <xf numFmtId="44" fontId="0" fillId="0" borderId="31" xfId="1" applyFont="1" applyBorder="1" applyAlignment="1">
      <alignment horizontal="center"/>
    </xf>
    <xf numFmtId="37" fontId="27" fillId="5" borderId="71" xfId="3" applyNumberFormat="1" applyFont="1" applyFill="1" applyBorder="1" applyAlignment="1">
      <alignment horizontal="center"/>
    </xf>
    <xf numFmtId="6" fontId="2" fillId="5" borderId="6" xfId="3" applyNumberFormat="1" applyFont="1" applyFill="1" applyBorder="1" applyAlignment="1">
      <alignment horizontal="right"/>
    </xf>
    <xf numFmtId="6" fontId="2" fillId="5" borderId="81" xfId="3" applyNumberFormat="1" applyFont="1" applyFill="1" applyBorder="1" applyAlignment="1">
      <alignment horizontal="right"/>
    </xf>
    <xf numFmtId="0" fontId="0" fillId="0" borderId="0" xfId="0" applyAlignment="1">
      <alignment horizontal="center" vertical="center"/>
    </xf>
    <xf numFmtId="0" fontId="23" fillId="0" borderId="45" xfId="0" applyFont="1" applyBorder="1"/>
    <xf numFmtId="2" fontId="23" fillId="0" borderId="52" xfId="0" applyNumberFormat="1" applyFont="1" applyBorder="1"/>
    <xf numFmtId="0" fontId="23" fillId="0" borderId="52" xfId="0" applyFont="1" applyBorder="1"/>
    <xf numFmtId="0" fontId="23" fillId="0" borderId="63" xfId="0" applyFont="1" applyBorder="1"/>
    <xf numFmtId="2" fontId="23" fillId="6" borderId="52" xfId="0" applyNumberFormat="1" applyFont="1" applyFill="1" applyBorder="1"/>
    <xf numFmtId="2" fontId="23" fillId="0" borderId="52" xfId="0" applyNumberFormat="1" applyFont="1" applyBorder="1" applyAlignment="1">
      <alignment horizontal="center"/>
    </xf>
    <xf numFmtId="44" fontId="23" fillId="0" borderId="37" xfId="1" applyFont="1" applyBorder="1" applyAlignment="1">
      <alignment horizontal="center"/>
    </xf>
    <xf numFmtId="37" fontId="2" fillId="5" borderId="71" xfId="3" applyNumberFormat="1" applyFont="1" applyFill="1" applyBorder="1" applyAlignment="1">
      <alignment horizontal="center"/>
    </xf>
    <xf numFmtId="0" fontId="23" fillId="0" borderId="0" xfId="0" applyFont="1" applyAlignment="1">
      <alignment horizontal="left"/>
    </xf>
    <xf numFmtId="0" fontId="23" fillId="0" borderId="11" xfId="0" applyFont="1" applyBorder="1"/>
    <xf numFmtId="2" fontId="23" fillId="0" borderId="12" xfId="0" applyNumberFormat="1" applyFont="1" applyBorder="1"/>
    <xf numFmtId="0" fontId="23" fillId="0" borderId="12" xfId="0" applyFont="1" applyBorder="1"/>
    <xf numFmtId="0" fontId="23" fillId="0" borderId="44" xfId="0" applyFont="1" applyBorder="1"/>
    <xf numFmtId="2" fontId="23" fillId="6" borderId="12" xfId="0" applyNumberFormat="1" applyFont="1" applyFill="1" applyBorder="1"/>
    <xf numFmtId="2" fontId="23" fillId="0" borderId="12" xfId="0" applyNumberFormat="1" applyFont="1" applyBorder="1" applyAlignment="1">
      <alignment horizontal="center"/>
    </xf>
    <xf numFmtId="44" fontId="23" fillId="0" borderId="13" xfId="1" applyFont="1" applyBorder="1" applyAlignment="1">
      <alignment horizontal="center"/>
    </xf>
    <xf numFmtId="167" fontId="0" fillId="0" borderId="1" xfId="4" applyNumberFormat="1" applyFont="1" applyFill="1" applyBorder="1" applyAlignment="1">
      <alignment horizontal="center"/>
    </xf>
    <xf numFmtId="167" fontId="0" fillId="0" borderId="0" xfId="4" applyNumberFormat="1" applyFont="1" applyFill="1" applyBorder="1" applyAlignment="1">
      <alignment horizontal="center"/>
    </xf>
    <xf numFmtId="44" fontId="0" fillId="0" borderId="0" xfId="1" applyFont="1" applyFill="1" applyBorder="1"/>
    <xf numFmtId="0" fontId="0" fillId="0" borderId="29" xfId="0" applyBorder="1"/>
    <xf numFmtId="174" fontId="0" fillId="0" borderId="1" xfId="0" applyNumberFormat="1" applyBorder="1" applyAlignment="1">
      <alignment horizontal="center"/>
    </xf>
    <xf numFmtId="174" fontId="0" fillId="0" borderId="0" xfId="0" applyNumberFormat="1" applyAlignment="1">
      <alignment horizontal="center"/>
    </xf>
    <xf numFmtId="9" fontId="0" fillId="0" borderId="0" xfId="0" applyNumberFormat="1"/>
    <xf numFmtId="0" fontId="10" fillId="0" borderId="0" xfId="8"/>
    <xf numFmtId="0" fontId="10" fillId="0" borderId="1" xfId="8" applyBorder="1"/>
    <xf numFmtId="0" fontId="28" fillId="0" borderId="0" xfId="0" applyFont="1"/>
    <xf numFmtId="0" fontId="29" fillId="0" borderId="0" xfId="0" applyFont="1"/>
    <xf numFmtId="44" fontId="28" fillId="0" borderId="0" xfId="1" applyFont="1" applyFill="1"/>
    <xf numFmtId="37" fontId="2" fillId="5" borderId="70" xfId="3" applyNumberFormat="1" applyFont="1" applyFill="1" applyBorder="1" applyAlignment="1">
      <alignment horizontal="center"/>
    </xf>
    <xf numFmtId="6" fontId="2" fillId="5" borderId="23" xfId="3" applyNumberFormat="1" applyFont="1" applyFill="1" applyBorder="1" applyAlignment="1">
      <alignment horizontal="right"/>
    </xf>
    <xf numFmtId="6" fontId="2" fillId="5" borderId="68" xfId="3" applyNumberFormat="1" applyFont="1" applyFill="1" applyBorder="1" applyAlignment="1">
      <alignment horizontal="right"/>
    </xf>
    <xf numFmtId="0" fontId="0" fillId="0" borderId="0" xfId="0" applyAlignment="1">
      <alignment horizontal="left" vertical="top" wrapText="1"/>
    </xf>
    <xf numFmtId="0" fontId="24" fillId="0" borderId="0" xfId="7"/>
    <xf numFmtId="0" fontId="0" fillId="0" borderId="0" xfId="0" applyAlignment="1">
      <alignment horizontal="right"/>
    </xf>
    <xf numFmtId="0" fontId="0" fillId="0" borderId="0" xfId="0" applyAlignment="1">
      <alignment vertical="top" wrapText="1"/>
    </xf>
    <xf numFmtId="166" fontId="0" fillId="0" borderId="0" xfId="3" applyNumberFormat="1" applyFont="1" applyBorder="1"/>
    <xf numFmtId="166" fontId="0" fillId="0" borderId="0" xfId="0" applyNumberFormat="1"/>
    <xf numFmtId="0" fontId="30" fillId="0" borderId="0" xfId="0" applyFont="1"/>
    <xf numFmtId="0" fontId="4" fillId="2" borderId="82" xfId="0" applyFont="1" applyFill="1" applyBorder="1"/>
    <xf numFmtId="164" fontId="2" fillId="0" borderId="83" xfId="1" applyNumberFormat="1" applyFont="1" applyBorder="1"/>
    <xf numFmtId="164" fontId="2" fillId="0" borderId="84" xfId="1" applyNumberFormat="1" applyFont="1" applyBorder="1"/>
    <xf numFmtId="164" fontId="2" fillId="0" borderId="82" xfId="1" applyNumberFormat="1" applyFont="1" applyBorder="1"/>
    <xf numFmtId="164" fontId="8" fillId="0" borderId="2" xfId="1" applyNumberFormat="1" applyFont="1" applyBorder="1"/>
    <xf numFmtId="0" fontId="2" fillId="0" borderId="45" xfId="0" applyFont="1" applyBorder="1" applyAlignment="1">
      <alignment horizontal="left"/>
    </xf>
    <xf numFmtId="164" fontId="8" fillId="0" borderId="37" xfId="1" applyNumberFormat="1" applyFont="1" applyBorder="1"/>
    <xf numFmtId="164" fontId="8" fillId="0" borderId="2" xfId="1" applyNumberFormat="1" applyFont="1" applyBorder="1" applyAlignment="1">
      <alignment horizontal="center"/>
    </xf>
    <xf numFmtId="2" fontId="2" fillId="0" borderId="13" xfId="0" applyNumberFormat="1" applyFont="1" applyBorder="1" applyAlignment="1">
      <alignment horizontal="center"/>
    </xf>
    <xf numFmtId="164" fontId="0" fillId="0" borderId="0" xfId="1" applyNumberFormat="1" applyFont="1"/>
    <xf numFmtId="171" fontId="2" fillId="0" borderId="12" xfId="0" applyNumberFormat="1" applyFont="1" applyBorder="1"/>
    <xf numFmtId="171" fontId="2" fillId="0" borderId="13" xfId="0" applyNumberFormat="1" applyFont="1" applyBorder="1"/>
    <xf numFmtId="175" fontId="2" fillId="0" borderId="18" xfId="0" applyNumberFormat="1" applyFont="1" applyBorder="1" applyAlignment="1">
      <alignment horizontal="left" vertical="top"/>
    </xf>
    <xf numFmtId="175" fontId="2" fillId="0" borderId="2" xfId="0" applyNumberFormat="1" applyFont="1" applyBorder="1" applyAlignment="1">
      <alignment horizontal="left" vertical="top"/>
    </xf>
    <xf numFmtId="175" fontId="2" fillId="0" borderId="13" xfId="0" applyNumberFormat="1" applyFont="1" applyBorder="1" applyAlignment="1">
      <alignment horizontal="left" vertical="top"/>
    </xf>
    <xf numFmtId="10" fontId="2" fillId="0" borderId="0" xfId="4" applyNumberFormat="1" applyFont="1"/>
    <xf numFmtId="0" fontId="4" fillId="2" borderId="46" xfId="0" applyFont="1" applyFill="1" applyBorder="1" applyAlignment="1">
      <alignment horizontal="center"/>
    </xf>
    <xf numFmtId="6" fontId="2" fillId="0" borderId="45" xfId="0" applyNumberFormat="1" applyFont="1" applyBorder="1" applyAlignment="1">
      <alignment horizontal="center"/>
    </xf>
    <xf numFmtId="164" fontId="2" fillId="0" borderId="11" xfId="1" applyNumberFormat="1" applyFont="1" applyBorder="1" applyAlignment="1">
      <alignment horizontal="center"/>
    </xf>
    <xf numFmtId="0" fontId="4" fillId="2" borderId="46"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46"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5" borderId="42" xfId="0" applyFont="1" applyFill="1" applyBorder="1" applyAlignment="1">
      <alignment horizontal="center"/>
    </xf>
    <xf numFmtId="0" fontId="4" fillId="5" borderId="66" xfId="0" applyFont="1" applyFill="1" applyBorder="1" applyAlignment="1">
      <alignment horizontal="center"/>
    </xf>
    <xf numFmtId="0" fontId="4" fillId="5" borderId="38" xfId="0" applyFont="1" applyFill="1" applyBorder="1" applyAlignment="1">
      <alignment horizontal="center"/>
    </xf>
    <xf numFmtId="0" fontId="4" fillId="2" borderId="59"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horizontal="left" vertical="top" wrapText="1"/>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19" fillId="0" borderId="0" xfId="0" applyFont="1" applyAlignment="1">
      <alignment horizontal="left" vertical="top" wrapText="1"/>
    </xf>
    <xf numFmtId="0" fontId="15" fillId="2" borderId="5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42" xfId="0" applyFont="1" applyBorder="1" applyAlignment="1">
      <alignment horizontal="center"/>
    </xf>
    <xf numFmtId="0" fontId="4" fillId="0" borderId="38" xfId="0" applyFont="1" applyBorder="1" applyAlignment="1">
      <alignment horizontal="center"/>
    </xf>
    <xf numFmtId="0" fontId="4" fillId="2" borderId="42" xfId="0" applyFont="1" applyFill="1" applyBorder="1" applyAlignment="1">
      <alignment horizontal="center"/>
    </xf>
    <xf numFmtId="0" fontId="4" fillId="2" borderId="38" xfId="0" applyFont="1" applyFill="1" applyBorder="1" applyAlignment="1">
      <alignment horizontal="center"/>
    </xf>
    <xf numFmtId="0" fontId="4" fillId="0" borderId="66" xfId="0" applyFont="1" applyBorder="1" applyAlignment="1">
      <alignment horizontal="center"/>
    </xf>
    <xf numFmtId="0" fontId="4" fillId="2" borderId="72" xfId="0" applyFont="1" applyFill="1" applyBorder="1" applyAlignment="1">
      <alignment horizontal="center" vertical="center" wrapText="1"/>
    </xf>
    <xf numFmtId="0" fontId="4" fillId="2" borderId="66" xfId="0" applyFont="1" applyFill="1" applyBorder="1" applyAlignment="1">
      <alignment horizontal="center"/>
    </xf>
    <xf numFmtId="0" fontId="4" fillId="2" borderId="65"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12" fillId="0" borderId="1" xfId="0" applyFont="1" applyBorder="1" applyAlignment="1">
      <alignment horizontal="center"/>
    </xf>
    <xf numFmtId="0" fontId="4" fillId="2" borderId="4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0" fillId="0" borderId="0" xfId="0" applyAlignment="1">
      <alignment horizontal="left" vertical="top" wrapText="1"/>
    </xf>
    <xf numFmtId="0" fontId="23"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23" fillId="0" borderId="0" xfId="0" applyFont="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44" xfId="0" applyFont="1" applyBorder="1" applyAlignment="1">
      <alignment horizontal="center" vertical="center" wrapText="1"/>
    </xf>
    <xf numFmtId="0" fontId="23" fillId="0" borderId="1" xfId="0" applyFont="1" applyBorder="1" applyAlignment="1">
      <alignment horizontal="center"/>
    </xf>
    <xf numFmtId="0" fontId="4" fillId="0" borderId="0" xfId="0" applyFont="1" applyAlignment="1">
      <alignment horizontal="left"/>
    </xf>
    <xf numFmtId="0" fontId="2" fillId="0" borderId="0" xfId="0" applyFont="1"/>
    <xf numFmtId="0" fontId="2" fillId="0" borderId="0" xfId="0" applyFont="1" applyAlignment="1">
      <alignment horizontal="left"/>
    </xf>
    <xf numFmtId="0" fontId="4" fillId="0" borderId="42" xfId="0" applyFont="1" applyBorder="1" applyAlignment="1">
      <alignment horizontal="center" vertical="center"/>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62" xfId="0" applyFont="1" applyBorder="1" applyAlignment="1">
      <alignment horizontal="center"/>
    </xf>
    <xf numFmtId="0" fontId="4" fillId="0" borderId="61" xfId="0" applyFont="1" applyBorder="1" applyAlignment="1">
      <alignment horizontal="center"/>
    </xf>
    <xf numFmtId="0" fontId="4" fillId="2" borderId="13" xfId="0" applyFont="1" applyFill="1" applyBorder="1" applyAlignment="1">
      <alignment horizontal="center" vertical="center"/>
    </xf>
    <xf numFmtId="49" fontId="4" fillId="2" borderId="37"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cellXfs>
  <cellStyles count="9">
    <cellStyle name="Comma" xfId="3" builtinId="3"/>
    <cellStyle name="Comma 2" xfId="6" xr:uid="{AE2CCB09-8F45-4BE6-80FA-7D5A30606AF1}"/>
    <cellStyle name="Currency" xfId="1" builtinId="4"/>
    <cellStyle name="Hyperlink" xfId="7" builtinId="8"/>
    <cellStyle name="Normal" xfId="0" builtinId="0"/>
    <cellStyle name="Normal 16" xfId="5" xr:uid="{6F193A21-E9CE-477F-B92D-73744A96906B}"/>
    <cellStyle name="Normal 7" xfId="8" xr:uid="{21D1DE12-0474-4126-884B-2DC05231DAAC}"/>
    <cellStyle name="Percent" xfId="4" builtinId="5"/>
    <cellStyle name="Style0" xfId="2" xr:uid="{2EC24965-EB64-4728-9E77-7E4291A85F19}"/>
  </cellStyles>
  <dxfs count="1">
    <dxf>
      <font>
        <b/>
        <i val="0"/>
        <color theme="0"/>
      </font>
      <fill>
        <patternFill patternType="darkUp">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19</xdr:col>
      <xdr:colOff>437029</xdr:colOff>
      <xdr:row>1</xdr:row>
      <xdr:rowOff>78442</xdr:rowOff>
    </xdr:from>
    <xdr:ext cx="6111983" cy="4124299"/>
    <xdr:pic>
      <xdr:nvPicPr>
        <xdr:cNvPr id="2" name="Picture 1">
          <a:extLst>
            <a:ext uri="{FF2B5EF4-FFF2-40B4-BE49-F238E27FC236}">
              <a16:creationId xmlns:a16="http://schemas.microsoft.com/office/drawing/2014/main" id="{E2E129A2-AA05-499A-8A49-52D6D23A8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16554" y="268942"/>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290512</xdr:colOff>
      <xdr:row>6</xdr:row>
      <xdr:rowOff>134710</xdr:rowOff>
    </xdr:from>
    <xdr:ext cx="6115050" cy="3952861"/>
    <xdr:pic>
      <xdr:nvPicPr>
        <xdr:cNvPr id="3" name="Picture 2">
          <a:extLst>
            <a:ext uri="{FF2B5EF4-FFF2-40B4-BE49-F238E27FC236}">
              <a16:creationId xmlns:a16="http://schemas.microsoft.com/office/drawing/2014/main" id="{A132E816-66F6-4E9F-BF14-6EA1393A3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07137" y="1896835"/>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27506</xdr:colOff>
      <xdr:row>20</xdr:row>
      <xdr:rowOff>89471</xdr:rowOff>
    </xdr:from>
    <xdr:ext cx="4579130" cy="1307406"/>
    <xdr:pic>
      <xdr:nvPicPr>
        <xdr:cNvPr id="4" name="Picture 3">
          <a:extLst>
            <a:ext uri="{FF2B5EF4-FFF2-40B4-BE49-F238E27FC236}">
              <a16:creationId xmlns:a16="http://schemas.microsoft.com/office/drawing/2014/main" id="{88EF8A11-2BCF-444C-BEA8-F2A26B4303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193431" y="4547171"/>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1</xdr:colOff>
      <xdr:row>28</xdr:row>
      <xdr:rowOff>103908</xdr:rowOff>
    </xdr:from>
    <xdr:ext cx="4565601" cy="3337619"/>
    <xdr:pic>
      <xdr:nvPicPr>
        <xdr:cNvPr id="5" name="Picture 4">
          <a:extLst>
            <a:ext uri="{FF2B5EF4-FFF2-40B4-BE49-F238E27FC236}">
              <a16:creationId xmlns:a16="http://schemas.microsoft.com/office/drawing/2014/main" id="{AEB42712-7633-45D9-8707-B75E162016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5926" y="6085608"/>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19</xdr:col>
      <xdr:colOff>437029</xdr:colOff>
      <xdr:row>1</xdr:row>
      <xdr:rowOff>78442</xdr:rowOff>
    </xdr:from>
    <xdr:ext cx="6111983" cy="4124299"/>
    <xdr:pic>
      <xdr:nvPicPr>
        <xdr:cNvPr id="2" name="Picture 1">
          <a:extLst>
            <a:ext uri="{FF2B5EF4-FFF2-40B4-BE49-F238E27FC236}">
              <a16:creationId xmlns:a16="http://schemas.microsoft.com/office/drawing/2014/main" id="{E58F7FAB-12AD-49CB-AB26-74CD5A322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30354" y="268942"/>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848405</xdr:colOff>
      <xdr:row>6</xdr:row>
      <xdr:rowOff>175531</xdr:rowOff>
    </xdr:from>
    <xdr:ext cx="6115050" cy="3952861"/>
    <xdr:pic>
      <xdr:nvPicPr>
        <xdr:cNvPr id="3" name="Picture 2">
          <a:extLst>
            <a:ext uri="{FF2B5EF4-FFF2-40B4-BE49-F238E27FC236}">
              <a16:creationId xmlns:a16="http://schemas.microsoft.com/office/drawing/2014/main" id="{665DF648-A1BC-4644-97E0-B38F8F317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51048" y="1944460"/>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27506</xdr:colOff>
      <xdr:row>20</xdr:row>
      <xdr:rowOff>89471</xdr:rowOff>
    </xdr:from>
    <xdr:ext cx="4579130" cy="1307406"/>
    <xdr:pic>
      <xdr:nvPicPr>
        <xdr:cNvPr id="4" name="Picture 3">
          <a:extLst>
            <a:ext uri="{FF2B5EF4-FFF2-40B4-BE49-F238E27FC236}">
              <a16:creationId xmlns:a16="http://schemas.microsoft.com/office/drawing/2014/main" id="{AA12362E-8A53-4518-B636-03F54CF926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07231" y="4556696"/>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1</xdr:colOff>
      <xdr:row>28</xdr:row>
      <xdr:rowOff>103908</xdr:rowOff>
    </xdr:from>
    <xdr:ext cx="4565601" cy="3337619"/>
    <xdr:pic>
      <xdr:nvPicPr>
        <xdr:cNvPr id="5" name="Picture 4">
          <a:extLst>
            <a:ext uri="{FF2B5EF4-FFF2-40B4-BE49-F238E27FC236}">
              <a16:creationId xmlns:a16="http://schemas.microsoft.com/office/drawing/2014/main" id="{C4439836-F9EC-4C01-8314-7F28870965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79726" y="6104658"/>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nap.edu/download/2280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s://www.nap.edu/download/22808"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32FF-26ED-45ED-BF63-B3F08C3EAB5F}">
  <dimension ref="B2:G16"/>
  <sheetViews>
    <sheetView tabSelected="1" view="pageBreakPreview" zoomScaleNormal="100" zoomScaleSheetLayoutView="100" workbookViewId="0">
      <selection activeCell="G13" sqref="G13"/>
    </sheetView>
  </sheetViews>
  <sheetFormatPr defaultColWidth="8.85546875" defaultRowHeight="12" x14ac:dyDescent="0.2"/>
  <cols>
    <col min="1" max="2" width="8.85546875" style="17"/>
    <col min="3" max="3" width="35.140625" style="17" customWidth="1"/>
    <col min="4" max="4" width="13.42578125" style="17" customWidth="1"/>
    <col min="5" max="6" width="8.85546875" style="17"/>
    <col min="7" max="7" width="22" style="17" customWidth="1"/>
    <col min="8" max="16384" width="8.85546875" style="17"/>
  </cols>
  <sheetData>
    <row r="2" spans="2:7" x14ac:dyDescent="0.2">
      <c r="B2" s="42" t="s">
        <v>3116</v>
      </c>
    </row>
    <row r="4" spans="2:7" x14ac:dyDescent="0.2">
      <c r="C4" s="42" t="s">
        <v>2933</v>
      </c>
      <c r="D4" s="43"/>
      <c r="F4" s="80"/>
    </row>
    <row r="5" spans="2:7" x14ac:dyDescent="0.2">
      <c r="C5" s="44" t="s">
        <v>2855</v>
      </c>
      <c r="D5" s="45">
        <v>2021</v>
      </c>
      <c r="F5" s="179"/>
    </row>
    <row r="6" spans="2:7" x14ac:dyDescent="0.2">
      <c r="C6" s="44" t="s">
        <v>2856</v>
      </c>
      <c r="D6" s="45">
        <v>20</v>
      </c>
      <c r="F6" s="180"/>
    </row>
    <row r="7" spans="2:7" x14ac:dyDescent="0.2">
      <c r="C7" s="44" t="s">
        <v>2941</v>
      </c>
      <c r="D7" s="45">
        <v>2026</v>
      </c>
      <c r="E7" s="80"/>
    </row>
    <row r="8" spans="2:7" x14ac:dyDescent="0.2">
      <c r="C8" s="44" t="s">
        <v>2857</v>
      </c>
      <c r="D8" s="45">
        <f>D7+1</f>
        <v>2027</v>
      </c>
    </row>
    <row r="9" spans="2:7" x14ac:dyDescent="0.2">
      <c r="C9" s="44" t="s">
        <v>2858</v>
      </c>
      <c r="D9" s="45">
        <f>D8+D6-1</f>
        <v>2046</v>
      </c>
    </row>
    <row r="10" spans="2:7" x14ac:dyDescent="0.2">
      <c r="C10" s="44" t="s">
        <v>3051</v>
      </c>
      <c r="D10" s="393">
        <v>365.25</v>
      </c>
    </row>
    <row r="11" spans="2:7" x14ac:dyDescent="0.2">
      <c r="B11" s="46"/>
      <c r="C11" s="46"/>
      <c r="D11" s="46"/>
      <c r="E11" s="43"/>
      <c r="F11" s="43"/>
    </row>
    <row r="12" spans="2:7" ht="12" customHeight="1" x14ac:dyDescent="0.2">
      <c r="B12" s="181"/>
      <c r="C12" s="135"/>
      <c r="D12" s="135"/>
      <c r="E12" s="135"/>
      <c r="F12" s="135"/>
    </row>
    <row r="13" spans="2:7" x14ac:dyDescent="0.2">
      <c r="B13" s="181"/>
      <c r="C13" s="135"/>
      <c r="D13" s="135"/>
      <c r="E13" s="135"/>
      <c r="F13" s="135"/>
      <c r="G13" s="43"/>
    </row>
    <row r="14" spans="2:7" x14ac:dyDescent="0.2">
      <c r="B14" s="47"/>
      <c r="C14" s="135"/>
      <c r="D14" s="135"/>
      <c r="E14" s="135"/>
      <c r="F14" s="135"/>
      <c r="G14" s="135"/>
    </row>
    <row r="15" spans="2:7" x14ac:dyDescent="0.2">
      <c r="G15" s="135"/>
    </row>
    <row r="16" spans="2:7" x14ac:dyDescent="0.2">
      <c r="G16" s="182"/>
    </row>
  </sheetData>
  <pageMargins left="0.7" right="0.7" top="0.75" bottom="0.75" header="0.3" footer="0.3"/>
  <pageSetup scale="8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C452-BDDC-41F6-B52E-6DA649529C5F}">
  <sheetPr>
    <tabColor rgb="FF0070C0"/>
    <pageSetUpPr fitToPage="1"/>
  </sheetPr>
  <dimension ref="A2:R91"/>
  <sheetViews>
    <sheetView view="pageBreakPreview" zoomScale="85" zoomScaleNormal="100" zoomScaleSheetLayoutView="85" workbookViewId="0">
      <selection activeCell="C28" sqref="C28:C29"/>
    </sheetView>
  </sheetViews>
  <sheetFormatPr defaultColWidth="8.85546875" defaultRowHeight="15" x14ac:dyDescent="0.25"/>
  <cols>
    <col min="1" max="1" width="3.42578125" style="17" customWidth="1"/>
    <col min="2" max="2" width="10.42578125" style="17" customWidth="1"/>
    <col min="3" max="11" width="15.7109375" style="17" customWidth="1"/>
    <col min="12" max="12" width="20.7109375" customWidth="1"/>
    <col min="13" max="13" width="24.28515625" customWidth="1"/>
    <col min="14" max="14" width="18.5703125" customWidth="1"/>
    <col min="15" max="17" width="20.7109375" customWidth="1"/>
    <col min="18" max="19" width="15.7109375" style="17" customWidth="1"/>
    <col min="20" max="16384" width="8.85546875" style="17"/>
  </cols>
  <sheetData>
    <row r="2" spans="1:18" x14ac:dyDescent="0.25">
      <c r="B2" s="42" t="s">
        <v>3111</v>
      </c>
      <c r="C2" s="42"/>
      <c r="D2" s="42"/>
    </row>
    <row r="3" spans="1:18" x14ac:dyDescent="0.25">
      <c r="L3" s="17"/>
      <c r="R3"/>
    </row>
    <row r="4" spans="1:18" ht="15.75" thickBot="1" x14ac:dyDescent="0.3">
      <c r="B4" s="133" t="s">
        <v>2811</v>
      </c>
      <c r="C4" s="133"/>
      <c r="D4" s="133"/>
      <c r="L4" s="17"/>
      <c r="R4"/>
    </row>
    <row r="5" spans="1:18" s="183" customFormat="1" ht="20.25" customHeight="1" x14ac:dyDescent="0.25">
      <c r="A5" s="17"/>
      <c r="B5" s="516" t="s">
        <v>0</v>
      </c>
      <c r="C5" s="518" t="s">
        <v>2810</v>
      </c>
      <c r="D5" s="520" t="s">
        <v>2872</v>
      </c>
      <c r="E5" s="508" t="s">
        <v>2908</v>
      </c>
      <c r="F5" s="520" t="s">
        <v>3049</v>
      </c>
      <c r="G5" s="520" t="s">
        <v>3050</v>
      </c>
      <c r="H5" s="508" t="s">
        <v>3110</v>
      </c>
      <c r="I5" s="502" t="s">
        <v>2920</v>
      </c>
      <c r="J5" s="504" t="s">
        <v>2825</v>
      </c>
      <c r="K5" s="506" t="s">
        <v>2806</v>
      </c>
      <c r="L5" s="17"/>
      <c r="M5"/>
      <c r="N5"/>
      <c r="O5"/>
      <c r="P5"/>
      <c r="Q5"/>
      <c r="R5"/>
    </row>
    <row r="6" spans="1:18" ht="20.25" customHeight="1" thickBot="1" x14ac:dyDescent="0.3">
      <c r="B6" s="517"/>
      <c r="C6" s="519"/>
      <c r="D6" s="521"/>
      <c r="E6" s="509"/>
      <c r="F6" s="522"/>
      <c r="G6" s="522"/>
      <c r="H6" s="523"/>
      <c r="I6" s="503"/>
      <c r="J6" s="505"/>
      <c r="K6" s="507"/>
      <c r="L6" s="17"/>
      <c r="R6"/>
    </row>
    <row r="7" spans="1:18" x14ac:dyDescent="0.25">
      <c r="B7" s="136">
        <f>B8-1</f>
        <v>2025</v>
      </c>
      <c r="C7" s="500"/>
      <c r="D7" s="305"/>
      <c r="E7" s="305"/>
      <c r="F7" s="324"/>
      <c r="G7" s="324"/>
      <c r="H7" s="324"/>
      <c r="I7" s="82">
        <f>SUM('Group O&amp;M'!C8:H8)</f>
        <v>108000</v>
      </c>
      <c r="J7" s="398">
        <f>SUM(D7:F7,H7:I7)</f>
        <v>108000</v>
      </c>
      <c r="K7" s="82">
        <f t="shared" ref="K7:K29" si="0">J7*(1.07)^-(B7-2021)+C7+G7</f>
        <v>82392.682901132721</v>
      </c>
      <c r="L7" s="17"/>
      <c r="R7"/>
    </row>
    <row r="8" spans="1:18" x14ac:dyDescent="0.25">
      <c r="B8" s="142">
        <f>B9-1</f>
        <v>2026</v>
      </c>
      <c r="C8" s="343"/>
      <c r="D8" s="81"/>
      <c r="E8" s="81"/>
      <c r="F8" s="81"/>
      <c r="G8" s="81"/>
      <c r="H8" s="81"/>
      <c r="I8" s="16">
        <f>SUM('Group O&amp;M'!C9:H9)</f>
        <v>207315.97999999998</v>
      </c>
      <c r="J8" s="399">
        <f t="shared" ref="J8:J29" si="1">SUM(D8:F8,H8:I8)</f>
        <v>207315.97999999998</v>
      </c>
      <c r="K8" s="16">
        <f t="shared" si="0"/>
        <v>147813.42852611258</v>
      </c>
      <c r="L8" s="17"/>
      <c r="R8"/>
    </row>
    <row r="9" spans="1:18" x14ac:dyDescent="0.25">
      <c r="B9" s="142">
        <f>Assumptions!D8</f>
        <v>2027</v>
      </c>
      <c r="C9" s="343">
        <v>0</v>
      </c>
      <c r="D9" s="81">
        <f>'Group Safety Benefits'!O10</f>
        <v>4956749.753016456</v>
      </c>
      <c r="E9" s="81">
        <f>SUM('Chickasaw Travel Time'!F8,'Mitchell Travel Time'!F8)</f>
        <v>314645.40598893928</v>
      </c>
      <c r="F9" s="81">
        <f>'Chickasaw Air Quality'!M6+'Mitchell Air Quality'!M6</f>
        <v>1277.4991756225604</v>
      </c>
      <c r="G9" s="81">
        <f>'Chickasaw Air Quality'!E6+'Mitchell Air Quality'!E6</f>
        <v>1639.7030548459602</v>
      </c>
      <c r="H9" s="81">
        <f>SUM('Chickasaw-VehOpCost'!D6,'Mitchell-VehOpCost'!D6)</f>
        <v>185501.57675195718</v>
      </c>
      <c r="I9" s="16">
        <f>'Group O&amp;M'!AA10</f>
        <v>65938.478394256104</v>
      </c>
      <c r="J9" s="399">
        <f t="shared" si="1"/>
        <v>5524112.71332723</v>
      </c>
      <c r="K9" s="16">
        <f t="shared" si="0"/>
        <v>3682589.2530663814</v>
      </c>
      <c r="L9" s="17"/>
      <c r="M9" s="492"/>
      <c r="R9"/>
    </row>
    <row r="10" spans="1:18" x14ac:dyDescent="0.25">
      <c r="B10" s="142">
        <f t="shared" ref="B10:B27" si="2">B9+1</f>
        <v>2028</v>
      </c>
      <c r="C10" s="343">
        <v>0</v>
      </c>
      <c r="D10" s="81">
        <f>'Group Safety Benefits'!O11</f>
        <v>6056652.9370164564</v>
      </c>
      <c r="E10" s="81">
        <f>SUM('Chickasaw Travel Time'!F9,'Mitchell Travel Time'!F9)</f>
        <v>314645.40598893928</v>
      </c>
      <c r="F10" s="81">
        <f>'Chickasaw Air Quality'!M7+'Mitchell Air Quality'!M7</f>
        <v>1298.410959071331</v>
      </c>
      <c r="G10" s="81">
        <f>'Chickasaw Air Quality'!E7+'Mitchell Air Quality'!E7</f>
        <v>1618.0421677614122</v>
      </c>
      <c r="H10" s="81">
        <f>SUM('Chickasaw-VehOpCost'!D7,'Mitchell-VehOpCost'!D7)</f>
        <v>185501.57675195718</v>
      </c>
      <c r="I10" s="16">
        <f>'Group O&amp;M'!AA11</f>
        <v>101719.75505172015</v>
      </c>
      <c r="J10" s="399">
        <f t="shared" si="1"/>
        <v>6659818.0857681436</v>
      </c>
      <c r="K10" s="16">
        <f t="shared" si="0"/>
        <v>4149018.0360782044</v>
      </c>
      <c r="L10" s="17"/>
      <c r="M10" s="492"/>
      <c r="R10"/>
    </row>
    <row r="11" spans="1:18" x14ac:dyDescent="0.25">
      <c r="B11" s="142">
        <f t="shared" si="2"/>
        <v>2029</v>
      </c>
      <c r="C11" s="343">
        <v>0</v>
      </c>
      <c r="D11" s="81">
        <f>'Group Safety Benefits'!O12</f>
        <v>6056652.9370164564</v>
      </c>
      <c r="E11" s="81">
        <f>SUM('Chickasaw Travel Time'!F10,'Mitchell Travel Time'!F10)</f>
        <v>314645.40598893928</v>
      </c>
      <c r="F11" s="81">
        <f>'Chickasaw Air Quality'!M8+'Mitchell Air Quality'!M8</f>
        <v>1323.1788146934598</v>
      </c>
      <c r="G11" s="81">
        <f>'Chickasaw Air Quality'!E8+'Mitchell Air Quality'!E8</f>
        <v>1596.2520602719849</v>
      </c>
      <c r="H11" s="81">
        <f>SUM('Chickasaw-VehOpCost'!D8,'Mitchell-VehOpCost'!D8)</f>
        <v>185501.57675195718</v>
      </c>
      <c r="I11" s="16">
        <f>'Group O&amp;M'!AA12</f>
        <v>101719.75505172015</v>
      </c>
      <c r="J11" s="399">
        <f t="shared" si="1"/>
        <v>6659842.8536237655</v>
      </c>
      <c r="K11" s="16">
        <f t="shared" si="0"/>
        <v>3877685.4278417099</v>
      </c>
      <c r="L11" s="17"/>
      <c r="M11" s="492"/>
      <c r="R11"/>
    </row>
    <row r="12" spans="1:18" x14ac:dyDescent="0.25">
      <c r="B12" s="142">
        <f t="shared" si="2"/>
        <v>2030</v>
      </c>
      <c r="C12" s="343">
        <v>0</v>
      </c>
      <c r="D12" s="81">
        <f>'Group Safety Benefits'!O13</f>
        <v>6056652.9370164564</v>
      </c>
      <c r="E12" s="81">
        <f>SUM('Chickasaw Travel Time'!F11,'Mitchell Travel Time'!F11)</f>
        <v>314645.40598893928</v>
      </c>
      <c r="F12" s="81">
        <f>'Chickasaw Air Quality'!M9+'Mitchell Air Quality'!M9</f>
        <v>1344.3882854083276</v>
      </c>
      <c r="G12" s="81">
        <f>'Chickasaw Air Quality'!E9+'Mitchell Air Quality'!E9</f>
        <v>1598.957989176746</v>
      </c>
      <c r="H12" s="81">
        <f>SUM('Chickasaw-VehOpCost'!D9,'Mitchell-VehOpCost'!D9)</f>
        <v>185501.57675195718</v>
      </c>
      <c r="I12" s="16">
        <f>'Group O&amp;M'!AA13</f>
        <v>101719.75505172015</v>
      </c>
      <c r="J12" s="399">
        <f t="shared" si="1"/>
        <v>6659864.0630944809</v>
      </c>
      <c r="K12" s="16">
        <f t="shared" si="0"/>
        <v>3624123.7429298284</v>
      </c>
      <c r="L12" s="17"/>
      <c r="M12" s="492"/>
      <c r="R12"/>
    </row>
    <row r="13" spans="1:18" x14ac:dyDescent="0.25">
      <c r="B13" s="142">
        <f t="shared" si="2"/>
        <v>2031</v>
      </c>
      <c r="C13" s="343">
        <v>0</v>
      </c>
      <c r="D13" s="81">
        <f>'Group Safety Benefits'!O14</f>
        <v>6056652.9370164564</v>
      </c>
      <c r="E13" s="81">
        <f>SUM('Chickasaw Travel Time'!F12,'Mitchell Travel Time'!F12)</f>
        <v>314645.40598893928</v>
      </c>
      <c r="F13" s="81">
        <f>'Chickasaw Air Quality'!M10+'Mitchell Air Quality'!M10</f>
        <v>1344.3882854083276</v>
      </c>
      <c r="G13" s="81">
        <f>'Chickasaw Air Quality'!E10+'Mitchell Air Quality'!E10</f>
        <v>1576.2692649091146</v>
      </c>
      <c r="H13" s="81">
        <f>SUM('Chickasaw-VehOpCost'!D10,'Mitchell-VehOpCost'!D10)</f>
        <v>185501.57675195718</v>
      </c>
      <c r="I13" s="16">
        <f>'Group O&amp;M'!AA14</f>
        <v>101719.75505172015</v>
      </c>
      <c r="J13" s="399">
        <f t="shared" si="1"/>
        <v>6659864.0630944809</v>
      </c>
      <c r="K13" s="16">
        <f t="shared" si="0"/>
        <v>3387113.4514524341</v>
      </c>
      <c r="L13" s="17"/>
      <c r="M13" s="492"/>
      <c r="R13"/>
    </row>
    <row r="14" spans="1:18" x14ac:dyDescent="0.25">
      <c r="B14" s="142">
        <f t="shared" si="2"/>
        <v>2032</v>
      </c>
      <c r="C14" s="343">
        <v>0</v>
      </c>
      <c r="D14" s="81">
        <f>'Group Safety Benefits'!O15</f>
        <v>6056652.9370164564</v>
      </c>
      <c r="E14" s="81">
        <f>SUM('Chickasaw Travel Time'!F13,'Mitchell Travel Time'!F13)</f>
        <v>314645.40598893928</v>
      </c>
      <c r="F14" s="81">
        <f>'Chickasaw Air Quality'!M11+'Mitchell Air Quality'!M11</f>
        <v>1344.3882854083276</v>
      </c>
      <c r="G14" s="81">
        <f>'Chickasaw Air Quality'!E11+'Mitchell Air Quality'!E11</f>
        <v>1553.5457597662648</v>
      </c>
      <c r="H14" s="81">
        <f>SUM('Chickasaw-VehOpCost'!D11,'Mitchell-VehOpCost'!D11)</f>
        <v>185501.57675195718</v>
      </c>
      <c r="I14" s="16">
        <f>'Group O&amp;M'!AA15</f>
        <v>101719.75505172015</v>
      </c>
      <c r="J14" s="399">
        <f t="shared" si="1"/>
        <v>6659864.0630944809</v>
      </c>
      <c r="K14" s="16">
        <f t="shared" si="0"/>
        <v>3165606.9870565184</v>
      </c>
      <c r="L14" s="17"/>
      <c r="M14" s="492"/>
      <c r="R14"/>
    </row>
    <row r="15" spans="1:18" x14ac:dyDescent="0.25">
      <c r="B15" s="142">
        <f t="shared" si="2"/>
        <v>2033</v>
      </c>
      <c r="C15" s="343">
        <v>0</v>
      </c>
      <c r="D15" s="81">
        <f>'Group Safety Benefits'!O16</f>
        <v>6056652.9370164564</v>
      </c>
      <c r="E15" s="81">
        <f>SUM('Chickasaw Travel Time'!F14,'Mitchell Travel Time'!F14)</f>
        <v>314645.40598893928</v>
      </c>
      <c r="F15" s="81">
        <f>'Chickasaw Air Quality'!M12+'Mitchell Air Quality'!M12</f>
        <v>1344.3882854083276</v>
      </c>
      <c r="G15" s="81">
        <f>'Chickasaw Air Quality'!E12+'Mitchell Air Quality'!E12</f>
        <v>1530.8087474874078</v>
      </c>
      <c r="H15" s="81">
        <f>SUM('Chickasaw-VehOpCost'!D12,'Mitchell-VehOpCost'!D12)</f>
        <v>185501.57675195718</v>
      </c>
      <c r="I15" s="16">
        <f>'Group O&amp;M'!AA16</f>
        <v>101719.75505172015</v>
      </c>
      <c r="J15" s="399">
        <f t="shared" si="1"/>
        <v>6659864.0630944809</v>
      </c>
      <c r="K15" s="16">
        <f t="shared" si="0"/>
        <v>2958590.0996790319</v>
      </c>
      <c r="L15" s="17"/>
      <c r="M15" s="492"/>
      <c r="R15"/>
    </row>
    <row r="16" spans="1:18" x14ac:dyDescent="0.25">
      <c r="B16" s="142">
        <f t="shared" si="2"/>
        <v>2034</v>
      </c>
      <c r="C16" s="343">
        <v>0</v>
      </c>
      <c r="D16" s="81">
        <f>'Group Safety Benefits'!O17</f>
        <v>6056652.9370164564</v>
      </c>
      <c r="E16" s="81">
        <f>SUM('Chickasaw Travel Time'!F15,'Mitchell Travel Time'!F15)</f>
        <v>314645.40598893928</v>
      </c>
      <c r="F16" s="81">
        <f>'Chickasaw Air Quality'!M13+'Mitchell Air Quality'!M13</f>
        <v>1344.3882854083276</v>
      </c>
      <c r="G16" s="81">
        <f>'Chickasaw Air Quality'!E13+'Mitchell Air Quality'!E13</f>
        <v>1508.0782920706904</v>
      </c>
      <c r="H16" s="81">
        <f>SUM('Chickasaw-VehOpCost'!D13,'Mitchell-VehOpCost'!D13)</f>
        <v>185501.57675195718</v>
      </c>
      <c r="I16" s="16">
        <f>'Group O&amp;M'!AA17</f>
        <v>101719.75505172015</v>
      </c>
      <c r="J16" s="399">
        <f t="shared" si="1"/>
        <v>6659864.0630944809</v>
      </c>
      <c r="K16" s="16">
        <f t="shared" si="0"/>
        <v>2765114.8922467846</v>
      </c>
      <c r="L16" s="17"/>
      <c r="M16" s="492"/>
      <c r="R16"/>
    </row>
    <row r="17" spans="2:18" x14ac:dyDescent="0.25">
      <c r="B17" s="142">
        <f t="shared" si="2"/>
        <v>2035</v>
      </c>
      <c r="C17" s="343">
        <v>0</v>
      </c>
      <c r="D17" s="81">
        <f>'Group Safety Benefits'!O18</f>
        <v>6056652.9370164564</v>
      </c>
      <c r="E17" s="81">
        <f>SUM('Chickasaw Travel Time'!F16,'Mitchell Travel Time'!F16)</f>
        <v>314645.40598893928</v>
      </c>
      <c r="F17" s="81">
        <f>'Chickasaw Air Quality'!M14+'Mitchell Air Quality'!M14</f>
        <v>1344.3882854083276</v>
      </c>
      <c r="G17" s="81">
        <f>'Chickasaw Air Quality'!E14+'Mitchell Air Quality'!E14</f>
        <v>1485.3733001962614</v>
      </c>
      <c r="H17" s="81">
        <f>SUM('Chickasaw-VehOpCost'!D14,'Mitchell-VehOpCost'!D14)</f>
        <v>185501.57675195718</v>
      </c>
      <c r="I17" s="16">
        <f>'Group O&amp;M'!AA18</f>
        <v>209719.75505172016</v>
      </c>
      <c r="J17" s="399">
        <f t="shared" si="1"/>
        <v>6767864.0630944809</v>
      </c>
      <c r="K17" s="16">
        <f t="shared" si="0"/>
        <v>2626179.7418298004</v>
      </c>
      <c r="L17" s="17"/>
      <c r="M17" s="492"/>
      <c r="R17"/>
    </row>
    <row r="18" spans="2:18" x14ac:dyDescent="0.25">
      <c r="B18" s="142">
        <f t="shared" si="2"/>
        <v>2036</v>
      </c>
      <c r="C18" s="343">
        <v>0</v>
      </c>
      <c r="D18" s="81">
        <f>'Group Safety Benefits'!O19</f>
        <v>6056652.9370164564</v>
      </c>
      <c r="E18" s="81">
        <f>SUM('Chickasaw Travel Time'!F17,'Mitchell Travel Time'!F17)</f>
        <v>314645.40598893928</v>
      </c>
      <c r="F18" s="81">
        <f>'Chickasaw Air Quality'!M15+'Mitchell Air Quality'!M15</f>
        <v>1344.3882854083276</v>
      </c>
      <c r="G18" s="81">
        <f>'Chickasaw Air Quality'!E15+'Mitchell Air Quality'!E15</f>
        <v>1483.3131430531321</v>
      </c>
      <c r="H18" s="81">
        <f>SUM('Chickasaw-VehOpCost'!D15,'Mitchell-VehOpCost'!D15)</f>
        <v>185501.57675195718</v>
      </c>
      <c r="I18" s="16">
        <f>'Group O&amp;M'!AA19</f>
        <v>224035.73505172014</v>
      </c>
      <c r="J18" s="399">
        <f t="shared" si="1"/>
        <v>6782180.0430944813</v>
      </c>
      <c r="K18" s="16">
        <f t="shared" si="0"/>
        <v>2459657.474260495</v>
      </c>
      <c r="L18" s="17"/>
      <c r="M18" s="492"/>
      <c r="R18"/>
    </row>
    <row r="19" spans="2:18" x14ac:dyDescent="0.25">
      <c r="B19" s="142">
        <f t="shared" si="2"/>
        <v>2037</v>
      </c>
      <c r="C19" s="343">
        <v>0</v>
      </c>
      <c r="D19" s="81">
        <f>'Group Safety Benefits'!O20</f>
        <v>6056652.9370164564</v>
      </c>
      <c r="E19" s="81">
        <f>SUM('Chickasaw Travel Time'!F18,'Mitchell Travel Time'!F18)</f>
        <v>314645.40598893928</v>
      </c>
      <c r="F19" s="81">
        <f>'Chickasaw Air Quality'!M16+'Mitchell Air Quality'!M16</f>
        <v>1344.3882854083276</v>
      </c>
      <c r="G19" s="81">
        <f>'Chickasaw Air Quality'!E16+'Mitchell Air Quality'!E16</f>
        <v>1460.1113732858503</v>
      </c>
      <c r="H19" s="81">
        <f>SUM('Chickasaw-VehOpCost'!D16,'Mitchell-VehOpCost'!D16)</f>
        <v>185501.57675195718</v>
      </c>
      <c r="I19" s="16">
        <f>'Group O&amp;M'!AA20</f>
        <v>101719.75505172015</v>
      </c>
      <c r="J19" s="399">
        <f t="shared" si="1"/>
        <v>6659864.0630944809</v>
      </c>
      <c r="K19" s="16">
        <f t="shared" si="0"/>
        <v>2257386.4861656111</v>
      </c>
      <c r="L19" s="17"/>
      <c r="M19" s="492"/>
      <c r="R19"/>
    </row>
    <row r="20" spans="2:18" x14ac:dyDescent="0.25">
      <c r="B20" s="142">
        <f t="shared" si="2"/>
        <v>2038</v>
      </c>
      <c r="C20" s="343">
        <v>0</v>
      </c>
      <c r="D20" s="81">
        <f>'Group Safety Benefits'!O21</f>
        <v>6056652.9370164564</v>
      </c>
      <c r="E20" s="81">
        <f>SUM('Chickasaw Travel Time'!F19,'Mitchell Travel Time'!F19)</f>
        <v>314645.40598893928</v>
      </c>
      <c r="F20" s="81">
        <f>'Chickasaw Air Quality'!M17+'Mitchell Air Quality'!M17</f>
        <v>1344.3882854083276</v>
      </c>
      <c r="G20" s="81">
        <f>'Chickasaw Air Quality'!E17+'Mitchell Air Quality'!E17</f>
        <v>1437.0028145119418</v>
      </c>
      <c r="H20" s="81">
        <f>SUM('Chickasaw-VehOpCost'!D17,'Mitchell-VehOpCost'!D17)</f>
        <v>185501.57675195718</v>
      </c>
      <c r="I20" s="16">
        <f>'Group O&amp;M'!AA21</f>
        <v>101719.75505172015</v>
      </c>
      <c r="J20" s="399">
        <f t="shared" si="1"/>
        <v>6659864.0630944809</v>
      </c>
      <c r="K20" s="16">
        <f t="shared" si="0"/>
        <v>2109779.4091624795</v>
      </c>
      <c r="L20" s="17"/>
      <c r="M20" s="492"/>
      <c r="R20"/>
    </row>
    <row r="21" spans="2:18" x14ac:dyDescent="0.25">
      <c r="B21" s="142">
        <f t="shared" si="2"/>
        <v>2039</v>
      </c>
      <c r="C21" s="343">
        <v>0</v>
      </c>
      <c r="D21" s="81">
        <f>'Group Safety Benefits'!O22</f>
        <v>6056652.9370164564</v>
      </c>
      <c r="E21" s="81">
        <f>SUM('Chickasaw Travel Time'!F20,'Mitchell Travel Time'!F20)</f>
        <v>314645.40598893928</v>
      </c>
      <c r="F21" s="81">
        <f>'Chickasaw Air Quality'!M18+'Mitchell Air Quality'!M18</f>
        <v>1344.3882854083276</v>
      </c>
      <c r="G21" s="81">
        <f>'Chickasaw Air Quality'!E18+'Mitchell Air Quality'!E18</f>
        <v>1414.0017198687437</v>
      </c>
      <c r="H21" s="81">
        <f>SUM('Chickasaw-VehOpCost'!D18,'Mitchell-VehOpCost'!D18)</f>
        <v>185501.57675195718</v>
      </c>
      <c r="I21" s="16">
        <f>'Group O&amp;M'!AA22</f>
        <v>101719.75505172015</v>
      </c>
      <c r="J21" s="399">
        <f t="shared" si="1"/>
        <v>6659864.0630944809</v>
      </c>
      <c r="K21" s="16">
        <f t="shared" si="0"/>
        <v>1971827.4655964735</v>
      </c>
      <c r="L21" s="17"/>
      <c r="M21" s="492"/>
      <c r="R21"/>
    </row>
    <row r="22" spans="2:18" x14ac:dyDescent="0.25">
      <c r="B22" s="142">
        <f t="shared" si="2"/>
        <v>2040</v>
      </c>
      <c r="C22" s="343">
        <v>0</v>
      </c>
      <c r="D22" s="81">
        <f>'Group Safety Benefits'!O23</f>
        <v>6056652.9370164564</v>
      </c>
      <c r="E22" s="81">
        <f>SUM('Chickasaw Travel Time'!F21,'Mitchell Travel Time'!F21)</f>
        <v>314645.40598893928</v>
      </c>
      <c r="F22" s="81">
        <f>'Chickasaw Air Quality'!M19+'Mitchell Air Quality'!M19</f>
        <v>1344.3882854083276</v>
      </c>
      <c r="G22" s="81">
        <f>'Chickasaw Air Quality'!E19+'Mitchell Air Quality'!E19</f>
        <v>1391.1214331394763</v>
      </c>
      <c r="H22" s="81">
        <f>SUM('Chickasaw-VehOpCost'!D19,'Mitchell-VehOpCost'!D19)</f>
        <v>185501.57675195718</v>
      </c>
      <c r="I22" s="16">
        <f>'Group O&amp;M'!AA23</f>
        <v>101719.75505172015</v>
      </c>
      <c r="J22" s="399">
        <f t="shared" si="1"/>
        <v>6659864.0630944809</v>
      </c>
      <c r="K22" s="16">
        <f t="shared" si="0"/>
        <v>1842899.0315981908</v>
      </c>
      <c r="L22" s="17"/>
      <c r="M22" s="492"/>
      <c r="R22"/>
    </row>
    <row r="23" spans="2:18" x14ac:dyDescent="0.25">
      <c r="B23" s="142">
        <f t="shared" si="2"/>
        <v>2041</v>
      </c>
      <c r="C23" s="343">
        <v>0</v>
      </c>
      <c r="D23" s="81">
        <f>'Group Safety Benefits'!O24</f>
        <v>6056652.9370164564</v>
      </c>
      <c r="E23" s="81">
        <f>SUM('Chickasaw Travel Time'!F22,'Mitchell Travel Time'!F22)</f>
        <v>314645.40598893928</v>
      </c>
      <c r="F23" s="81">
        <f>'Chickasaw Air Quality'!M20+'Mitchell Air Quality'!M20</f>
        <v>1344.3882854083276</v>
      </c>
      <c r="G23" s="81">
        <f>'Chickasaw Air Quality'!E20+'Mitchell Air Quality'!E20</f>
        <v>1386.1455261226256</v>
      </c>
      <c r="H23" s="81">
        <f>SUM('Chickasaw-VehOpCost'!D20,'Mitchell-VehOpCost'!D20)</f>
        <v>185501.57675195718</v>
      </c>
      <c r="I23" s="16">
        <f>'Group O&amp;M'!AA24</f>
        <v>101719.75505172015</v>
      </c>
      <c r="J23" s="399">
        <f t="shared" si="1"/>
        <v>6659864.0630944809</v>
      </c>
      <c r="K23" s="16">
        <f t="shared" si="0"/>
        <v>1722421.5755869183</v>
      </c>
      <c r="L23" s="17"/>
      <c r="M23" s="492"/>
      <c r="R23"/>
    </row>
    <row r="24" spans="2:18" x14ac:dyDescent="0.25">
      <c r="B24" s="142">
        <f t="shared" si="2"/>
        <v>2042</v>
      </c>
      <c r="C24" s="343">
        <v>0</v>
      </c>
      <c r="D24" s="81">
        <f>'Group Safety Benefits'!O25</f>
        <v>6056652.9370164564</v>
      </c>
      <c r="E24" s="81">
        <f>SUM('Chickasaw Travel Time'!F23,'Mitchell Travel Time'!F23)</f>
        <v>314645.40598893928</v>
      </c>
      <c r="F24" s="81">
        <f>'Chickasaw Air Quality'!M21+'Mitchell Air Quality'!M21</f>
        <v>1344.3882854083276</v>
      </c>
      <c r="G24" s="81">
        <f>'Chickasaw Air Quality'!E21+'Mitchell Air Quality'!E21</f>
        <v>1363.0258471955121</v>
      </c>
      <c r="H24" s="81">
        <f>SUM('Chickasaw-VehOpCost'!D21,'Mitchell-VehOpCost'!D21)</f>
        <v>185501.57675195718</v>
      </c>
      <c r="I24" s="16">
        <f>'Group O&amp;M'!AA25</f>
        <v>101719.75505172015</v>
      </c>
      <c r="J24" s="399">
        <f t="shared" si="1"/>
        <v>6659864.0630944809</v>
      </c>
      <c r="K24" s="16">
        <f t="shared" si="0"/>
        <v>1609807.3530068176</v>
      </c>
      <c r="L24" s="17"/>
      <c r="M24" s="492"/>
      <c r="R24"/>
    </row>
    <row r="25" spans="2:18" x14ac:dyDescent="0.25">
      <c r="B25" s="142">
        <f t="shared" si="2"/>
        <v>2043</v>
      </c>
      <c r="C25" s="343">
        <v>0</v>
      </c>
      <c r="D25" s="81">
        <f>'Group Safety Benefits'!O26</f>
        <v>6056652.9370164564</v>
      </c>
      <c r="E25" s="81">
        <f>SUM('Chickasaw Travel Time'!F24,'Mitchell Travel Time'!F24)</f>
        <v>314645.40598893928</v>
      </c>
      <c r="F25" s="81">
        <f>'Chickasaw Air Quality'!M22+'Mitchell Air Quality'!M22</f>
        <v>1344.3882854083276</v>
      </c>
      <c r="G25" s="81">
        <f>'Chickasaw Air Quality'!E22+'Mitchell Air Quality'!E22</f>
        <v>1340.0770280894799</v>
      </c>
      <c r="H25" s="81">
        <f>SUM('Chickasaw-VehOpCost'!D22,'Mitchell-VehOpCost'!D22)</f>
        <v>185501.57675195718</v>
      </c>
      <c r="I25" s="16">
        <f>'Group O&amp;M'!AA26</f>
        <v>101719.75505172015</v>
      </c>
      <c r="J25" s="399">
        <f t="shared" si="1"/>
        <v>6659864.0630944809</v>
      </c>
      <c r="K25" s="16">
        <f t="shared" si="0"/>
        <v>1504559.0743735307</v>
      </c>
      <c r="L25" s="17"/>
      <c r="M25" s="492"/>
      <c r="R25"/>
    </row>
    <row r="26" spans="2:18" x14ac:dyDescent="0.25">
      <c r="B26" s="142">
        <f t="shared" si="2"/>
        <v>2044</v>
      </c>
      <c r="C26" s="343">
        <v>0</v>
      </c>
      <c r="D26" s="81">
        <f>'Group Safety Benefits'!O27</f>
        <v>6056652.9370164564</v>
      </c>
      <c r="E26" s="81">
        <f>SUM('Chickasaw Travel Time'!F25,'Mitchell Travel Time'!F25)</f>
        <v>314645.40598893928</v>
      </c>
      <c r="F26" s="81">
        <f>'Chickasaw Air Quality'!M23+'Mitchell Air Quality'!M23</f>
        <v>1344.3882854083276</v>
      </c>
      <c r="G26" s="81">
        <f>'Chickasaw Air Quality'!E23+'Mitchell Air Quality'!E23</f>
        <v>1317.3087290685419</v>
      </c>
      <c r="H26" s="81">
        <f>SUM('Chickasaw-VehOpCost'!D23,'Mitchell-VehOpCost'!D23)</f>
        <v>185501.57675195718</v>
      </c>
      <c r="I26" s="16">
        <f>'Group O&amp;M'!AA27</f>
        <v>101719.75505172015</v>
      </c>
      <c r="J26" s="399">
        <f t="shared" si="1"/>
        <v>6659864.0630944809</v>
      </c>
      <c r="K26" s="16">
        <f t="shared" si="0"/>
        <v>1406194.8763416305</v>
      </c>
      <c r="L26" s="13"/>
      <c r="M26" s="492"/>
      <c r="R26"/>
    </row>
    <row r="27" spans="2:18" x14ac:dyDescent="0.25">
      <c r="B27" s="142">
        <f t="shared" si="2"/>
        <v>2045</v>
      </c>
      <c r="C27" s="343">
        <f>'Group Capital Cost'!S14</f>
        <v>0</v>
      </c>
      <c r="D27" s="81">
        <f>'Group Safety Benefits'!O28</f>
        <v>6056652.9370164564</v>
      </c>
      <c r="E27" s="81">
        <f>SUM('Chickasaw Travel Time'!F26,'Mitchell Travel Time'!F26)</f>
        <v>314645.40598893928</v>
      </c>
      <c r="F27" s="81">
        <f>'Chickasaw Air Quality'!M24+'Mitchell Air Quality'!M24</f>
        <v>1344.3882854083276</v>
      </c>
      <c r="G27" s="81">
        <f>'Chickasaw Air Quality'!E24+'Mitchell Air Quality'!E24</f>
        <v>1294.7299027162944</v>
      </c>
      <c r="H27" s="81">
        <f>SUM('Chickasaw-VehOpCost'!D24,'Mitchell-VehOpCost'!D24)</f>
        <v>185501.57675195718</v>
      </c>
      <c r="I27" s="16">
        <f>'Group O&amp;M'!AA28</f>
        <v>101719.75505172015</v>
      </c>
      <c r="J27" s="399">
        <f t="shared" si="1"/>
        <v>6659864.0630944809</v>
      </c>
      <c r="K27" s="16">
        <f t="shared" si="0"/>
        <v>1314264.4192602509</v>
      </c>
      <c r="L27" s="17"/>
      <c r="M27" s="492"/>
      <c r="R27"/>
    </row>
    <row r="28" spans="2:18" x14ac:dyDescent="0.25">
      <c r="B28" s="142">
        <f>B27+1</f>
        <v>2046</v>
      </c>
      <c r="C28" s="343">
        <f>'Group Capital Cost'!P27-C29</f>
        <v>1159135.8672039739</v>
      </c>
      <c r="D28" s="81">
        <f>'Group Safety Benefits'!O29</f>
        <v>6056652.9370164564</v>
      </c>
      <c r="E28" s="81">
        <f>SUM('Chickasaw Travel Time'!F27,'Mitchell Travel Time'!F27)</f>
        <v>314645.40598893928</v>
      </c>
      <c r="F28" s="81">
        <f>'Chickasaw Air Quality'!M25+'Mitchell Air Quality'!M25</f>
        <v>1344.3882854083276</v>
      </c>
      <c r="G28" s="81">
        <f>'Chickasaw Air Quality'!E25+'Mitchell Air Quality'!E25</f>
        <v>1287.6783309042</v>
      </c>
      <c r="H28" s="81">
        <f>SUM('Chickasaw-VehOpCost'!D25,'Mitchell-VehOpCost'!D25)</f>
        <v>185501.57675195718</v>
      </c>
      <c r="I28" s="16">
        <f>'Group O&amp;M'!AA29</f>
        <v>101719.75505172015</v>
      </c>
      <c r="J28" s="399">
        <f t="shared" si="1"/>
        <v>6659864.0630944809</v>
      </c>
      <c r="K28" s="16">
        <f t="shared" si="0"/>
        <v>2387498.021569957</v>
      </c>
      <c r="L28" s="17"/>
      <c r="M28" s="492"/>
      <c r="R28"/>
    </row>
    <row r="29" spans="2:18" ht="15.75" thickBot="1" x14ac:dyDescent="0.3">
      <c r="B29" s="147">
        <v>2047</v>
      </c>
      <c r="C29" s="366">
        <f>'Group Capital Cost'!M27</f>
        <v>118501.66657610502</v>
      </c>
      <c r="D29" s="132">
        <f>'Group Safety Benefits'!O30</f>
        <v>1091147.9839999999</v>
      </c>
      <c r="E29" s="132">
        <f>SUM('Chickasaw Travel Time'!F28,'Mitchell Travel Time'!F28)</f>
        <v>0</v>
      </c>
      <c r="F29" s="132"/>
      <c r="G29" s="132"/>
      <c r="H29" s="132"/>
      <c r="I29" s="14">
        <f>'Group O&amp;M'!AA30</f>
        <v>35781.276657464041</v>
      </c>
      <c r="J29" s="400">
        <f t="shared" si="1"/>
        <v>1126929.2606574639</v>
      </c>
      <c r="K29" s="14">
        <f t="shared" si="0"/>
        <v>312553.80620403332</v>
      </c>
      <c r="L29" s="5"/>
      <c r="M29" s="492"/>
      <c r="R29"/>
    </row>
    <row r="30" spans="2:18" ht="15.75" thickBot="1" x14ac:dyDescent="0.3">
      <c r="B30" s="11"/>
      <c r="C30" s="12"/>
      <c r="D30" s="12"/>
      <c r="E30" s="12"/>
      <c r="F30" s="12"/>
      <c r="G30" s="12"/>
      <c r="H30" s="12"/>
      <c r="I30" s="12"/>
      <c r="J30" s="185" t="s">
        <v>2809</v>
      </c>
      <c r="K30" s="4">
        <f>SUM(K7:K29)</f>
        <v>51365076.736734323</v>
      </c>
      <c r="L30" s="5"/>
      <c r="R30"/>
    </row>
    <row r="31" spans="2:18" x14ac:dyDescent="0.25">
      <c r="B31" s="11"/>
      <c r="C31" s="3"/>
      <c r="D31" s="10"/>
      <c r="E31" s="10"/>
      <c r="F31" s="10"/>
      <c r="G31" s="10"/>
      <c r="H31" s="10"/>
      <c r="I31" s="10"/>
      <c r="J31" s="186"/>
      <c r="K31" s="186">
        <f>SUM('Individual Summary'!C32:H32)</f>
        <v>51365076.736734331</v>
      </c>
      <c r="L31" s="8"/>
      <c r="R31"/>
    </row>
    <row r="32" spans="2:18" ht="15.75" thickBot="1" x14ac:dyDescent="0.3">
      <c r="B32" s="133" t="s">
        <v>2808</v>
      </c>
      <c r="C32" s="133"/>
      <c r="D32" s="133"/>
      <c r="E32" s="133"/>
      <c r="F32" s="133"/>
      <c r="G32" s="133"/>
      <c r="H32" s="133"/>
      <c r="I32" s="133"/>
      <c r="J32" s="9"/>
      <c r="L32" s="17"/>
      <c r="R32"/>
    </row>
    <row r="33" spans="2:14" x14ac:dyDescent="0.25">
      <c r="B33" s="510" t="s">
        <v>0</v>
      </c>
      <c r="C33" s="512" t="s">
        <v>2807</v>
      </c>
      <c r="D33" s="514" t="s">
        <v>2806</v>
      </c>
      <c r="E33" s="7"/>
    </row>
    <row r="34" spans="2:14" ht="15.75" thickBot="1" x14ac:dyDescent="0.3">
      <c r="B34" s="511"/>
      <c r="C34" s="513"/>
      <c r="D34" s="515"/>
      <c r="E34" s="7"/>
      <c r="K34" s="187"/>
    </row>
    <row r="35" spans="2:14" ht="15.75" thickBot="1" x14ac:dyDescent="0.3">
      <c r="B35" s="73">
        <f>'Group Capital Cost'!S5</f>
        <v>2026</v>
      </c>
      <c r="C35" s="29">
        <f>'Group Capital Cost'!O7</f>
        <v>36146928.200000003</v>
      </c>
      <c r="D35" s="236">
        <f>'Group Capital Cost'!P7</f>
        <v>26147985.526135571</v>
      </c>
      <c r="E35" s="5"/>
      <c r="K35" s="187"/>
    </row>
    <row r="36" spans="2:14" ht="16.5" customHeight="1" thickBot="1" x14ac:dyDescent="0.3">
      <c r="B36" s="15">
        <f t="shared" ref="B36:B55" si="3">B35+1</f>
        <v>2027</v>
      </c>
      <c r="C36" s="501">
        <f>'Group Capital Cost'!O8</f>
        <v>3680000</v>
      </c>
      <c r="D36" s="106">
        <f>'Group Capital Cost'!P8</f>
        <v>2452139.3836447662</v>
      </c>
      <c r="E36" s="5"/>
      <c r="K36" s="187"/>
      <c r="M36" s="312" t="s">
        <v>3058</v>
      </c>
      <c r="N36" s="499" t="s">
        <v>3056</v>
      </c>
    </row>
    <row r="37" spans="2:14" x14ac:dyDescent="0.25">
      <c r="B37" s="237">
        <f t="shared" si="3"/>
        <v>2028</v>
      </c>
      <c r="C37" s="95"/>
      <c r="D37" s="110"/>
      <c r="E37" s="5"/>
      <c r="K37" s="188"/>
      <c r="M37" s="488" t="s">
        <v>2872</v>
      </c>
      <c r="N37" s="489">
        <f>SUM('Group Safety Benefits'!P10:P30)</f>
        <v>45203214.772000507</v>
      </c>
    </row>
    <row r="38" spans="2:14" ht="12.75" customHeight="1" x14ac:dyDescent="0.25">
      <c r="B38" s="1">
        <f t="shared" si="3"/>
        <v>2029</v>
      </c>
      <c r="C38" s="98"/>
      <c r="D38" s="102"/>
      <c r="E38" s="5"/>
      <c r="M38" s="401" t="s">
        <v>2908</v>
      </c>
      <c r="N38" s="487">
        <f>SUM('Chickasaw Travel Time'!G8:G27,'Mitchell Travel Time'!G8:G27)</f>
        <v>2376638.1234789761</v>
      </c>
    </row>
    <row r="39" spans="2:14" ht="12.75" customHeight="1" x14ac:dyDescent="0.25">
      <c r="B39" s="1">
        <f t="shared" si="3"/>
        <v>2030</v>
      </c>
      <c r="C39" s="98"/>
      <c r="D39" s="102"/>
      <c r="E39" s="5"/>
      <c r="M39" s="401" t="s">
        <v>3055</v>
      </c>
      <c r="N39" s="487">
        <f>SUM('Chickasaw Air Quality'!P6:P25,'Mitchell Air Quality'!P6:P25)</f>
        <v>39350.68228023655</v>
      </c>
    </row>
    <row r="40" spans="2:14" ht="12" customHeight="1" x14ac:dyDescent="0.25">
      <c r="B40" s="1">
        <f t="shared" si="3"/>
        <v>2031</v>
      </c>
      <c r="C40" s="98"/>
      <c r="D40" s="102"/>
      <c r="E40" s="5"/>
      <c r="M40" s="401" t="s">
        <v>3113</v>
      </c>
      <c r="N40" s="487">
        <f>'Group O&amp;M'!AB31</f>
        <v>1067070.6601809876</v>
      </c>
    </row>
    <row r="41" spans="2:14" x14ac:dyDescent="0.25">
      <c r="B41" s="1">
        <f t="shared" si="3"/>
        <v>2032</v>
      </c>
      <c r="C41" s="98"/>
      <c r="D41" s="102"/>
      <c r="E41" s="5"/>
      <c r="M41" s="401" t="s">
        <v>3112</v>
      </c>
      <c r="N41" s="487">
        <f>'Chickasaw-VehOpCost'!E26+'Mitchell-VehOpCost'!E26</f>
        <v>1401164.9650135387</v>
      </c>
    </row>
    <row r="42" spans="2:14" x14ac:dyDescent="0.25">
      <c r="B42" s="1">
        <f t="shared" si="3"/>
        <v>2033</v>
      </c>
      <c r="C42" s="98"/>
      <c r="D42" s="102"/>
      <c r="E42" s="5"/>
      <c r="M42" s="401" t="s">
        <v>3057</v>
      </c>
      <c r="N42" s="487">
        <f>'Group Capital Cost'!P27</f>
        <v>1277637.5337800789</v>
      </c>
    </row>
    <row r="43" spans="2:14" x14ac:dyDescent="0.25">
      <c r="B43" s="1">
        <f t="shared" si="3"/>
        <v>2034</v>
      </c>
      <c r="C43" s="98"/>
      <c r="D43" s="102"/>
      <c r="E43" s="5"/>
      <c r="M43" s="38" t="s">
        <v>7</v>
      </c>
      <c r="N43" s="487">
        <f>SUM(N37:N42)</f>
        <v>51365076.736734323</v>
      </c>
    </row>
    <row r="44" spans="2:14" x14ac:dyDescent="0.25">
      <c r="B44" s="1">
        <f t="shared" si="3"/>
        <v>2035</v>
      </c>
      <c r="C44" s="98"/>
      <c r="D44" s="102"/>
      <c r="E44" s="5"/>
      <c r="M44" s="38" t="s">
        <v>3107</v>
      </c>
      <c r="N44" s="490">
        <f>D56</f>
        <v>28600124.909780338</v>
      </c>
    </row>
    <row r="45" spans="2:14" x14ac:dyDescent="0.25">
      <c r="B45" s="1">
        <f t="shared" si="3"/>
        <v>2036</v>
      </c>
      <c r="C45" s="98"/>
      <c r="D45" s="102"/>
      <c r="E45" s="5"/>
      <c r="I45" s="3"/>
      <c r="M45" s="38" t="s">
        <v>2799</v>
      </c>
      <c r="N45" s="490">
        <f>N43-N44</f>
        <v>22764951.826953985</v>
      </c>
    </row>
    <row r="46" spans="2:14" ht="15.75" thickBot="1" x14ac:dyDescent="0.3">
      <c r="B46" s="1">
        <f t="shared" si="3"/>
        <v>2037</v>
      </c>
      <c r="C46" s="98"/>
      <c r="D46" s="102"/>
      <c r="E46" s="5"/>
      <c r="I46" s="3"/>
      <c r="J46" s="3"/>
      <c r="K46" s="3"/>
      <c r="M46" s="60" t="s">
        <v>8</v>
      </c>
      <c r="N46" s="491">
        <f>N43/N44</f>
        <v>1.7959738602109774</v>
      </c>
    </row>
    <row r="47" spans="2:14" x14ac:dyDescent="0.25">
      <c r="B47" s="1">
        <f t="shared" si="3"/>
        <v>2038</v>
      </c>
      <c r="C47" s="98"/>
      <c r="D47" s="102"/>
      <c r="E47" s="5"/>
      <c r="I47" s="3"/>
      <c r="J47" s="3"/>
      <c r="K47" s="3"/>
    </row>
    <row r="48" spans="2:14" x14ac:dyDescent="0.25">
      <c r="B48" s="1">
        <f t="shared" si="3"/>
        <v>2039</v>
      </c>
      <c r="C48" s="98"/>
      <c r="D48" s="102"/>
      <c r="E48" s="5"/>
      <c r="I48" s="5"/>
      <c r="J48" s="3"/>
      <c r="K48" s="3"/>
    </row>
    <row r="49" spans="1:11" x14ac:dyDescent="0.25">
      <c r="B49" s="1">
        <f t="shared" si="3"/>
        <v>2040</v>
      </c>
      <c r="C49" s="98"/>
      <c r="D49" s="102"/>
      <c r="E49" s="5"/>
      <c r="I49" s="6"/>
      <c r="J49" s="5"/>
      <c r="K49" s="5"/>
    </row>
    <row r="50" spans="1:11" x14ac:dyDescent="0.25">
      <c r="A50" s="129"/>
      <c r="B50" s="1">
        <f t="shared" si="3"/>
        <v>2041</v>
      </c>
      <c r="C50" s="98"/>
      <c r="D50" s="102"/>
      <c r="E50" s="5"/>
    </row>
    <row r="51" spans="1:11" x14ac:dyDescent="0.25">
      <c r="B51" s="1">
        <f t="shared" si="3"/>
        <v>2042</v>
      </c>
      <c r="C51" s="98"/>
      <c r="D51" s="102"/>
      <c r="E51" s="5"/>
    </row>
    <row r="52" spans="1:11" x14ac:dyDescent="0.25">
      <c r="B52" s="1">
        <f t="shared" si="3"/>
        <v>2043</v>
      </c>
      <c r="C52" s="98"/>
      <c r="D52" s="102"/>
      <c r="E52" s="5"/>
    </row>
    <row r="53" spans="1:11" x14ac:dyDescent="0.25">
      <c r="B53" s="1">
        <f t="shared" si="3"/>
        <v>2044</v>
      </c>
      <c r="C53" s="98"/>
      <c r="D53" s="102"/>
      <c r="E53" s="5"/>
      <c r="H53" s="498"/>
    </row>
    <row r="54" spans="1:11" x14ac:dyDescent="0.25">
      <c r="B54" s="1">
        <f t="shared" si="3"/>
        <v>2045</v>
      </c>
      <c r="C54" s="98"/>
      <c r="D54" s="102"/>
      <c r="E54" s="5"/>
      <c r="G54" s="3"/>
    </row>
    <row r="55" spans="1:11" ht="15.75" thickBot="1" x14ac:dyDescent="0.3">
      <c r="B55" s="15">
        <f t="shared" si="3"/>
        <v>2046</v>
      </c>
      <c r="C55" s="501"/>
      <c r="D55" s="106"/>
      <c r="F55" s="186"/>
      <c r="G55" s="184"/>
    </row>
    <row r="56" spans="1:11" ht="15.75" thickBot="1" x14ac:dyDescent="0.3">
      <c r="A56" s="129"/>
      <c r="C56" s="189" t="s">
        <v>2805</v>
      </c>
      <c r="D56" s="4">
        <f>SUM(D35:D54)</f>
        <v>28600124.909780338</v>
      </c>
      <c r="F56" s="11"/>
    </row>
    <row r="57" spans="1:11" x14ac:dyDescent="0.25">
      <c r="D57" s="186"/>
      <c r="G57" s="184"/>
    </row>
    <row r="58" spans="1:11" x14ac:dyDescent="0.25">
      <c r="B58" s="185" t="s">
        <v>2804</v>
      </c>
      <c r="C58" s="185"/>
      <c r="E58" s="190"/>
      <c r="F58" s="190"/>
    </row>
    <row r="59" spans="1:11" ht="15.75" thickBot="1" x14ac:dyDescent="0.3">
      <c r="E59" s="5"/>
      <c r="F59" s="5"/>
    </row>
    <row r="60" spans="1:11" ht="15.75" thickBot="1" x14ac:dyDescent="0.3">
      <c r="B60" s="191"/>
      <c r="C60" s="192" t="s">
        <v>2803</v>
      </c>
      <c r="D60" s="190"/>
      <c r="E60" s="5"/>
      <c r="F60" s="193"/>
    </row>
    <row r="61" spans="1:11" x14ac:dyDescent="0.25">
      <c r="B61" s="194" t="s">
        <v>2802</v>
      </c>
      <c r="C61" s="195">
        <f>K30</f>
        <v>51365076.736734323</v>
      </c>
      <c r="E61" s="193"/>
      <c r="F61" s="193"/>
    </row>
    <row r="62" spans="1:11" ht="15.75" thickBot="1" x14ac:dyDescent="0.3">
      <c r="B62" s="196" t="s">
        <v>2801</v>
      </c>
      <c r="C62" s="197">
        <f>+D56</f>
        <v>28600124.909780338</v>
      </c>
    </row>
    <row r="63" spans="1:11" ht="15.75" thickTop="1" x14ac:dyDescent="0.25">
      <c r="B63" s="198" t="s">
        <v>2800</v>
      </c>
      <c r="C63" s="199">
        <f>+C61/C62</f>
        <v>1.7959738602109774</v>
      </c>
      <c r="D63" s="80"/>
    </row>
    <row r="64" spans="1:11" ht="15.75" thickBot="1" x14ac:dyDescent="0.3">
      <c r="B64" s="200" t="s">
        <v>2799</v>
      </c>
      <c r="C64" s="201">
        <f>C61-C62</f>
        <v>22764951.826953985</v>
      </c>
    </row>
    <row r="66" spans="2:10" ht="15.75" thickBot="1" x14ac:dyDescent="0.3">
      <c r="B66" s="202"/>
      <c r="C66" s="202"/>
      <c r="D66" s="202"/>
    </row>
    <row r="67" spans="2:10" ht="15.75" thickBot="1" x14ac:dyDescent="0.3">
      <c r="B67" s="203"/>
      <c r="C67" s="204" t="s">
        <v>2803</v>
      </c>
    </row>
    <row r="68" spans="2:10" x14ac:dyDescent="0.25">
      <c r="B68" s="205" t="s">
        <v>2802</v>
      </c>
      <c r="C68" s="206">
        <f>MROUND(C61,100000)</f>
        <v>51400000</v>
      </c>
    </row>
    <row r="69" spans="2:10" ht="15.75" thickBot="1" x14ac:dyDescent="0.3">
      <c r="B69" s="207" t="s">
        <v>2801</v>
      </c>
      <c r="C69" s="197">
        <f>MROUND(C62,100000)</f>
        <v>28600000</v>
      </c>
    </row>
    <row r="70" spans="2:10" ht="15.75" thickTop="1" x14ac:dyDescent="0.25">
      <c r="B70" s="208" t="s">
        <v>2800</v>
      </c>
      <c r="C70" s="199">
        <f>+C68/C69</f>
        <v>1.7972027972027973</v>
      </c>
    </row>
    <row r="71" spans="2:10" ht="15.75" thickBot="1" x14ac:dyDescent="0.3">
      <c r="B71" s="200" t="s">
        <v>2799</v>
      </c>
      <c r="C71" s="201">
        <f>C68-C69</f>
        <v>22800000</v>
      </c>
      <c r="I71" s="42"/>
    </row>
    <row r="72" spans="2:10" x14ac:dyDescent="0.25">
      <c r="H72" s="3"/>
      <c r="J72" s="42"/>
    </row>
    <row r="73" spans="2:10" x14ac:dyDescent="0.25">
      <c r="H73" s="184"/>
      <c r="J73" s="209"/>
    </row>
    <row r="74" spans="2:10" x14ac:dyDescent="0.25">
      <c r="J74" s="209"/>
    </row>
    <row r="75" spans="2:10" x14ac:dyDescent="0.25">
      <c r="J75" s="209"/>
    </row>
    <row r="76" spans="2:10" x14ac:dyDescent="0.25">
      <c r="H76" s="3"/>
      <c r="J76" s="209"/>
    </row>
    <row r="77" spans="2:10" x14ac:dyDescent="0.25">
      <c r="J77" s="209"/>
    </row>
    <row r="78" spans="2:10" x14ac:dyDescent="0.25">
      <c r="H78" s="3"/>
      <c r="J78" s="209"/>
    </row>
    <row r="79" spans="2:10" x14ac:dyDescent="0.25">
      <c r="I79" s="42"/>
      <c r="J79" s="209"/>
    </row>
    <row r="80" spans="2:10" x14ac:dyDescent="0.25">
      <c r="J80" s="209"/>
    </row>
    <row r="82" spans="9:10" x14ac:dyDescent="0.25">
      <c r="I82" s="42"/>
    </row>
    <row r="83" spans="9:10" x14ac:dyDescent="0.25">
      <c r="J83" s="42"/>
    </row>
    <row r="84" spans="9:10" x14ac:dyDescent="0.25">
      <c r="J84" s="209"/>
    </row>
    <row r="85" spans="9:10" x14ac:dyDescent="0.25">
      <c r="J85" s="209"/>
    </row>
    <row r="86" spans="9:10" x14ac:dyDescent="0.25">
      <c r="J86" s="209"/>
    </row>
    <row r="87" spans="9:10" x14ac:dyDescent="0.25">
      <c r="J87" s="209"/>
    </row>
    <row r="88" spans="9:10" x14ac:dyDescent="0.25">
      <c r="J88" s="209"/>
    </row>
    <row r="89" spans="9:10" x14ac:dyDescent="0.25">
      <c r="J89" s="209"/>
    </row>
    <row r="90" spans="9:10" x14ac:dyDescent="0.25">
      <c r="I90" s="42"/>
      <c r="J90" s="209"/>
    </row>
    <row r="91" spans="9:10" x14ac:dyDescent="0.25">
      <c r="J91" s="209"/>
    </row>
  </sheetData>
  <mergeCells count="13">
    <mergeCell ref="I5:I6"/>
    <mergeCell ref="J5:J6"/>
    <mergeCell ref="K5:K6"/>
    <mergeCell ref="E5:E6"/>
    <mergeCell ref="B33:B34"/>
    <mergeCell ref="C33:C34"/>
    <mergeCell ref="D33:D34"/>
    <mergeCell ref="B5:B6"/>
    <mergeCell ref="C5:C6"/>
    <mergeCell ref="D5:D6"/>
    <mergeCell ref="F5:F6"/>
    <mergeCell ref="G5:G6"/>
    <mergeCell ref="H5:H6"/>
  </mergeCells>
  <pageMargins left="0.25" right="0.25" top="0.75" bottom="0.75" header="0.3" footer="0.3"/>
  <pageSetup paperSize="11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E5E0-D1E5-4FC0-9438-D09C55F19FCC}">
  <sheetPr>
    <tabColor rgb="FF0070C0"/>
    <pageSetUpPr fitToPage="1"/>
  </sheetPr>
  <dimension ref="B2:I45"/>
  <sheetViews>
    <sheetView view="pageBreakPreview" topLeftCell="A10" zoomScale="85" zoomScaleNormal="55" zoomScaleSheetLayoutView="85" workbookViewId="0">
      <selection activeCell="D16" sqref="D16"/>
    </sheetView>
  </sheetViews>
  <sheetFormatPr defaultRowHeight="12" x14ac:dyDescent="0.2"/>
  <cols>
    <col min="1" max="1" width="9.140625" style="17"/>
    <col min="2" max="2" width="12.140625" style="17" customWidth="1"/>
    <col min="3" max="3" width="13.5703125" style="17" customWidth="1"/>
    <col min="4" max="5" width="14.28515625" style="17" bestFit="1" customWidth="1"/>
    <col min="6" max="6" width="14.42578125" style="17" bestFit="1" customWidth="1"/>
    <col min="7" max="7" width="14.5703125" style="17" bestFit="1" customWidth="1"/>
    <col min="8" max="8" width="14.7109375" style="17" bestFit="1" customWidth="1"/>
    <col min="9" max="9" width="12.5703125" style="17" bestFit="1" customWidth="1"/>
    <col min="10" max="11" width="9.140625" style="17"/>
    <col min="12" max="12" width="14.85546875" style="17" customWidth="1"/>
    <col min="13" max="16384" width="9.140625" style="17"/>
  </cols>
  <sheetData>
    <row r="2" spans="2:8" x14ac:dyDescent="0.2">
      <c r="B2" s="42" t="s">
        <v>2910</v>
      </c>
    </row>
    <row r="3" spans="2:8" ht="12.75" thickBot="1" x14ac:dyDescent="0.25"/>
    <row r="4" spans="2:8" ht="12.75" thickBot="1" x14ac:dyDescent="0.25">
      <c r="B4" s="526" t="s">
        <v>2909</v>
      </c>
      <c r="C4" s="527"/>
      <c r="D4" s="527"/>
      <c r="E4" s="527"/>
      <c r="F4" s="527"/>
      <c r="G4" s="527"/>
      <c r="H4" s="528"/>
    </row>
    <row r="5" spans="2:8" x14ac:dyDescent="0.2">
      <c r="B5" s="524" t="s">
        <v>0</v>
      </c>
      <c r="C5" s="504" t="s">
        <v>2873</v>
      </c>
      <c r="D5" s="504" t="s">
        <v>2874</v>
      </c>
      <c r="E5" s="504" t="s">
        <v>2875</v>
      </c>
      <c r="F5" s="504" t="s">
        <v>2876</v>
      </c>
      <c r="G5" s="504" t="s">
        <v>2877</v>
      </c>
      <c r="H5" s="530" t="s">
        <v>2878</v>
      </c>
    </row>
    <row r="6" spans="2:8" ht="12.75" thickBot="1" x14ac:dyDescent="0.25">
      <c r="B6" s="525"/>
      <c r="C6" s="529"/>
      <c r="D6" s="529"/>
      <c r="E6" s="529"/>
      <c r="F6" s="529"/>
      <c r="G6" s="529"/>
      <c r="H6" s="531"/>
    </row>
    <row r="7" spans="2:8" x14ac:dyDescent="0.2">
      <c r="B7" s="49">
        <f>B8-1</f>
        <v>2025</v>
      </c>
      <c r="C7" s="50">
        <f>SUM('Group Safety Benefits'!I8,'Group O&amp;M'!U8,'Chickasaw Travel Time'!G6)</f>
        <v>0</v>
      </c>
      <c r="D7" s="50">
        <f>SUM('Group Safety Benefits'!J8,'Group O&amp;M'!V8)</f>
        <v>82392.682901132721</v>
      </c>
      <c r="E7" s="50">
        <f>SUM('Group Safety Benefits'!K8,'Group O&amp;M'!W8)</f>
        <v>0</v>
      </c>
      <c r="F7" s="50">
        <f>SUM('Group Safety Benefits'!L8,'Group O&amp;M'!X8,'Mitchell Travel Time'!G6)</f>
        <v>0</v>
      </c>
      <c r="G7" s="50">
        <f>SUM('Group Safety Benefits'!M8,'Group O&amp;M'!Y8)</f>
        <v>0</v>
      </c>
      <c r="H7" s="50">
        <f>SUM('Group Safety Benefits'!N8,'Group O&amp;M'!Z8)</f>
        <v>0</v>
      </c>
    </row>
    <row r="8" spans="2:8" ht="12.75" thickBot="1" x14ac:dyDescent="0.25">
      <c r="B8" s="21">
        <f>B9-1</f>
        <v>2026</v>
      </c>
      <c r="C8" s="53">
        <f>SUM('Group Safety Benefits'!I9,'Group O&amp;M'!U9,'Chickasaw Travel Time'!G7)</f>
        <v>147813.42852611258</v>
      </c>
      <c r="D8" s="54">
        <f>SUM('Group Safety Benefits'!J9,'Group O&amp;M'!V9)</f>
        <v>0</v>
      </c>
      <c r="E8" s="54">
        <f>SUM('Group Safety Benefits'!K9,'Group O&amp;M'!W9)</f>
        <v>0</v>
      </c>
      <c r="F8" s="54">
        <f>SUM('Group Safety Benefits'!L9,'Group O&amp;M'!X9,'Mitchell Travel Time'!G7)</f>
        <v>0</v>
      </c>
      <c r="G8" s="54">
        <f>SUM('Group Safety Benefits'!M9,'Group O&amp;M'!Y9)</f>
        <v>0</v>
      </c>
      <c r="H8" s="55">
        <f>SUM('Group Safety Benefits'!N9,'Group O&amp;M'!Z9)</f>
        <v>0</v>
      </c>
    </row>
    <row r="9" spans="2:8" x14ac:dyDescent="0.2">
      <c r="B9" s="49">
        <f>Assumptions!D8</f>
        <v>2027</v>
      </c>
      <c r="C9" s="50">
        <f>SUM('Group Safety Benefits'!I10,'Group O&amp;M'!U10,'Chickasaw Travel Time'!G8,'Chickasaw Air Quality'!P6,'Chickasaw-VehOpCost'!E6)</f>
        <v>639862.21932973096</v>
      </c>
      <c r="D9" s="50">
        <f>SUM('Group Safety Benefits'!J10,'Group O&amp;M'!V10)</f>
        <v>415365.63667238021</v>
      </c>
      <c r="E9" s="50">
        <f>SUM('Group Safety Benefits'!K10,'Group O&amp;M'!W10)</f>
        <v>812293.45084104058</v>
      </c>
      <c r="F9" s="50">
        <f>SUM('Group Safety Benefits'!L10,'Group O&amp;M'!X10,'Mitchell Travel Time'!G8,'Mitchell Air Quality'!P6,'Mitchell-VehOpCost'!E6)</f>
        <v>637065.86783930007</v>
      </c>
      <c r="G9" s="50">
        <f>SUM('Group Safety Benefits'!M10,'Group O&amp;M'!Y10)</f>
        <v>0</v>
      </c>
      <c r="H9" s="50">
        <f>SUM('Group Safety Benefits'!N10,'Group O&amp;M'!Z10)</f>
        <v>1178002.0783839303</v>
      </c>
    </row>
    <row r="10" spans="2:8" x14ac:dyDescent="0.2">
      <c r="B10" s="21">
        <f t="shared" ref="B10:B28" si="0">B9+1</f>
        <v>2028</v>
      </c>
      <c r="C10" s="53">
        <f>SUM('Group Safety Benefits'!I11,'Group O&amp;M'!U11,'Chickasaw Travel Time'!G9,'Chickasaw Air Quality'!P7,'Chickasaw-VehOpCost'!E7)</f>
        <v>598343.72529626521</v>
      </c>
      <c r="D10" s="54">
        <f>SUM('Group Safety Benefits'!J11,'Group O&amp;M'!V11)</f>
        <v>388431.31970684644</v>
      </c>
      <c r="E10" s="54">
        <f>SUM('Group Safety Benefits'!K11,'Group O&amp;M'!W11)</f>
        <v>760157.12857907638</v>
      </c>
      <c r="F10" s="54">
        <f>SUM('Group Safety Benefits'!L11,'Group O&amp;M'!X11,'Mitchell Travel Time'!G9,'Mitchell Air Quality'!P7,'Mitchell-VehOpCost'!E7)</f>
        <v>595695.65516172664</v>
      </c>
      <c r="G10" s="54">
        <f>SUM('Group Safety Benefits'!M11,'Group O&amp;M'!Y11)</f>
        <v>1061872.9918325651</v>
      </c>
      <c r="H10" s="55">
        <f>SUM('Group Safety Benefits'!N11,'Group O&amp;M'!Z11)</f>
        <v>744517.21550172463</v>
      </c>
    </row>
    <row r="11" spans="2:8" x14ac:dyDescent="0.2">
      <c r="B11" s="21">
        <f t="shared" si="0"/>
        <v>2029</v>
      </c>
      <c r="C11" s="53">
        <f>SUM('Group Safety Benefits'!I12,'Group O&amp;M'!U12,'Chickasaw Travel Time'!G10,'Chickasaw Air Quality'!P8,'Chickasaw-VehOpCost'!E8)</f>
        <v>559230.46970963781</v>
      </c>
      <c r="D11" s="54">
        <f>SUM('Group Safety Benefits'!J12,'Group O&amp;M'!V12)</f>
        <v>363019.92495966959</v>
      </c>
      <c r="E11" s="54">
        <f>SUM('Group Safety Benefits'!K12,'Group O&amp;M'!W12)</f>
        <v>710427.22297109955</v>
      </c>
      <c r="F11" s="54">
        <f>SUM('Group Safety Benefits'!L12,'Group O&amp;M'!X12,'Mitchell Travel Time'!G10,'Mitchell Air Quality'!P8,'Mitchell-VehOpCost'!E8)</f>
        <v>556792.66315991094</v>
      </c>
      <c r="G11" s="54">
        <f>SUM('Group Safety Benefits'!M12,'Group O&amp;M'!Y12)</f>
        <v>992404.66526407935</v>
      </c>
      <c r="H11" s="55">
        <f>SUM('Group Safety Benefits'!N12,'Group O&amp;M'!Z12)</f>
        <v>695810.48177731282</v>
      </c>
    </row>
    <row r="12" spans="2:8" x14ac:dyDescent="0.2">
      <c r="B12" s="21">
        <f t="shared" si="0"/>
        <v>2030</v>
      </c>
      <c r="C12" s="53">
        <f>SUM('Group Safety Benefits'!I13,'Group O&amp;M'!U13,'Chickasaw Travel Time'!G11,'Chickasaw Air Quality'!P9,'Chickasaw-VehOpCost'!E9)</f>
        <v>522682.32537559711</v>
      </c>
      <c r="D12" s="54">
        <f>SUM('Group Safety Benefits'!J13,'Group O&amp;M'!V13)</f>
        <v>339270.95790623326</v>
      </c>
      <c r="E12" s="54">
        <f>SUM('Group Safety Benefits'!K13,'Group O&amp;M'!W13)</f>
        <v>663950.67567392474</v>
      </c>
      <c r="F12" s="54">
        <f>SUM('Group Safety Benefits'!L13,'Group O&amp;M'!X13,'Mitchell Travel Time'!G11,'Mitchell Air Quality'!P9,'Mitchell-VehOpCost'!E9)</f>
        <v>520448.61851482803</v>
      </c>
      <c r="G12" s="54">
        <f>SUM('Group Safety Benefits'!M13,'Group O&amp;M'!Y13)</f>
        <v>927480.995573906</v>
      </c>
      <c r="H12" s="55">
        <f>SUM('Group Safety Benefits'!N13,'Group O&amp;M'!Z13)</f>
        <v>650290.1698853391</v>
      </c>
    </row>
    <row r="13" spans="2:8" x14ac:dyDescent="0.2">
      <c r="B13" s="21">
        <f t="shared" si="0"/>
        <v>2031</v>
      </c>
      <c r="C13" s="53">
        <f>SUM('Group Safety Benefits'!I14,'Group O&amp;M'!U14,'Chickasaw Travel Time'!G12,'Chickasaw Air Quality'!P10,'Chickasaw-VehOpCost'!E10)</f>
        <v>488513.71337509237</v>
      </c>
      <c r="D13" s="54">
        <f>SUM('Group Safety Benefits'!J14,'Group O&amp;M'!V14)</f>
        <v>317075.66159461054</v>
      </c>
      <c r="E13" s="54">
        <f>SUM('Group Safety Benefits'!K14,'Group O&amp;M'!W14)</f>
        <v>620514.65016254655</v>
      </c>
      <c r="F13" s="54">
        <f>SUM('Group Safety Benefits'!L14,'Group O&amp;M'!X14,'Mitchell Travel Time'!G12,'Mitchell Air Quality'!P10,'Mitchell-VehOpCost'!E10)</f>
        <v>486456.93523677794</v>
      </c>
      <c r="G13" s="54">
        <f>SUM('Group Safety Benefits'!M14,'Group O&amp;M'!Y14)</f>
        <v>866804.66876065976</v>
      </c>
      <c r="H13" s="55">
        <f>SUM('Group Safety Benefits'!N14,'Group O&amp;M'!Z14)</f>
        <v>607747.82232274674</v>
      </c>
    </row>
    <row r="14" spans="2:8" x14ac:dyDescent="0.2">
      <c r="B14" s="21">
        <f t="shared" si="0"/>
        <v>2032</v>
      </c>
      <c r="C14" s="53">
        <f>SUM('Group Safety Benefits'!I15,'Group O&amp;M'!U15,'Chickasaw Travel Time'!G13,'Chickasaw Air Quality'!P11,'Chickasaw-VehOpCost'!E11)</f>
        <v>456579.95715655672</v>
      </c>
      <c r="D14" s="54">
        <f>SUM('Group Safety Benefits'!J15,'Group O&amp;M'!V15)</f>
        <v>296332.39401365467</v>
      </c>
      <c r="E14" s="54">
        <f>SUM('Group Safety Benefits'!K15,'Group O&amp;M'!W15)</f>
        <v>579920.23379677231</v>
      </c>
      <c r="F14" s="54">
        <f>SUM('Group Safety Benefits'!L15,'Group O&amp;M'!X15,'Mitchell Travel Time'!G13,'Mitchell Air Quality'!P11,'Mitchell-VehOpCost'!E11)</f>
        <v>454687.9618246684</v>
      </c>
      <c r="G14" s="54">
        <f>SUM('Group Safety Benefits'!M15,'Group O&amp;M'!Y15)</f>
        <v>810097.82127164456</v>
      </c>
      <c r="H14" s="55">
        <f>SUM('Group Safety Benefits'!N15,'Group O&amp;M'!Z15)</f>
        <v>567988.6189932212</v>
      </c>
    </row>
    <row r="15" spans="2:8" x14ac:dyDescent="0.2">
      <c r="B15" s="21">
        <f t="shared" si="0"/>
        <v>2033</v>
      </c>
      <c r="C15" s="53">
        <f>SUM('Group Safety Benefits'!I16,'Group O&amp;M'!U16,'Chickasaw Travel Time'!G14,'Chickasaw Air Quality'!P12,'Chickasaw-VehOpCost'!E12)</f>
        <v>426734.85712926835</v>
      </c>
      <c r="D15" s="54">
        <f>SUM('Group Safety Benefits'!J16,'Group O&amp;M'!V16)</f>
        <v>276946.16262958385</v>
      </c>
      <c r="E15" s="54">
        <f>SUM('Group Safety Benefits'!K16,'Group O&amp;M'!W16)</f>
        <v>541981.52691287152</v>
      </c>
      <c r="F15" s="54">
        <f>SUM('Group Safety Benefits'!L16,'Group O&amp;M'!X16,'Mitchell Travel Time'!G14,'Mitchell Air Quality'!P12,'Mitchell-VehOpCost'!E12)</f>
        <v>424996.30042332102</v>
      </c>
      <c r="G15" s="54">
        <f>SUM('Group Safety Benefits'!M16,'Group O&amp;M'!Y16)</f>
        <v>757100.76754359319</v>
      </c>
      <c r="H15" s="55">
        <f>SUM('Group Safety Benefits'!N16,'Group O&amp;M'!Z16)</f>
        <v>530830.48504039377</v>
      </c>
    </row>
    <row r="16" spans="2:8" x14ac:dyDescent="0.2">
      <c r="B16" s="21">
        <f t="shared" si="0"/>
        <v>2034</v>
      </c>
      <c r="C16" s="53">
        <f>SUM('Group Safety Benefits'!I17,'Group O&amp;M'!U17,'Chickasaw Travel Time'!G15,'Chickasaw Air Quality'!P13,'Chickasaw-VehOpCost'!E13)</f>
        <v>398841.77821849694</v>
      </c>
      <c r="D16" s="54">
        <f>SUM('Group Safety Benefits'!J17,'Group O&amp;M'!V17)</f>
        <v>258828.18937344282</v>
      </c>
      <c r="E16" s="54">
        <f>SUM('Group Safety Benefits'!K17,'Group O&amp;M'!W17)</f>
        <v>506524.79150735645</v>
      </c>
      <c r="F16" s="54">
        <f>SUM('Group Safety Benefits'!L17,'Group O&amp;M'!X17,'Mitchell Travel Time'!G15,'Mitchell Air Quality'!P13,'Mitchell-VehOpCost'!E13)</f>
        <v>397246.06531198672</v>
      </c>
      <c r="G16" s="54">
        <f>SUM('Group Safety Benefits'!M17,'Group O&amp;M'!Y17)</f>
        <v>707570.81078840466</v>
      </c>
      <c r="H16" s="55">
        <f>SUM('Group Safety Benefits'!N17,'Group O&amp;M'!Z17)</f>
        <v>496103.25704709685</v>
      </c>
    </row>
    <row r="17" spans="2:8" x14ac:dyDescent="0.2">
      <c r="B17" s="21">
        <f t="shared" si="0"/>
        <v>2035</v>
      </c>
      <c r="C17" s="53">
        <f>SUM('Group Safety Benefits'!I18,'Group O&amp;M'!U18,'Chickasaw Travel Time'!G16,'Chickasaw Air Quality'!P14,'Chickasaw-VehOpCost'!E14)</f>
        <v>372773.02414116857</v>
      </c>
      <c r="D17" s="54">
        <f>SUM('Group Safety Benefits'!J18,'Group O&amp;M'!V18)</f>
        <v>283779.76611720084</v>
      </c>
      <c r="E17" s="54">
        <f>SUM('Group Safety Benefits'!K18,'Group O&amp;M'!W18)</f>
        <v>473387.65561435185</v>
      </c>
      <c r="F17" s="54">
        <f>SUM('Group Safety Benefits'!L18,'Group O&amp;M'!X18,'Mitchell Travel Time'!G16,'Mitchell Air Quality'!P14,'Mitchell-VehOpCost'!E14)</f>
        <v>371310.26059679687</v>
      </c>
      <c r="G17" s="54">
        <f>SUM('Group Safety Benefits'!M18,'Group O&amp;M'!Y18)</f>
        <v>661281.13157794846</v>
      </c>
      <c r="H17" s="55">
        <f>SUM('Group Safety Benefits'!N18,'Group O&amp;M'!Z18)</f>
        <v>463647.9037823336</v>
      </c>
    </row>
    <row r="18" spans="2:8" x14ac:dyDescent="0.2">
      <c r="B18" s="21">
        <f t="shared" si="0"/>
        <v>2036</v>
      </c>
      <c r="C18" s="53">
        <f>SUM('Group Safety Benefits'!I19,'Group O&amp;M'!U19,'Chickasaw Travel Time'!G17,'Chickasaw Air Quality'!P15,'Chickasaw-VehOpCost'!E15)</f>
        <v>392748.62065498147</v>
      </c>
      <c r="D18" s="54">
        <f>SUM('Group Safety Benefits'!J19,'Group O&amp;M'!V19)</f>
        <v>226070.56456759787</v>
      </c>
      <c r="E18" s="54">
        <f>SUM('Group Safety Benefits'!K19,'Group O&amp;M'!W19)</f>
        <v>442418.36973303912</v>
      </c>
      <c r="F18" s="54">
        <f>SUM('Group Safety Benefits'!L19,'Group O&amp;M'!X19,'Mitchell Travel Time'!G17,'Mitchell Air Quality'!P15,'Mitchell-VehOpCost'!E15)</f>
        <v>347084.37223919271</v>
      </c>
      <c r="G18" s="54">
        <f>SUM('Group Safety Benefits'!M19,'Group O&amp;M'!Y19)</f>
        <v>618019.74913826957</v>
      </c>
      <c r="H18" s="55">
        <f>SUM('Group Safety Benefits'!N19,'Group O&amp;M'!Z19)</f>
        <v>433315.79792741453</v>
      </c>
    </row>
    <row r="19" spans="2:8" x14ac:dyDescent="0.2">
      <c r="B19" s="21">
        <f t="shared" si="0"/>
        <v>2037</v>
      </c>
      <c r="C19" s="53">
        <f>SUM('Group Safety Benefits'!I20,'Group O&amp;M'!U20,'Chickasaw Travel Time'!G18,'Chickasaw Air Quality'!P16,'Chickasaw-VehOpCost'!E16)</f>
        <v>325645.16956480854</v>
      </c>
      <c r="D19" s="54">
        <f>SUM('Group Safety Benefits'!J20,'Group O&amp;M'!V20)</f>
        <v>211280.90146504476</v>
      </c>
      <c r="E19" s="54">
        <f>SUM('Group Safety Benefits'!K20,'Group O&amp;M'!W20)</f>
        <v>413475.11190003657</v>
      </c>
      <c r="F19" s="54">
        <f>SUM('Group Safety Benefits'!L20,'Group O&amp;M'!X20,'Mitchell Travel Time'!G18,'Mitchell Air Quality'!P16,'Mitchell-VehOpCost'!E16)</f>
        <v>324428.7171930254</v>
      </c>
      <c r="G19" s="54">
        <f>SUM('Group Safety Benefits'!M20,'Group O&amp;M'!Y20)</f>
        <v>577588.55059651355</v>
      </c>
      <c r="H19" s="55">
        <f>SUM('Group Safety Benefits'!N20,'Group O&amp;M'!Z20)</f>
        <v>404968.03544618184</v>
      </c>
    </row>
    <row r="20" spans="2:8" x14ac:dyDescent="0.2">
      <c r="B20" s="21">
        <f t="shared" si="0"/>
        <v>2038</v>
      </c>
      <c r="C20" s="53">
        <f>SUM('Group Safety Benefits'!I21,'Group O&amp;M'!U21,'Chickasaw Travel Time'!G19,'Chickasaw Air Quality'!P17,'Chickasaw-VehOpCost'!E17)</f>
        <v>304363.87365014473</v>
      </c>
      <c r="D20" s="54">
        <f>SUM('Group Safety Benefits'!J21,'Group O&amp;M'!V21)</f>
        <v>197458.7864159297</v>
      </c>
      <c r="E20" s="54">
        <f>SUM('Group Safety Benefits'!K21,'Group O&amp;M'!W21)</f>
        <v>386425.33822433325</v>
      </c>
      <c r="F20" s="54">
        <f>SUM('Group Safety Benefits'!L21,'Group O&amp;M'!X21,'Mitchell Travel Time'!G19,'Mitchell Air Quality'!P17,'Mitchell-VehOpCost'!E17)</f>
        <v>303254.22765459918</v>
      </c>
      <c r="G20" s="54">
        <f>SUM('Group Safety Benefits'!M21,'Group O&amp;M'!Y21)</f>
        <v>539802.38373505953</v>
      </c>
      <c r="H20" s="55">
        <f>SUM('Group Safety Benefits'!N21,'Group O&amp;M'!Z21)</f>
        <v>378474.79948241299</v>
      </c>
    </row>
    <row r="21" spans="2:8" x14ac:dyDescent="0.2">
      <c r="B21" s="21">
        <f t="shared" si="0"/>
        <v>2039</v>
      </c>
      <c r="C21" s="53">
        <f>SUM('Group Safety Benefits'!I22,'Group O&amp;M'!U22,'Chickasaw Travel Time'!G20,'Chickasaw Air Quality'!P18,'Chickasaw-VehOpCost'!E18)</f>
        <v>284474.37388512795</v>
      </c>
      <c r="D21" s="54">
        <f>SUM('Group Safety Benefits'!J22,'Group O&amp;M'!V22)</f>
        <v>184540.92188404643</v>
      </c>
      <c r="E21" s="54">
        <f>SUM('Group Safety Benefits'!K22,'Group O&amp;M'!W22)</f>
        <v>361145.17591059179</v>
      </c>
      <c r="F21" s="54">
        <f>SUM('Group Safety Benefits'!L22,'Group O&amp;M'!X22,'Mitchell Travel Time'!G20,'Mitchell Air Quality'!P18,'Mitchell-VehOpCost'!E18)</f>
        <v>283464.01894710708</v>
      </c>
      <c r="G21" s="54">
        <f>SUM('Group Safety Benefits'!M22,'Group O&amp;M'!Y22)</f>
        <v>504488.20909818634</v>
      </c>
      <c r="H21" s="55">
        <f>SUM('Group Safety Benefits'!N22,'Group O&amp;M'!Z22)</f>
        <v>353714.76587141393</v>
      </c>
    </row>
    <row r="22" spans="2:8" x14ac:dyDescent="0.2">
      <c r="B22" s="21">
        <f t="shared" si="0"/>
        <v>2040</v>
      </c>
      <c r="C22" s="53">
        <f>SUM('Group Safety Benefits'!I23,'Group O&amp;M'!U23,'Chickasaw Travel Time'!G21,'Chickasaw Air Quality'!P19,'Chickasaw-VehOpCost'!E19)</f>
        <v>265885.62454219075</v>
      </c>
      <c r="D22" s="54">
        <f>SUM('Group Safety Benefits'!J23,'Group O&amp;M'!V23)</f>
        <v>172468.15129350132</v>
      </c>
      <c r="E22" s="54">
        <f>SUM('Group Safety Benefits'!K23,'Group O&amp;M'!W23)</f>
        <v>337518.8559912073</v>
      </c>
      <c r="F22" s="54">
        <f>SUM('Group Safety Benefits'!L23,'Group O&amp;M'!X23,'Mitchell Travel Time'!G21,'Mitchell Air Quality'!P19,'Mitchell-VehOpCost'!E19)</f>
        <v>264967.54465951526</v>
      </c>
      <c r="G22" s="54">
        <f>SUM('Group Safety Benefits'!M23,'Group O&amp;M'!Y23)</f>
        <v>471484.30756839848</v>
      </c>
      <c r="H22" s="55">
        <f>SUM('Group Safety Benefits'!N23,'Group O&amp;M'!Z23)</f>
        <v>330574.54754337756</v>
      </c>
    </row>
    <row r="23" spans="2:8" x14ac:dyDescent="0.2">
      <c r="B23" s="21">
        <f t="shared" si="0"/>
        <v>2041</v>
      </c>
      <c r="C23" s="53">
        <f>SUM('Group Safety Benefits'!I24,'Group O&amp;M'!U24,'Chickasaw Travel Time'!G22,'Chickasaw Air Quality'!P20,'Chickasaw-VehOpCost'!E20)</f>
        <v>248518.08096223307</v>
      </c>
      <c r="D23" s="54">
        <f>SUM('Group Safety Benefits'!J24,'Group O&amp;M'!V24)</f>
        <v>161185.18812476762</v>
      </c>
      <c r="E23" s="54">
        <f>SUM('Group Safety Benefits'!K24,'Group O&amp;M'!W24)</f>
        <v>315438.18316935265</v>
      </c>
      <c r="F23" s="54">
        <f>SUM('Group Safety Benefits'!L24,'Group O&amp;M'!X24,'Mitchell Travel Time'!G22,'Mitchell Air Quality'!P20,'Mitchell-VehOpCost'!E20)</f>
        <v>247692.4082728303</v>
      </c>
      <c r="G23" s="54">
        <f>SUM('Group Safety Benefits'!M24,'Group O&amp;M'!Y24)</f>
        <v>440639.53978355002</v>
      </c>
      <c r="H23" s="55">
        <f>SUM('Group Safety Benefits'!N24,'Group O&amp;M'!Z24)</f>
        <v>308948.17527418461</v>
      </c>
    </row>
    <row r="24" spans="2:8" x14ac:dyDescent="0.2">
      <c r="B24" s="21">
        <f t="shared" si="0"/>
        <v>2042</v>
      </c>
      <c r="C24" s="53">
        <f>SUM('Group Safety Benefits'!I25,'Group O&amp;M'!U25,'Chickasaw Travel Time'!G23,'Chickasaw Air Quality'!P21,'Chickasaw-VehOpCost'!E21)</f>
        <v>232280.96916979109</v>
      </c>
      <c r="D24" s="54">
        <f>SUM('Group Safety Benefits'!J25,'Group O&amp;M'!V25)</f>
        <v>150640.36273342767</v>
      </c>
      <c r="E24" s="54">
        <f>SUM('Group Safety Benefits'!K25,'Group O&amp;M'!W25)</f>
        <v>294802.04034518934</v>
      </c>
      <c r="F24" s="54">
        <f>SUM('Group Safety Benefits'!L25,'Group O&amp;M'!X25,'Mitchell Travel Time'!G23,'Mitchell Air Quality'!P21,'Mitchell-VehOpCost'!E21)</f>
        <v>231534.71434931166</v>
      </c>
      <c r="G24" s="54">
        <f>SUM('Group Safety Benefits'!M25,'Group O&amp;M'!Y25)</f>
        <v>411812.65400331776</v>
      </c>
      <c r="H24" s="55">
        <f>SUM('Group Safety Benefits'!N25,'Group O&amp;M'!Z25)</f>
        <v>288736.61240578</v>
      </c>
    </row>
    <row r="25" spans="2:8" x14ac:dyDescent="0.2">
      <c r="B25" s="21">
        <f t="shared" si="0"/>
        <v>2043</v>
      </c>
      <c r="C25" s="53">
        <f>SUM('Group Safety Benefits'!I26,'Group O&amp;M'!U26,'Chickasaw Travel Time'!G24,'Chickasaw Air Quality'!P22,'Chickasaw-VehOpCost'!E22)</f>
        <v>217105.67972646991</v>
      </c>
      <c r="D25" s="54">
        <f>SUM('Group Safety Benefits'!J26,'Group O&amp;M'!V26)</f>
        <v>140785.3857321754</v>
      </c>
      <c r="E25" s="54">
        <f>SUM('Group Safety Benefits'!K26,'Group O&amp;M'!W26)</f>
        <v>275515.92555625172</v>
      </c>
      <c r="F25" s="54">
        <f>SUM('Group Safety Benefits'!L26,'Group O&amp;M'!X26,'Mitchell Travel Time'!G24,'Mitchell Air Quality'!P22,'Mitchell-VehOpCost'!E22)</f>
        <v>216433.14278938336</v>
      </c>
      <c r="G25" s="54">
        <f>SUM('Group Safety Benefits'!M26,'Group O&amp;M'!Y26)</f>
        <v>384871.63925543713</v>
      </c>
      <c r="H25" s="55">
        <f>SUM('Group Safety Benefits'!N26,'Group O&amp;M'!Z26)</f>
        <v>269847.30131381314</v>
      </c>
    </row>
    <row r="26" spans="2:8" x14ac:dyDescent="0.2">
      <c r="B26" s="21">
        <f t="shared" si="0"/>
        <v>2044</v>
      </c>
      <c r="C26" s="53">
        <f>SUM('Group Safety Benefits'!I27,'Group O&amp;M'!U27,'Chickasaw Travel Time'!G25,'Chickasaw Air Quality'!P23,'Chickasaw-VehOpCost'!E23)</f>
        <v>202922.75412049529</v>
      </c>
      <c r="D26" s="54">
        <f>SUM('Group Safety Benefits'!J27,'Group O&amp;M'!V27)</f>
        <v>131575.12685250037</v>
      </c>
      <c r="E26" s="54">
        <f>SUM('Group Safety Benefits'!K27,'Group O&amp;M'!W27)</f>
        <v>257491.51921145021</v>
      </c>
      <c r="F26" s="54">
        <f>SUM('Group Safety Benefits'!L27,'Group O&amp;M'!X27,'Mitchell Travel Time'!G25,'Mitchell Air Quality'!P23,'Mitchell-VehOpCost'!E23)</f>
        <v>202318.61581209078</v>
      </c>
      <c r="G26" s="54">
        <f>SUM('Group Safety Benefits'!M27,'Group O&amp;M'!Y27)</f>
        <v>359693.12079947395</v>
      </c>
      <c r="H26" s="55">
        <f>SUM('Group Safety Benefits'!N27,'Group O&amp;M'!Z27)</f>
        <v>252193.7395456197</v>
      </c>
    </row>
    <row r="27" spans="2:8" x14ac:dyDescent="0.2">
      <c r="B27" s="21">
        <f t="shared" si="0"/>
        <v>2045</v>
      </c>
      <c r="C27" s="53">
        <f>SUM('Group Safety Benefits'!I28,'Group O&amp;M'!U28,'Chickasaw Travel Time'!G26,'Chickasaw Air Quality'!P24,'Chickasaw-VehOpCost'!E24)</f>
        <v>189667.27783126262</v>
      </c>
      <c r="D27" s="54">
        <f>SUM('Group Safety Benefits'!J28,'Group O&amp;M'!V28)</f>
        <v>122967.40827336482</v>
      </c>
      <c r="E27" s="54">
        <f>SUM('Group Safety Benefits'!K28,'Group O&amp;M'!W28)</f>
        <v>240646.27963686935</v>
      </c>
      <c r="F27" s="54">
        <f>SUM('Group Safety Benefits'!L28,'Group O&amp;M'!X28,'Mitchell Travel Time'!G26,'Mitchell Air Quality'!P24,'Mitchell-VehOpCost'!E24)</f>
        <v>189126.5746915635</v>
      </c>
      <c r="G27" s="54">
        <f>SUM('Group Safety Benefits'!M28,'Group O&amp;M'!Y28)</f>
        <v>336161.79513969528</v>
      </c>
      <c r="H27" s="55">
        <f>SUM('Group Safety Benefits'!N28,'Group O&amp;M'!Z28)</f>
        <v>235695.08368749503</v>
      </c>
    </row>
    <row r="28" spans="2:8" x14ac:dyDescent="0.2">
      <c r="B28" s="21">
        <f t="shared" si="0"/>
        <v>2046</v>
      </c>
      <c r="C28" s="53">
        <f>SUM('Group Safety Benefits'!I29,'Group O&amp;M'!U29,'Chickasaw Travel Time'!G27,'Chickasaw Air Quality'!P25,'Chickasaw-VehOpCost'!E25)</f>
        <v>177283.36605183056</v>
      </c>
      <c r="D28" s="54">
        <f>SUM('Group Safety Benefits'!J29,'Group O&amp;M'!V29)</f>
        <v>114922.8114704344</v>
      </c>
      <c r="E28" s="54">
        <f>SUM('Group Safety Benefits'!K29,'Group O&amp;M'!W29)</f>
        <v>224903.06508118627</v>
      </c>
      <c r="F28" s="54">
        <f>SUM('Group Safety Benefits'!L29,'Group O&amp;M'!X29,'Mitchell Travel Time'!G27,'Mitchell Air Quality'!P25,'Mitchell-VehOpCost'!E25)</f>
        <v>176807.23061562487</v>
      </c>
      <c r="G28" s="54">
        <f>SUM('Group Safety Benefits'!M29,'Group O&amp;M'!Y29)</f>
        <v>314169.90199971519</v>
      </c>
      <c r="H28" s="55">
        <f>SUM('Group Safety Benefits'!N29,'Group O&amp;M'!Z29)</f>
        <v>220275.77914719158</v>
      </c>
    </row>
    <row r="29" spans="2:8" ht="12.75" thickBot="1" x14ac:dyDescent="0.25">
      <c r="B29" s="21">
        <v>2047</v>
      </c>
      <c r="C29" s="53">
        <f>SUM('Group Safety Benefits'!I30,'Group O&amp;M'!U30)</f>
        <v>0</v>
      </c>
      <c r="D29" s="54">
        <f>SUM('Group Safety Benefits'!J30,'Group O&amp;M'!V30)</f>
        <v>0</v>
      </c>
      <c r="E29" s="54">
        <f>SUM('Group Safety Benefits'!K30,'Group O&amp;M'!W30)</f>
        <v>0</v>
      </c>
      <c r="F29" s="54">
        <f>SUM('Group Safety Benefits'!L30,'Group O&amp;M'!X30)</f>
        <v>0</v>
      </c>
      <c r="G29" s="54">
        <f>SUM('Group Safety Benefits'!M30,'Group O&amp;M'!Y30)</f>
        <v>194052.13962792832</v>
      </c>
      <c r="H29" s="55">
        <f>SUM('Group Safety Benefits'!N30,'Group O&amp;M'!Z30)</f>
        <v>0</v>
      </c>
    </row>
    <row r="30" spans="2:8" ht="12.75" thickBot="1" x14ac:dyDescent="0.25">
      <c r="B30" s="33" t="s">
        <v>7</v>
      </c>
      <c r="C30" s="83">
        <f>SUM(C7:C29)</f>
        <v>7452271.288417263</v>
      </c>
      <c r="D30" s="66">
        <f t="shared" ref="D30:F30" si="1">SUM(D7:D29)</f>
        <v>4835338.3046875447</v>
      </c>
      <c r="E30" s="66">
        <f t="shared" si="1"/>
        <v>9218937.200818548</v>
      </c>
      <c r="F30" s="66">
        <f t="shared" si="1"/>
        <v>7231811.8952935617</v>
      </c>
      <c r="G30" s="66">
        <f>SUM(G7:G29)</f>
        <v>11937397.843358349</v>
      </c>
      <c r="H30" s="67">
        <f t="shared" ref="H30" si="2">SUM(H7:H29)</f>
        <v>9411682.670378983</v>
      </c>
    </row>
    <row r="31" spans="2:8" x14ac:dyDescent="0.2">
      <c r="B31" s="59" t="s">
        <v>2879</v>
      </c>
      <c r="C31" s="51">
        <f>'Group Capital Cost'!I27</f>
        <v>219563.03818319109</v>
      </c>
      <c r="D31" s="51">
        <f>'Group Capital Cost'!J27</f>
        <v>73114.127122730148</v>
      </c>
      <c r="E31" s="51">
        <f>'Group Capital Cost'!K27</f>
        <v>267065.16618641629</v>
      </c>
      <c r="F31" s="51">
        <f>'Group Capital Cost'!L27</f>
        <v>241950.13131849139</v>
      </c>
      <c r="G31" s="51">
        <f>'Group Capital Cost'!M27</f>
        <v>118501.66657610502</v>
      </c>
      <c r="H31" s="52">
        <f>'Group Capital Cost'!N27</f>
        <v>357443.40439314477</v>
      </c>
    </row>
    <row r="32" spans="2:8" ht="12.75" thickBot="1" x14ac:dyDescent="0.25">
      <c r="B32" s="60" t="s">
        <v>3059</v>
      </c>
      <c r="C32" s="61">
        <f>SUM(C30:C31)</f>
        <v>7671834.3266004538</v>
      </c>
      <c r="D32" s="61">
        <f t="shared" ref="D32:H32" si="3">SUM(D30:D31)</f>
        <v>4908452.4318102747</v>
      </c>
      <c r="E32" s="61">
        <f t="shared" si="3"/>
        <v>9486002.3670049645</v>
      </c>
      <c r="F32" s="61">
        <f t="shared" si="3"/>
        <v>7473762.0266120527</v>
      </c>
      <c r="G32" s="61">
        <f t="shared" si="3"/>
        <v>12055899.509934453</v>
      </c>
      <c r="H32" s="68">
        <f t="shared" si="3"/>
        <v>9769126.074772127</v>
      </c>
    </row>
    <row r="33" spans="2:9" ht="12.75" thickBot="1" x14ac:dyDescent="0.25">
      <c r="B33" s="62" t="s">
        <v>2801</v>
      </c>
      <c r="C33" s="66">
        <f>'Group Capital Cost'!I7</f>
        <v>4885381.3018220961</v>
      </c>
      <c r="D33" s="66">
        <f>'Group Capital Cost'!J7</f>
        <v>1626839.1033685526</v>
      </c>
      <c r="E33" s="66">
        <f>'Group Capital Cost'!K7</f>
        <v>5939174.8750989577</v>
      </c>
      <c r="F33" s="66">
        <f>'Group Capital Cost'!L7</f>
        <v>5743229.4137056461</v>
      </c>
      <c r="G33" s="66">
        <f>'Group Capital Cost'!M8</f>
        <v>2452139.3836447662</v>
      </c>
      <c r="H33" s="67">
        <f>'Group Capital Cost'!N7</f>
        <v>7953360.8321403209</v>
      </c>
    </row>
    <row r="34" spans="2:9" ht="12.75" thickBot="1" x14ac:dyDescent="0.25">
      <c r="B34" s="63" t="s">
        <v>8</v>
      </c>
      <c r="C34" s="64">
        <f>C32/C33</f>
        <v>1.5703655155308138</v>
      </c>
      <c r="D34" s="64">
        <f t="shared" ref="D34:H34" si="4">D32/D33</f>
        <v>3.0171714102806932</v>
      </c>
      <c r="E34" s="64">
        <f t="shared" si="4"/>
        <v>1.5971919612565559</v>
      </c>
      <c r="F34" s="64">
        <f>F32/F33</f>
        <v>1.3013169922790586</v>
      </c>
      <c r="G34" s="64">
        <f t="shared" si="4"/>
        <v>4.9164821503804674</v>
      </c>
      <c r="H34" s="134">
        <f t="shared" si="4"/>
        <v>1.2283016300849974</v>
      </c>
    </row>
    <row r="36" spans="2:9" ht="12.75" thickBot="1" x14ac:dyDescent="0.25"/>
    <row r="37" spans="2:9" ht="12.75" thickBot="1" x14ac:dyDescent="0.25">
      <c r="B37" s="84" t="s">
        <v>2886</v>
      </c>
      <c r="C37" s="125" t="str" cm="1">
        <f t="array" ref="C37:C43">TRANSPOSE(B32:H32)</f>
        <v>Total Benefits</v>
      </c>
      <c r="D37" s="125" t="s">
        <v>2801</v>
      </c>
      <c r="E37" s="483" t="s">
        <v>2799</v>
      </c>
      <c r="F37" s="126" t="s">
        <v>8</v>
      </c>
    </row>
    <row r="38" spans="2:9" x14ac:dyDescent="0.2">
      <c r="B38" s="404" t="s">
        <v>3</v>
      </c>
      <c r="C38" s="406">
        <v>7671834.3266004538</v>
      </c>
      <c r="D38" s="406">
        <f>'Group Capital Cost'!I7</f>
        <v>4885381.3018220961</v>
      </c>
      <c r="E38" s="484">
        <f>C38-D38</f>
        <v>2786453.0247783577</v>
      </c>
      <c r="F38" s="405" cm="1">
        <f t="array" ref="F38:F43">TRANSPOSE(C34:H34)</f>
        <v>1.5703655155308138</v>
      </c>
      <c r="G38" s="407"/>
      <c r="H38" s="407"/>
    </row>
    <row r="39" spans="2:9" x14ac:dyDescent="0.2">
      <c r="B39" s="402" t="s">
        <v>1</v>
      </c>
      <c r="C39" s="54">
        <v>4908452.4318102747</v>
      </c>
      <c r="D39" s="54">
        <f>'Group Capital Cost'!J7</f>
        <v>1626839.1033685526</v>
      </c>
      <c r="E39" s="484">
        <f t="shared" ref="E39:E44" si="5">C39-D39</f>
        <v>3281613.3284417223</v>
      </c>
      <c r="F39" s="403">
        <v>3.0171714102806932</v>
      </c>
      <c r="G39" s="407"/>
      <c r="H39" s="407"/>
    </row>
    <row r="40" spans="2:9" ht="15" x14ac:dyDescent="0.25">
      <c r="B40" s="402" t="s">
        <v>6</v>
      </c>
      <c r="C40" s="54">
        <v>9486002.3670049645</v>
      </c>
      <c r="D40" s="54">
        <f>'Group Capital Cost'!K7</f>
        <v>5939174.8750989577</v>
      </c>
      <c r="E40" s="484">
        <f t="shared" si="5"/>
        <v>3546827.4919060068</v>
      </c>
      <c r="F40" s="403">
        <v>1.5971919612565559</v>
      </c>
      <c r="G40" s="407"/>
      <c r="H40"/>
      <c r="I40"/>
    </row>
    <row r="41" spans="2:9" ht="15" x14ac:dyDescent="0.25">
      <c r="B41" s="402" t="s">
        <v>5</v>
      </c>
      <c r="C41" s="54">
        <v>7473762.0266120527</v>
      </c>
      <c r="D41" s="54">
        <f>'Group Capital Cost'!L7</f>
        <v>5743229.4137056461</v>
      </c>
      <c r="E41" s="484">
        <f t="shared" si="5"/>
        <v>1730532.6129064066</v>
      </c>
      <c r="F41" s="403">
        <v>1.3013169922790586</v>
      </c>
      <c r="G41" s="407"/>
      <c r="H41"/>
      <c r="I41"/>
    </row>
    <row r="42" spans="2:9" ht="15" x14ac:dyDescent="0.25">
      <c r="B42" s="402" t="s">
        <v>2</v>
      </c>
      <c r="C42" s="54">
        <v>12055899.509934453</v>
      </c>
      <c r="D42" s="54">
        <f>'Group Capital Cost'!M8</f>
        <v>2452139.3836447662</v>
      </c>
      <c r="E42" s="484">
        <f t="shared" si="5"/>
        <v>9603760.1262896881</v>
      </c>
      <c r="F42" s="403">
        <v>4.9164821503804674</v>
      </c>
      <c r="G42" s="407"/>
      <c r="H42"/>
      <c r="I42"/>
    </row>
    <row r="43" spans="2:9" ht="15.75" thickBot="1" x14ac:dyDescent="0.3">
      <c r="B43" s="408" t="s">
        <v>4</v>
      </c>
      <c r="C43" s="57">
        <v>9769126.074772127</v>
      </c>
      <c r="D43" s="57">
        <f>'Group Capital Cost'!N7</f>
        <v>7953360.8321403209</v>
      </c>
      <c r="E43" s="485">
        <f t="shared" si="5"/>
        <v>1815765.2426318061</v>
      </c>
      <c r="F43" s="409">
        <v>1.2283016300849974</v>
      </c>
      <c r="G43" s="407"/>
      <c r="H43"/>
      <c r="I43"/>
    </row>
    <row r="44" spans="2:9" ht="15.75" thickBot="1" x14ac:dyDescent="0.3">
      <c r="B44" s="203" t="s">
        <v>7</v>
      </c>
      <c r="C44" s="410">
        <f>SUM(C38:C43)</f>
        <v>51365076.736734331</v>
      </c>
      <c r="D44" s="410">
        <f>SUM(D38:D43)</f>
        <v>28600124.909780338</v>
      </c>
      <c r="E44" s="486">
        <f t="shared" si="5"/>
        <v>22764951.826953992</v>
      </c>
      <c r="F44" s="411">
        <f>ROUND(C44/D44,2)</f>
        <v>1.8</v>
      </c>
      <c r="G44" s="407"/>
      <c r="H44"/>
      <c r="I44"/>
    </row>
    <row r="45" spans="2:9" ht="15" x14ac:dyDescent="0.25">
      <c r="G45"/>
      <c r="H45"/>
    </row>
  </sheetData>
  <mergeCells count="8">
    <mergeCell ref="B5:B6"/>
    <mergeCell ref="B4:H4"/>
    <mergeCell ref="C5:C6"/>
    <mergeCell ref="D5:D6"/>
    <mergeCell ref="E5:E6"/>
    <mergeCell ref="F5:F6"/>
    <mergeCell ref="G5:G6"/>
    <mergeCell ref="H5:H6"/>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9118-305E-4CF2-B5C3-1C644C5177D7}">
  <sheetPr>
    <tabColor rgb="FF00B050"/>
    <pageSetUpPr fitToPage="1"/>
  </sheetPr>
  <dimension ref="A2:AS159"/>
  <sheetViews>
    <sheetView view="pageBreakPreview" zoomScale="85" zoomScaleNormal="85" zoomScaleSheetLayoutView="85" workbookViewId="0">
      <selection activeCell="P10" sqref="P10:P30"/>
    </sheetView>
  </sheetViews>
  <sheetFormatPr defaultColWidth="8.85546875" defaultRowHeight="12" x14ac:dyDescent="0.2"/>
  <cols>
    <col min="1" max="1" width="5.42578125" style="17" customWidth="1"/>
    <col min="2" max="2" width="10.28515625" style="17" customWidth="1"/>
    <col min="3" max="4" width="10.5703125" style="17" customWidth="1"/>
    <col min="5" max="11" width="11.42578125" style="17" customWidth="1"/>
    <col min="12" max="12" width="10" style="17" customWidth="1"/>
    <col min="13" max="13" width="11.140625" style="17" customWidth="1"/>
    <col min="14" max="14" width="10.5703125" style="17" customWidth="1"/>
    <col min="15" max="15" width="11.28515625" style="17" bestFit="1" customWidth="1"/>
    <col min="16" max="16" width="10.5703125" style="17" customWidth="1"/>
    <col min="17" max="18" width="6.42578125" style="17" customWidth="1"/>
    <col min="19" max="19" width="17.7109375" style="17" customWidth="1"/>
    <col min="20" max="20" width="12.42578125" style="17" customWidth="1"/>
    <col min="21" max="23" width="14.140625" style="17" customWidth="1"/>
    <col min="24" max="24" width="12.28515625" style="17" customWidth="1"/>
    <col min="25" max="25" width="31.140625" style="17" bestFit="1" customWidth="1"/>
    <col min="26" max="26" width="13" style="17" customWidth="1"/>
    <col min="27" max="27" width="19.85546875" style="17" customWidth="1"/>
    <col min="28" max="28" width="27.140625" style="17" bestFit="1" customWidth="1"/>
    <col min="29" max="29" width="40.140625" style="17" bestFit="1" customWidth="1"/>
    <col min="30" max="31" width="20.42578125" style="17" customWidth="1"/>
    <col min="32" max="32" width="28" style="17" customWidth="1"/>
    <col min="33" max="33" width="20.42578125" style="17" customWidth="1"/>
    <col min="34" max="34" width="12.42578125" style="17" bestFit="1" customWidth="1"/>
    <col min="35" max="16384" width="8.85546875" style="17"/>
  </cols>
  <sheetData>
    <row r="2" spans="2:34" x14ac:dyDescent="0.2">
      <c r="B2" s="42" t="s">
        <v>2911</v>
      </c>
    </row>
    <row r="3" spans="2:34" ht="12.75" thickBot="1" x14ac:dyDescent="0.25">
      <c r="B3" s="42"/>
    </row>
    <row r="4" spans="2:34" ht="15" x14ac:dyDescent="0.25">
      <c r="B4"/>
      <c r="C4" s="537" t="s">
        <v>2869</v>
      </c>
      <c r="D4" s="554"/>
      <c r="E4" s="554"/>
      <c r="F4" s="554"/>
      <c r="G4" s="554"/>
      <c r="H4" s="538"/>
      <c r="I4" s="537" t="s">
        <v>2870</v>
      </c>
      <c r="J4" s="554"/>
      <c r="K4" s="554"/>
      <c r="L4" s="554"/>
      <c r="M4" s="554"/>
      <c r="N4" s="538"/>
      <c r="O4" s="537" t="s">
        <v>2871</v>
      </c>
      <c r="P4" s="538"/>
    </row>
    <row r="5" spans="2:34" ht="15.75" thickBot="1" x14ac:dyDescent="0.3">
      <c r="B5"/>
      <c r="C5" s="539"/>
      <c r="D5" s="555"/>
      <c r="E5" s="555"/>
      <c r="F5" s="555"/>
      <c r="G5" s="555"/>
      <c r="H5" s="540"/>
      <c r="I5" s="539"/>
      <c r="J5" s="555"/>
      <c r="K5" s="555"/>
      <c r="L5" s="555"/>
      <c r="M5" s="555"/>
      <c r="N5" s="540"/>
      <c r="O5" s="539"/>
      <c r="P5" s="540"/>
      <c r="S5" s="133" t="s">
        <v>2935</v>
      </c>
      <c r="T5" s="5"/>
    </row>
    <row r="6" spans="2:34" ht="12.75" thickBot="1" x14ac:dyDescent="0.25">
      <c r="B6" s="556" t="s">
        <v>0</v>
      </c>
      <c r="C6" s="518" t="s">
        <v>2880</v>
      </c>
      <c r="D6" s="520" t="s">
        <v>2881</v>
      </c>
      <c r="E6" s="520" t="s">
        <v>2882</v>
      </c>
      <c r="F6" s="520" t="s">
        <v>2883</v>
      </c>
      <c r="G6" s="520" t="s">
        <v>2884</v>
      </c>
      <c r="H6" s="506" t="s">
        <v>2885</v>
      </c>
      <c r="I6" s="518" t="s">
        <v>2880</v>
      </c>
      <c r="J6" s="520" t="s">
        <v>2881</v>
      </c>
      <c r="K6" s="520" t="s">
        <v>2882</v>
      </c>
      <c r="L6" s="520" t="s">
        <v>2883</v>
      </c>
      <c r="M6" s="520" t="s">
        <v>2884</v>
      </c>
      <c r="N6" s="506" t="s">
        <v>2885</v>
      </c>
      <c r="O6" s="530" t="s">
        <v>2923</v>
      </c>
      <c r="P6" s="530" t="s">
        <v>2946</v>
      </c>
      <c r="S6" s="210" t="s">
        <v>30</v>
      </c>
      <c r="T6" s="211" t="s">
        <v>2819</v>
      </c>
      <c r="U6" s="211" t="s">
        <v>2818</v>
      </c>
      <c r="V6" s="211" t="s">
        <v>2817</v>
      </c>
      <c r="W6" s="85" t="s">
        <v>2816</v>
      </c>
      <c r="X6" s="26" t="s">
        <v>2815</v>
      </c>
    </row>
    <row r="7" spans="2:34" ht="12.75" thickBot="1" x14ac:dyDescent="0.25">
      <c r="B7" s="557"/>
      <c r="C7" s="545"/>
      <c r="D7" s="522"/>
      <c r="E7" s="522"/>
      <c r="F7" s="522"/>
      <c r="G7" s="522"/>
      <c r="H7" s="544"/>
      <c r="I7" s="545"/>
      <c r="J7" s="522"/>
      <c r="K7" s="522"/>
      <c r="L7" s="522"/>
      <c r="M7" s="522"/>
      <c r="N7" s="544"/>
      <c r="O7" s="531"/>
      <c r="P7" s="531"/>
      <c r="S7" s="212" t="s">
        <v>2823</v>
      </c>
      <c r="T7" s="213">
        <v>11800000</v>
      </c>
      <c r="U7" s="213">
        <v>564300</v>
      </c>
      <c r="V7" s="213">
        <v>153700</v>
      </c>
      <c r="W7" s="213">
        <v>78500</v>
      </c>
      <c r="X7" s="214">
        <v>4800</v>
      </c>
    </row>
    <row r="8" spans="2:34" x14ac:dyDescent="0.2">
      <c r="B8" s="19">
        <f>B9-1</f>
        <v>2025</v>
      </c>
      <c r="C8" s="95"/>
      <c r="D8" s="107"/>
      <c r="E8" s="107"/>
      <c r="F8" s="108"/>
      <c r="G8" s="109"/>
      <c r="H8" s="110"/>
      <c r="I8" s="95"/>
      <c r="J8" s="107"/>
      <c r="K8" s="107"/>
      <c r="L8" s="108"/>
      <c r="M8" s="109"/>
      <c r="N8" s="110"/>
      <c r="O8" s="243"/>
      <c r="P8" s="48"/>
    </row>
    <row r="9" spans="2:34" ht="15" thickBot="1" x14ac:dyDescent="0.25">
      <c r="B9" s="19">
        <f>B10-1</f>
        <v>2026</v>
      </c>
      <c r="C9" s="98"/>
      <c r="D9" s="99"/>
      <c r="E9" s="99"/>
      <c r="F9" s="100"/>
      <c r="G9" s="101"/>
      <c r="H9" s="102"/>
      <c r="I9" s="98"/>
      <c r="J9" s="99"/>
      <c r="K9" s="99"/>
      <c r="L9" s="100"/>
      <c r="M9" s="101"/>
      <c r="N9" s="102"/>
      <c r="O9" s="243"/>
      <c r="P9" s="48"/>
      <c r="S9" s="42" t="s">
        <v>2936</v>
      </c>
    </row>
    <row r="10" spans="2:34" x14ac:dyDescent="0.2">
      <c r="B10" s="28">
        <f>Assumptions!D8</f>
        <v>2027</v>
      </c>
      <c r="C10" s="95">
        <f t="shared" ref="C10:C30" si="0">C35-I35</f>
        <v>806421.60031183879</v>
      </c>
      <c r="D10" s="107">
        <f t="shared" ref="D10:D30" si="1">D35-J35</f>
        <v>623351.81806932506</v>
      </c>
      <c r="E10" s="107">
        <f t="shared" ref="E10:E30" si="2">E35-K35</f>
        <v>1183829.7673224048</v>
      </c>
      <c r="F10" s="108">
        <f t="shared" ref="F10:F30" si="3">F35-L35</f>
        <v>592216.11931288696</v>
      </c>
      <c r="G10" s="109">
        <f t="shared" ref="G10:G30" si="4">G35-M35</f>
        <v>0</v>
      </c>
      <c r="H10" s="110">
        <f t="shared" ref="H10:H30" si="5">H35-N35</f>
        <v>1750930.4480000001</v>
      </c>
      <c r="I10" s="95">
        <f>C10*(1.07)^-($B10-2021)</f>
        <v>537352.76248546154</v>
      </c>
      <c r="J10" s="107">
        <f>D10*(1.07)^-($B10-2021)</f>
        <v>415365.63667238021</v>
      </c>
      <c r="K10" s="107">
        <f>E10*(1.07)^-($B10-2021)</f>
        <v>788835.75977779576</v>
      </c>
      <c r="L10" s="108">
        <f t="shared" ref="L10:L29" si="6">F10*(1.07)^-($B10-2021)</f>
        <v>394618.60592293419</v>
      </c>
      <c r="M10" s="109">
        <f>G10*(1.07)^-($B10-2021)</f>
        <v>0</v>
      </c>
      <c r="N10" s="110">
        <f t="shared" ref="N10:N29" si="7">H10*(1.07)^-($B10-2021)</f>
        <v>1166718.8884683626</v>
      </c>
      <c r="O10" s="243">
        <f>SUM(C10:H10)</f>
        <v>4956749.753016456</v>
      </c>
      <c r="P10" s="48">
        <f>SUM(I10:N10)</f>
        <v>3302891.6533269342</v>
      </c>
      <c r="S10" s="510" t="s">
        <v>20</v>
      </c>
      <c r="T10" s="552" t="s">
        <v>469</v>
      </c>
      <c r="U10" s="508" t="s">
        <v>289</v>
      </c>
      <c r="V10" s="508" t="s">
        <v>344</v>
      </c>
      <c r="W10" s="508" t="s">
        <v>56</v>
      </c>
      <c r="X10" s="502" t="s">
        <v>70</v>
      </c>
      <c r="AH10" s="165">
        <f>'Group O&amp;M'!O41*$AH$5</f>
        <v>0</v>
      </c>
    </row>
    <row r="11" spans="2:34" ht="12.75" thickBot="1" x14ac:dyDescent="0.25">
      <c r="B11" s="19">
        <f t="shared" ref="B11:B28" si="8">B10+1</f>
        <v>2028</v>
      </c>
      <c r="C11" s="98">
        <f t="shared" si="0"/>
        <v>806920.80031183886</v>
      </c>
      <c r="D11" s="99">
        <f t="shared" si="1"/>
        <v>623735.81806932506</v>
      </c>
      <c r="E11" s="99">
        <f t="shared" si="2"/>
        <v>1185442.5673224048</v>
      </c>
      <c r="F11" s="100">
        <f t="shared" si="3"/>
        <v>592600.11931288661</v>
      </c>
      <c r="G11" s="101">
        <f t="shared" si="4"/>
        <v>1669354.7040000001</v>
      </c>
      <c r="H11" s="102">
        <f t="shared" si="5"/>
        <v>1178598.9280000001</v>
      </c>
      <c r="I11" s="98">
        <f>C11*(1.07)^-($B11-2021)</f>
        <v>502509.72011550533</v>
      </c>
      <c r="J11" s="99">
        <f t="shared" ref="J11:J29" si="9">D11*(1.07)^-($B11-2021)</f>
        <v>388431.31970684644</v>
      </c>
      <c r="K11" s="99">
        <f t="shared" ref="K11:K29" si="10">E11*(1.07)^-($B11-2021)</f>
        <v>738234.05281903455</v>
      </c>
      <c r="L11" s="100">
        <f t="shared" si="6"/>
        <v>369041.57134287804</v>
      </c>
      <c r="M11" s="101">
        <f t="shared" ref="M11:M29" si="11">G11*(1.07)^-($B11-2021)</f>
        <v>1039590.2110298281</v>
      </c>
      <c r="N11" s="102">
        <f t="shared" si="7"/>
        <v>733972.17819745583</v>
      </c>
      <c r="O11" s="243">
        <f t="shared" ref="O11:O29" si="12">SUM(C11:H11)</f>
        <v>6056652.9370164564</v>
      </c>
      <c r="P11" s="48">
        <f t="shared" ref="P11:P29" si="13">SUM(I11:N11)</f>
        <v>3771779.0532115484</v>
      </c>
      <c r="S11" s="511"/>
      <c r="T11" s="553"/>
      <c r="U11" s="523"/>
      <c r="V11" s="523"/>
      <c r="W11" s="523"/>
      <c r="X11" s="549"/>
    </row>
    <row r="12" spans="2:34" x14ac:dyDescent="0.2">
      <c r="B12" s="19">
        <f t="shared" si="8"/>
        <v>2029</v>
      </c>
      <c r="C12" s="98">
        <f t="shared" si="0"/>
        <v>806920.80031183886</v>
      </c>
      <c r="D12" s="99">
        <f t="shared" si="1"/>
        <v>623735.81806932506</v>
      </c>
      <c r="E12" s="99">
        <f t="shared" si="2"/>
        <v>1185442.5673224048</v>
      </c>
      <c r="F12" s="100">
        <f t="shared" si="3"/>
        <v>592600.11931288661</v>
      </c>
      <c r="G12" s="101">
        <f t="shared" si="4"/>
        <v>1669354.7040000001</v>
      </c>
      <c r="H12" s="102">
        <f t="shared" si="5"/>
        <v>1178598.9280000001</v>
      </c>
      <c r="I12" s="98">
        <f>C12*(1.07)^-($B12-2021)</f>
        <v>469635.25244439748</v>
      </c>
      <c r="J12" s="99">
        <f t="shared" si="9"/>
        <v>363019.92495966959</v>
      </c>
      <c r="K12" s="99">
        <f t="shared" si="10"/>
        <v>689938.36712059309</v>
      </c>
      <c r="L12" s="100">
        <f t="shared" si="6"/>
        <v>344898.66480642807</v>
      </c>
      <c r="M12" s="101">
        <f t="shared" si="11"/>
        <v>971579.63647647481</v>
      </c>
      <c r="N12" s="102">
        <f t="shared" si="7"/>
        <v>685955.30672659422</v>
      </c>
      <c r="O12" s="243">
        <f t="shared" si="12"/>
        <v>6056652.9370164564</v>
      </c>
      <c r="P12" s="48">
        <f t="shared" si="13"/>
        <v>3525027.152534157</v>
      </c>
      <c r="S12" s="215" t="s">
        <v>2</v>
      </c>
      <c r="T12" s="216">
        <f>COUNTIFS(CrashData!$L:$L,'Group Safety Benefits'!$S12,CrashData!$V:$V,'Group Safety Benefits'!T$10)</f>
        <v>1</v>
      </c>
      <c r="U12" s="87">
        <f>COUNTIFS(CrashData!$L:$L,'Group Safety Benefits'!$S12,CrashData!$V:$V,'Group Safety Benefits'!U$10)</f>
        <v>3</v>
      </c>
      <c r="V12" s="87">
        <f>COUNTIFS(CrashData!$L:$L,'Group Safety Benefits'!$S12,CrashData!$V:$V,'Group Safety Benefits'!V$10)</f>
        <v>2</v>
      </c>
      <c r="W12" s="87">
        <f>COUNTIFS(CrashData!$L:$L,'Group Safety Benefits'!$S12,CrashData!$V:$V,'Group Safety Benefits'!W$10)</f>
        <v>8</v>
      </c>
      <c r="X12" s="88">
        <f>COUNTIFS(CrashData!$L:$L,'Group Safety Benefits'!$S12,CrashData!$V:$V,'Group Safety Benefits'!X$10)</f>
        <v>39</v>
      </c>
    </row>
    <row r="13" spans="2:34" x14ac:dyDescent="0.2">
      <c r="B13" s="19">
        <f t="shared" si="8"/>
        <v>2030</v>
      </c>
      <c r="C13" s="98">
        <f t="shared" si="0"/>
        <v>806920.80031183886</v>
      </c>
      <c r="D13" s="99">
        <f t="shared" si="1"/>
        <v>623735.81806932506</v>
      </c>
      <c r="E13" s="99">
        <f t="shared" si="2"/>
        <v>1185442.5673224048</v>
      </c>
      <c r="F13" s="100">
        <f t="shared" si="3"/>
        <v>592600.11931288661</v>
      </c>
      <c r="G13" s="101">
        <f t="shared" si="4"/>
        <v>1669354.7040000001</v>
      </c>
      <c r="H13" s="102">
        <f t="shared" si="5"/>
        <v>1178598.9280000001</v>
      </c>
      <c r="I13" s="98">
        <f>C13*(1.07)^-($B13-2021)</f>
        <v>438911.45088261447</v>
      </c>
      <c r="J13" s="99">
        <f t="shared" si="9"/>
        <v>339270.95790623326</v>
      </c>
      <c r="K13" s="99">
        <f t="shared" si="10"/>
        <v>644802.21226223651</v>
      </c>
      <c r="L13" s="100">
        <f t="shared" si="6"/>
        <v>322335.20075367112</v>
      </c>
      <c r="M13" s="101">
        <f t="shared" si="11"/>
        <v>908018.35184717271</v>
      </c>
      <c r="N13" s="102">
        <f t="shared" si="7"/>
        <v>641079.72591270495</v>
      </c>
      <c r="O13" s="243">
        <f t="shared" si="12"/>
        <v>6056652.9370164564</v>
      </c>
      <c r="P13" s="48">
        <f t="shared" si="13"/>
        <v>3294417.8995646331</v>
      </c>
      <c r="S13" s="114" t="s">
        <v>507</v>
      </c>
      <c r="T13" s="37">
        <f>COUNTIFS(CrashData!$L:$L,'Group Safety Benefits'!$S13,CrashData!$V:$V,'Group Safety Benefits'!T$10)</f>
        <v>1</v>
      </c>
      <c r="U13" s="65">
        <f>COUNTIFS(CrashData!$L:$L,'Group Safety Benefits'!$S13,CrashData!$V:$V,'Group Safety Benefits'!U$10)</f>
        <v>0</v>
      </c>
      <c r="V13" s="65">
        <f>COUNTIFS(CrashData!$L:$L,'Group Safety Benefits'!$S13,CrashData!$V:$V,'Group Safety Benefits'!V$10)</f>
        <v>2</v>
      </c>
      <c r="W13" s="65">
        <f>COUNTIFS(CrashData!$L:$L,'Group Safety Benefits'!$S13,CrashData!$V:$V,'Group Safety Benefits'!W$10)</f>
        <v>0</v>
      </c>
      <c r="X13" s="39">
        <f>COUNTIFS(CrashData!$L:$L,'Group Safety Benefits'!$S13,CrashData!$V:$V,'Group Safety Benefits'!X$10)</f>
        <v>1</v>
      </c>
    </row>
    <row r="14" spans="2:34" x14ac:dyDescent="0.2">
      <c r="B14" s="19">
        <f t="shared" si="8"/>
        <v>2031</v>
      </c>
      <c r="C14" s="98">
        <f t="shared" si="0"/>
        <v>806920.80031183886</v>
      </c>
      <c r="D14" s="99">
        <f t="shared" si="1"/>
        <v>623735.81806932506</v>
      </c>
      <c r="E14" s="99">
        <f t="shared" si="2"/>
        <v>1185442.5673224048</v>
      </c>
      <c r="F14" s="100">
        <f t="shared" si="3"/>
        <v>592600.11931288661</v>
      </c>
      <c r="G14" s="101">
        <f t="shared" si="4"/>
        <v>1669354.7040000001</v>
      </c>
      <c r="H14" s="102">
        <f t="shared" si="5"/>
        <v>1178598.9280000001</v>
      </c>
      <c r="I14" s="98">
        <f t="shared" ref="I14:I29" si="14">C14*(1.07)^-($B14-2021)</f>
        <v>410197.61764730327</v>
      </c>
      <c r="J14" s="99">
        <f t="shared" si="9"/>
        <v>317075.66159461054</v>
      </c>
      <c r="K14" s="99">
        <f t="shared" si="10"/>
        <v>602618.88996470708</v>
      </c>
      <c r="L14" s="100">
        <f t="shared" si="6"/>
        <v>301247.85117165523</v>
      </c>
      <c r="M14" s="101">
        <f t="shared" si="11"/>
        <v>848615.28210016142</v>
      </c>
      <c r="N14" s="102">
        <f t="shared" si="7"/>
        <v>599139.93075953727</v>
      </c>
      <c r="O14" s="243">
        <f t="shared" si="12"/>
        <v>6056652.9370164564</v>
      </c>
      <c r="P14" s="48">
        <f t="shared" si="13"/>
        <v>3078895.2332379753</v>
      </c>
      <c r="S14" s="114" t="s">
        <v>544</v>
      </c>
      <c r="T14" s="37">
        <f>COUNTIFS(CrashData!$L:$L,'Group Safety Benefits'!$S14,CrashData!$V:$V,'Group Safety Benefits'!T$10)</f>
        <v>0</v>
      </c>
      <c r="U14" s="65">
        <f>COUNTIFS(CrashData!$L:$L,'Group Safety Benefits'!$S14,CrashData!$V:$V,'Group Safety Benefits'!U$10)</f>
        <v>1</v>
      </c>
      <c r="V14" s="65">
        <f>COUNTIFS(CrashData!$L:$L,'Group Safety Benefits'!$S14,CrashData!$V:$V,'Group Safety Benefits'!V$10)</f>
        <v>0</v>
      </c>
      <c r="W14" s="65">
        <f>COUNTIFS(CrashData!$L:$L,'Group Safety Benefits'!$S14,CrashData!$V:$V,'Group Safety Benefits'!W$10)</f>
        <v>1</v>
      </c>
      <c r="X14" s="39">
        <f>COUNTIFS(CrashData!$L:$L,'Group Safety Benefits'!$S14,CrashData!$V:$V,'Group Safety Benefits'!X$10)</f>
        <v>8</v>
      </c>
    </row>
    <row r="15" spans="2:34" x14ac:dyDescent="0.2">
      <c r="B15" s="19">
        <f t="shared" si="8"/>
        <v>2032</v>
      </c>
      <c r="C15" s="98">
        <f t="shared" si="0"/>
        <v>806920.80031183886</v>
      </c>
      <c r="D15" s="99">
        <f t="shared" si="1"/>
        <v>623735.81806932506</v>
      </c>
      <c r="E15" s="99">
        <f t="shared" si="2"/>
        <v>1185442.5673224048</v>
      </c>
      <c r="F15" s="100">
        <f t="shared" si="3"/>
        <v>592600.11931288661</v>
      </c>
      <c r="G15" s="101">
        <f t="shared" si="4"/>
        <v>1669354.7040000001</v>
      </c>
      <c r="H15" s="102">
        <f t="shared" si="5"/>
        <v>1178598.9280000001</v>
      </c>
      <c r="I15" s="98">
        <f t="shared" si="14"/>
        <v>383362.25948346092</v>
      </c>
      <c r="J15" s="99">
        <f t="shared" si="9"/>
        <v>296332.39401365467</v>
      </c>
      <c r="K15" s="99">
        <f t="shared" si="10"/>
        <v>563195.22426608123</v>
      </c>
      <c r="L15" s="100">
        <f t="shared" si="6"/>
        <v>281540.04782397678</v>
      </c>
      <c r="M15" s="101">
        <f t="shared" si="11"/>
        <v>793098.39448613208</v>
      </c>
      <c r="N15" s="102">
        <f t="shared" si="7"/>
        <v>559943.86052293191</v>
      </c>
      <c r="O15" s="243">
        <f t="shared" si="12"/>
        <v>6056652.9370164564</v>
      </c>
      <c r="P15" s="48">
        <f t="shared" si="13"/>
        <v>2877472.1805962375</v>
      </c>
      <c r="S15" s="114" t="s">
        <v>6</v>
      </c>
      <c r="T15" s="37">
        <f>COUNTIFS(CrashData!$L:$L,'Group Safety Benefits'!$S15,CrashData!$V:$V,'Group Safety Benefits'!T$10)</f>
        <v>2</v>
      </c>
      <c r="U15" s="65">
        <f>COUNTIFS(CrashData!$L:$L,'Group Safety Benefits'!$S15,CrashData!$V:$V,'Group Safety Benefits'!U$10)</f>
        <v>1</v>
      </c>
      <c r="V15" s="65">
        <f>COUNTIFS(CrashData!$L:$L,'Group Safety Benefits'!$S15,CrashData!$V:$V,'Group Safety Benefits'!V$10)</f>
        <v>6</v>
      </c>
      <c r="W15" s="65">
        <f>COUNTIFS(CrashData!$L:$L,'Group Safety Benefits'!$S15,CrashData!$V:$V,'Group Safety Benefits'!W$10)</f>
        <v>9</v>
      </c>
      <c r="X15" s="39">
        <f>COUNTIFS(CrashData!$L:$L,'Group Safety Benefits'!$S15,CrashData!$V:$V,'Group Safety Benefits'!X$10)</f>
        <v>34</v>
      </c>
    </row>
    <row r="16" spans="2:34" x14ac:dyDescent="0.2">
      <c r="B16" s="19">
        <f t="shared" si="8"/>
        <v>2033</v>
      </c>
      <c r="C16" s="98">
        <f t="shared" si="0"/>
        <v>806920.80031183886</v>
      </c>
      <c r="D16" s="99">
        <f t="shared" si="1"/>
        <v>623735.81806932506</v>
      </c>
      <c r="E16" s="99">
        <f t="shared" si="2"/>
        <v>1185442.5673224048</v>
      </c>
      <c r="F16" s="100">
        <f t="shared" si="3"/>
        <v>592600.11931288661</v>
      </c>
      <c r="G16" s="101">
        <f t="shared" si="4"/>
        <v>1669354.7040000001</v>
      </c>
      <c r="H16" s="102">
        <f t="shared" si="5"/>
        <v>1178598.9280000001</v>
      </c>
      <c r="I16" s="98">
        <f t="shared" si="14"/>
        <v>358282.4854985617</v>
      </c>
      <c r="J16" s="99">
        <f t="shared" si="9"/>
        <v>276946.16262958385</v>
      </c>
      <c r="K16" s="99">
        <f t="shared" si="10"/>
        <v>526350.6768841882</v>
      </c>
      <c r="L16" s="100">
        <f t="shared" si="6"/>
        <v>263121.5400224083</v>
      </c>
      <c r="M16" s="101">
        <f t="shared" si="11"/>
        <v>741213.45279077778</v>
      </c>
      <c r="N16" s="102">
        <f t="shared" si="7"/>
        <v>523312.01918031031</v>
      </c>
      <c r="O16" s="243">
        <f t="shared" si="12"/>
        <v>6056652.9370164564</v>
      </c>
      <c r="P16" s="48">
        <f t="shared" si="13"/>
        <v>2689226.3370058304</v>
      </c>
      <c r="S16" s="114" t="s">
        <v>4</v>
      </c>
      <c r="T16" s="37">
        <f>COUNTIFS(CrashData!$L:$L,'Group Safety Benefits'!$S16,CrashData!$V:$V,'Group Safety Benefits'!T$10)</f>
        <v>2</v>
      </c>
      <c r="U16" s="65">
        <f>COUNTIFS(CrashData!$L:$L,'Group Safety Benefits'!$S16,CrashData!$V:$V,'Group Safety Benefits'!U$10)</f>
        <v>3</v>
      </c>
      <c r="V16" s="65">
        <f>COUNTIFS(CrashData!$L:$L,'Group Safety Benefits'!$S16,CrashData!$V:$V,'Group Safety Benefits'!V$10)</f>
        <v>10</v>
      </c>
      <c r="W16" s="65">
        <f>COUNTIFS(CrashData!$L:$L,'Group Safety Benefits'!$S16,CrashData!$V:$V,'Group Safety Benefits'!W$10)</f>
        <v>22</v>
      </c>
      <c r="X16" s="39">
        <f>COUNTIFS(CrashData!$L:$L,'Group Safety Benefits'!$S16,CrashData!$V:$V,'Group Safety Benefits'!X$10)</f>
        <v>112</v>
      </c>
    </row>
    <row r="17" spans="2:45" x14ac:dyDescent="0.2">
      <c r="B17" s="19">
        <f t="shared" si="8"/>
        <v>2034</v>
      </c>
      <c r="C17" s="98">
        <f t="shared" si="0"/>
        <v>806920.80031183886</v>
      </c>
      <c r="D17" s="99">
        <f t="shared" si="1"/>
        <v>623735.81806932506</v>
      </c>
      <c r="E17" s="99">
        <f t="shared" si="2"/>
        <v>1185442.5673224048</v>
      </c>
      <c r="F17" s="100">
        <f t="shared" si="3"/>
        <v>592600.11931288661</v>
      </c>
      <c r="G17" s="101">
        <f t="shared" si="4"/>
        <v>1669354.7040000001</v>
      </c>
      <c r="H17" s="102">
        <f t="shared" si="5"/>
        <v>1178598.9280000001</v>
      </c>
      <c r="I17" s="98">
        <f t="shared" si="14"/>
        <v>334843.44439117913</v>
      </c>
      <c r="J17" s="99">
        <f t="shared" si="9"/>
        <v>258828.18937344282</v>
      </c>
      <c r="K17" s="99">
        <f t="shared" si="10"/>
        <v>491916.52045251225</v>
      </c>
      <c r="L17" s="100">
        <f t="shared" si="6"/>
        <v>245907.9813293535</v>
      </c>
      <c r="M17" s="101">
        <f t="shared" si="11"/>
        <v>692722.85307549313</v>
      </c>
      <c r="N17" s="102">
        <f t="shared" si="7"/>
        <v>489076.65343954228</v>
      </c>
      <c r="O17" s="243">
        <f t="shared" si="12"/>
        <v>6056652.9370164564</v>
      </c>
      <c r="P17" s="48">
        <f t="shared" si="13"/>
        <v>2513295.6420615232</v>
      </c>
      <c r="S17" s="114" t="s">
        <v>1133</v>
      </c>
      <c r="T17" s="37">
        <f>COUNTIFS(CrashData!$L:$L,'Group Safety Benefits'!$S17,CrashData!$V:$V,'Group Safety Benefits'!T$10)</f>
        <v>0</v>
      </c>
      <c r="U17" s="65">
        <f>COUNTIFS(CrashData!$L:$L,'Group Safety Benefits'!$S17,CrashData!$V:$V,'Group Safety Benefits'!U$10)</f>
        <v>0</v>
      </c>
      <c r="V17" s="65">
        <f>COUNTIFS(CrashData!$L:$L,'Group Safety Benefits'!$S17,CrashData!$V:$V,'Group Safety Benefits'!V$10)</f>
        <v>0</v>
      </c>
      <c r="W17" s="65">
        <f>COUNTIFS(CrashData!$L:$L,'Group Safety Benefits'!$S17,CrashData!$V:$V,'Group Safety Benefits'!W$10)</f>
        <v>0</v>
      </c>
      <c r="X17" s="39">
        <f>COUNTIFS(CrashData!$L:$L,'Group Safety Benefits'!$S17,CrashData!$V:$V,'Group Safety Benefits'!X$10)</f>
        <v>1</v>
      </c>
    </row>
    <row r="18" spans="2:45" x14ac:dyDescent="0.2">
      <c r="B18" s="19">
        <f t="shared" si="8"/>
        <v>2035</v>
      </c>
      <c r="C18" s="98">
        <f t="shared" si="0"/>
        <v>806920.80031183886</v>
      </c>
      <c r="D18" s="99">
        <f t="shared" si="1"/>
        <v>623735.81806932506</v>
      </c>
      <c r="E18" s="99">
        <f t="shared" si="2"/>
        <v>1185442.5673224048</v>
      </c>
      <c r="F18" s="100">
        <f t="shared" si="3"/>
        <v>592600.11931288661</v>
      </c>
      <c r="G18" s="101">
        <f t="shared" si="4"/>
        <v>1669354.7040000001</v>
      </c>
      <c r="H18" s="102">
        <f t="shared" si="5"/>
        <v>1178598.9280000001</v>
      </c>
      <c r="I18" s="98">
        <f t="shared" si="14"/>
        <v>312937.79849642911</v>
      </c>
      <c r="J18" s="99">
        <f t="shared" si="9"/>
        <v>241895.50408732975</v>
      </c>
      <c r="K18" s="99">
        <f t="shared" si="10"/>
        <v>459735.06584346946</v>
      </c>
      <c r="L18" s="100">
        <f t="shared" si="6"/>
        <v>229820.54329846124</v>
      </c>
      <c r="M18" s="101">
        <f t="shared" si="11"/>
        <v>647404.53558457317</v>
      </c>
      <c r="N18" s="102">
        <f t="shared" si="7"/>
        <v>457080.98452293681</v>
      </c>
      <c r="O18" s="243">
        <f t="shared" si="12"/>
        <v>6056652.9370164564</v>
      </c>
      <c r="P18" s="48">
        <f t="shared" si="13"/>
        <v>2348874.4318331997</v>
      </c>
      <c r="S18" s="114" t="s">
        <v>1</v>
      </c>
      <c r="T18" s="37">
        <f>COUNTIFS(CrashData!$L:$L,'Group Safety Benefits'!$S18,CrashData!$V:$V,'Group Safety Benefits'!T$10)</f>
        <v>1</v>
      </c>
      <c r="U18" s="65">
        <f>COUNTIFS(CrashData!$L:$L,'Group Safety Benefits'!$S18,CrashData!$V:$V,'Group Safety Benefits'!U$10)</f>
        <v>2</v>
      </c>
      <c r="V18" s="65">
        <f>COUNTIFS(CrashData!$L:$L,'Group Safety Benefits'!$S18,CrashData!$V:$V,'Group Safety Benefits'!V$10)</f>
        <v>0</v>
      </c>
      <c r="W18" s="65">
        <f>COUNTIFS(CrashData!$L:$L,'Group Safety Benefits'!$S18,CrashData!$V:$V,'Group Safety Benefits'!W$10)</f>
        <v>0</v>
      </c>
      <c r="X18" s="39">
        <f>COUNTIFS(CrashData!$L:$L,'Group Safety Benefits'!$S18,CrashData!$V:$V,'Group Safety Benefits'!X$10)</f>
        <v>10</v>
      </c>
    </row>
    <row r="19" spans="2:45" x14ac:dyDescent="0.2">
      <c r="B19" s="19">
        <f t="shared" si="8"/>
        <v>2036</v>
      </c>
      <c r="C19" s="98">
        <f t="shared" si="0"/>
        <v>806920.80031183886</v>
      </c>
      <c r="D19" s="99">
        <f t="shared" si="1"/>
        <v>623735.81806932506</v>
      </c>
      <c r="E19" s="99">
        <f t="shared" si="2"/>
        <v>1185442.5673224048</v>
      </c>
      <c r="F19" s="100">
        <f t="shared" si="3"/>
        <v>592600.11931288661</v>
      </c>
      <c r="G19" s="101">
        <f t="shared" si="4"/>
        <v>1669354.7040000001</v>
      </c>
      <c r="H19" s="102">
        <f t="shared" si="5"/>
        <v>1178598.9280000001</v>
      </c>
      <c r="I19" s="98">
        <f t="shared" si="14"/>
        <v>292465.23223965336</v>
      </c>
      <c r="J19" s="99">
        <f t="shared" si="9"/>
        <v>226070.56456759787</v>
      </c>
      <c r="K19" s="99">
        <f>E19*(1.07)^-($B19-2021)</f>
        <v>429658.94004062563</v>
      </c>
      <c r="L19" s="100">
        <f t="shared" si="6"/>
        <v>214785.55448454319</v>
      </c>
      <c r="M19" s="101">
        <f t="shared" si="11"/>
        <v>605050.96783604962</v>
      </c>
      <c r="N19" s="102">
        <f t="shared" si="7"/>
        <v>427178.4902083521</v>
      </c>
      <c r="O19" s="243">
        <f t="shared" si="12"/>
        <v>6056652.9370164564</v>
      </c>
      <c r="P19" s="48">
        <f t="shared" si="13"/>
        <v>2195209.7493768218</v>
      </c>
      <c r="S19" s="114" t="s">
        <v>3</v>
      </c>
      <c r="T19" s="37">
        <f>COUNTIFS(CrashData!$L:$L,'Group Safety Benefits'!$S19,CrashData!$V:$V,'Group Safety Benefits'!T$10)</f>
        <v>1</v>
      </c>
      <c r="U19" s="65">
        <f>COUNTIFS(CrashData!$L:$L,'Group Safety Benefits'!$S19,CrashData!$V:$V,'Group Safety Benefits'!U$10)</f>
        <v>1</v>
      </c>
      <c r="V19" s="65">
        <f>COUNTIFS(CrashData!$L:$L,'Group Safety Benefits'!$S19,CrashData!$V:$V,'Group Safety Benefits'!V$10)</f>
        <v>2</v>
      </c>
      <c r="W19" s="65">
        <f>COUNTIFS(CrashData!$L:$L,'Group Safety Benefits'!$S19,CrashData!$V:$V,'Group Safety Benefits'!W$10)</f>
        <v>2</v>
      </c>
      <c r="X19" s="39">
        <f>COUNTIFS(CrashData!$L:$L,'Group Safety Benefits'!$S19,CrashData!$V:$V,'Group Safety Benefits'!X$10)</f>
        <v>9</v>
      </c>
    </row>
    <row r="20" spans="2:45" x14ac:dyDescent="0.2">
      <c r="B20" s="19">
        <f t="shared" si="8"/>
        <v>2037</v>
      </c>
      <c r="C20" s="98">
        <f t="shared" si="0"/>
        <v>806920.80031183886</v>
      </c>
      <c r="D20" s="99">
        <f t="shared" si="1"/>
        <v>623735.81806932506</v>
      </c>
      <c r="E20" s="99">
        <f t="shared" si="2"/>
        <v>1185442.5673224048</v>
      </c>
      <c r="F20" s="100">
        <f t="shared" si="3"/>
        <v>592600.11931288661</v>
      </c>
      <c r="G20" s="101">
        <f t="shared" si="4"/>
        <v>1669354.7040000001</v>
      </c>
      <c r="H20" s="102">
        <f t="shared" si="5"/>
        <v>1178598.9280000001</v>
      </c>
      <c r="I20" s="98">
        <f t="shared" si="14"/>
        <v>273331.99274733959</v>
      </c>
      <c r="J20" s="99">
        <f>D20*(1.07)^-($B20-2021)</f>
        <v>211280.90146504476</v>
      </c>
      <c r="K20" s="99">
        <f>E20*(1.07)^-($B20-2021)</f>
        <v>401550.41125292121</v>
      </c>
      <c r="L20" s="100">
        <f>F20*(1.07)^-($B20-2021)</f>
        <v>200734.16306966657</v>
      </c>
      <c r="M20" s="101">
        <f>G20*(1.07)^-($B20-2021)</f>
        <v>565468.1942392987</v>
      </c>
      <c r="N20" s="102">
        <f>H20*(1.07)^-($B20-2021)</f>
        <v>399232.23383958143</v>
      </c>
      <c r="O20" s="243">
        <f t="shared" si="12"/>
        <v>6056652.9370164564</v>
      </c>
      <c r="P20" s="48">
        <f t="shared" si="13"/>
        <v>2051597.8966138524</v>
      </c>
      <c r="S20" s="114" t="s">
        <v>2568</v>
      </c>
      <c r="T20" s="37">
        <f>COUNTIFS(CrashData!$L:$L,'Group Safety Benefits'!$S20,CrashData!$V:$V,'Group Safety Benefits'!T$10)</f>
        <v>0</v>
      </c>
      <c r="U20" s="65">
        <f>COUNTIFS(CrashData!$L:$L,'Group Safety Benefits'!$S20,CrashData!$V:$V,'Group Safety Benefits'!U$10)</f>
        <v>0</v>
      </c>
      <c r="V20" s="65">
        <f>COUNTIFS(CrashData!$L:$L,'Group Safety Benefits'!$S20,CrashData!$V:$V,'Group Safety Benefits'!V$10)</f>
        <v>1</v>
      </c>
      <c r="W20" s="65">
        <f>COUNTIFS(CrashData!$L:$L,'Group Safety Benefits'!$S20,CrashData!$V:$V,'Group Safety Benefits'!W$10)</f>
        <v>1</v>
      </c>
      <c r="X20" s="39">
        <f>COUNTIFS(CrashData!$L:$L,'Group Safety Benefits'!$S20,CrashData!$V:$V,'Group Safety Benefits'!X$10)</f>
        <v>4</v>
      </c>
    </row>
    <row r="21" spans="2:45" ht="12.75" thickBot="1" x14ac:dyDescent="0.25">
      <c r="B21" s="19">
        <f t="shared" si="8"/>
        <v>2038</v>
      </c>
      <c r="C21" s="98">
        <f t="shared" si="0"/>
        <v>806920.80031183886</v>
      </c>
      <c r="D21" s="99">
        <f t="shared" si="1"/>
        <v>623735.81806932506</v>
      </c>
      <c r="E21" s="99">
        <f t="shared" si="2"/>
        <v>1185442.5673224048</v>
      </c>
      <c r="F21" s="100">
        <f t="shared" si="3"/>
        <v>592600.11931288661</v>
      </c>
      <c r="G21" s="101">
        <f t="shared" si="4"/>
        <v>1669354.7040000001</v>
      </c>
      <c r="H21" s="102">
        <f t="shared" si="5"/>
        <v>1178598.9280000001</v>
      </c>
      <c r="I21" s="98">
        <f t="shared" si="14"/>
        <v>255450.46051153235</v>
      </c>
      <c r="J21" s="99">
        <f t="shared" si="9"/>
        <v>197458.7864159297</v>
      </c>
      <c r="K21" s="99">
        <f>E21*(1.07)^-($B21-2021)</f>
        <v>375280.75818030018</v>
      </c>
      <c r="L21" s="100">
        <f t="shared" si="6"/>
        <v>187602.02156043606</v>
      </c>
      <c r="M21" s="101">
        <f t="shared" si="11"/>
        <v>528474.94788719516</v>
      </c>
      <c r="N21" s="102">
        <f t="shared" si="7"/>
        <v>373114.23723325372</v>
      </c>
      <c r="O21" s="243">
        <f t="shared" si="12"/>
        <v>6056652.9370164564</v>
      </c>
      <c r="P21" s="48">
        <f t="shared" si="13"/>
        <v>1917381.2117886473</v>
      </c>
      <c r="S21" s="116" t="s">
        <v>5</v>
      </c>
      <c r="T21" s="217">
        <f>COUNTIFS(CrashData!$L:$L,'Group Safety Benefits'!$S21,CrashData!$V:$V,'Group Safety Benefits'!T$10)</f>
        <v>1</v>
      </c>
      <c r="U21" s="218">
        <f>COUNTIFS(CrashData!$L:$L,'Group Safety Benefits'!$S21,CrashData!$V:$V,'Group Safety Benefits'!U$10)</f>
        <v>0</v>
      </c>
      <c r="V21" s="218">
        <f>COUNTIFS(CrashData!$L:$L,'Group Safety Benefits'!$S21,CrashData!$V:$V,'Group Safety Benefits'!V$10)</f>
        <v>4</v>
      </c>
      <c r="W21" s="218">
        <f>COUNTIFS(CrashData!$L:$L,'Group Safety Benefits'!$S21,CrashData!$V:$V,'Group Safety Benefits'!W$10)</f>
        <v>4</v>
      </c>
      <c r="X21" s="128">
        <f>COUNTIFS(CrashData!$L:$L,'Group Safety Benefits'!$S21,CrashData!$V:$V,'Group Safety Benefits'!X$10)</f>
        <v>10</v>
      </c>
    </row>
    <row r="22" spans="2:45" x14ac:dyDescent="0.2">
      <c r="B22" s="19">
        <f t="shared" si="8"/>
        <v>2039</v>
      </c>
      <c r="C22" s="98">
        <f t="shared" si="0"/>
        <v>806920.80031183886</v>
      </c>
      <c r="D22" s="99">
        <f t="shared" si="1"/>
        <v>623735.81806932506</v>
      </c>
      <c r="E22" s="99">
        <f t="shared" si="2"/>
        <v>1185442.5673224048</v>
      </c>
      <c r="F22" s="100">
        <f t="shared" si="3"/>
        <v>592600.11931288661</v>
      </c>
      <c r="G22" s="101">
        <f t="shared" si="4"/>
        <v>1669354.7040000001</v>
      </c>
      <c r="H22" s="102">
        <f t="shared" si="5"/>
        <v>1178598.9280000001</v>
      </c>
      <c r="I22" s="98">
        <f t="shared" si="14"/>
        <v>238738.748141619</v>
      </c>
      <c r="J22" s="99">
        <f t="shared" si="9"/>
        <v>184540.92188404643</v>
      </c>
      <c r="K22" s="99">
        <f t="shared" si="10"/>
        <v>350729.6805423366</v>
      </c>
      <c r="L22" s="100">
        <f t="shared" si="6"/>
        <v>175328.99211255703</v>
      </c>
      <c r="M22" s="101">
        <f t="shared" si="11"/>
        <v>493901.82045532245</v>
      </c>
      <c r="N22" s="102">
        <f t="shared" si="7"/>
        <v>348704.89461051743</v>
      </c>
      <c r="O22" s="243">
        <f t="shared" si="12"/>
        <v>6056652.9370164564</v>
      </c>
      <c r="P22" s="48">
        <f t="shared" si="13"/>
        <v>1791945.057746399</v>
      </c>
    </row>
    <row r="23" spans="2:45" ht="12.75" thickBot="1" x14ac:dyDescent="0.25">
      <c r="B23" s="19">
        <f t="shared" si="8"/>
        <v>2040</v>
      </c>
      <c r="C23" s="98">
        <f t="shared" si="0"/>
        <v>806920.80031183886</v>
      </c>
      <c r="D23" s="99">
        <f t="shared" si="1"/>
        <v>623735.81806932506</v>
      </c>
      <c r="E23" s="99">
        <f t="shared" si="2"/>
        <v>1185442.5673224048</v>
      </c>
      <c r="F23" s="100">
        <f t="shared" si="3"/>
        <v>592600.11931288661</v>
      </c>
      <c r="G23" s="101">
        <f t="shared" si="4"/>
        <v>1669354.7040000001</v>
      </c>
      <c r="H23" s="102">
        <f t="shared" si="5"/>
        <v>1178598.9280000001</v>
      </c>
      <c r="I23" s="98">
        <f t="shared" si="14"/>
        <v>223120.32536599904</v>
      </c>
      <c r="J23" s="99">
        <f t="shared" si="9"/>
        <v>172468.15129350132</v>
      </c>
      <c r="K23" s="99">
        <f t="shared" si="10"/>
        <v>327784.74817040801</v>
      </c>
      <c r="L23" s="100">
        <f t="shared" si="6"/>
        <v>163858.87113323086</v>
      </c>
      <c r="M23" s="101">
        <f t="shared" si="11"/>
        <v>461590.48640684341</v>
      </c>
      <c r="N23" s="102">
        <f t="shared" si="7"/>
        <v>325892.42486964248</v>
      </c>
      <c r="O23" s="243">
        <f t="shared" si="12"/>
        <v>6056652.9370164564</v>
      </c>
      <c r="P23" s="48">
        <f t="shared" si="13"/>
        <v>1674715.0072396253</v>
      </c>
      <c r="S23" s="42" t="s">
        <v>2937</v>
      </c>
    </row>
    <row r="24" spans="2:45" x14ac:dyDescent="0.2">
      <c r="B24" s="19">
        <f t="shared" si="8"/>
        <v>2041</v>
      </c>
      <c r="C24" s="98">
        <f t="shared" si="0"/>
        <v>806920.80031183886</v>
      </c>
      <c r="D24" s="99">
        <f t="shared" si="1"/>
        <v>623735.81806932506</v>
      </c>
      <c r="E24" s="99">
        <f t="shared" si="2"/>
        <v>1185442.5673224048</v>
      </c>
      <c r="F24" s="100">
        <f t="shared" si="3"/>
        <v>592600.11931288661</v>
      </c>
      <c r="G24" s="101">
        <f t="shared" si="4"/>
        <v>1669354.7040000001</v>
      </c>
      <c r="H24" s="102">
        <f t="shared" si="5"/>
        <v>1178598.9280000001</v>
      </c>
      <c r="I24" s="98">
        <f t="shared" si="14"/>
        <v>208523.66856635426</v>
      </c>
      <c r="J24" s="99">
        <f t="shared" si="9"/>
        <v>161185.18812476762</v>
      </c>
      <c r="K24" s="99">
        <f t="shared" si="10"/>
        <v>306340.8861405683</v>
      </c>
      <c r="L24" s="100">
        <f t="shared" si="6"/>
        <v>153139.13190021578</v>
      </c>
      <c r="M24" s="101">
        <f t="shared" si="11"/>
        <v>431392.97795032099</v>
      </c>
      <c r="N24" s="102">
        <f t="shared" si="7"/>
        <v>304572.35969125468</v>
      </c>
      <c r="O24" s="243">
        <f t="shared" si="12"/>
        <v>6056652.9370164564</v>
      </c>
      <c r="P24" s="48">
        <f t="shared" si="13"/>
        <v>1565154.2123734816</v>
      </c>
      <c r="S24" s="510" t="s">
        <v>2798</v>
      </c>
      <c r="T24" s="552" t="s">
        <v>469</v>
      </c>
      <c r="U24" s="508" t="s">
        <v>289</v>
      </c>
      <c r="V24" s="508" t="s">
        <v>344</v>
      </c>
      <c r="W24" s="508" t="s">
        <v>56</v>
      </c>
      <c r="X24" s="502" t="s">
        <v>70</v>
      </c>
    </row>
    <row r="25" spans="2:45" ht="12.75" thickBot="1" x14ac:dyDescent="0.25">
      <c r="B25" s="19">
        <f t="shared" si="8"/>
        <v>2042</v>
      </c>
      <c r="C25" s="98">
        <f t="shared" si="0"/>
        <v>806920.80031183886</v>
      </c>
      <c r="D25" s="99">
        <f t="shared" si="1"/>
        <v>623735.81806932506</v>
      </c>
      <c r="E25" s="99">
        <f t="shared" si="2"/>
        <v>1185442.5673224048</v>
      </c>
      <c r="F25" s="100">
        <f t="shared" si="3"/>
        <v>592600.11931288661</v>
      </c>
      <c r="G25" s="101">
        <f t="shared" si="4"/>
        <v>1669354.7040000001</v>
      </c>
      <c r="H25" s="102">
        <f t="shared" si="5"/>
        <v>1178598.9280000001</v>
      </c>
      <c r="I25" s="98">
        <f t="shared" si="14"/>
        <v>194881.93323958342</v>
      </c>
      <c r="J25" s="99">
        <f t="shared" si="9"/>
        <v>150640.36273342767</v>
      </c>
      <c r="K25" s="99">
        <f t="shared" si="10"/>
        <v>286299.89358931611</v>
      </c>
      <c r="L25" s="100">
        <f t="shared" si="6"/>
        <v>143120.68401889325</v>
      </c>
      <c r="M25" s="101">
        <f t="shared" si="11"/>
        <v>403171.00743020652</v>
      </c>
      <c r="N25" s="102">
        <f t="shared" si="7"/>
        <v>284647.0651320137</v>
      </c>
      <c r="O25" s="243">
        <f t="shared" si="12"/>
        <v>6056652.9370164564</v>
      </c>
      <c r="P25" s="48">
        <f t="shared" si="13"/>
        <v>1462760.9461434407</v>
      </c>
      <c r="S25" s="511"/>
      <c r="T25" s="553"/>
      <c r="U25" s="523"/>
      <c r="V25" s="523"/>
      <c r="W25" s="523"/>
      <c r="X25" s="549"/>
    </row>
    <row r="26" spans="2:45" x14ac:dyDescent="0.2">
      <c r="B26" s="19">
        <f t="shared" si="8"/>
        <v>2043</v>
      </c>
      <c r="C26" s="98">
        <f t="shared" si="0"/>
        <v>806920.80031183886</v>
      </c>
      <c r="D26" s="99">
        <f t="shared" si="1"/>
        <v>623735.81806932506</v>
      </c>
      <c r="E26" s="99">
        <f t="shared" si="2"/>
        <v>1185442.5673224048</v>
      </c>
      <c r="F26" s="100">
        <f t="shared" si="3"/>
        <v>592600.11931288661</v>
      </c>
      <c r="G26" s="101">
        <f t="shared" si="4"/>
        <v>1669354.7040000001</v>
      </c>
      <c r="H26" s="102">
        <f t="shared" si="5"/>
        <v>1178598.9280000001</v>
      </c>
      <c r="I26" s="98">
        <f t="shared" si="14"/>
        <v>182132.64788746115</v>
      </c>
      <c r="J26" s="99">
        <f t="shared" si="9"/>
        <v>140785.3857321754</v>
      </c>
      <c r="K26" s="99">
        <f t="shared" si="10"/>
        <v>267569.99400870665</v>
      </c>
      <c r="L26" s="100">
        <f t="shared" si="6"/>
        <v>133757.64861578809</v>
      </c>
      <c r="M26" s="101">
        <f t="shared" si="11"/>
        <v>376795.33404692198</v>
      </c>
      <c r="N26" s="102">
        <f t="shared" si="7"/>
        <v>266025.29451590066</v>
      </c>
      <c r="O26" s="243">
        <f t="shared" si="12"/>
        <v>6056652.9370164564</v>
      </c>
      <c r="P26" s="48">
        <f t="shared" si="13"/>
        <v>1367066.3048069538</v>
      </c>
      <c r="S26" s="215" t="s">
        <v>3</v>
      </c>
      <c r="T26" s="216">
        <f>SUM(T19:T20)</f>
        <v>1</v>
      </c>
      <c r="U26" s="87">
        <f>SUM(U19:U20)</f>
        <v>1</v>
      </c>
      <c r="V26" s="87">
        <f>SUM(V19:V20)</f>
        <v>3</v>
      </c>
      <c r="W26" s="87">
        <f>SUM(W19:W20)</f>
        <v>3</v>
      </c>
      <c r="X26" s="88">
        <f>SUM(X19:X20)</f>
        <v>13</v>
      </c>
    </row>
    <row r="27" spans="2:45" x14ac:dyDescent="0.2">
      <c r="B27" s="19">
        <f t="shared" si="8"/>
        <v>2044</v>
      </c>
      <c r="C27" s="98">
        <f t="shared" si="0"/>
        <v>806920.80031183886</v>
      </c>
      <c r="D27" s="99">
        <f t="shared" si="1"/>
        <v>623735.81806932506</v>
      </c>
      <c r="E27" s="99">
        <f t="shared" si="2"/>
        <v>1185442.5673224048</v>
      </c>
      <c r="F27" s="100">
        <f t="shared" si="3"/>
        <v>592600.11931288661</v>
      </c>
      <c r="G27" s="101">
        <f t="shared" si="4"/>
        <v>1669354.7040000001</v>
      </c>
      <c r="H27" s="102">
        <f t="shared" si="5"/>
        <v>1178598.9280000001</v>
      </c>
      <c r="I27" s="98">
        <f t="shared" si="14"/>
        <v>170217.42793220666</v>
      </c>
      <c r="J27" s="99">
        <f t="shared" si="9"/>
        <v>131575.12685250037</v>
      </c>
      <c r="K27" s="99">
        <f t="shared" si="10"/>
        <v>250065.4149614081</v>
      </c>
      <c r="L27" s="100">
        <f t="shared" si="6"/>
        <v>125007.14823905427</v>
      </c>
      <c r="M27" s="101">
        <f t="shared" si="11"/>
        <v>352145.1720064691</v>
      </c>
      <c r="N27" s="102">
        <f t="shared" si="7"/>
        <v>248621.77057560807</v>
      </c>
      <c r="O27" s="243">
        <f t="shared" si="12"/>
        <v>6056652.9370164564</v>
      </c>
      <c r="P27" s="48">
        <f t="shared" si="13"/>
        <v>1277632.0605672465</v>
      </c>
      <c r="S27" s="114" t="s">
        <v>1</v>
      </c>
      <c r="T27" s="37">
        <f>T18</f>
        <v>1</v>
      </c>
      <c r="U27" s="65">
        <f>U18</f>
        <v>2</v>
      </c>
      <c r="V27" s="65">
        <f>V18</f>
        <v>0</v>
      </c>
      <c r="W27" s="65">
        <f>W18</f>
        <v>0</v>
      </c>
      <c r="X27" s="39">
        <f>X18</f>
        <v>10</v>
      </c>
      <c r="AS27" s="219"/>
    </row>
    <row r="28" spans="2:45" x14ac:dyDescent="0.2">
      <c r="B28" s="19">
        <f t="shared" si="8"/>
        <v>2045</v>
      </c>
      <c r="C28" s="98">
        <f t="shared" si="0"/>
        <v>806920.80031183886</v>
      </c>
      <c r="D28" s="99">
        <f t="shared" si="1"/>
        <v>623735.81806932506</v>
      </c>
      <c r="E28" s="99">
        <f t="shared" si="2"/>
        <v>1185442.5673224048</v>
      </c>
      <c r="F28" s="100">
        <f t="shared" si="3"/>
        <v>592600.11931288661</v>
      </c>
      <c r="G28" s="101">
        <f t="shared" si="4"/>
        <v>1669354.7040000001</v>
      </c>
      <c r="H28" s="102">
        <f t="shared" si="5"/>
        <v>1178598.9280000001</v>
      </c>
      <c r="I28" s="98">
        <f t="shared" si="14"/>
        <v>159081.70834785671</v>
      </c>
      <c r="J28" s="99">
        <f t="shared" si="9"/>
        <v>122967.40827336482</v>
      </c>
      <c r="K28" s="99">
        <f t="shared" si="10"/>
        <v>233705.99529103559</v>
      </c>
      <c r="L28" s="100">
        <f t="shared" si="6"/>
        <v>116829.11050378904</v>
      </c>
      <c r="M28" s="101">
        <f t="shared" si="11"/>
        <v>329107.6373892235</v>
      </c>
      <c r="N28" s="102">
        <f t="shared" si="7"/>
        <v>232356.79493047483</v>
      </c>
      <c r="O28" s="243">
        <f t="shared" si="12"/>
        <v>6056652.9370164564</v>
      </c>
      <c r="P28" s="48">
        <f t="shared" si="13"/>
        <v>1194048.6547357445</v>
      </c>
      <c r="S28" s="114" t="s">
        <v>6</v>
      </c>
      <c r="T28" s="37">
        <f>SUM(T14:T15)</f>
        <v>2</v>
      </c>
      <c r="U28" s="65">
        <f>SUM(U14:U15)</f>
        <v>2</v>
      </c>
      <c r="V28" s="65">
        <f>SUM(V14:V15)</f>
        <v>6</v>
      </c>
      <c r="W28" s="65">
        <f>SUM(W14:W15)</f>
        <v>10</v>
      </c>
      <c r="X28" s="39">
        <f>SUM(X14:X15)</f>
        <v>42</v>
      </c>
      <c r="AS28" s="219"/>
    </row>
    <row r="29" spans="2:45" ht="12.75" thickBot="1" x14ac:dyDescent="0.25">
      <c r="B29" s="289">
        <f>B28+1</f>
        <v>2046</v>
      </c>
      <c r="C29" s="290">
        <f t="shared" si="0"/>
        <v>806920.80031183886</v>
      </c>
      <c r="D29" s="291">
        <f t="shared" si="1"/>
        <v>623735.81806932506</v>
      </c>
      <c r="E29" s="291">
        <f t="shared" si="2"/>
        <v>1185442.5673224048</v>
      </c>
      <c r="F29" s="292">
        <f t="shared" si="3"/>
        <v>592600.11931288661</v>
      </c>
      <c r="G29" s="293">
        <f t="shared" si="4"/>
        <v>1669354.7040000001</v>
      </c>
      <c r="H29" s="294">
        <f t="shared" si="5"/>
        <v>1178598.9280000001</v>
      </c>
      <c r="I29" s="290">
        <f t="shared" si="14"/>
        <v>148674.49378304364</v>
      </c>
      <c r="J29" s="291">
        <f t="shared" si="9"/>
        <v>114922.8114704344</v>
      </c>
      <c r="K29" s="291">
        <f t="shared" si="10"/>
        <v>218416.8180290052</v>
      </c>
      <c r="L29" s="292">
        <f t="shared" si="6"/>
        <v>109186.0845829804</v>
      </c>
      <c r="M29" s="293">
        <f t="shared" si="11"/>
        <v>307577.23120488174</v>
      </c>
      <c r="N29" s="294">
        <f t="shared" si="7"/>
        <v>217155.88311259326</v>
      </c>
      <c r="O29" s="295">
        <f t="shared" si="12"/>
        <v>6056652.9370164564</v>
      </c>
      <c r="P29" s="296">
        <f t="shared" si="13"/>
        <v>1115933.3221829387</v>
      </c>
      <c r="S29" s="114" t="s">
        <v>5</v>
      </c>
      <c r="T29" s="37">
        <f>T21</f>
        <v>1</v>
      </c>
      <c r="U29" s="65">
        <f>U21</f>
        <v>0</v>
      </c>
      <c r="V29" s="65">
        <f>V21</f>
        <v>4</v>
      </c>
      <c r="W29" s="65">
        <f>W21</f>
        <v>4</v>
      </c>
      <c r="X29" s="39">
        <f>X21</f>
        <v>10</v>
      </c>
      <c r="AS29" s="219"/>
    </row>
    <row r="30" spans="2:45" ht="12.75" thickBot="1" x14ac:dyDescent="0.25">
      <c r="B30" s="297">
        <v>2047</v>
      </c>
      <c r="C30" s="298">
        <f t="shared" si="0"/>
        <v>0</v>
      </c>
      <c r="D30" s="298">
        <f t="shared" si="1"/>
        <v>0</v>
      </c>
      <c r="E30" s="298">
        <f t="shared" si="2"/>
        <v>0</v>
      </c>
      <c r="F30" s="299">
        <f t="shared" si="3"/>
        <v>0</v>
      </c>
      <c r="G30" s="300">
        <f t="shared" si="4"/>
        <v>1091147.9839999999</v>
      </c>
      <c r="H30" s="298">
        <f t="shared" si="5"/>
        <v>0</v>
      </c>
      <c r="I30" s="298">
        <f t="shared" ref="I30" si="15">C30*(1.07)^-($B30-2021)</f>
        <v>0</v>
      </c>
      <c r="J30" s="298">
        <f t="shared" ref="J30" si="16">D30*(1.07)^-($B30-2021)</f>
        <v>0</v>
      </c>
      <c r="K30" s="298">
        <f t="shared" ref="K30" si="17">E30*(1.07)^-($B30-2021)</f>
        <v>0</v>
      </c>
      <c r="L30" s="299">
        <f t="shared" ref="L30" si="18">F30*(1.07)^-($B30-2021)</f>
        <v>0</v>
      </c>
      <c r="M30" s="300">
        <f t="shared" ref="M30" si="19">G30*(1.07)^-($B30-2021)</f>
        <v>187890.76505331762</v>
      </c>
      <c r="N30" s="298">
        <f t="shared" ref="N30" si="20">H30*(1.07)^-($B30-2021)</f>
        <v>0</v>
      </c>
      <c r="O30" s="298">
        <f>SUM(C30:H30)</f>
        <v>1091147.9839999999</v>
      </c>
      <c r="P30" s="301">
        <f>SUM(I30:N30)</f>
        <v>187890.76505331762</v>
      </c>
      <c r="S30" s="114" t="s">
        <v>2</v>
      </c>
      <c r="T30" s="37">
        <f>T12+T13</f>
        <v>2</v>
      </c>
      <c r="U30" s="65">
        <f t="shared" ref="U30:X30" si="21">U12+U13</f>
        <v>3</v>
      </c>
      <c r="V30" s="65">
        <f t="shared" si="21"/>
        <v>4</v>
      </c>
      <c r="W30" s="65">
        <f t="shared" si="21"/>
        <v>8</v>
      </c>
      <c r="X30" s="39">
        <f t="shared" si="21"/>
        <v>40</v>
      </c>
      <c r="AS30" s="219"/>
    </row>
    <row r="31" spans="2:45" ht="12.75" thickBot="1" x14ac:dyDescent="0.25">
      <c r="S31" s="116" t="s">
        <v>4</v>
      </c>
      <c r="T31" s="217">
        <f>SUM(T16:T17)</f>
        <v>2</v>
      </c>
      <c r="U31" s="218">
        <f>SUM(U16:U17)</f>
        <v>3</v>
      </c>
      <c r="V31" s="218">
        <f>SUM(V16:V17)</f>
        <v>10</v>
      </c>
      <c r="W31" s="218">
        <f>SUM(W16:W17)</f>
        <v>22</v>
      </c>
      <c r="X31" s="128">
        <f>SUM(X16:X17)</f>
        <v>113</v>
      </c>
      <c r="AS31" s="219"/>
    </row>
    <row r="32" spans="2:45" ht="12.75" thickBot="1" x14ac:dyDescent="0.25">
      <c r="B32" s="42" t="s">
        <v>2912</v>
      </c>
      <c r="I32" s="220" t="str" cm="1">
        <f t="array" ref="I32:N32">TRANSPOSE(S36:S41)</f>
        <v>Chickasaw</v>
      </c>
      <c r="J32" s="220" t="str">
        <v>Fayette</v>
      </c>
      <c r="K32" s="220" t="str">
        <v>Guthrie</v>
      </c>
      <c r="L32" s="220" t="str">
        <v>Mitchell</v>
      </c>
      <c r="M32" s="220" t="str">
        <v>Wapello</v>
      </c>
      <c r="N32" s="220" t="str">
        <v>Webster</v>
      </c>
      <c r="O32" s="220"/>
      <c r="AS32" s="219"/>
    </row>
    <row r="33" spans="1:45" ht="15.75" thickBot="1" x14ac:dyDescent="0.3">
      <c r="B33" s="510" t="s">
        <v>0</v>
      </c>
      <c r="C33" s="518" t="s">
        <v>2859</v>
      </c>
      <c r="D33" s="520" t="s">
        <v>2860</v>
      </c>
      <c r="E33" s="520" t="s">
        <v>2861</v>
      </c>
      <c r="F33" s="520" t="s">
        <v>2862</v>
      </c>
      <c r="G33" s="520" t="s">
        <v>2863</v>
      </c>
      <c r="H33" s="506" t="s">
        <v>2864</v>
      </c>
      <c r="I33" s="518" t="s">
        <v>2865</v>
      </c>
      <c r="J33" s="520" t="s">
        <v>2866</v>
      </c>
      <c r="K33" s="520" t="s">
        <v>2867</v>
      </c>
      <c r="L33" s="520" t="s">
        <v>2868</v>
      </c>
      <c r="M33" s="520" t="s">
        <v>2863</v>
      </c>
      <c r="N33" s="506" t="s">
        <v>2913</v>
      </c>
      <c r="O33"/>
      <c r="S33" s="42" t="s">
        <v>2938</v>
      </c>
      <c r="AS33" s="219"/>
    </row>
    <row r="34" spans="1:45" ht="15.75" thickBot="1" x14ac:dyDescent="0.3">
      <c r="B34" s="511"/>
      <c r="C34" s="545"/>
      <c r="D34" s="522"/>
      <c r="E34" s="522"/>
      <c r="F34" s="522"/>
      <c r="G34" s="522"/>
      <c r="H34" s="544"/>
      <c r="I34" s="545"/>
      <c r="J34" s="522"/>
      <c r="K34" s="522"/>
      <c r="L34" s="522"/>
      <c r="M34" s="522"/>
      <c r="N34" s="544"/>
      <c r="O34"/>
      <c r="S34" s="510" t="s">
        <v>2886</v>
      </c>
      <c r="T34" s="552" t="s">
        <v>2821</v>
      </c>
      <c r="U34" s="502" t="s">
        <v>2820</v>
      </c>
      <c r="AS34" s="219"/>
    </row>
    <row r="35" spans="1:45" ht="12.75" thickBot="1" x14ac:dyDescent="0.25">
      <c r="B35" s="28">
        <f>Assumptions!D8</f>
        <v>2027</v>
      </c>
      <c r="C35" s="29">
        <v>1312330</v>
      </c>
      <c r="D35" s="30">
        <v>1297660</v>
      </c>
      <c r="E35" s="30">
        <v>2663740</v>
      </c>
      <c r="F35" s="31">
        <v>1277680</v>
      </c>
      <c r="G35" s="235"/>
      <c r="H35" s="236">
        <v>2909930</v>
      </c>
      <c r="I35" s="29">
        <v>505908.39968816115</v>
      </c>
      <c r="J35" s="30">
        <v>674308.18193067494</v>
      </c>
      <c r="K35" s="31">
        <v>1479910.2326775952</v>
      </c>
      <c r="L35" s="235">
        <v>685463.88068711304</v>
      </c>
      <c r="M35" s="30"/>
      <c r="N35" s="236">
        <v>1158999.5519999999</v>
      </c>
      <c r="O35" s="10"/>
      <c r="S35" s="511"/>
      <c r="T35" s="553"/>
      <c r="U35" s="549"/>
      <c r="AS35" s="219"/>
    </row>
    <row r="36" spans="1:45" x14ac:dyDescent="0.2">
      <c r="B36" s="19">
        <f t="shared" ref="B36:B55" si="22">B35+1</f>
        <v>2028</v>
      </c>
      <c r="C36" s="95" cm="1">
        <f t="array" ref="C36:H36">TRANSPOSE($T$36:$T$41)</f>
        <v>1312330</v>
      </c>
      <c r="D36" s="99">
        <v>1297660</v>
      </c>
      <c r="E36" s="99">
        <v>2663740</v>
      </c>
      <c r="F36" s="100">
        <v>1277680</v>
      </c>
      <c r="G36" s="101">
        <v>2672770</v>
      </c>
      <c r="H36" s="102">
        <v>2909930</v>
      </c>
      <c r="I36" s="95" cm="1">
        <f t="array" ref="I36:N36">TRANSPOSE($U$36:$U$41)</f>
        <v>505409.19968816114</v>
      </c>
      <c r="J36" s="99">
        <v>673924.18193067494</v>
      </c>
      <c r="K36" s="100">
        <v>1478297.4326775952</v>
      </c>
      <c r="L36" s="101">
        <v>685079.88068711339</v>
      </c>
      <c r="M36" s="99">
        <v>1003415.2959999999</v>
      </c>
      <c r="N36" s="102">
        <v>1731331.0719999999</v>
      </c>
      <c r="O36" s="10"/>
      <c r="Q36" s="17" t="s">
        <v>2450</v>
      </c>
      <c r="S36" s="112" t="s">
        <v>3</v>
      </c>
      <c r="T36" s="50">
        <f>SUMPRODUCT($T26:$X26,$T$7:$X$7)/10</f>
        <v>1312330</v>
      </c>
      <c r="U36" s="52">
        <f>($T$7*C61*T26+D61*SUMPRODUCT(U26:W26,$U$7:$W$7)+$X$7*X26*H61)/10</f>
        <v>505409.19968816114</v>
      </c>
      <c r="AS36" s="219"/>
    </row>
    <row r="37" spans="1:45" x14ac:dyDescent="0.2">
      <c r="B37" s="19">
        <f t="shared" si="22"/>
        <v>2029</v>
      </c>
      <c r="C37" s="95" cm="1">
        <f t="array" ref="C37:H37">TRANSPOSE($T$36:$T$41)</f>
        <v>1312330</v>
      </c>
      <c r="D37" s="99">
        <v>1297660</v>
      </c>
      <c r="E37" s="99">
        <v>2663740</v>
      </c>
      <c r="F37" s="100">
        <v>1277680</v>
      </c>
      <c r="G37" s="101">
        <v>2672770</v>
      </c>
      <c r="H37" s="102">
        <v>2909930</v>
      </c>
      <c r="I37" s="95" cm="1">
        <f t="array" ref="I37:N37">TRANSPOSE($U$36:$U$41)</f>
        <v>505409.19968816114</v>
      </c>
      <c r="J37" s="99">
        <v>673924.18193067494</v>
      </c>
      <c r="K37" s="100">
        <v>1478297.4326775952</v>
      </c>
      <c r="L37" s="101">
        <v>685079.88068711339</v>
      </c>
      <c r="M37" s="99">
        <v>1003415.2959999999</v>
      </c>
      <c r="N37" s="102">
        <v>1731331.0719999999</v>
      </c>
      <c r="O37" s="10"/>
      <c r="S37" s="114" t="s">
        <v>1</v>
      </c>
      <c r="T37" s="53">
        <f>SUMPRODUCT($T27:$X27,$T$7:$X$7)/10</f>
        <v>1297660</v>
      </c>
      <c r="U37" s="55">
        <f t="shared" ref="U37:U41" si="23">($T$7*C62*T27+D62*SUMPRODUCT(U27:W27,$U$7:$W$7)+$X$7*X27*H62)/10</f>
        <v>673924.18193067494</v>
      </c>
      <c r="AS37" s="219"/>
    </row>
    <row r="38" spans="1:45" x14ac:dyDescent="0.2">
      <c r="B38" s="19">
        <f t="shared" si="22"/>
        <v>2030</v>
      </c>
      <c r="C38" s="95" cm="1">
        <f t="array" ref="C38:H38">TRANSPOSE($T$36:$T$41)</f>
        <v>1312330</v>
      </c>
      <c r="D38" s="99">
        <v>1297660</v>
      </c>
      <c r="E38" s="99">
        <v>2663740</v>
      </c>
      <c r="F38" s="100">
        <v>1277680</v>
      </c>
      <c r="G38" s="101">
        <v>2672770</v>
      </c>
      <c r="H38" s="102">
        <v>2909930</v>
      </c>
      <c r="I38" s="95" cm="1">
        <f t="array" ref="I38:N38">TRANSPOSE($U$36:$U$41)</f>
        <v>505409.19968816114</v>
      </c>
      <c r="J38" s="99">
        <v>673924.18193067494</v>
      </c>
      <c r="K38" s="100">
        <v>1478297.4326775952</v>
      </c>
      <c r="L38" s="101">
        <v>685079.88068711339</v>
      </c>
      <c r="M38" s="99">
        <v>1003415.2959999999</v>
      </c>
      <c r="N38" s="102">
        <v>1731331.0719999999</v>
      </c>
      <c r="O38" s="10"/>
      <c r="S38" s="114" t="s">
        <v>6</v>
      </c>
      <c r="T38" s="53">
        <f>SUMPRODUCT($T28:$X28,$T$7:$X$7)/10</f>
        <v>2663740</v>
      </c>
      <c r="U38" s="55">
        <f t="shared" si="23"/>
        <v>1478297.4326775952</v>
      </c>
      <c r="AS38" s="219"/>
    </row>
    <row r="39" spans="1:45" x14ac:dyDescent="0.2">
      <c r="A39" s="129"/>
      <c r="B39" s="19">
        <f t="shared" si="22"/>
        <v>2031</v>
      </c>
      <c r="C39" s="95" cm="1">
        <f t="array" ref="C39:H39">TRANSPOSE($T$36:$T$41)</f>
        <v>1312330</v>
      </c>
      <c r="D39" s="99">
        <v>1297660</v>
      </c>
      <c r="E39" s="99">
        <v>2663740</v>
      </c>
      <c r="F39" s="100">
        <v>1277680</v>
      </c>
      <c r="G39" s="101">
        <v>2672770</v>
      </c>
      <c r="H39" s="102">
        <v>2909930</v>
      </c>
      <c r="I39" s="95" cm="1">
        <f t="array" ref="I39:N39">TRANSPOSE($U$36:$U$41)</f>
        <v>505409.19968816114</v>
      </c>
      <c r="J39" s="99">
        <v>673924.18193067494</v>
      </c>
      <c r="K39" s="100">
        <v>1478297.4326775952</v>
      </c>
      <c r="L39" s="101">
        <v>685079.88068711339</v>
      </c>
      <c r="M39" s="99">
        <v>1003415.2959999999</v>
      </c>
      <c r="N39" s="102">
        <v>1731331.0719999999</v>
      </c>
      <c r="O39" s="10"/>
      <c r="S39" s="114" t="s">
        <v>5</v>
      </c>
      <c r="T39" s="53">
        <f t="shared" ref="T39:T41" si="24">SUMPRODUCT($T29:$X29,$T$7:$X$7)/10</f>
        <v>1277680</v>
      </c>
      <c r="U39" s="55">
        <f>($T$7*C64*T29+D64*SUMPRODUCT(U29:W29,$U$7:$W$7)+$X$7*X29*H64)/10</f>
        <v>685079.88068711339</v>
      </c>
    </row>
    <row r="40" spans="1:45" x14ac:dyDescent="0.2">
      <c r="B40" s="19">
        <f t="shared" si="22"/>
        <v>2032</v>
      </c>
      <c r="C40" s="95" cm="1">
        <f t="array" ref="C40:H40">TRANSPOSE($T$36:$T$41)</f>
        <v>1312330</v>
      </c>
      <c r="D40" s="99">
        <v>1297660</v>
      </c>
      <c r="E40" s="99">
        <v>2663740</v>
      </c>
      <c r="F40" s="100">
        <v>1277680</v>
      </c>
      <c r="G40" s="101">
        <v>2672770</v>
      </c>
      <c r="H40" s="102">
        <v>2909930</v>
      </c>
      <c r="I40" s="95" cm="1">
        <f t="array" ref="I40:N40">TRANSPOSE($U$36:$U$41)</f>
        <v>505409.19968816114</v>
      </c>
      <c r="J40" s="99">
        <v>673924.18193067494</v>
      </c>
      <c r="K40" s="100">
        <v>1478297.4326775952</v>
      </c>
      <c r="L40" s="101">
        <v>685079.88068711339</v>
      </c>
      <c r="M40" s="99">
        <v>1003415.2959999999</v>
      </c>
      <c r="N40" s="102">
        <v>1731331.0719999999</v>
      </c>
      <c r="O40" s="10"/>
      <c r="S40" s="114" t="s">
        <v>2</v>
      </c>
      <c r="T40" s="53">
        <f>SUMPRODUCT($T30:$X30,$T$7:$X$7)/10</f>
        <v>2672770</v>
      </c>
      <c r="U40" s="55">
        <f t="shared" si="23"/>
        <v>1003415.2959999999</v>
      </c>
    </row>
    <row r="41" spans="1:45" ht="12.75" thickBot="1" x14ac:dyDescent="0.25">
      <c r="A41" s="129"/>
      <c r="B41" s="19">
        <f t="shared" si="22"/>
        <v>2033</v>
      </c>
      <c r="C41" s="95" cm="1">
        <f t="array" ref="C41:H41">TRANSPOSE($T$36:$T$41)</f>
        <v>1312330</v>
      </c>
      <c r="D41" s="99">
        <v>1297660</v>
      </c>
      <c r="E41" s="99">
        <v>2663740</v>
      </c>
      <c r="F41" s="100">
        <v>1277680</v>
      </c>
      <c r="G41" s="101">
        <v>2672770</v>
      </c>
      <c r="H41" s="102">
        <v>2909930</v>
      </c>
      <c r="I41" s="95" cm="1">
        <f t="array" ref="I41:N41">TRANSPOSE($U$36:$U$41)</f>
        <v>505409.19968816114</v>
      </c>
      <c r="J41" s="99">
        <v>673924.18193067494</v>
      </c>
      <c r="K41" s="100">
        <v>1478297.4326775952</v>
      </c>
      <c r="L41" s="101">
        <v>685079.88068711339</v>
      </c>
      <c r="M41" s="99">
        <v>1003415.2959999999</v>
      </c>
      <c r="N41" s="102">
        <v>1731331.0719999999</v>
      </c>
      <c r="O41" s="10"/>
      <c r="S41" s="221" t="s">
        <v>4</v>
      </c>
      <c r="T41" s="56">
        <f t="shared" si="24"/>
        <v>2909930</v>
      </c>
      <c r="U41" s="58">
        <f t="shared" si="23"/>
        <v>1731331.0719999999</v>
      </c>
    </row>
    <row r="42" spans="1:45" ht="12.75" thickBot="1" x14ac:dyDescent="0.25">
      <c r="A42" s="129"/>
      <c r="B42" s="19">
        <f t="shared" si="22"/>
        <v>2034</v>
      </c>
      <c r="C42" s="95" cm="1">
        <f t="array" ref="C42:H42">TRANSPOSE($T$36:$T$41)</f>
        <v>1312330</v>
      </c>
      <c r="D42" s="99">
        <v>1297660</v>
      </c>
      <c r="E42" s="99">
        <v>2663740</v>
      </c>
      <c r="F42" s="100">
        <v>1277680</v>
      </c>
      <c r="G42" s="101">
        <v>2672770</v>
      </c>
      <c r="H42" s="102">
        <v>2909930</v>
      </c>
      <c r="I42" s="95" cm="1">
        <f t="array" ref="I42:N42">TRANSPOSE($U$36:$U$41)</f>
        <v>505409.19968816114</v>
      </c>
      <c r="J42" s="99">
        <v>673924.18193067494</v>
      </c>
      <c r="K42" s="100">
        <v>1478297.4326775952</v>
      </c>
      <c r="L42" s="101">
        <v>685079.88068711339</v>
      </c>
      <c r="M42" s="99">
        <v>1003415.2959999999</v>
      </c>
      <c r="N42" s="102">
        <v>1731331.0719999999</v>
      </c>
      <c r="O42" s="10"/>
      <c r="S42" s="222" t="s">
        <v>7</v>
      </c>
      <c r="T42" s="223">
        <f>SUM(T36:T41)</f>
        <v>12134110</v>
      </c>
      <c r="U42" s="224">
        <f>T42*$D$61</f>
        <v>6700296.5281306161</v>
      </c>
    </row>
    <row r="43" spans="1:45" x14ac:dyDescent="0.2">
      <c r="A43" s="129"/>
      <c r="B43" s="19">
        <f t="shared" si="22"/>
        <v>2035</v>
      </c>
      <c r="C43" s="95" cm="1">
        <f t="array" ref="C43:H43">TRANSPOSE($T$36:$T$41)</f>
        <v>1312330</v>
      </c>
      <c r="D43" s="99">
        <v>1297660</v>
      </c>
      <c r="E43" s="99">
        <v>2663740</v>
      </c>
      <c r="F43" s="100">
        <v>1277680</v>
      </c>
      <c r="G43" s="101">
        <v>2672770</v>
      </c>
      <c r="H43" s="102">
        <v>2909930</v>
      </c>
      <c r="I43" s="95" cm="1">
        <f t="array" ref="I43:N43">TRANSPOSE($U$36:$U$41)</f>
        <v>505409.19968816114</v>
      </c>
      <c r="J43" s="99">
        <v>673924.18193067494</v>
      </c>
      <c r="K43" s="100">
        <v>1478297.4326775952</v>
      </c>
      <c r="L43" s="101">
        <v>685079.88068711339</v>
      </c>
      <c r="M43" s="99">
        <v>1003415.2959999999</v>
      </c>
      <c r="N43" s="102">
        <v>1731331.0719999999</v>
      </c>
      <c r="O43" s="10"/>
    </row>
    <row r="44" spans="1:45" ht="12.75" thickBot="1" x14ac:dyDescent="0.25">
      <c r="A44" s="129"/>
      <c r="B44" s="19">
        <f t="shared" si="22"/>
        <v>2036</v>
      </c>
      <c r="C44" s="95" cm="1">
        <f t="array" ref="C44:H44">TRANSPOSE($T$36:$T$41)</f>
        <v>1312330</v>
      </c>
      <c r="D44" s="99">
        <v>1297660</v>
      </c>
      <c r="E44" s="99">
        <v>2663740</v>
      </c>
      <c r="F44" s="100">
        <v>1277680</v>
      </c>
      <c r="G44" s="101">
        <v>2672770</v>
      </c>
      <c r="H44" s="102">
        <v>2909930</v>
      </c>
      <c r="I44" s="95" cm="1">
        <f t="array" ref="I44:N44">TRANSPOSE($U$36:$U$41)</f>
        <v>505409.19968816114</v>
      </c>
      <c r="J44" s="99">
        <v>673924.18193067494</v>
      </c>
      <c r="K44" s="100">
        <v>1478297.4326775952</v>
      </c>
      <c r="L44" s="101">
        <v>685079.88068711339</v>
      </c>
      <c r="M44" s="99">
        <v>1003415.2959999999</v>
      </c>
      <c r="N44" s="102">
        <v>1731331.0719999999</v>
      </c>
      <c r="O44" s="10"/>
    </row>
    <row r="45" spans="1:45" x14ac:dyDescent="0.2">
      <c r="A45" s="129"/>
      <c r="B45" s="19">
        <f t="shared" si="22"/>
        <v>2037</v>
      </c>
      <c r="C45" s="95" cm="1">
        <f t="array" ref="C45:H45">TRANSPOSE($T$36:$T$41)</f>
        <v>1312330</v>
      </c>
      <c r="D45" s="99">
        <v>1297660</v>
      </c>
      <c r="E45" s="99">
        <v>2663740</v>
      </c>
      <c r="F45" s="100">
        <v>1277680</v>
      </c>
      <c r="G45" s="101">
        <v>2672770</v>
      </c>
      <c r="H45" s="102">
        <v>2909930</v>
      </c>
      <c r="I45" s="95" cm="1">
        <f t="array" ref="I45:N45">TRANSPOSE($U$36:$U$41)</f>
        <v>505409.19968816114</v>
      </c>
      <c r="J45" s="99">
        <v>673924.18193067494</v>
      </c>
      <c r="K45" s="100">
        <v>1478297.4326775952</v>
      </c>
      <c r="L45" s="101">
        <v>685079.88068711339</v>
      </c>
      <c r="M45" s="99">
        <v>1003415.2959999999</v>
      </c>
      <c r="N45" s="102">
        <v>1731331.0719999999</v>
      </c>
      <c r="O45" s="10"/>
      <c r="S45" s="395" t="s">
        <v>3054</v>
      </c>
      <c r="T45" s="396" t="s">
        <v>2819</v>
      </c>
      <c r="U45" s="396" t="s">
        <v>2818</v>
      </c>
      <c r="V45" s="396" t="s">
        <v>2817</v>
      </c>
      <c r="W45" s="396" t="s">
        <v>2816</v>
      </c>
      <c r="X45" s="397" t="s">
        <v>3052</v>
      </c>
    </row>
    <row r="46" spans="1:45" x14ac:dyDescent="0.2">
      <c r="A46" s="129"/>
      <c r="B46" s="19">
        <f t="shared" si="22"/>
        <v>2038</v>
      </c>
      <c r="C46" s="95" cm="1">
        <f t="array" ref="C46:H46">TRANSPOSE($T$36:$T$41)</f>
        <v>1312330</v>
      </c>
      <c r="D46" s="99">
        <v>1297660</v>
      </c>
      <c r="E46" s="99">
        <v>2663740</v>
      </c>
      <c r="F46" s="100">
        <v>1277680</v>
      </c>
      <c r="G46" s="101">
        <v>2672770</v>
      </c>
      <c r="H46" s="102">
        <v>2909930</v>
      </c>
      <c r="I46" s="95" cm="1">
        <f t="array" ref="I46:N46">TRANSPOSE($U$36:$U$41)</f>
        <v>505409.19968816114</v>
      </c>
      <c r="J46" s="99">
        <v>673924.18193067494</v>
      </c>
      <c r="K46" s="100">
        <v>1478297.4326775952</v>
      </c>
      <c r="L46" s="101">
        <v>685079.88068711339</v>
      </c>
      <c r="M46" s="99">
        <v>1003415.2959999999</v>
      </c>
      <c r="N46" s="102">
        <v>1731331.0719999999</v>
      </c>
      <c r="O46" s="10"/>
      <c r="S46" s="38" t="s">
        <v>2826</v>
      </c>
      <c r="T46" s="65">
        <f>SUM(T26:T31)/10*20</f>
        <v>18</v>
      </c>
      <c r="U46" s="65">
        <f t="shared" ref="U46:X46" si="25">SUM(U26:U31)/10*20</f>
        <v>22</v>
      </c>
      <c r="V46" s="65">
        <f t="shared" si="25"/>
        <v>54</v>
      </c>
      <c r="W46" s="65">
        <f t="shared" si="25"/>
        <v>94</v>
      </c>
      <c r="X46" s="39">
        <f t="shared" si="25"/>
        <v>456</v>
      </c>
    </row>
    <row r="47" spans="1:45" x14ac:dyDescent="0.2">
      <c r="B47" s="19">
        <f t="shared" si="22"/>
        <v>2039</v>
      </c>
      <c r="C47" s="95" cm="1">
        <f t="array" ref="C47:H47">TRANSPOSE($T$36:$T$41)</f>
        <v>1312330</v>
      </c>
      <c r="D47" s="99">
        <v>1297660</v>
      </c>
      <c r="E47" s="99">
        <v>2663740</v>
      </c>
      <c r="F47" s="100">
        <v>1277680</v>
      </c>
      <c r="G47" s="101">
        <v>2672770</v>
      </c>
      <c r="H47" s="102">
        <v>2909930</v>
      </c>
      <c r="I47" s="95" cm="1">
        <f t="array" ref="I47:N47">TRANSPOSE($U$36:$U$41)</f>
        <v>505409.19968816114</v>
      </c>
      <c r="J47" s="99">
        <v>673924.18193067494</v>
      </c>
      <c r="K47" s="100">
        <v>1478297.4326775952</v>
      </c>
      <c r="L47" s="101">
        <v>685079.88068711339</v>
      </c>
      <c r="M47" s="99">
        <v>1003415.2959999999</v>
      </c>
      <c r="N47" s="102">
        <v>1731331.0719999999</v>
      </c>
      <c r="O47" s="10"/>
      <c r="S47" s="38" t="s">
        <v>2827</v>
      </c>
      <c r="T47" s="394">
        <f>SUMPRODUCT(C61:C66,T26:T31)/10*20</f>
        <v>8.7758135903114667</v>
      </c>
      <c r="U47" s="394">
        <f>SUMPRODUCT($D$61:$D$66,U26:U31)/10*20</f>
        <v>12.450123323847349</v>
      </c>
      <c r="V47" s="394">
        <f t="shared" ref="V47:W47" si="26">SUMPRODUCT($D$61:$D$66,V26:V31)/10*20</f>
        <v>30.703709440568559</v>
      </c>
      <c r="W47" s="394">
        <f t="shared" si="26"/>
        <v>53.96280460296984</v>
      </c>
      <c r="X47" s="39">
        <f>X46*H61</f>
        <v>419.52000000000004</v>
      </c>
    </row>
    <row r="48" spans="1:45" ht="12.75" thickBot="1" x14ac:dyDescent="0.25">
      <c r="A48" s="129"/>
      <c r="B48" s="19">
        <f t="shared" si="22"/>
        <v>2040</v>
      </c>
      <c r="C48" s="95" cm="1">
        <f t="array" ref="C48:H48">TRANSPOSE($T$36:$T$41)</f>
        <v>1312330</v>
      </c>
      <c r="D48" s="99">
        <v>1297660</v>
      </c>
      <c r="E48" s="99">
        <v>2663740</v>
      </c>
      <c r="F48" s="100">
        <v>1277680</v>
      </c>
      <c r="G48" s="101">
        <v>2672770</v>
      </c>
      <c r="H48" s="102">
        <v>2909930</v>
      </c>
      <c r="I48" s="95" cm="1">
        <f t="array" ref="I48:N48">TRANSPOSE($U$36:$U$41)</f>
        <v>505409.19968816114</v>
      </c>
      <c r="J48" s="99">
        <v>673924.18193067494</v>
      </c>
      <c r="K48" s="100">
        <v>1478297.4326775952</v>
      </c>
      <c r="L48" s="101">
        <v>685079.88068711339</v>
      </c>
      <c r="M48" s="99">
        <v>1003415.2959999999</v>
      </c>
      <c r="N48" s="102">
        <v>1731331.0719999999</v>
      </c>
      <c r="O48" s="10"/>
      <c r="S48" s="60" t="s">
        <v>3053</v>
      </c>
      <c r="T48" s="493">
        <f>T46-T47</f>
        <v>9.2241864096885333</v>
      </c>
      <c r="U48" s="493">
        <f t="shared" ref="U48:X48" si="27">U46-U47</f>
        <v>9.5498766761526515</v>
      </c>
      <c r="V48" s="493">
        <f t="shared" si="27"/>
        <v>23.296290559431441</v>
      </c>
      <c r="W48" s="493">
        <f t="shared" si="27"/>
        <v>40.03719539703016</v>
      </c>
      <c r="X48" s="494">
        <f t="shared" si="27"/>
        <v>36.479999999999961</v>
      </c>
    </row>
    <row r="49" spans="1:22" x14ac:dyDescent="0.2">
      <c r="B49" s="19">
        <f t="shared" si="22"/>
        <v>2041</v>
      </c>
      <c r="C49" s="95" cm="1">
        <f t="array" ref="C49:H49">TRANSPOSE($T$36:$T$41)</f>
        <v>1312330</v>
      </c>
      <c r="D49" s="99">
        <v>1297660</v>
      </c>
      <c r="E49" s="99">
        <v>2663740</v>
      </c>
      <c r="F49" s="100">
        <v>1277680</v>
      </c>
      <c r="G49" s="101">
        <v>2672770</v>
      </c>
      <c r="H49" s="102">
        <v>2909930</v>
      </c>
      <c r="I49" s="95" cm="1">
        <f t="array" ref="I49:N49">TRANSPOSE($U$36:$U$41)</f>
        <v>505409.19968816114</v>
      </c>
      <c r="J49" s="99">
        <v>673924.18193067494</v>
      </c>
      <c r="K49" s="100">
        <v>1478297.4326775952</v>
      </c>
      <c r="L49" s="101">
        <v>685079.88068711339</v>
      </c>
      <c r="M49" s="99">
        <v>1003415.2959999999</v>
      </c>
      <c r="N49" s="102">
        <v>1731331.0719999999</v>
      </c>
      <c r="O49" s="10"/>
    </row>
    <row r="50" spans="1:22" x14ac:dyDescent="0.2">
      <c r="B50" s="19">
        <f t="shared" si="22"/>
        <v>2042</v>
      </c>
      <c r="C50" s="95" cm="1">
        <f t="array" ref="C50:H50">TRANSPOSE($T$36:$T$41)</f>
        <v>1312330</v>
      </c>
      <c r="D50" s="99">
        <v>1297660</v>
      </c>
      <c r="E50" s="99">
        <v>2663740</v>
      </c>
      <c r="F50" s="100">
        <v>1277680</v>
      </c>
      <c r="G50" s="101">
        <v>2672770</v>
      </c>
      <c r="H50" s="102">
        <v>2909930</v>
      </c>
      <c r="I50" s="95" cm="1">
        <f t="array" ref="I50:N50">TRANSPOSE($U$36:$U$41)</f>
        <v>505409.19968816114</v>
      </c>
      <c r="J50" s="99">
        <v>673924.18193067494</v>
      </c>
      <c r="K50" s="100">
        <v>1478297.4326775952</v>
      </c>
      <c r="L50" s="101">
        <v>685079.88068711339</v>
      </c>
      <c r="M50" s="99">
        <v>1003415.2959999999</v>
      </c>
      <c r="N50" s="102">
        <v>1731331.0719999999</v>
      </c>
      <c r="O50" s="10"/>
    </row>
    <row r="51" spans="1:22" x14ac:dyDescent="0.2">
      <c r="B51" s="19">
        <f t="shared" si="22"/>
        <v>2043</v>
      </c>
      <c r="C51" s="95" cm="1">
        <f t="array" ref="C51:H51">TRANSPOSE($T$36:$T$41)</f>
        <v>1312330</v>
      </c>
      <c r="D51" s="99">
        <v>1297660</v>
      </c>
      <c r="E51" s="99">
        <v>2663740</v>
      </c>
      <c r="F51" s="100">
        <v>1277680</v>
      </c>
      <c r="G51" s="101">
        <v>2672770</v>
      </c>
      <c r="H51" s="102">
        <v>2909930</v>
      </c>
      <c r="I51" s="95" cm="1">
        <f t="array" ref="I51:N51">TRANSPOSE($U$36:$U$41)</f>
        <v>505409.19968816114</v>
      </c>
      <c r="J51" s="99">
        <v>673924.18193067494</v>
      </c>
      <c r="K51" s="100">
        <v>1478297.4326775952</v>
      </c>
      <c r="L51" s="101">
        <v>685079.88068711339</v>
      </c>
      <c r="M51" s="99">
        <v>1003415.2959999999</v>
      </c>
      <c r="N51" s="102">
        <v>1731331.0719999999</v>
      </c>
      <c r="O51" s="10"/>
    </row>
    <row r="52" spans="1:22" x14ac:dyDescent="0.2">
      <c r="B52" s="19">
        <f t="shared" si="22"/>
        <v>2044</v>
      </c>
      <c r="C52" s="95" cm="1">
        <f t="array" ref="C52:H52">TRANSPOSE($T$36:$T$41)</f>
        <v>1312330</v>
      </c>
      <c r="D52" s="99">
        <v>1297660</v>
      </c>
      <c r="E52" s="99">
        <v>2663740</v>
      </c>
      <c r="F52" s="100">
        <v>1277680</v>
      </c>
      <c r="G52" s="101">
        <v>2672770</v>
      </c>
      <c r="H52" s="102">
        <v>2909930</v>
      </c>
      <c r="I52" s="95" cm="1">
        <f t="array" ref="I52:N52">TRANSPOSE($U$36:$U$41)</f>
        <v>505409.19968816114</v>
      </c>
      <c r="J52" s="99">
        <v>673924.18193067494</v>
      </c>
      <c r="K52" s="100">
        <v>1478297.4326775952</v>
      </c>
      <c r="L52" s="101">
        <v>685079.88068711339</v>
      </c>
      <c r="M52" s="99">
        <v>1003415.2959999999</v>
      </c>
      <c r="N52" s="102">
        <v>1731331.0719999999</v>
      </c>
      <c r="O52" s="10"/>
    </row>
    <row r="53" spans="1:22" x14ac:dyDescent="0.2">
      <c r="B53" s="19">
        <f t="shared" si="22"/>
        <v>2045</v>
      </c>
      <c r="C53" s="95" cm="1">
        <f t="array" ref="C53:H53">TRANSPOSE($T$36:$T$41)</f>
        <v>1312330</v>
      </c>
      <c r="D53" s="99">
        <v>1297660</v>
      </c>
      <c r="E53" s="99">
        <v>2663740</v>
      </c>
      <c r="F53" s="100">
        <v>1277680</v>
      </c>
      <c r="G53" s="101">
        <v>2672770</v>
      </c>
      <c r="H53" s="102">
        <v>2909930</v>
      </c>
      <c r="I53" s="95" cm="1">
        <f t="array" ref="I53:N53">TRANSPOSE($U$36:$U$41)</f>
        <v>505409.19968816114</v>
      </c>
      <c r="J53" s="99">
        <v>673924.18193067494</v>
      </c>
      <c r="K53" s="100">
        <v>1478297.4326775952</v>
      </c>
      <c r="L53" s="101">
        <v>685079.88068711339</v>
      </c>
      <c r="M53" s="99">
        <v>1003415.2959999999</v>
      </c>
      <c r="N53" s="102">
        <v>1731331.0719999999</v>
      </c>
      <c r="O53" s="10"/>
    </row>
    <row r="54" spans="1:22" ht="12.75" thickBot="1" x14ac:dyDescent="0.25">
      <c r="A54" s="129"/>
      <c r="B54" s="18">
        <f t="shared" si="22"/>
        <v>2046</v>
      </c>
      <c r="C54" s="234" cm="1">
        <f t="array" ref="C54:H54">TRANSPOSE($T$36:$T$41)</f>
        <v>1312330</v>
      </c>
      <c r="D54" s="103">
        <v>1297660</v>
      </c>
      <c r="E54" s="103">
        <v>2663740</v>
      </c>
      <c r="F54" s="104">
        <v>1277680</v>
      </c>
      <c r="G54" s="105">
        <v>2672770</v>
      </c>
      <c r="H54" s="106">
        <v>2909930</v>
      </c>
      <c r="I54" s="234" cm="1">
        <f t="array" ref="I54:N54">TRANSPOSE($U$36:$U$41)</f>
        <v>505409.19968816114</v>
      </c>
      <c r="J54" s="103">
        <v>673924.18193067494</v>
      </c>
      <c r="K54" s="104">
        <v>1478297.4326775952</v>
      </c>
      <c r="L54" s="105">
        <v>685079.88068711339</v>
      </c>
      <c r="M54" s="103">
        <v>1003415.2959999999</v>
      </c>
      <c r="N54" s="106">
        <v>1731331.0719999999</v>
      </c>
      <c r="O54" s="10"/>
    </row>
    <row r="55" spans="1:22" ht="12.75" thickBot="1" x14ac:dyDescent="0.25">
      <c r="B55" s="18">
        <f t="shared" si="22"/>
        <v>2047</v>
      </c>
      <c r="C55" s="234">
        <v>0</v>
      </c>
      <c r="D55" s="103">
        <v>0</v>
      </c>
      <c r="E55" s="103">
        <v>0</v>
      </c>
      <c r="F55" s="104">
        <v>0</v>
      </c>
      <c r="G55" s="105">
        <v>2672770</v>
      </c>
      <c r="H55" s="106">
        <v>0</v>
      </c>
      <c r="I55" s="234">
        <v>0</v>
      </c>
      <c r="J55" s="103">
        <v>0</v>
      </c>
      <c r="K55" s="104">
        <v>0</v>
      </c>
      <c r="L55" s="105">
        <v>0</v>
      </c>
      <c r="M55" s="103">
        <v>1581622.0160000001</v>
      </c>
      <c r="N55" s="106">
        <v>0</v>
      </c>
    </row>
    <row r="56" spans="1:22" x14ac:dyDescent="0.2">
      <c r="B56" s="135"/>
      <c r="C56" s="135"/>
      <c r="D56" s="135"/>
      <c r="E56" s="135"/>
      <c r="F56" s="135"/>
      <c r="H56" s="80"/>
      <c r="S56" s="131"/>
    </row>
    <row r="57" spans="1:22" ht="12.75" thickBot="1" x14ac:dyDescent="0.25">
      <c r="B57" s="133" t="s">
        <v>2914</v>
      </c>
    </row>
    <row r="58" spans="1:22" x14ac:dyDescent="0.2">
      <c r="B58" s="546" t="s">
        <v>2822</v>
      </c>
      <c r="C58" s="512" t="s">
        <v>2942</v>
      </c>
      <c r="D58" s="502" t="s">
        <v>2945</v>
      </c>
      <c r="E58" s="518" t="s">
        <v>2943</v>
      </c>
      <c r="F58" s="520" t="s">
        <v>2954</v>
      </c>
      <c r="G58" s="542" t="s">
        <v>2955</v>
      </c>
      <c r="H58" s="520" t="s">
        <v>3115</v>
      </c>
      <c r="I58" s="534" t="s">
        <v>2956</v>
      </c>
      <c r="J58" s="524" t="s">
        <v>2953</v>
      </c>
      <c r="V58" s="219"/>
    </row>
    <row r="59" spans="1:22" x14ac:dyDescent="0.2">
      <c r="B59" s="547"/>
      <c r="C59" s="551"/>
      <c r="D59" s="503"/>
      <c r="E59" s="550"/>
      <c r="F59" s="543"/>
      <c r="G59" s="543"/>
      <c r="H59" s="543"/>
      <c r="I59" s="535"/>
      <c r="J59" s="532"/>
      <c r="V59" s="219"/>
    </row>
    <row r="60" spans="1:22" ht="12.75" thickBot="1" x14ac:dyDescent="0.25">
      <c r="B60" s="548"/>
      <c r="C60" s="513"/>
      <c r="D60" s="549"/>
      <c r="E60" s="545"/>
      <c r="F60" s="522"/>
      <c r="G60" s="522"/>
      <c r="H60" s="522"/>
      <c r="I60" s="536"/>
      <c r="J60" s="525"/>
      <c r="T60" s="131"/>
      <c r="U60" s="131"/>
      <c r="V60" s="219"/>
    </row>
    <row r="61" spans="1:22" x14ac:dyDescent="0.2">
      <c r="B61" s="256" t="s">
        <v>3</v>
      </c>
      <c r="C61" s="254">
        <f>F67*D61</f>
        <v>0.36444335089810515</v>
      </c>
      <c r="D61" s="255">
        <f t="shared" ref="D61:D66" si="28">PRODUCT(E61:I61)</f>
        <v>0.5521868953001593</v>
      </c>
      <c r="E61" s="255">
        <v>0.64</v>
      </c>
      <c r="F61" s="255">
        <v>1</v>
      </c>
      <c r="G61" s="255">
        <v>1</v>
      </c>
      <c r="H61" s="255">
        <v>0.92</v>
      </c>
      <c r="I61" s="257">
        <f t="shared" ref="I61:I66" si="29">EXP($J$68*J61)</f>
        <v>0.93781741728967272</v>
      </c>
      <c r="J61" s="112">
        <v>2</v>
      </c>
      <c r="T61" s="131"/>
      <c r="U61" s="131"/>
      <c r="V61" s="219"/>
    </row>
    <row r="62" spans="1:22" x14ac:dyDescent="0.2">
      <c r="B62" s="240" t="s">
        <v>1</v>
      </c>
      <c r="C62" s="241">
        <f>D62</f>
        <v>0.51785048801159828</v>
      </c>
      <c r="D62" s="242">
        <f t="shared" si="28"/>
        <v>0.51785048801159828</v>
      </c>
      <c r="E62" s="242">
        <v>0.64</v>
      </c>
      <c r="F62" s="242">
        <v>1</v>
      </c>
      <c r="G62" s="242">
        <v>1</v>
      </c>
      <c r="H62" s="242">
        <v>0.92</v>
      </c>
      <c r="I62" s="258">
        <f>EXP($J$68*J62)</f>
        <v>0.87950150817187212</v>
      </c>
      <c r="J62" s="114">
        <v>4</v>
      </c>
      <c r="T62" s="131"/>
      <c r="U62" s="131"/>
      <c r="V62" s="219"/>
    </row>
    <row r="63" spans="1:22" x14ac:dyDescent="0.2">
      <c r="B63" s="240" t="s">
        <v>6</v>
      </c>
      <c r="C63" s="241">
        <f>D63</f>
        <v>0.5521868953001593</v>
      </c>
      <c r="D63" s="242">
        <f t="shared" si="28"/>
        <v>0.5521868953001593</v>
      </c>
      <c r="E63" s="242">
        <v>0.64</v>
      </c>
      <c r="F63" s="242">
        <v>1</v>
      </c>
      <c r="G63" s="242">
        <v>1</v>
      </c>
      <c r="H63" s="242">
        <v>0.92</v>
      </c>
      <c r="I63" s="258">
        <f t="shared" si="29"/>
        <v>0.93781741728967272</v>
      </c>
      <c r="J63" s="114">
        <v>2</v>
      </c>
      <c r="T63" s="131"/>
      <c r="U63" s="131"/>
      <c r="V63" s="219"/>
    </row>
    <row r="64" spans="1:22" x14ac:dyDescent="0.2">
      <c r="B64" s="240" t="s">
        <v>5</v>
      </c>
      <c r="C64" s="241">
        <f>D64</f>
        <v>0.53474316564571156</v>
      </c>
      <c r="D64" s="242">
        <f t="shared" si="28"/>
        <v>0.53474316564571156</v>
      </c>
      <c r="E64" s="242">
        <v>0.64</v>
      </c>
      <c r="F64" s="242">
        <v>1</v>
      </c>
      <c r="G64" s="242">
        <v>1</v>
      </c>
      <c r="H64" s="242">
        <v>0.92</v>
      </c>
      <c r="I64" s="258">
        <f t="shared" si="29"/>
        <v>0.90819151774067852</v>
      </c>
      <c r="J64" s="114">
        <v>3</v>
      </c>
      <c r="T64" s="131"/>
      <c r="U64" s="131"/>
      <c r="V64" s="219"/>
    </row>
    <row r="65" spans="2:22" x14ac:dyDescent="0.2">
      <c r="B65" s="240" t="s">
        <v>2</v>
      </c>
      <c r="C65" s="241">
        <f>D65*G67</f>
        <v>0.34444799999999998</v>
      </c>
      <c r="D65" s="242">
        <f t="shared" si="28"/>
        <v>0.58879999999999999</v>
      </c>
      <c r="E65" s="242">
        <v>0.64</v>
      </c>
      <c r="F65" s="242">
        <v>1</v>
      </c>
      <c r="G65" s="242">
        <v>1</v>
      </c>
      <c r="H65" s="242">
        <v>0.92</v>
      </c>
      <c r="I65" s="258">
        <f t="shared" si="29"/>
        <v>1</v>
      </c>
      <c r="J65" s="114">
        <v>0</v>
      </c>
      <c r="T65" s="131"/>
      <c r="U65" s="131"/>
      <c r="V65" s="219"/>
    </row>
    <row r="66" spans="2:22" x14ac:dyDescent="0.2">
      <c r="B66" s="240" t="s">
        <v>4</v>
      </c>
      <c r="C66" s="241">
        <f>D66</f>
        <v>0.58879999999999999</v>
      </c>
      <c r="D66" s="242">
        <f t="shared" si="28"/>
        <v>0.58879999999999999</v>
      </c>
      <c r="E66" s="242">
        <v>0.64</v>
      </c>
      <c r="F66" s="242">
        <v>1</v>
      </c>
      <c r="G66" s="242">
        <v>1</v>
      </c>
      <c r="H66" s="242">
        <v>0.92</v>
      </c>
      <c r="I66" s="258">
        <f t="shared" si="29"/>
        <v>1</v>
      </c>
      <c r="J66" s="114">
        <v>0</v>
      </c>
      <c r="T66" s="131"/>
      <c r="U66" s="131"/>
      <c r="V66" s="219"/>
    </row>
    <row r="67" spans="2:22" ht="12.75" thickBot="1" x14ac:dyDescent="0.25">
      <c r="B67" s="260" t="s">
        <v>2929</v>
      </c>
      <c r="C67" s="261"/>
      <c r="D67" s="262"/>
      <c r="E67" s="262"/>
      <c r="F67" s="262">
        <v>0.66</v>
      </c>
      <c r="G67" s="262">
        <v>0.58499999999999996</v>
      </c>
      <c r="H67" s="262"/>
      <c r="I67" s="263"/>
      <c r="J67" s="221"/>
      <c r="S67" s="131"/>
      <c r="T67" s="131"/>
      <c r="U67" s="131"/>
      <c r="V67" s="219"/>
    </row>
    <row r="68" spans="2:22" ht="12.75" thickBot="1" x14ac:dyDescent="0.25">
      <c r="B68" s="203"/>
      <c r="C68" s="127"/>
      <c r="D68" s="127"/>
      <c r="E68" s="127"/>
      <c r="F68" s="127"/>
      <c r="G68" s="127"/>
      <c r="H68" s="127"/>
      <c r="I68" s="264" t="s">
        <v>2971</v>
      </c>
      <c r="J68" s="222">
        <v>-3.2099999999999997E-2</v>
      </c>
      <c r="S68" s="131"/>
      <c r="T68" s="131"/>
      <c r="U68" s="131"/>
      <c r="V68" s="219"/>
    </row>
    <row r="69" spans="2:22" x14ac:dyDescent="0.2">
      <c r="H69" s="17" t="s">
        <v>3114</v>
      </c>
      <c r="S69" s="131"/>
      <c r="T69" s="131"/>
      <c r="U69" s="131"/>
      <c r="V69" s="219"/>
    </row>
    <row r="70" spans="2:22" x14ac:dyDescent="0.2">
      <c r="V70" s="219"/>
    </row>
    <row r="71" spans="2:22" x14ac:dyDescent="0.2">
      <c r="B71" s="133" t="s">
        <v>2828</v>
      </c>
      <c r="V71" s="219"/>
    </row>
    <row r="72" spans="2:22" x14ac:dyDescent="0.2">
      <c r="B72" s="129" t="s">
        <v>2829</v>
      </c>
      <c r="C72" s="533" t="s">
        <v>2947</v>
      </c>
      <c r="D72" s="533"/>
      <c r="E72" s="533"/>
      <c r="F72" s="533"/>
      <c r="G72" s="533"/>
      <c r="H72" s="533"/>
      <c r="V72" s="219"/>
    </row>
    <row r="73" spans="2:22" x14ac:dyDescent="0.2">
      <c r="C73" s="533"/>
      <c r="D73" s="533"/>
      <c r="E73" s="533"/>
      <c r="F73" s="533"/>
      <c r="G73" s="533"/>
      <c r="H73" s="533"/>
      <c r="V73" s="219"/>
    </row>
    <row r="74" spans="2:22" x14ac:dyDescent="0.2">
      <c r="C74" s="533"/>
      <c r="D74" s="533"/>
      <c r="E74" s="533"/>
      <c r="F74" s="533"/>
      <c r="G74" s="533"/>
      <c r="H74" s="533"/>
      <c r="V74" s="219"/>
    </row>
    <row r="75" spans="2:22" x14ac:dyDescent="0.2">
      <c r="B75" s="129" t="s">
        <v>2842</v>
      </c>
      <c r="C75" s="533" t="s">
        <v>2927</v>
      </c>
      <c r="D75" s="533"/>
      <c r="E75" s="533"/>
      <c r="F75" s="533"/>
      <c r="G75" s="533"/>
      <c r="H75" s="533"/>
      <c r="V75" s="219"/>
    </row>
    <row r="76" spans="2:22" x14ac:dyDescent="0.2">
      <c r="C76" s="533"/>
      <c r="D76" s="533"/>
      <c r="E76" s="533"/>
      <c r="F76" s="533"/>
      <c r="G76" s="533"/>
      <c r="H76" s="533"/>
      <c r="V76" s="219"/>
    </row>
    <row r="77" spans="2:22" x14ac:dyDescent="0.2">
      <c r="B77" s="129" t="s">
        <v>2841</v>
      </c>
      <c r="C77" s="541" t="s">
        <v>2944</v>
      </c>
      <c r="D77" s="541"/>
      <c r="E77" s="541"/>
      <c r="F77" s="541"/>
      <c r="G77" s="541"/>
      <c r="H77" s="541"/>
      <c r="V77" s="219"/>
    </row>
    <row r="78" spans="2:22" x14ac:dyDescent="0.2">
      <c r="C78" s="541"/>
      <c r="D78" s="541"/>
      <c r="E78" s="541"/>
      <c r="F78" s="541"/>
      <c r="G78" s="541"/>
      <c r="H78" s="541"/>
      <c r="V78" s="219"/>
    </row>
    <row r="79" spans="2:22" x14ac:dyDescent="0.2">
      <c r="B79" s="129" t="s">
        <v>2840</v>
      </c>
      <c r="C79" s="541" t="s">
        <v>3108</v>
      </c>
      <c r="D79" s="541"/>
      <c r="E79" s="541"/>
      <c r="F79" s="541"/>
      <c r="G79" s="541"/>
      <c r="H79" s="541"/>
      <c r="V79" s="219"/>
    </row>
    <row r="80" spans="2:22" x14ac:dyDescent="0.2">
      <c r="C80" s="541"/>
      <c r="D80" s="541"/>
      <c r="E80" s="541"/>
      <c r="F80" s="541"/>
      <c r="G80" s="541"/>
      <c r="H80" s="541"/>
      <c r="V80" s="219"/>
    </row>
    <row r="81" spans="2:15" x14ac:dyDescent="0.2">
      <c r="C81" s="541"/>
      <c r="D81" s="541"/>
      <c r="E81" s="541"/>
      <c r="F81" s="541"/>
      <c r="G81" s="541"/>
      <c r="H81" s="541"/>
    </row>
    <row r="82" spans="2:15" x14ac:dyDescent="0.2">
      <c r="B82" s="129" t="s">
        <v>2839</v>
      </c>
      <c r="C82" s="541" t="s">
        <v>2928</v>
      </c>
      <c r="D82" s="541"/>
      <c r="E82" s="541"/>
      <c r="F82" s="541"/>
      <c r="G82" s="541"/>
      <c r="H82" s="541"/>
    </row>
    <row r="83" spans="2:15" x14ac:dyDescent="0.2">
      <c r="C83" s="541"/>
      <c r="D83" s="541"/>
      <c r="E83" s="541"/>
      <c r="F83" s="541"/>
      <c r="G83" s="541"/>
      <c r="H83" s="541"/>
    </row>
    <row r="84" spans="2:15" x14ac:dyDescent="0.2">
      <c r="B84" s="129" t="s">
        <v>2838</v>
      </c>
      <c r="C84" s="533" t="s">
        <v>2934</v>
      </c>
      <c r="D84" s="533"/>
      <c r="E84" s="533"/>
      <c r="F84" s="533"/>
      <c r="G84" s="533"/>
      <c r="H84" s="533"/>
    </row>
    <row r="85" spans="2:15" x14ac:dyDescent="0.2">
      <c r="C85" s="533"/>
      <c r="D85" s="533"/>
      <c r="E85" s="533"/>
      <c r="F85" s="533"/>
      <c r="G85" s="533"/>
      <c r="H85" s="533"/>
    </row>
    <row r="86" spans="2:15" x14ac:dyDescent="0.2">
      <c r="C86" s="533"/>
      <c r="D86" s="533"/>
      <c r="E86" s="533"/>
      <c r="F86" s="533"/>
      <c r="G86" s="533"/>
      <c r="H86" s="533"/>
    </row>
    <row r="87" spans="2:15" x14ac:dyDescent="0.2">
      <c r="C87" s="533"/>
      <c r="D87" s="533"/>
      <c r="E87" s="533"/>
      <c r="F87" s="533"/>
      <c r="G87" s="533"/>
      <c r="H87" s="533"/>
    </row>
    <row r="88" spans="2:15" x14ac:dyDescent="0.2">
      <c r="B88" s="129" t="s">
        <v>2837</v>
      </c>
      <c r="C88" s="533" t="s">
        <v>2952</v>
      </c>
      <c r="D88" s="533"/>
      <c r="E88" s="533"/>
      <c r="F88" s="533"/>
      <c r="G88" s="533"/>
      <c r="H88" s="533"/>
    </row>
    <row r="89" spans="2:15" x14ac:dyDescent="0.2">
      <c r="C89" s="533"/>
      <c r="D89" s="533"/>
      <c r="E89" s="533"/>
      <c r="F89" s="533"/>
      <c r="G89" s="533"/>
      <c r="H89" s="533"/>
    </row>
    <row r="90" spans="2:15" x14ac:dyDescent="0.2">
      <c r="C90" s="259"/>
      <c r="D90" s="259"/>
      <c r="E90" s="259"/>
      <c r="F90" s="259"/>
      <c r="G90" s="259"/>
      <c r="H90" s="259"/>
    </row>
    <row r="91" spans="2:15" x14ac:dyDescent="0.2">
      <c r="C91" s="259"/>
      <c r="D91" s="259"/>
      <c r="E91" s="259"/>
      <c r="F91" s="259"/>
      <c r="G91" s="259"/>
      <c r="H91" s="259"/>
    </row>
    <row r="93" spans="2:15" x14ac:dyDescent="0.2">
      <c r="H93" s="80"/>
    </row>
    <row r="94" spans="2:15" x14ac:dyDescent="0.2">
      <c r="H94" s="80"/>
      <c r="O94" s="80"/>
    </row>
    <row r="95" spans="2:15" x14ac:dyDescent="0.2">
      <c r="J95" s="80"/>
      <c r="K95" s="80"/>
      <c r="L95" s="80"/>
      <c r="M95" s="80"/>
      <c r="N95" s="80"/>
      <c r="O95" s="80"/>
    </row>
    <row r="96" spans="2:15" x14ac:dyDescent="0.2">
      <c r="J96" s="80"/>
      <c r="K96" s="80"/>
      <c r="L96" s="80"/>
      <c r="M96" s="80"/>
      <c r="N96" s="80"/>
      <c r="O96" s="80"/>
    </row>
    <row r="97" spans="9:19" x14ac:dyDescent="0.2">
      <c r="I97" s="80"/>
      <c r="J97" s="80"/>
      <c r="K97" s="80"/>
      <c r="L97" s="80"/>
      <c r="M97" s="80"/>
      <c r="N97" s="80"/>
      <c r="O97" s="80"/>
    </row>
    <row r="98" spans="9:19" x14ac:dyDescent="0.2">
      <c r="I98" s="80"/>
      <c r="J98" s="80"/>
      <c r="K98" s="80"/>
      <c r="L98" s="80"/>
      <c r="M98" s="80"/>
      <c r="N98" s="80"/>
      <c r="O98" s="80"/>
    </row>
    <row r="99" spans="9:19" x14ac:dyDescent="0.2">
      <c r="I99" s="80"/>
      <c r="J99" s="80"/>
      <c r="K99" s="80"/>
      <c r="L99" s="80"/>
      <c r="M99" s="80"/>
      <c r="N99" s="80"/>
    </row>
    <row r="100" spans="9:19" x14ac:dyDescent="0.2">
      <c r="I100" s="80"/>
    </row>
    <row r="101" spans="9:19" x14ac:dyDescent="0.2">
      <c r="I101" s="80"/>
    </row>
    <row r="104" spans="9:19" x14ac:dyDescent="0.2">
      <c r="S104" s="185"/>
    </row>
    <row r="122" spans="8:15" x14ac:dyDescent="0.2">
      <c r="H122" s="80"/>
    </row>
    <row r="126" spans="8:15" x14ac:dyDescent="0.2">
      <c r="O126" s="80"/>
    </row>
    <row r="127" spans="8:15" ht="15.75" customHeight="1" x14ac:dyDescent="0.2">
      <c r="J127" s="80"/>
      <c r="K127" s="80"/>
      <c r="L127" s="80"/>
      <c r="M127" s="80"/>
      <c r="N127" s="80"/>
    </row>
    <row r="129" spans="9:32" ht="15.75" customHeight="1" x14ac:dyDescent="0.2">
      <c r="I129" s="80"/>
    </row>
    <row r="135" spans="9:32" x14ac:dyDescent="0.2">
      <c r="AE135" s="185"/>
    </row>
    <row r="137" spans="9:32" x14ac:dyDescent="0.2">
      <c r="AF137" s="225"/>
    </row>
    <row r="138" spans="9:32" x14ac:dyDescent="0.2">
      <c r="AF138" s="225"/>
    </row>
    <row r="139" spans="9:32" x14ac:dyDescent="0.2">
      <c r="AF139" s="225"/>
    </row>
    <row r="157" spans="33:33" x14ac:dyDescent="0.2">
      <c r="AG157" s="225"/>
    </row>
    <row r="158" spans="33:33" x14ac:dyDescent="0.2">
      <c r="AG158" s="225"/>
    </row>
    <row r="159" spans="33:33" x14ac:dyDescent="0.2">
      <c r="AG159" s="225"/>
    </row>
  </sheetData>
  <mergeCells count="62">
    <mergeCell ref="J33:J34"/>
    <mergeCell ref="K33:K34"/>
    <mergeCell ref="L33:L34"/>
    <mergeCell ref="M33:M34"/>
    <mergeCell ref="B33:B34"/>
    <mergeCell ref="C33:C34"/>
    <mergeCell ref="D33:D34"/>
    <mergeCell ref="E33:E34"/>
    <mergeCell ref="F33:F34"/>
    <mergeCell ref="B6:B7"/>
    <mergeCell ref="C6:C7"/>
    <mergeCell ref="D6:D7"/>
    <mergeCell ref="E6:E7"/>
    <mergeCell ref="F6:F7"/>
    <mergeCell ref="V24:V25"/>
    <mergeCell ref="W24:W25"/>
    <mergeCell ref="X24:X25"/>
    <mergeCell ref="N6:N7"/>
    <mergeCell ref="P6:P7"/>
    <mergeCell ref="S24:S25"/>
    <mergeCell ref="X10:X11"/>
    <mergeCell ref="T10:T11"/>
    <mergeCell ref="U10:U11"/>
    <mergeCell ref="V10:V11"/>
    <mergeCell ref="W10:W11"/>
    <mergeCell ref="S34:S35"/>
    <mergeCell ref="T34:T35"/>
    <mergeCell ref="U34:U35"/>
    <mergeCell ref="C4:H5"/>
    <mergeCell ref="I4:N5"/>
    <mergeCell ref="S10:S11"/>
    <mergeCell ref="T24:T25"/>
    <mergeCell ref="U24:U25"/>
    <mergeCell ref="H6:H7"/>
    <mergeCell ref="I6:I7"/>
    <mergeCell ref="J6:J7"/>
    <mergeCell ref="K6:K7"/>
    <mergeCell ref="L6:L7"/>
    <mergeCell ref="M6:M7"/>
    <mergeCell ref="G6:G7"/>
    <mergeCell ref="N33:N34"/>
    <mergeCell ref="B58:B60"/>
    <mergeCell ref="D58:D60"/>
    <mergeCell ref="E58:E60"/>
    <mergeCell ref="F58:F60"/>
    <mergeCell ref="C58:C60"/>
    <mergeCell ref="J58:J60"/>
    <mergeCell ref="C88:H89"/>
    <mergeCell ref="I58:I60"/>
    <mergeCell ref="O6:O7"/>
    <mergeCell ref="O4:P5"/>
    <mergeCell ref="C79:H81"/>
    <mergeCell ref="C82:H83"/>
    <mergeCell ref="C84:H87"/>
    <mergeCell ref="C75:H76"/>
    <mergeCell ref="C72:H74"/>
    <mergeCell ref="G58:G60"/>
    <mergeCell ref="H58:H60"/>
    <mergeCell ref="C77:H78"/>
    <mergeCell ref="G33:G34"/>
    <mergeCell ref="H33:H34"/>
    <mergeCell ref="I33:I34"/>
  </mergeCells>
  <conditionalFormatting sqref="C61:I67">
    <cfRule type="expression" dxfId="0" priority="1">
      <formula>C61=1</formula>
    </cfRule>
  </conditionalFormatting>
  <pageMargins left="0.7" right="0.7" top="0.75" bottom="0.75" header="0.3" footer="0.3"/>
  <pageSetup scale="46" orientation="landscape" horizontalDpi="1200" verticalDpi="1200"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0BB5-819E-4989-8E4E-2D9D94EA3B3A}">
  <sheetPr>
    <tabColor rgb="FFC00000"/>
    <pageSetUpPr fitToPage="1"/>
  </sheetPr>
  <dimension ref="B2:U64"/>
  <sheetViews>
    <sheetView view="pageBreakPreview" zoomScaleNormal="85" zoomScaleSheetLayoutView="100" workbookViewId="0">
      <selection activeCell="P28" sqref="P28"/>
    </sheetView>
  </sheetViews>
  <sheetFormatPr defaultColWidth="8.85546875" defaultRowHeight="12" x14ac:dyDescent="0.2"/>
  <cols>
    <col min="1" max="1" width="5.28515625" style="17" customWidth="1"/>
    <col min="2" max="2" width="10.7109375" style="17" customWidth="1"/>
    <col min="3" max="3" width="14.140625" style="17" customWidth="1"/>
    <col min="4" max="6" width="9.85546875" style="17" customWidth="1"/>
    <col min="7" max="7" width="12" style="17" customWidth="1"/>
    <col min="8" max="8" width="11" style="17" customWidth="1"/>
    <col min="9" max="12" width="9.85546875" style="17" customWidth="1"/>
    <col min="13" max="13" width="10.140625" style="17" customWidth="1"/>
    <col min="14" max="14" width="9.85546875" style="17" customWidth="1"/>
    <col min="15" max="15" width="14.42578125" style="17" customWidth="1"/>
    <col min="16" max="16" width="11.5703125" style="17" customWidth="1"/>
    <col min="17" max="17" width="6.42578125" style="17" customWidth="1"/>
    <col min="18" max="18" width="27.85546875" style="17" bestFit="1" customWidth="1"/>
    <col min="19" max="19" width="7.42578125" style="17" bestFit="1" customWidth="1"/>
    <col min="20" max="16384" width="8.85546875" style="17"/>
  </cols>
  <sheetData>
    <row r="2" spans="2:19" ht="12.75" thickBot="1" x14ac:dyDescent="0.25">
      <c r="B2" s="42" t="s">
        <v>2836</v>
      </c>
    </row>
    <row r="3" spans="2:19" ht="12.75" thickBot="1" x14ac:dyDescent="0.25">
      <c r="C3" s="558" t="s">
        <v>2849</v>
      </c>
      <c r="D3" s="562"/>
      <c r="E3" s="562"/>
      <c r="F3" s="562"/>
      <c r="G3" s="562"/>
      <c r="H3" s="559"/>
      <c r="I3" s="558" t="s">
        <v>2850</v>
      </c>
      <c r="J3" s="562"/>
      <c r="K3" s="562"/>
      <c r="L3" s="562"/>
      <c r="M3" s="562"/>
      <c r="N3" s="559"/>
      <c r="O3" s="558" t="s">
        <v>2854</v>
      </c>
      <c r="P3" s="559"/>
    </row>
    <row r="4" spans="2:19" ht="12.75" customHeight="1" thickBot="1" x14ac:dyDescent="0.25">
      <c r="B4" s="524" t="s">
        <v>0</v>
      </c>
      <c r="C4" s="504" t="s">
        <v>2843</v>
      </c>
      <c r="D4" s="504" t="s">
        <v>2844</v>
      </c>
      <c r="E4" s="504" t="s">
        <v>2845</v>
      </c>
      <c r="F4" s="504" t="s">
        <v>2846</v>
      </c>
      <c r="G4" s="504" t="s">
        <v>2847</v>
      </c>
      <c r="H4" s="565" t="s">
        <v>2848</v>
      </c>
      <c r="I4" s="518" t="s">
        <v>2843</v>
      </c>
      <c r="J4" s="504" t="s">
        <v>2844</v>
      </c>
      <c r="K4" s="508" t="s">
        <v>2845</v>
      </c>
      <c r="L4" s="504" t="s">
        <v>2846</v>
      </c>
      <c r="M4" s="504" t="s">
        <v>2847</v>
      </c>
      <c r="N4" s="530" t="s">
        <v>2848</v>
      </c>
      <c r="O4" s="504" t="s">
        <v>2851</v>
      </c>
      <c r="P4" s="530" t="s">
        <v>2852</v>
      </c>
      <c r="R4" s="42" t="s">
        <v>2835</v>
      </c>
    </row>
    <row r="5" spans="2:19" ht="12.75" thickBot="1" x14ac:dyDescent="0.25">
      <c r="B5" s="525"/>
      <c r="C5" s="529"/>
      <c r="D5" s="529"/>
      <c r="E5" s="529"/>
      <c r="F5" s="529"/>
      <c r="G5" s="529"/>
      <c r="H5" s="566"/>
      <c r="I5" s="545"/>
      <c r="J5" s="529"/>
      <c r="K5" s="523"/>
      <c r="L5" s="529"/>
      <c r="M5" s="529"/>
      <c r="N5" s="531"/>
      <c r="O5" s="505"/>
      <c r="P5" s="563"/>
      <c r="R5" s="27" t="s">
        <v>2833</v>
      </c>
      <c r="S5" s="26">
        <f>Assumptions!D7</f>
        <v>2026</v>
      </c>
    </row>
    <row r="6" spans="2:19" x14ac:dyDescent="0.2">
      <c r="B6" s="21">
        <f>B7-1</f>
        <v>2025</v>
      </c>
      <c r="C6" s="29"/>
      <c r="D6" s="30"/>
      <c r="E6" s="30"/>
      <c r="F6" s="91"/>
      <c r="G6" s="306"/>
      <c r="H6" s="236"/>
      <c r="I6" s="29"/>
      <c r="J6" s="30"/>
      <c r="K6" s="30"/>
      <c r="L6" s="91"/>
      <c r="M6" s="306"/>
      <c r="N6" s="236"/>
      <c r="O6" s="35">
        <f>SUM(C6:H6)</f>
        <v>0</v>
      </c>
      <c r="P6" s="36">
        <f>SUM(I6:N6)</f>
        <v>0</v>
      </c>
      <c r="R6" s="25" t="s">
        <v>2832</v>
      </c>
      <c r="S6" s="24">
        <v>1</v>
      </c>
    </row>
    <row r="7" spans="2:19" x14ac:dyDescent="0.2">
      <c r="B7" s="21">
        <f>S5</f>
        <v>2026</v>
      </c>
      <c r="C7" s="98">
        <v>6852000</v>
      </c>
      <c r="D7" s="99">
        <v>2281726</v>
      </c>
      <c r="E7" s="99">
        <v>8330000</v>
      </c>
      <c r="F7" s="99">
        <v>7528202.2000000002</v>
      </c>
      <c r="G7" s="99"/>
      <c r="H7" s="102">
        <v>11155000</v>
      </c>
      <c r="I7" s="98">
        <f>C7*(1.07)^-($B7-2021)</f>
        <v>4885381.3018220961</v>
      </c>
      <c r="J7" s="99">
        <f t="shared" ref="J7:K7" si="0">D7*(1.07)^-($B7-2021)</f>
        <v>1626839.1033685526</v>
      </c>
      <c r="K7" s="99">
        <f t="shared" si="0"/>
        <v>5939174.8750989577</v>
      </c>
      <c r="L7" s="99">
        <f>F7*(1.07)^-($B6-2021)</f>
        <v>5743229.4137056461</v>
      </c>
      <c r="M7" s="99"/>
      <c r="N7" s="102">
        <f>H7*(1.07)^-($B7-2021)</f>
        <v>7953360.8321403209</v>
      </c>
      <c r="O7" s="285">
        <f>SUM(C7:H7)</f>
        <v>36146928.200000003</v>
      </c>
      <c r="P7" s="55">
        <f>SUM(I7:N7)</f>
        <v>26147985.526135571</v>
      </c>
      <c r="R7" s="23" t="s">
        <v>2831</v>
      </c>
      <c r="S7" s="22">
        <v>20</v>
      </c>
    </row>
    <row r="8" spans="2:19" x14ac:dyDescent="0.2">
      <c r="B8" s="21">
        <f t="shared" ref="B8:B27" si="1">B7+1</f>
        <v>2027</v>
      </c>
      <c r="C8" s="98"/>
      <c r="D8" s="99"/>
      <c r="E8" s="99"/>
      <c r="F8" s="99"/>
      <c r="G8" s="99">
        <v>3680000</v>
      </c>
      <c r="H8" s="102"/>
      <c r="I8" s="98"/>
      <c r="J8" s="99"/>
      <c r="K8" s="99"/>
      <c r="L8" s="99"/>
      <c r="M8" s="99">
        <f>G8*(1.07)^-($B8-2021)</f>
        <v>2452139.3836447662</v>
      </c>
      <c r="N8" s="102"/>
      <c r="O8" s="285">
        <f>SUM(C8:H8)</f>
        <v>3680000</v>
      </c>
      <c r="P8" s="55">
        <f>SUM(I8:N8)</f>
        <v>2452139.3836447662</v>
      </c>
      <c r="R8" s="23" t="s">
        <v>2830</v>
      </c>
      <c r="S8" s="22">
        <v>25</v>
      </c>
    </row>
    <row r="9" spans="2:19" x14ac:dyDescent="0.2">
      <c r="B9" s="21">
        <f t="shared" si="1"/>
        <v>2028</v>
      </c>
      <c r="C9" s="98"/>
      <c r="D9" s="99"/>
      <c r="E9" s="99"/>
      <c r="F9" s="99"/>
      <c r="G9" s="99"/>
      <c r="H9" s="102"/>
      <c r="I9" s="98"/>
      <c r="J9" s="99"/>
      <c r="K9" s="99"/>
      <c r="L9" s="99"/>
      <c r="M9" s="99"/>
      <c r="N9" s="102"/>
      <c r="O9" s="285"/>
      <c r="P9" s="287"/>
    </row>
    <row r="10" spans="2:19" x14ac:dyDescent="0.2">
      <c r="B10" s="21">
        <f t="shared" si="1"/>
        <v>2029</v>
      </c>
      <c r="C10" s="20"/>
      <c r="D10" s="307"/>
      <c r="E10" s="307"/>
      <c r="F10" s="307"/>
      <c r="G10" s="307"/>
      <c r="H10" s="308"/>
      <c r="I10" s="20"/>
      <c r="J10" s="307"/>
      <c r="K10" s="307"/>
      <c r="L10" s="307"/>
      <c r="M10" s="307"/>
      <c r="N10" s="308"/>
      <c r="O10" s="38"/>
      <c r="P10" s="39"/>
    </row>
    <row r="11" spans="2:19" x14ac:dyDescent="0.2">
      <c r="B11" s="21">
        <f t="shared" si="1"/>
        <v>2030</v>
      </c>
      <c r="C11" s="38"/>
      <c r="D11" s="65"/>
      <c r="E11" s="65"/>
      <c r="F11" s="65"/>
      <c r="G11" s="65"/>
      <c r="H11" s="39"/>
      <c r="I11" s="38"/>
      <c r="J11" s="65"/>
      <c r="K11" s="65"/>
      <c r="L11" s="65"/>
      <c r="M11" s="65"/>
      <c r="N11" s="39"/>
      <c r="O11" s="38"/>
      <c r="P11" s="39"/>
    </row>
    <row r="12" spans="2:19" x14ac:dyDescent="0.2">
      <c r="B12" s="21">
        <f t="shared" si="1"/>
        <v>2031</v>
      </c>
      <c r="C12" s="20"/>
      <c r="D12" s="307"/>
      <c r="E12" s="307"/>
      <c r="F12" s="307"/>
      <c r="G12" s="307"/>
      <c r="H12" s="308"/>
      <c r="I12" s="20"/>
      <c r="J12" s="307"/>
      <c r="K12" s="307"/>
      <c r="L12" s="307"/>
      <c r="M12" s="307"/>
      <c r="N12" s="308"/>
      <c r="O12" s="38"/>
      <c r="P12" s="39"/>
    </row>
    <row r="13" spans="2:19" x14ac:dyDescent="0.2">
      <c r="B13" s="21">
        <f t="shared" si="1"/>
        <v>2032</v>
      </c>
      <c r="C13" s="20"/>
      <c r="D13" s="307"/>
      <c r="E13" s="307"/>
      <c r="F13" s="307"/>
      <c r="G13" s="307"/>
      <c r="H13" s="308"/>
      <c r="I13" s="20"/>
      <c r="J13" s="307"/>
      <c r="K13" s="307"/>
      <c r="L13" s="307"/>
      <c r="M13" s="307"/>
      <c r="N13" s="308"/>
      <c r="O13" s="38"/>
      <c r="P13" s="39"/>
    </row>
    <row r="14" spans="2:19" x14ac:dyDescent="0.2">
      <c r="B14" s="21">
        <f t="shared" si="1"/>
        <v>2033</v>
      </c>
      <c r="C14" s="20"/>
      <c r="D14" s="307"/>
      <c r="E14" s="307"/>
      <c r="F14" s="307"/>
      <c r="G14" s="307"/>
      <c r="H14" s="308"/>
      <c r="I14" s="20"/>
      <c r="J14" s="307"/>
      <c r="K14" s="307"/>
      <c r="L14" s="307"/>
      <c r="M14" s="307"/>
      <c r="N14" s="308"/>
      <c r="O14" s="38"/>
      <c r="P14" s="39"/>
      <c r="S14" s="188"/>
    </row>
    <row r="15" spans="2:19" x14ac:dyDescent="0.2">
      <c r="B15" s="21">
        <f t="shared" si="1"/>
        <v>2034</v>
      </c>
      <c r="C15" s="20"/>
      <c r="D15" s="307"/>
      <c r="E15" s="307"/>
      <c r="F15" s="307"/>
      <c r="G15" s="307"/>
      <c r="H15" s="308"/>
      <c r="I15" s="20"/>
      <c r="J15" s="307"/>
      <c r="K15" s="307"/>
      <c r="L15" s="307"/>
      <c r="M15" s="307"/>
      <c r="N15" s="308"/>
      <c r="O15" s="38"/>
      <c r="P15" s="39"/>
      <c r="S15" s="188"/>
    </row>
    <row r="16" spans="2:19" x14ac:dyDescent="0.2">
      <c r="B16" s="21">
        <f t="shared" si="1"/>
        <v>2035</v>
      </c>
      <c r="C16" s="20"/>
      <c r="D16" s="307"/>
      <c r="E16" s="307"/>
      <c r="F16" s="307"/>
      <c r="G16" s="307"/>
      <c r="H16" s="308"/>
      <c r="I16" s="20"/>
      <c r="J16" s="307"/>
      <c r="K16" s="307"/>
      <c r="L16" s="307"/>
      <c r="M16" s="307"/>
      <c r="N16" s="308"/>
      <c r="O16" s="38"/>
      <c r="P16" s="39"/>
      <c r="S16" s="188"/>
    </row>
    <row r="17" spans="2:21" x14ac:dyDescent="0.2">
      <c r="B17" s="21">
        <f t="shared" si="1"/>
        <v>2036</v>
      </c>
      <c r="C17" s="20"/>
      <c r="D17" s="307"/>
      <c r="E17" s="307"/>
      <c r="F17" s="307"/>
      <c r="G17" s="307"/>
      <c r="H17" s="308"/>
      <c r="I17" s="20"/>
      <c r="J17" s="307"/>
      <c r="K17" s="307"/>
      <c r="L17" s="307"/>
      <c r="M17" s="307"/>
      <c r="N17" s="308"/>
      <c r="O17" s="38"/>
      <c r="P17" s="39"/>
    </row>
    <row r="18" spans="2:21" x14ac:dyDescent="0.2">
      <c r="B18" s="21">
        <f t="shared" si="1"/>
        <v>2037</v>
      </c>
      <c r="C18" s="20"/>
      <c r="D18" s="307"/>
      <c r="E18" s="307"/>
      <c r="F18" s="307"/>
      <c r="G18" s="307"/>
      <c r="H18" s="308"/>
      <c r="I18" s="20"/>
      <c r="J18" s="307"/>
      <c r="K18" s="307"/>
      <c r="L18" s="307"/>
      <c r="M18" s="307"/>
      <c r="N18" s="308"/>
      <c r="O18" s="38"/>
      <c r="P18" s="39"/>
    </row>
    <row r="19" spans="2:21" x14ac:dyDescent="0.2">
      <c r="B19" s="21">
        <f t="shared" si="1"/>
        <v>2038</v>
      </c>
      <c r="C19" s="20"/>
      <c r="D19" s="307"/>
      <c r="E19" s="307"/>
      <c r="F19" s="307"/>
      <c r="G19" s="307"/>
      <c r="H19" s="308"/>
      <c r="I19" s="20"/>
      <c r="J19" s="307"/>
      <c r="K19" s="307"/>
      <c r="L19" s="307"/>
      <c r="M19" s="307"/>
      <c r="N19" s="308"/>
      <c r="O19" s="38"/>
      <c r="P19" s="39"/>
    </row>
    <row r="20" spans="2:21" x14ac:dyDescent="0.2">
      <c r="B20" s="21">
        <f t="shared" si="1"/>
        <v>2039</v>
      </c>
      <c r="C20" s="20"/>
      <c r="D20" s="307"/>
      <c r="E20" s="307"/>
      <c r="F20" s="307"/>
      <c r="G20" s="307"/>
      <c r="H20" s="308"/>
      <c r="I20" s="20"/>
      <c r="J20" s="307"/>
      <c r="K20" s="307"/>
      <c r="L20" s="307"/>
      <c r="M20" s="307"/>
      <c r="N20" s="308"/>
      <c r="O20" s="38"/>
      <c r="P20" s="39"/>
    </row>
    <row r="21" spans="2:21" x14ac:dyDescent="0.2">
      <c r="B21" s="21">
        <f t="shared" si="1"/>
        <v>2040</v>
      </c>
      <c r="C21" s="20"/>
      <c r="D21" s="307"/>
      <c r="E21" s="307"/>
      <c r="F21" s="307"/>
      <c r="G21" s="307"/>
      <c r="H21" s="308"/>
      <c r="I21" s="20"/>
      <c r="J21" s="307"/>
      <c r="K21" s="307"/>
      <c r="L21" s="307"/>
      <c r="M21" s="307"/>
      <c r="N21" s="308"/>
      <c r="O21" s="38"/>
      <c r="P21" s="39"/>
    </row>
    <row r="22" spans="2:21" x14ac:dyDescent="0.2">
      <c r="B22" s="21">
        <f t="shared" si="1"/>
        <v>2041</v>
      </c>
      <c r="C22" s="20"/>
      <c r="D22" s="307"/>
      <c r="E22" s="307"/>
      <c r="F22" s="307"/>
      <c r="G22" s="307"/>
      <c r="H22" s="308"/>
      <c r="I22" s="20"/>
      <c r="J22" s="307"/>
      <c r="K22" s="307"/>
      <c r="L22" s="307"/>
      <c r="M22" s="307"/>
      <c r="N22" s="308"/>
      <c r="O22" s="38"/>
      <c r="P22" s="39"/>
    </row>
    <row r="23" spans="2:21" x14ac:dyDescent="0.2">
      <c r="B23" s="21">
        <f t="shared" si="1"/>
        <v>2042</v>
      </c>
      <c r="C23" s="20"/>
      <c r="D23" s="307"/>
      <c r="E23" s="307"/>
      <c r="F23" s="307"/>
      <c r="G23" s="307"/>
      <c r="H23" s="308"/>
      <c r="I23" s="20"/>
      <c r="J23" s="307"/>
      <c r="K23" s="307"/>
      <c r="L23" s="307"/>
      <c r="M23" s="307"/>
      <c r="N23" s="308"/>
      <c r="O23" s="38"/>
      <c r="P23" s="39"/>
      <c r="U23" s="226"/>
    </row>
    <row r="24" spans="2:21" x14ac:dyDescent="0.2">
      <c r="B24" s="21">
        <f t="shared" si="1"/>
        <v>2043</v>
      </c>
      <c r="C24" s="20"/>
      <c r="D24" s="307"/>
      <c r="E24" s="307"/>
      <c r="F24" s="307"/>
      <c r="G24" s="307"/>
      <c r="H24" s="308"/>
      <c r="I24" s="20"/>
      <c r="J24" s="307"/>
      <c r="K24" s="307"/>
      <c r="L24" s="307"/>
      <c r="M24" s="307"/>
      <c r="N24" s="308"/>
      <c r="O24" s="38"/>
      <c r="P24" s="39"/>
      <c r="U24" s="226"/>
    </row>
    <row r="25" spans="2:21" ht="12.75" thickBot="1" x14ac:dyDescent="0.25">
      <c r="B25" s="21">
        <f t="shared" si="1"/>
        <v>2044</v>
      </c>
      <c r="C25" s="288"/>
      <c r="D25" s="309"/>
      <c r="E25" s="309"/>
      <c r="F25" s="309"/>
      <c r="G25" s="309"/>
      <c r="H25" s="310"/>
      <c r="I25" s="288"/>
      <c r="J25" s="309"/>
      <c r="K25" s="309"/>
      <c r="L25" s="309"/>
      <c r="M25" s="309"/>
      <c r="N25" s="310"/>
      <c r="O25" s="40"/>
      <c r="P25" s="41"/>
      <c r="U25" s="226"/>
    </row>
    <row r="26" spans="2:21" ht="12.75" thickBot="1" x14ac:dyDescent="0.25">
      <c r="B26" s="32">
        <f t="shared" si="1"/>
        <v>2045</v>
      </c>
      <c r="C26" s="564" t="s">
        <v>2853</v>
      </c>
      <c r="D26" s="564"/>
      <c r="E26" s="564"/>
      <c r="F26" s="564"/>
      <c r="G26" s="564"/>
      <c r="H26" s="561"/>
      <c r="I26" s="560" t="s">
        <v>2834</v>
      </c>
      <c r="J26" s="564"/>
      <c r="K26" s="564"/>
      <c r="L26" s="564"/>
      <c r="M26" s="564"/>
      <c r="N26" s="561"/>
      <c r="O26" s="560" t="s">
        <v>2834</v>
      </c>
      <c r="P26" s="561"/>
      <c r="U26" s="226"/>
    </row>
    <row r="27" spans="2:21" ht="12.75" thickBot="1" x14ac:dyDescent="0.25">
      <c r="B27" s="33">
        <f t="shared" si="1"/>
        <v>2046</v>
      </c>
      <c r="C27" s="34">
        <f>(C7-C28)*(($S$8-$S$7)/$S$8)</f>
        <v>1191663.6000000001</v>
      </c>
      <c r="D27" s="34">
        <f t="shared" ref="D27:H27" si="2">(D7-D28)*(($S$8-$S$7)/$S$8)</f>
        <v>396822</v>
      </c>
      <c r="E27" s="34">
        <f t="shared" si="2"/>
        <v>1449478.2000000002</v>
      </c>
      <c r="F27" s="34">
        <f>(F7-F28)*(($S$8-$S$7)/$S$8)</f>
        <v>1313168.04</v>
      </c>
      <c r="G27" s="34">
        <f>(G8-G28)*(($S$8-$S$7)/$S$8)</f>
        <v>688181</v>
      </c>
      <c r="H27" s="251">
        <f t="shared" si="2"/>
        <v>1940000</v>
      </c>
      <c r="I27" s="34">
        <f>C27*(1.07)^-($B27-2021)</f>
        <v>219563.03818319109</v>
      </c>
      <c r="J27" s="34">
        <f t="shared" ref="J27:L27" si="3">D27*(1.07)^-($B27-2021)</f>
        <v>73114.127122730148</v>
      </c>
      <c r="K27" s="34">
        <f t="shared" si="3"/>
        <v>267065.16618641629</v>
      </c>
      <c r="L27" s="34">
        <f t="shared" si="3"/>
        <v>241950.13131849139</v>
      </c>
      <c r="M27" s="34">
        <f>G27*(1.07)^-(M28-2021)</f>
        <v>118501.66657610502</v>
      </c>
      <c r="N27" s="251">
        <f>H27*(1.07)^-($B27-2021)</f>
        <v>357443.40439314477</v>
      </c>
      <c r="O27" s="34">
        <f>SUM(C27:H27)</f>
        <v>6979312.8399999999</v>
      </c>
      <c r="P27" s="251">
        <f>SUM(I27:N27)</f>
        <v>1277637.5337800789</v>
      </c>
      <c r="U27" s="226"/>
    </row>
    <row r="28" spans="2:21" ht="12.75" thickBot="1" x14ac:dyDescent="0.25">
      <c r="B28" s="252" t="s">
        <v>2950</v>
      </c>
      <c r="C28" s="34">
        <v>893682</v>
      </c>
      <c r="D28" s="34">
        <f>223212+74404</f>
        <v>297616</v>
      </c>
      <c r="E28" s="34">
        <v>1082609</v>
      </c>
      <c r="F28" s="34">
        <f>361926+600436</f>
        <v>962362</v>
      </c>
      <c r="G28" s="34">
        <f>3680000-3440905</f>
        <v>239095</v>
      </c>
      <c r="H28" s="251">
        <v>1455000</v>
      </c>
      <c r="M28" s="17">
        <v>2047</v>
      </c>
      <c r="P28" s="226"/>
      <c r="U28" s="226"/>
    </row>
    <row r="29" spans="2:21" x14ac:dyDescent="0.2">
      <c r="P29" s="226"/>
    </row>
    <row r="30" spans="2:21" x14ac:dyDescent="0.2">
      <c r="P30" s="226"/>
    </row>
    <row r="31" spans="2:21" x14ac:dyDescent="0.2">
      <c r="B31" s="42"/>
      <c r="P31" s="226"/>
    </row>
    <row r="50" spans="3:3" x14ac:dyDescent="0.2">
      <c r="C50" s="20"/>
    </row>
    <row r="52" spans="3:3" x14ac:dyDescent="0.2">
      <c r="C52" s="42"/>
    </row>
    <row r="58" spans="3:3" ht="15" customHeight="1" x14ac:dyDescent="0.2"/>
    <row r="64" spans="3:3" ht="15" customHeight="1" x14ac:dyDescent="0.2"/>
  </sheetData>
  <mergeCells count="21">
    <mergeCell ref="C26:H26"/>
    <mergeCell ref="I26:N26"/>
    <mergeCell ref="C3:H3"/>
    <mergeCell ref="K4:K5"/>
    <mergeCell ref="B4:B5"/>
    <mergeCell ref="C4:C5"/>
    <mergeCell ref="H4:H5"/>
    <mergeCell ref="J4:J5"/>
    <mergeCell ref="D4:D5"/>
    <mergeCell ref="E4:E5"/>
    <mergeCell ref="F4:F5"/>
    <mergeCell ref="G4:G5"/>
    <mergeCell ref="I4:I5"/>
    <mergeCell ref="O3:P3"/>
    <mergeCell ref="O26:P26"/>
    <mergeCell ref="L4:L5"/>
    <mergeCell ref="M4:M5"/>
    <mergeCell ref="N4:N5"/>
    <mergeCell ref="I3:N3"/>
    <mergeCell ref="O4:O5"/>
    <mergeCell ref="P4:P5"/>
  </mergeCells>
  <pageMargins left="0.25" right="0.25" top="0.75" bottom="0.75" header="0.3" footer="0.3"/>
  <pageSetup paperSize="1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3687-64CD-4593-9204-3388AFD1B60B}">
  <sheetPr>
    <tabColor rgb="FFC00000"/>
    <pageSetUpPr fitToPage="1"/>
  </sheetPr>
  <dimension ref="B2:AB57"/>
  <sheetViews>
    <sheetView view="pageBreakPreview" zoomScale="85" zoomScaleNormal="55" zoomScaleSheetLayoutView="85" workbookViewId="0">
      <selection activeCell="C54" sqref="C54:K56"/>
    </sheetView>
  </sheetViews>
  <sheetFormatPr defaultRowHeight="12" x14ac:dyDescent="0.2"/>
  <cols>
    <col min="1" max="1" width="9.140625" style="17"/>
    <col min="2" max="2" width="20.5703125" style="17" customWidth="1"/>
    <col min="3" max="3" width="11.5703125" style="17" customWidth="1"/>
    <col min="4" max="4" width="12" style="17" customWidth="1"/>
    <col min="5" max="6" width="9.5703125" style="17" customWidth="1"/>
    <col min="7" max="7" width="18.140625" style="17" customWidth="1"/>
    <col min="8" max="9" width="13.28515625" style="17" customWidth="1"/>
    <col min="10" max="14" width="11" style="17" customWidth="1"/>
    <col min="15" max="15" width="11.7109375" style="17" customWidth="1"/>
    <col min="16" max="21" width="10.5703125" style="17" customWidth="1"/>
    <col min="22" max="22" width="12.42578125" style="17" customWidth="1"/>
    <col min="23" max="26" width="10.5703125" style="17" customWidth="1"/>
    <col min="27" max="27" width="11.5703125" style="17" bestFit="1" customWidth="1"/>
    <col min="28" max="28" width="12.140625" style="17" customWidth="1"/>
    <col min="29" max="16384" width="9.140625" style="17"/>
  </cols>
  <sheetData>
    <row r="2" spans="2:28" x14ac:dyDescent="0.2">
      <c r="B2" s="42" t="s">
        <v>2824</v>
      </c>
    </row>
    <row r="3" spans="2:28" ht="12.75" thickBot="1" x14ac:dyDescent="0.25">
      <c r="B3" s="111"/>
    </row>
    <row r="4" spans="2:28" ht="15" customHeight="1" x14ac:dyDescent="0.2">
      <c r="B4" s="510" t="s">
        <v>0</v>
      </c>
      <c r="C4" s="573" t="s">
        <v>2917</v>
      </c>
      <c r="D4" s="569"/>
      <c r="E4" s="569"/>
      <c r="F4" s="569"/>
      <c r="G4" s="569"/>
      <c r="H4" s="570"/>
      <c r="I4" s="573" t="s">
        <v>2918</v>
      </c>
      <c r="J4" s="569"/>
      <c r="K4" s="569"/>
      <c r="L4" s="569"/>
      <c r="M4" s="569"/>
      <c r="N4" s="569"/>
      <c r="O4" s="573" t="s">
        <v>2921</v>
      </c>
      <c r="P4" s="569"/>
      <c r="Q4" s="569"/>
      <c r="R4" s="569"/>
      <c r="S4" s="569"/>
      <c r="T4" s="570"/>
      <c r="U4" s="569" t="s">
        <v>2925</v>
      </c>
      <c r="V4" s="569"/>
      <c r="W4" s="569"/>
      <c r="X4" s="569"/>
      <c r="Y4" s="569"/>
      <c r="Z4" s="570"/>
      <c r="AA4" s="573" t="s">
        <v>2922</v>
      </c>
      <c r="AB4" s="570"/>
    </row>
    <row r="5" spans="2:28" ht="12.75" thickBot="1" x14ac:dyDescent="0.25">
      <c r="B5" s="577"/>
      <c r="C5" s="574"/>
      <c r="D5" s="571"/>
      <c r="E5" s="571"/>
      <c r="F5" s="571"/>
      <c r="G5" s="571"/>
      <c r="H5" s="572"/>
      <c r="I5" s="574"/>
      <c r="J5" s="571"/>
      <c r="K5" s="571"/>
      <c r="L5" s="571"/>
      <c r="M5" s="571"/>
      <c r="N5" s="571"/>
      <c r="O5" s="574"/>
      <c r="P5" s="571"/>
      <c r="Q5" s="571"/>
      <c r="R5" s="571"/>
      <c r="S5" s="571"/>
      <c r="T5" s="572"/>
      <c r="U5" s="571"/>
      <c r="V5" s="571"/>
      <c r="W5" s="571"/>
      <c r="X5" s="571"/>
      <c r="Y5" s="571"/>
      <c r="Z5" s="572"/>
      <c r="AA5" s="575"/>
      <c r="AB5" s="576"/>
    </row>
    <row r="6" spans="2:28" ht="12" customHeight="1" x14ac:dyDescent="0.2">
      <c r="B6" s="577"/>
      <c r="C6" s="552" t="s">
        <v>3</v>
      </c>
      <c r="D6" s="508" t="s">
        <v>1</v>
      </c>
      <c r="E6" s="508" t="s">
        <v>6</v>
      </c>
      <c r="F6" s="508" t="s">
        <v>5</v>
      </c>
      <c r="G6" s="508" t="s">
        <v>2</v>
      </c>
      <c r="H6" s="502" t="s">
        <v>4</v>
      </c>
      <c r="I6" s="552" t="s">
        <v>3</v>
      </c>
      <c r="J6" s="508" t="s">
        <v>1</v>
      </c>
      <c r="K6" s="508" t="s">
        <v>6</v>
      </c>
      <c r="L6" s="508" t="s">
        <v>5</v>
      </c>
      <c r="M6" s="508" t="s">
        <v>2</v>
      </c>
      <c r="N6" s="567" t="s">
        <v>4</v>
      </c>
      <c r="O6" s="512" t="s">
        <v>3</v>
      </c>
      <c r="P6" s="508" t="s">
        <v>1</v>
      </c>
      <c r="Q6" s="508" t="s">
        <v>6</v>
      </c>
      <c r="R6" s="508" t="s">
        <v>5</v>
      </c>
      <c r="S6" s="508" t="s">
        <v>2</v>
      </c>
      <c r="T6" s="502" t="s">
        <v>4</v>
      </c>
      <c r="U6" s="552" t="s">
        <v>3</v>
      </c>
      <c r="V6" s="508" t="s">
        <v>1</v>
      </c>
      <c r="W6" s="508" t="s">
        <v>6</v>
      </c>
      <c r="X6" s="508" t="s">
        <v>5</v>
      </c>
      <c r="Y6" s="508" t="s">
        <v>2</v>
      </c>
      <c r="Z6" s="567" t="s">
        <v>4</v>
      </c>
      <c r="AA6" s="518" t="s">
        <v>2923</v>
      </c>
      <c r="AB6" s="506" t="s">
        <v>2924</v>
      </c>
    </row>
    <row r="7" spans="2:28" ht="12.75" thickBot="1" x14ac:dyDescent="0.25">
      <c r="B7" s="511"/>
      <c r="C7" s="553"/>
      <c r="D7" s="523"/>
      <c r="E7" s="523"/>
      <c r="F7" s="523"/>
      <c r="G7" s="523"/>
      <c r="H7" s="549"/>
      <c r="I7" s="553"/>
      <c r="J7" s="523"/>
      <c r="K7" s="523"/>
      <c r="L7" s="523"/>
      <c r="M7" s="523"/>
      <c r="N7" s="568"/>
      <c r="O7" s="513"/>
      <c r="P7" s="523"/>
      <c r="Q7" s="523"/>
      <c r="R7" s="523"/>
      <c r="S7" s="523"/>
      <c r="T7" s="549"/>
      <c r="U7" s="553"/>
      <c r="V7" s="523"/>
      <c r="W7" s="523"/>
      <c r="X7" s="523"/>
      <c r="Y7" s="523"/>
      <c r="Z7" s="568"/>
      <c r="AA7" s="545"/>
      <c r="AB7" s="544"/>
    </row>
    <row r="8" spans="2:28" x14ac:dyDescent="0.2">
      <c r="B8" s="73">
        <f>B9-1</f>
        <v>2025</v>
      </c>
      <c r="C8" s="247"/>
      <c r="D8" s="51">
        <f>H46</f>
        <v>108000</v>
      </c>
      <c r="E8" s="51"/>
      <c r="F8" s="51"/>
      <c r="G8" s="51"/>
      <c r="H8" s="248"/>
      <c r="I8" s="247"/>
      <c r="J8" s="51"/>
      <c r="K8" s="51"/>
      <c r="L8" s="51"/>
      <c r="M8" s="51"/>
      <c r="N8" s="52"/>
      <c r="O8" s="247">
        <f t="shared" ref="O8:O9" si="0">C8-I8</f>
        <v>0</v>
      </c>
      <c r="P8" s="51">
        <f t="shared" ref="P8:P9" si="1">D8-J8</f>
        <v>108000</v>
      </c>
      <c r="Q8" s="51">
        <f t="shared" ref="Q8:Q9" si="2">E8-K8</f>
        <v>0</v>
      </c>
      <c r="R8" s="51">
        <f t="shared" ref="R8:R9" si="3">F8-L8</f>
        <v>0</v>
      </c>
      <c r="S8" s="51">
        <f t="shared" ref="S8:S9" si="4">G8-M8</f>
        <v>0</v>
      </c>
      <c r="T8" s="52">
        <f t="shared" ref="T8:T9" si="5">H8-N8</f>
        <v>0</v>
      </c>
      <c r="U8" s="247">
        <f>O8*1.07^-($B8-2021)</f>
        <v>0</v>
      </c>
      <c r="V8" s="51">
        <f t="shared" ref="V8:V9" si="6">P8*1.07^-($B8-2021)</f>
        <v>82392.682901132721</v>
      </c>
      <c r="W8" s="51">
        <f t="shared" ref="W8:W9" si="7">Q8*1.07^-($B8-2021)</f>
        <v>0</v>
      </c>
      <c r="X8" s="51">
        <f t="shared" ref="X8:X9" si="8">R8*1.07^-($B8-2021)</f>
        <v>0</v>
      </c>
      <c r="Y8" s="51">
        <f t="shared" ref="Y8:Y9" si="9">S8*1.07^-($B8-2021)</f>
        <v>0</v>
      </c>
      <c r="Z8" s="248">
        <f t="shared" ref="Z8:Z9" si="10">T8*1.07^-($B8-2021)</f>
        <v>0</v>
      </c>
      <c r="AA8" s="247">
        <f>SUM(O8:T8)</f>
        <v>108000</v>
      </c>
      <c r="AB8" s="52">
        <f>SUM(U8:Z8)</f>
        <v>82392.682901132721</v>
      </c>
    </row>
    <row r="9" spans="2:28" ht="12.75" thickBot="1" x14ac:dyDescent="0.25">
      <c r="B9" s="1">
        <f>B10-1</f>
        <v>2026</v>
      </c>
      <c r="C9" s="113">
        <f>$H$45+H44</f>
        <v>207315.97999999998</v>
      </c>
      <c r="D9" s="54"/>
      <c r="E9" s="54"/>
      <c r="F9" s="54"/>
      <c r="G9" s="54"/>
      <c r="H9" s="115"/>
      <c r="I9" s="113"/>
      <c r="J9" s="54"/>
      <c r="K9" s="54"/>
      <c r="L9" s="54"/>
      <c r="M9" s="54"/>
      <c r="N9" s="55"/>
      <c r="O9" s="113">
        <f t="shared" si="0"/>
        <v>207315.97999999998</v>
      </c>
      <c r="P9" s="54">
        <f t="shared" si="1"/>
        <v>0</v>
      </c>
      <c r="Q9" s="54">
        <f t="shared" si="2"/>
        <v>0</v>
      </c>
      <c r="R9" s="54">
        <f t="shared" si="3"/>
        <v>0</v>
      </c>
      <c r="S9" s="54">
        <f t="shared" si="4"/>
        <v>0</v>
      </c>
      <c r="T9" s="55">
        <f t="shared" si="5"/>
        <v>0</v>
      </c>
      <c r="U9" s="113">
        <f>O9*1.07^-($B9-2021)</f>
        <v>147813.42852611258</v>
      </c>
      <c r="V9" s="54">
        <f t="shared" si="6"/>
        <v>0</v>
      </c>
      <c r="W9" s="54">
        <f t="shared" si="7"/>
        <v>0</v>
      </c>
      <c r="X9" s="54">
        <f t="shared" si="8"/>
        <v>0</v>
      </c>
      <c r="Y9" s="54">
        <f t="shared" si="9"/>
        <v>0</v>
      </c>
      <c r="Z9" s="115">
        <f t="shared" si="10"/>
        <v>0</v>
      </c>
      <c r="AA9" s="113">
        <f t="shared" ref="AA9" si="11">SUM(O9:T9)</f>
        <v>207315.97999999998</v>
      </c>
      <c r="AB9" s="55">
        <f t="shared" ref="AB9" si="12">SUM(U9:Z9)</f>
        <v>147813.42852611258</v>
      </c>
    </row>
    <row r="10" spans="2:28" x14ac:dyDescent="0.2">
      <c r="B10" s="73">
        <f>Assumptions!D8</f>
        <v>2027</v>
      </c>
      <c r="C10" s="247">
        <f t="shared" ref="C10:C18" si="13">$H$45</f>
        <v>85000</v>
      </c>
      <c r="D10" s="51">
        <f t="shared" ref="D10:D17" si="14">$H$47</f>
        <v>39048</v>
      </c>
      <c r="E10" s="51">
        <f t="shared" ref="E10:E29" si="15">$C$41</f>
        <v>264950.86896290851</v>
      </c>
      <c r="F10" s="51">
        <f t="shared" ref="F10:F29" si="16">$C$42</f>
        <v>103875.38385937865</v>
      </c>
      <c r="G10" s="51">
        <v>0</v>
      </c>
      <c r="H10" s="248">
        <f t="shared" ref="H10:H29" si="17">$C$44</f>
        <v>127441.82557196896</v>
      </c>
      <c r="I10" s="247">
        <f>$D$39</f>
        <v>85000</v>
      </c>
      <c r="J10" s="51">
        <f t="shared" ref="J10:J29" si="18">$D$40</f>
        <v>39048</v>
      </c>
      <c r="K10" s="51">
        <f>$D$41</f>
        <v>229747.20000000001</v>
      </c>
      <c r="L10" s="51">
        <f t="shared" ref="L10:L29" si="19">$D$42</f>
        <v>90073.600000000006</v>
      </c>
      <c r="M10" s="51">
        <v>0</v>
      </c>
      <c r="N10" s="52">
        <f t="shared" ref="N10:N29" si="20">$D$44</f>
        <v>110508.8</v>
      </c>
      <c r="O10" s="247">
        <f>C10-I10</f>
        <v>0</v>
      </c>
      <c r="P10" s="51">
        <f t="shared" ref="P10:P29" si="21">D10-J10</f>
        <v>0</v>
      </c>
      <c r="Q10" s="51">
        <f t="shared" ref="Q10:Q29" si="22">E10-K10</f>
        <v>35203.668962908501</v>
      </c>
      <c r="R10" s="51">
        <f t="shared" ref="R10:R29" si="23">F10-L10</f>
        <v>13801.783859378644</v>
      </c>
      <c r="S10" s="51">
        <f t="shared" ref="S10:S29" si="24">G10-M10</f>
        <v>0</v>
      </c>
      <c r="T10" s="52">
        <f t="shared" ref="T10:T29" si="25">H10-N10</f>
        <v>16933.025571968959</v>
      </c>
      <c r="U10" s="247">
        <f>O10*1.07^-($B10-2021)</f>
        <v>0</v>
      </c>
      <c r="V10" s="51">
        <f t="shared" ref="V10:V29" si="26">P10*1.07^-($B10-2021)</f>
        <v>0</v>
      </c>
      <c r="W10" s="51">
        <f t="shared" ref="W10:W29" si="27">Q10*1.07^-($B10-2021)</f>
        <v>23457.691063244791</v>
      </c>
      <c r="X10" s="51">
        <f t="shared" ref="X10:X29" si="28">R10*1.07^-($B10-2021)</f>
        <v>9196.7113494932146</v>
      </c>
      <c r="Y10" s="51">
        <f t="shared" ref="Y10:Y29" si="29">S10*1.07^-($B10-2021)</f>
        <v>0</v>
      </c>
      <c r="Z10" s="248">
        <f t="shared" ref="Z10:Z29" si="30">T10*1.07^-($B10-2021)</f>
        <v>11283.189915567671</v>
      </c>
      <c r="AA10" s="247">
        <f>SUM(O10:T10)</f>
        <v>65938.478394256104</v>
      </c>
      <c r="AB10" s="52">
        <f>SUM(U10:Z10)</f>
        <v>43937.592328305676</v>
      </c>
    </row>
    <row r="11" spans="2:28" x14ac:dyDescent="0.2">
      <c r="B11" s="1">
        <f>B10+1</f>
        <v>2028</v>
      </c>
      <c r="C11" s="113">
        <f t="shared" si="13"/>
        <v>85000</v>
      </c>
      <c r="D11" s="54">
        <f t="shared" si="14"/>
        <v>39048</v>
      </c>
      <c r="E11" s="54">
        <f t="shared" si="15"/>
        <v>264950.86896290851</v>
      </c>
      <c r="F11" s="54">
        <f t="shared" si="16"/>
        <v>103875.38385937865</v>
      </c>
      <c r="G11" s="54">
        <f t="shared" ref="G11:G28" si="31">$C$43</f>
        <v>269298.07665746403</v>
      </c>
      <c r="H11" s="115">
        <f t="shared" si="17"/>
        <v>127441.82557196896</v>
      </c>
      <c r="I11" s="113">
        <f t="shared" ref="I11:I29" si="32">$D$39</f>
        <v>85000</v>
      </c>
      <c r="J11" s="54">
        <f t="shared" si="18"/>
        <v>39048</v>
      </c>
      <c r="K11" s="54">
        <f t="shared" ref="K11:K29" si="33">$D$41</f>
        <v>229747.20000000001</v>
      </c>
      <c r="L11" s="54">
        <f t="shared" si="19"/>
        <v>90073.600000000006</v>
      </c>
      <c r="M11" s="54">
        <f t="shared" ref="M11:M30" si="34">$D$43</f>
        <v>233516.79999999999</v>
      </c>
      <c r="N11" s="55">
        <f t="shared" si="20"/>
        <v>110508.8</v>
      </c>
      <c r="O11" s="113">
        <f t="shared" ref="O11:O29" si="35">C11-I11</f>
        <v>0</v>
      </c>
      <c r="P11" s="54">
        <f t="shared" si="21"/>
        <v>0</v>
      </c>
      <c r="Q11" s="54">
        <f t="shared" si="22"/>
        <v>35203.668962908501</v>
      </c>
      <c r="R11" s="54">
        <f t="shared" si="23"/>
        <v>13801.783859378644</v>
      </c>
      <c r="S11" s="54">
        <f t="shared" si="24"/>
        <v>35781.276657464041</v>
      </c>
      <c r="T11" s="55">
        <f t="shared" si="25"/>
        <v>16933.025571968959</v>
      </c>
      <c r="U11" s="113">
        <f>O11*1.07^-($B11-2021)</f>
        <v>0</v>
      </c>
      <c r="V11" s="54">
        <f t="shared" si="26"/>
        <v>0</v>
      </c>
      <c r="W11" s="54">
        <f t="shared" si="27"/>
        <v>21923.075760041858</v>
      </c>
      <c r="X11" s="54">
        <f t="shared" si="28"/>
        <v>8595.0573359749651</v>
      </c>
      <c r="Y11" s="54">
        <f t="shared" si="29"/>
        <v>22282.780802736877</v>
      </c>
      <c r="Z11" s="115">
        <f t="shared" si="30"/>
        <v>10545.03730426885</v>
      </c>
      <c r="AA11" s="113">
        <f t="shared" ref="AA11:AA29" si="36">SUM(O11:T11)</f>
        <v>101719.75505172015</v>
      </c>
      <c r="AB11" s="55">
        <f t="shared" ref="AB11:AB29" si="37">SUM(U11:Z11)</f>
        <v>63345.951203022552</v>
      </c>
    </row>
    <row r="12" spans="2:28" x14ac:dyDescent="0.2">
      <c r="B12" s="1">
        <f t="shared" ref="B12:B29" si="38">B11+1</f>
        <v>2029</v>
      </c>
      <c r="C12" s="113">
        <f t="shared" si="13"/>
        <v>85000</v>
      </c>
      <c r="D12" s="54">
        <f t="shared" si="14"/>
        <v>39048</v>
      </c>
      <c r="E12" s="54">
        <f t="shared" si="15"/>
        <v>264950.86896290851</v>
      </c>
      <c r="F12" s="54">
        <f t="shared" si="16"/>
        <v>103875.38385937865</v>
      </c>
      <c r="G12" s="54">
        <f t="shared" si="31"/>
        <v>269298.07665746403</v>
      </c>
      <c r="H12" s="115">
        <f t="shared" si="17"/>
        <v>127441.82557196896</v>
      </c>
      <c r="I12" s="113">
        <f t="shared" si="32"/>
        <v>85000</v>
      </c>
      <c r="J12" s="54">
        <f t="shared" si="18"/>
        <v>39048</v>
      </c>
      <c r="K12" s="54">
        <f t="shared" si="33"/>
        <v>229747.20000000001</v>
      </c>
      <c r="L12" s="54">
        <f t="shared" si="19"/>
        <v>90073.600000000006</v>
      </c>
      <c r="M12" s="54">
        <f t="shared" si="34"/>
        <v>233516.79999999999</v>
      </c>
      <c r="N12" s="55">
        <f t="shared" si="20"/>
        <v>110508.8</v>
      </c>
      <c r="O12" s="113">
        <f t="shared" si="35"/>
        <v>0</v>
      </c>
      <c r="P12" s="54">
        <f t="shared" si="21"/>
        <v>0</v>
      </c>
      <c r="Q12" s="54">
        <f t="shared" si="22"/>
        <v>35203.668962908501</v>
      </c>
      <c r="R12" s="54">
        <f t="shared" si="23"/>
        <v>13801.783859378644</v>
      </c>
      <c r="S12" s="54">
        <f t="shared" si="24"/>
        <v>35781.276657464041</v>
      </c>
      <c r="T12" s="55">
        <f t="shared" si="25"/>
        <v>16933.025571968959</v>
      </c>
      <c r="U12" s="113">
        <f t="shared" ref="U12:U29" si="39">O12*1.07^-($B12-2021)</f>
        <v>0</v>
      </c>
      <c r="V12" s="54">
        <f t="shared" si="26"/>
        <v>0</v>
      </c>
      <c r="W12" s="54">
        <f t="shared" si="27"/>
        <v>20488.85585050641</v>
      </c>
      <c r="X12" s="54">
        <f t="shared" si="28"/>
        <v>8032.7638653971644</v>
      </c>
      <c r="Y12" s="54">
        <f t="shared" si="29"/>
        <v>20825.028787604559</v>
      </c>
      <c r="Z12" s="115">
        <f t="shared" si="30"/>
        <v>9855.1750507185516</v>
      </c>
      <c r="AA12" s="113">
        <f t="shared" si="36"/>
        <v>101719.75505172015</v>
      </c>
      <c r="AB12" s="55">
        <f t="shared" si="37"/>
        <v>59201.823554226678</v>
      </c>
    </row>
    <row r="13" spans="2:28" x14ac:dyDescent="0.2">
      <c r="B13" s="1">
        <f t="shared" si="38"/>
        <v>2030</v>
      </c>
      <c r="C13" s="113">
        <f t="shared" si="13"/>
        <v>85000</v>
      </c>
      <c r="D13" s="54">
        <f t="shared" si="14"/>
        <v>39048</v>
      </c>
      <c r="E13" s="54">
        <f t="shared" si="15"/>
        <v>264950.86896290851</v>
      </c>
      <c r="F13" s="54">
        <f t="shared" si="16"/>
        <v>103875.38385937865</v>
      </c>
      <c r="G13" s="54">
        <f t="shared" si="31"/>
        <v>269298.07665746403</v>
      </c>
      <c r="H13" s="115">
        <f t="shared" si="17"/>
        <v>127441.82557196896</v>
      </c>
      <c r="I13" s="113">
        <f t="shared" si="32"/>
        <v>85000</v>
      </c>
      <c r="J13" s="54">
        <f t="shared" si="18"/>
        <v>39048</v>
      </c>
      <c r="K13" s="54">
        <f t="shared" si="33"/>
        <v>229747.20000000001</v>
      </c>
      <c r="L13" s="54">
        <f t="shared" si="19"/>
        <v>90073.600000000006</v>
      </c>
      <c r="M13" s="54">
        <f t="shared" si="34"/>
        <v>233516.79999999999</v>
      </c>
      <c r="N13" s="55">
        <f t="shared" si="20"/>
        <v>110508.8</v>
      </c>
      <c r="O13" s="113">
        <f t="shared" si="35"/>
        <v>0</v>
      </c>
      <c r="P13" s="54">
        <f t="shared" si="21"/>
        <v>0</v>
      </c>
      <c r="Q13" s="54">
        <f t="shared" si="22"/>
        <v>35203.668962908501</v>
      </c>
      <c r="R13" s="54">
        <f t="shared" si="23"/>
        <v>13801.783859378644</v>
      </c>
      <c r="S13" s="54">
        <f t="shared" si="24"/>
        <v>35781.276657464041</v>
      </c>
      <c r="T13" s="55">
        <f t="shared" si="25"/>
        <v>16933.025571968959</v>
      </c>
      <c r="U13" s="113">
        <f t="shared" si="39"/>
        <v>0</v>
      </c>
      <c r="V13" s="54">
        <f t="shared" si="26"/>
        <v>0</v>
      </c>
      <c r="W13" s="54">
        <f t="shared" si="27"/>
        <v>19148.463411688233</v>
      </c>
      <c r="X13" s="54">
        <f t="shared" si="28"/>
        <v>7507.2559489693131</v>
      </c>
      <c r="Y13" s="54">
        <f t="shared" si="29"/>
        <v>19462.643726733233</v>
      </c>
      <c r="Z13" s="115">
        <f t="shared" si="30"/>
        <v>9210.4439726341607</v>
      </c>
      <c r="AA13" s="113">
        <f t="shared" si="36"/>
        <v>101719.75505172015</v>
      </c>
      <c r="AB13" s="55">
        <f t="shared" si="37"/>
        <v>55328.807060024941</v>
      </c>
    </row>
    <row r="14" spans="2:28" x14ac:dyDescent="0.2">
      <c r="B14" s="1">
        <f t="shared" si="38"/>
        <v>2031</v>
      </c>
      <c r="C14" s="113">
        <f t="shared" si="13"/>
        <v>85000</v>
      </c>
      <c r="D14" s="54">
        <f t="shared" si="14"/>
        <v>39048</v>
      </c>
      <c r="E14" s="54">
        <f t="shared" si="15"/>
        <v>264950.86896290851</v>
      </c>
      <c r="F14" s="54">
        <f t="shared" si="16"/>
        <v>103875.38385937865</v>
      </c>
      <c r="G14" s="54">
        <f t="shared" si="31"/>
        <v>269298.07665746403</v>
      </c>
      <c r="H14" s="115">
        <f t="shared" si="17"/>
        <v>127441.82557196896</v>
      </c>
      <c r="I14" s="113">
        <f t="shared" si="32"/>
        <v>85000</v>
      </c>
      <c r="J14" s="54">
        <f t="shared" si="18"/>
        <v>39048</v>
      </c>
      <c r="K14" s="54">
        <f t="shared" si="33"/>
        <v>229747.20000000001</v>
      </c>
      <c r="L14" s="54">
        <f t="shared" si="19"/>
        <v>90073.600000000006</v>
      </c>
      <c r="M14" s="54">
        <f t="shared" si="34"/>
        <v>233516.79999999999</v>
      </c>
      <c r="N14" s="55">
        <f t="shared" si="20"/>
        <v>110508.8</v>
      </c>
      <c r="O14" s="113">
        <f t="shared" si="35"/>
        <v>0</v>
      </c>
      <c r="P14" s="54">
        <f t="shared" si="21"/>
        <v>0</v>
      </c>
      <c r="Q14" s="54">
        <f t="shared" si="22"/>
        <v>35203.668962908501</v>
      </c>
      <c r="R14" s="54">
        <f t="shared" si="23"/>
        <v>13801.783859378644</v>
      </c>
      <c r="S14" s="54">
        <f t="shared" si="24"/>
        <v>35781.276657464041</v>
      </c>
      <c r="T14" s="55">
        <f t="shared" si="25"/>
        <v>16933.025571968959</v>
      </c>
      <c r="U14" s="113">
        <f t="shared" si="39"/>
        <v>0</v>
      </c>
      <c r="V14" s="54">
        <f t="shared" si="26"/>
        <v>0</v>
      </c>
      <c r="W14" s="54">
        <f t="shared" si="27"/>
        <v>17895.76019783947</v>
      </c>
      <c r="X14" s="54">
        <f>R14*1.07^-($B14-2021)</f>
        <v>7016.1270551115067</v>
      </c>
      <c r="Y14" s="54">
        <f t="shared" si="29"/>
        <v>18189.386660498345</v>
      </c>
      <c r="Z14" s="115">
        <f t="shared" si="30"/>
        <v>8607.8915632094959</v>
      </c>
      <c r="AA14" s="113">
        <f t="shared" si="36"/>
        <v>101719.75505172015</v>
      </c>
      <c r="AB14" s="55">
        <f t="shared" si="37"/>
        <v>51709.165476658811</v>
      </c>
    </row>
    <row r="15" spans="2:28" x14ac:dyDescent="0.2">
      <c r="B15" s="1">
        <f t="shared" si="38"/>
        <v>2032</v>
      </c>
      <c r="C15" s="113">
        <f t="shared" si="13"/>
        <v>85000</v>
      </c>
      <c r="D15" s="54">
        <f t="shared" si="14"/>
        <v>39048</v>
      </c>
      <c r="E15" s="54">
        <f t="shared" si="15"/>
        <v>264950.86896290851</v>
      </c>
      <c r="F15" s="54">
        <f t="shared" si="16"/>
        <v>103875.38385937865</v>
      </c>
      <c r="G15" s="54">
        <f t="shared" si="31"/>
        <v>269298.07665746403</v>
      </c>
      <c r="H15" s="115">
        <f t="shared" si="17"/>
        <v>127441.82557196896</v>
      </c>
      <c r="I15" s="113">
        <f t="shared" si="32"/>
        <v>85000</v>
      </c>
      <c r="J15" s="54">
        <f t="shared" si="18"/>
        <v>39048</v>
      </c>
      <c r="K15" s="54">
        <f t="shared" si="33"/>
        <v>229747.20000000001</v>
      </c>
      <c r="L15" s="54">
        <f t="shared" si="19"/>
        <v>90073.600000000006</v>
      </c>
      <c r="M15" s="54">
        <f t="shared" si="34"/>
        <v>233516.79999999999</v>
      </c>
      <c r="N15" s="55">
        <f t="shared" si="20"/>
        <v>110508.8</v>
      </c>
      <c r="O15" s="113">
        <f t="shared" si="35"/>
        <v>0</v>
      </c>
      <c r="P15" s="54">
        <f t="shared" si="21"/>
        <v>0</v>
      </c>
      <c r="Q15" s="54">
        <f t="shared" si="22"/>
        <v>35203.668962908501</v>
      </c>
      <c r="R15" s="54">
        <f t="shared" si="23"/>
        <v>13801.783859378644</v>
      </c>
      <c r="S15" s="54">
        <f t="shared" si="24"/>
        <v>35781.276657464041</v>
      </c>
      <c r="T15" s="55">
        <f t="shared" si="25"/>
        <v>16933.025571968959</v>
      </c>
      <c r="U15" s="113">
        <f t="shared" si="39"/>
        <v>0</v>
      </c>
      <c r="V15" s="54">
        <f t="shared" si="26"/>
        <v>0</v>
      </c>
      <c r="W15" s="54">
        <f t="shared" si="27"/>
        <v>16725.009530691092</v>
      </c>
      <c r="X15" s="54">
        <f t="shared" si="28"/>
        <v>6557.1280888892579</v>
      </c>
      <c r="Y15" s="54">
        <f t="shared" si="29"/>
        <v>16999.426785512471</v>
      </c>
      <c r="Z15" s="115">
        <f t="shared" si="30"/>
        <v>8044.7584702892473</v>
      </c>
      <c r="AA15" s="113">
        <f t="shared" si="36"/>
        <v>101719.75505172015</v>
      </c>
      <c r="AB15" s="55">
        <f>SUM(U15:Z15)</f>
        <v>48326.322875382073</v>
      </c>
    </row>
    <row r="16" spans="2:28" x14ac:dyDescent="0.2">
      <c r="B16" s="1">
        <f t="shared" si="38"/>
        <v>2033</v>
      </c>
      <c r="C16" s="113">
        <f t="shared" si="13"/>
        <v>85000</v>
      </c>
      <c r="D16" s="54">
        <f t="shared" si="14"/>
        <v>39048</v>
      </c>
      <c r="E16" s="54">
        <f t="shared" si="15"/>
        <v>264950.86896290851</v>
      </c>
      <c r="F16" s="54">
        <f t="shared" si="16"/>
        <v>103875.38385937865</v>
      </c>
      <c r="G16" s="54">
        <f t="shared" si="31"/>
        <v>269298.07665746403</v>
      </c>
      <c r="H16" s="115">
        <f t="shared" si="17"/>
        <v>127441.82557196896</v>
      </c>
      <c r="I16" s="113">
        <f t="shared" si="32"/>
        <v>85000</v>
      </c>
      <c r="J16" s="54">
        <f t="shared" si="18"/>
        <v>39048</v>
      </c>
      <c r="K16" s="54">
        <f t="shared" si="33"/>
        <v>229747.20000000001</v>
      </c>
      <c r="L16" s="54">
        <f t="shared" si="19"/>
        <v>90073.600000000006</v>
      </c>
      <c r="M16" s="54">
        <f t="shared" si="34"/>
        <v>233516.79999999999</v>
      </c>
      <c r="N16" s="55">
        <f t="shared" si="20"/>
        <v>110508.8</v>
      </c>
      <c r="O16" s="113">
        <f t="shared" si="35"/>
        <v>0</v>
      </c>
      <c r="P16" s="54">
        <f t="shared" si="21"/>
        <v>0</v>
      </c>
      <c r="Q16" s="54">
        <f t="shared" si="22"/>
        <v>35203.668962908501</v>
      </c>
      <c r="R16" s="54">
        <f t="shared" si="23"/>
        <v>13801.783859378644</v>
      </c>
      <c r="S16" s="54">
        <f t="shared" si="24"/>
        <v>35781.276657464041</v>
      </c>
      <c r="T16" s="55">
        <f t="shared" si="25"/>
        <v>16933.025571968959</v>
      </c>
      <c r="U16" s="113">
        <f t="shared" si="39"/>
        <v>0</v>
      </c>
      <c r="V16" s="54">
        <f t="shared" si="26"/>
        <v>0</v>
      </c>
      <c r="W16" s="54">
        <f t="shared" si="27"/>
        <v>15630.850028683268</v>
      </c>
      <c r="X16" s="54">
        <f t="shared" si="28"/>
        <v>6128.1570924198686</v>
      </c>
      <c r="Y16" s="54">
        <f t="shared" si="29"/>
        <v>15887.314752815397</v>
      </c>
      <c r="Z16" s="115">
        <f t="shared" si="30"/>
        <v>7518.46586008341</v>
      </c>
      <c r="AA16" s="113">
        <f t="shared" si="36"/>
        <v>101719.75505172015</v>
      </c>
      <c r="AB16" s="55">
        <f t="shared" si="37"/>
        <v>45164.78773400194</v>
      </c>
    </row>
    <row r="17" spans="2:28" x14ac:dyDescent="0.2">
      <c r="B17" s="1">
        <f t="shared" si="38"/>
        <v>2034</v>
      </c>
      <c r="C17" s="113">
        <f t="shared" si="13"/>
        <v>85000</v>
      </c>
      <c r="D17" s="54">
        <f t="shared" si="14"/>
        <v>39048</v>
      </c>
      <c r="E17" s="54">
        <f t="shared" si="15"/>
        <v>264950.86896290851</v>
      </c>
      <c r="F17" s="54">
        <f t="shared" si="16"/>
        <v>103875.38385937865</v>
      </c>
      <c r="G17" s="54">
        <f t="shared" si="31"/>
        <v>269298.07665746403</v>
      </c>
      <c r="H17" s="115">
        <f t="shared" si="17"/>
        <v>127441.82557196896</v>
      </c>
      <c r="I17" s="113">
        <f t="shared" si="32"/>
        <v>85000</v>
      </c>
      <c r="J17" s="54">
        <f t="shared" si="18"/>
        <v>39048</v>
      </c>
      <c r="K17" s="54">
        <f t="shared" si="33"/>
        <v>229747.20000000001</v>
      </c>
      <c r="L17" s="54">
        <f t="shared" si="19"/>
        <v>90073.600000000006</v>
      </c>
      <c r="M17" s="54">
        <f t="shared" si="34"/>
        <v>233516.79999999999</v>
      </c>
      <c r="N17" s="55">
        <f t="shared" si="20"/>
        <v>110508.8</v>
      </c>
      <c r="O17" s="113">
        <f t="shared" si="35"/>
        <v>0</v>
      </c>
      <c r="P17" s="54">
        <f t="shared" si="21"/>
        <v>0</v>
      </c>
      <c r="Q17" s="54">
        <f t="shared" si="22"/>
        <v>35203.668962908501</v>
      </c>
      <c r="R17" s="54">
        <f t="shared" si="23"/>
        <v>13801.783859378644</v>
      </c>
      <c r="S17" s="54">
        <f t="shared" si="24"/>
        <v>35781.276657464041</v>
      </c>
      <c r="T17" s="55">
        <f t="shared" si="25"/>
        <v>16933.025571968959</v>
      </c>
      <c r="U17" s="113">
        <f t="shared" si="39"/>
        <v>0</v>
      </c>
      <c r="V17" s="54">
        <f t="shared" si="26"/>
        <v>0</v>
      </c>
      <c r="W17" s="54">
        <f t="shared" si="27"/>
        <v>14608.271054844174</v>
      </c>
      <c r="X17" s="54">
        <f t="shared" si="28"/>
        <v>5727.2496190839884</v>
      </c>
      <c r="Y17" s="54">
        <f t="shared" si="29"/>
        <v>14847.957712911584</v>
      </c>
      <c r="Z17" s="115">
        <f t="shared" si="30"/>
        <v>7026.6036075545881</v>
      </c>
      <c r="AA17" s="113">
        <f t="shared" si="36"/>
        <v>101719.75505172015</v>
      </c>
      <c r="AB17" s="55">
        <f t="shared" si="37"/>
        <v>42210.081994394335</v>
      </c>
    </row>
    <row r="18" spans="2:28" x14ac:dyDescent="0.2">
      <c r="B18" s="1">
        <f t="shared" si="38"/>
        <v>2035</v>
      </c>
      <c r="C18" s="113">
        <f t="shared" si="13"/>
        <v>85000</v>
      </c>
      <c r="D18" s="54">
        <f>$H$47+H46</f>
        <v>147048</v>
      </c>
      <c r="E18" s="54">
        <f t="shared" si="15"/>
        <v>264950.86896290851</v>
      </c>
      <c r="F18" s="54">
        <f t="shared" si="16"/>
        <v>103875.38385937865</v>
      </c>
      <c r="G18" s="54">
        <f t="shared" si="31"/>
        <v>269298.07665746403</v>
      </c>
      <c r="H18" s="115">
        <f t="shared" si="17"/>
        <v>127441.82557196896</v>
      </c>
      <c r="I18" s="113">
        <f t="shared" si="32"/>
        <v>85000</v>
      </c>
      <c r="J18" s="54">
        <f t="shared" si="18"/>
        <v>39048</v>
      </c>
      <c r="K18" s="54">
        <f t="shared" si="33"/>
        <v>229747.20000000001</v>
      </c>
      <c r="L18" s="54">
        <f t="shared" si="19"/>
        <v>90073.600000000006</v>
      </c>
      <c r="M18" s="54">
        <f t="shared" si="34"/>
        <v>233516.79999999999</v>
      </c>
      <c r="N18" s="55">
        <f t="shared" si="20"/>
        <v>110508.8</v>
      </c>
      <c r="O18" s="113">
        <f t="shared" si="35"/>
        <v>0</v>
      </c>
      <c r="P18" s="54">
        <f t="shared" si="21"/>
        <v>108000</v>
      </c>
      <c r="Q18" s="54">
        <f t="shared" si="22"/>
        <v>35203.668962908501</v>
      </c>
      <c r="R18" s="54">
        <f t="shared" si="23"/>
        <v>13801.783859378644</v>
      </c>
      <c r="S18" s="54">
        <f t="shared" si="24"/>
        <v>35781.276657464041</v>
      </c>
      <c r="T18" s="55">
        <f t="shared" si="25"/>
        <v>16933.025571968959</v>
      </c>
      <c r="U18" s="113">
        <f t="shared" si="39"/>
        <v>0</v>
      </c>
      <c r="V18" s="54">
        <f t="shared" si="26"/>
        <v>41884.26202987109</v>
      </c>
      <c r="W18" s="54">
        <f t="shared" si="27"/>
        <v>13652.589770882407</v>
      </c>
      <c r="X18" s="54">
        <f t="shared" si="28"/>
        <v>5352.569737461672</v>
      </c>
      <c r="Y18" s="54">
        <f t="shared" si="29"/>
        <v>13876.595993375313</v>
      </c>
      <c r="Z18" s="115">
        <f t="shared" si="30"/>
        <v>6566.9192593968119</v>
      </c>
      <c r="AA18" s="113">
        <f t="shared" si="36"/>
        <v>209719.75505172016</v>
      </c>
      <c r="AB18" s="55">
        <f t="shared" si="37"/>
        <v>81332.936790987296</v>
      </c>
    </row>
    <row r="19" spans="2:28" x14ac:dyDescent="0.2">
      <c r="B19" s="1">
        <f t="shared" si="38"/>
        <v>2036</v>
      </c>
      <c r="C19" s="113">
        <f>$H$45+H44</f>
        <v>207315.97999999998</v>
      </c>
      <c r="D19" s="54">
        <f t="shared" ref="D19:D29" si="40">$H$47</f>
        <v>39048</v>
      </c>
      <c r="E19" s="54">
        <f t="shared" si="15"/>
        <v>264950.86896290851</v>
      </c>
      <c r="F19" s="54">
        <f t="shared" si="16"/>
        <v>103875.38385937865</v>
      </c>
      <c r="G19" s="54">
        <f t="shared" si="31"/>
        <v>269298.07665746403</v>
      </c>
      <c r="H19" s="115">
        <f t="shared" si="17"/>
        <v>127441.82557196896</v>
      </c>
      <c r="I19" s="113">
        <f t="shared" si="32"/>
        <v>85000</v>
      </c>
      <c r="J19" s="54">
        <f t="shared" si="18"/>
        <v>39048</v>
      </c>
      <c r="K19" s="54">
        <f t="shared" si="33"/>
        <v>229747.20000000001</v>
      </c>
      <c r="L19" s="54">
        <f t="shared" si="19"/>
        <v>90073.600000000006</v>
      </c>
      <c r="M19" s="54">
        <f t="shared" si="34"/>
        <v>233516.79999999999</v>
      </c>
      <c r="N19" s="55">
        <f t="shared" si="20"/>
        <v>110508.8</v>
      </c>
      <c r="O19" s="113">
        <f t="shared" si="35"/>
        <v>122315.97999999998</v>
      </c>
      <c r="P19" s="54">
        <f t="shared" si="21"/>
        <v>0</v>
      </c>
      <c r="Q19" s="54">
        <f t="shared" si="22"/>
        <v>35203.668962908501</v>
      </c>
      <c r="R19" s="54">
        <f t="shared" si="23"/>
        <v>13801.783859378644</v>
      </c>
      <c r="S19" s="54">
        <f t="shared" si="24"/>
        <v>35781.276657464041</v>
      </c>
      <c r="T19" s="55">
        <f t="shared" si="25"/>
        <v>16933.025571968959</v>
      </c>
      <c r="U19" s="113">
        <f t="shared" si="39"/>
        <v>44332.940089654468</v>
      </c>
      <c r="V19" s="54">
        <f t="shared" si="26"/>
        <v>0</v>
      </c>
      <c r="W19" s="54">
        <f t="shared" si="27"/>
        <v>12759.429692413461</v>
      </c>
      <c r="X19" s="54">
        <f t="shared" si="28"/>
        <v>5002.4016237959549</v>
      </c>
      <c r="Y19" s="54">
        <f t="shared" si="29"/>
        <v>12968.781302219917</v>
      </c>
      <c r="Z19" s="115">
        <f t="shared" si="30"/>
        <v>6137.3077190624399</v>
      </c>
      <c r="AA19" s="113">
        <f t="shared" si="36"/>
        <v>224035.73505172014</v>
      </c>
      <c r="AB19" s="55">
        <f t="shared" si="37"/>
        <v>81200.860427146239</v>
      </c>
    </row>
    <row r="20" spans="2:28" x14ac:dyDescent="0.2">
      <c r="B20" s="1">
        <f t="shared" si="38"/>
        <v>2037</v>
      </c>
      <c r="C20" s="113">
        <f t="shared" ref="C20:C29" si="41">$H$45</f>
        <v>85000</v>
      </c>
      <c r="D20" s="54">
        <f t="shared" si="40"/>
        <v>39048</v>
      </c>
      <c r="E20" s="54">
        <f t="shared" si="15"/>
        <v>264950.86896290851</v>
      </c>
      <c r="F20" s="54">
        <f t="shared" si="16"/>
        <v>103875.38385937865</v>
      </c>
      <c r="G20" s="54">
        <f t="shared" si="31"/>
        <v>269298.07665746403</v>
      </c>
      <c r="H20" s="115">
        <f t="shared" si="17"/>
        <v>127441.82557196896</v>
      </c>
      <c r="I20" s="113">
        <f t="shared" si="32"/>
        <v>85000</v>
      </c>
      <c r="J20" s="54">
        <f t="shared" si="18"/>
        <v>39048</v>
      </c>
      <c r="K20" s="54">
        <f t="shared" si="33"/>
        <v>229747.20000000001</v>
      </c>
      <c r="L20" s="54">
        <f t="shared" si="19"/>
        <v>90073.600000000006</v>
      </c>
      <c r="M20" s="54">
        <f t="shared" si="34"/>
        <v>233516.79999999999</v>
      </c>
      <c r="N20" s="55">
        <f t="shared" si="20"/>
        <v>110508.8</v>
      </c>
      <c r="O20" s="113">
        <f t="shared" si="35"/>
        <v>0</v>
      </c>
      <c r="P20" s="54">
        <f t="shared" si="21"/>
        <v>0</v>
      </c>
      <c r="Q20" s="54">
        <f t="shared" si="22"/>
        <v>35203.668962908501</v>
      </c>
      <c r="R20" s="54">
        <f t="shared" si="23"/>
        <v>13801.783859378644</v>
      </c>
      <c r="S20" s="54">
        <f t="shared" si="24"/>
        <v>35781.276657464041</v>
      </c>
      <c r="T20" s="55">
        <f t="shared" si="25"/>
        <v>16933.025571968959</v>
      </c>
      <c r="U20" s="113">
        <f t="shared" si="39"/>
        <v>0</v>
      </c>
      <c r="V20" s="54">
        <f t="shared" si="26"/>
        <v>0</v>
      </c>
      <c r="W20" s="54">
        <f t="shared" si="27"/>
        <v>11924.700647115387</v>
      </c>
      <c r="X20" s="54">
        <f t="shared" si="28"/>
        <v>4675.141704482201</v>
      </c>
      <c r="Y20" s="54">
        <f t="shared" si="29"/>
        <v>12120.356357214878</v>
      </c>
      <c r="Z20" s="115">
        <f t="shared" si="30"/>
        <v>5735.801606600412</v>
      </c>
      <c r="AA20" s="113">
        <f t="shared" si="36"/>
        <v>101719.75505172015</v>
      </c>
      <c r="AB20" s="55">
        <f t="shared" si="37"/>
        <v>34456.000315412879</v>
      </c>
    </row>
    <row r="21" spans="2:28" x14ac:dyDescent="0.2">
      <c r="B21" s="1">
        <f t="shared" si="38"/>
        <v>2038</v>
      </c>
      <c r="C21" s="113">
        <f t="shared" si="41"/>
        <v>85000</v>
      </c>
      <c r="D21" s="54">
        <f t="shared" si="40"/>
        <v>39048</v>
      </c>
      <c r="E21" s="54">
        <f t="shared" si="15"/>
        <v>264950.86896290851</v>
      </c>
      <c r="F21" s="54">
        <f t="shared" si="16"/>
        <v>103875.38385937865</v>
      </c>
      <c r="G21" s="54">
        <f t="shared" si="31"/>
        <v>269298.07665746403</v>
      </c>
      <c r="H21" s="115">
        <f t="shared" si="17"/>
        <v>127441.82557196896</v>
      </c>
      <c r="I21" s="113">
        <f t="shared" si="32"/>
        <v>85000</v>
      </c>
      <c r="J21" s="54">
        <f t="shared" si="18"/>
        <v>39048</v>
      </c>
      <c r="K21" s="54">
        <f t="shared" si="33"/>
        <v>229747.20000000001</v>
      </c>
      <c r="L21" s="54">
        <f t="shared" si="19"/>
        <v>90073.600000000006</v>
      </c>
      <c r="M21" s="54">
        <f t="shared" si="34"/>
        <v>233516.79999999999</v>
      </c>
      <c r="N21" s="55">
        <f t="shared" si="20"/>
        <v>110508.8</v>
      </c>
      <c r="O21" s="113">
        <f t="shared" si="35"/>
        <v>0</v>
      </c>
      <c r="P21" s="54">
        <f t="shared" si="21"/>
        <v>0</v>
      </c>
      <c r="Q21" s="54">
        <f t="shared" si="22"/>
        <v>35203.668962908501</v>
      </c>
      <c r="R21" s="54">
        <f t="shared" si="23"/>
        <v>13801.783859378644</v>
      </c>
      <c r="S21" s="54">
        <f t="shared" si="24"/>
        <v>35781.276657464041</v>
      </c>
      <c r="T21" s="55">
        <f t="shared" si="25"/>
        <v>16933.025571968959</v>
      </c>
      <c r="U21" s="113">
        <f t="shared" si="39"/>
        <v>0</v>
      </c>
      <c r="V21" s="54">
        <f t="shared" si="26"/>
        <v>0</v>
      </c>
      <c r="W21" s="54">
        <f t="shared" si="27"/>
        <v>11144.580044033073</v>
      </c>
      <c r="X21" s="54">
        <f t="shared" si="28"/>
        <v>4369.2913126001886</v>
      </c>
      <c r="Y21" s="54">
        <f t="shared" si="29"/>
        <v>11327.435847864372</v>
      </c>
      <c r="Z21" s="115">
        <f t="shared" si="30"/>
        <v>5360.562249159264</v>
      </c>
      <c r="AA21" s="113">
        <f t="shared" si="36"/>
        <v>101719.75505172015</v>
      </c>
      <c r="AB21" s="55">
        <f t="shared" si="37"/>
        <v>32201.869453656902</v>
      </c>
    </row>
    <row r="22" spans="2:28" x14ac:dyDescent="0.2">
      <c r="B22" s="1">
        <f t="shared" si="38"/>
        <v>2039</v>
      </c>
      <c r="C22" s="113">
        <f t="shared" si="41"/>
        <v>85000</v>
      </c>
      <c r="D22" s="54">
        <f t="shared" si="40"/>
        <v>39048</v>
      </c>
      <c r="E22" s="54">
        <f t="shared" si="15"/>
        <v>264950.86896290851</v>
      </c>
      <c r="F22" s="54">
        <f t="shared" si="16"/>
        <v>103875.38385937865</v>
      </c>
      <c r="G22" s="54">
        <f t="shared" si="31"/>
        <v>269298.07665746403</v>
      </c>
      <c r="H22" s="115">
        <f t="shared" si="17"/>
        <v>127441.82557196896</v>
      </c>
      <c r="I22" s="113">
        <f t="shared" si="32"/>
        <v>85000</v>
      </c>
      <c r="J22" s="54">
        <f t="shared" si="18"/>
        <v>39048</v>
      </c>
      <c r="K22" s="54">
        <f t="shared" si="33"/>
        <v>229747.20000000001</v>
      </c>
      <c r="L22" s="54">
        <f t="shared" si="19"/>
        <v>90073.600000000006</v>
      </c>
      <c r="M22" s="54">
        <f t="shared" si="34"/>
        <v>233516.79999999999</v>
      </c>
      <c r="N22" s="55">
        <f t="shared" si="20"/>
        <v>110508.8</v>
      </c>
      <c r="O22" s="113">
        <f t="shared" si="35"/>
        <v>0</v>
      </c>
      <c r="P22" s="54">
        <f t="shared" si="21"/>
        <v>0</v>
      </c>
      <c r="Q22" s="54">
        <f t="shared" si="22"/>
        <v>35203.668962908501</v>
      </c>
      <c r="R22" s="54">
        <f t="shared" si="23"/>
        <v>13801.783859378644</v>
      </c>
      <c r="S22" s="54">
        <f t="shared" si="24"/>
        <v>35781.276657464041</v>
      </c>
      <c r="T22" s="55">
        <f t="shared" si="25"/>
        <v>16933.025571968959</v>
      </c>
      <c r="U22" s="113">
        <f t="shared" si="39"/>
        <v>0</v>
      </c>
      <c r="V22" s="54">
        <f t="shared" si="26"/>
        <v>0</v>
      </c>
      <c r="W22" s="54">
        <f t="shared" si="27"/>
        <v>10415.495368255206</v>
      </c>
      <c r="X22" s="54">
        <f t="shared" si="28"/>
        <v>4083.4498248599884</v>
      </c>
      <c r="Y22" s="54">
        <f t="shared" si="29"/>
        <v>10586.388642863898</v>
      </c>
      <c r="Z22" s="115">
        <f t="shared" si="30"/>
        <v>5009.8712608965079</v>
      </c>
      <c r="AA22" s="113">
        <f t="shared" si="36"/>
        <v>101719.75505172015</v>
      </c>
      <c r="AB22" s="55">
        <f t="shared" si="37"/>
        <v>30095.205096875601</v>
      </c>
    </row>
    <row r="23" spans="2:28" x14ac:dyDescent="0.2">
      <c r="B23" s="1">
        <f t="shared" si="38"/>
        <v>2040</v>
      </c>
      <c r="C23" s="113">
        <f t="shared" si="41"/>
        <v>85000</v>
      </c>
      <c r="D23" s="54">
        <f t="shared" si="40"/>
        <v>39048</v>
      </c>
      <c r="E23" s="54">
        <f t="shared" si="15"/>
        <v>264950.86896290851</v>
      </c>
      <c r="F23" s="54">
        <f t="shared" si="16"/>
        <v>103875.38385937865</v>
      </c>
      <c r="G23" s="54">
        <f t="shared" si="31"/>
        <v>269298.07665746403</v>
      </c>
      <c r="H23" s="115">
        <f t="shared" si="17"/>
        <v>127441.82557196896</v>
      </c>
      <c r="I23" s="113">
        <f t="shared" si="32"/>
        <v>85000</v>
      </c>
      <c r="J23" s="54">
        <f t="shared" si="18"/>
        <v>39048</v>
      </c>
      <c r="K23" s="54">
        <f t="shared" si="33"/>
        <v>229747.20000000001</v>
      </c>
      <c r="L23" s="54">
        <f t="shared" si="19"/>
        <v>90073.600000000006</v>
      </c>
      <c r="M23" s="54">
        <f t="shared" si="34"/>
        <v>233516.79999999999</v>
      </c>
      <c r="N23" s="55">
        <f t="shared" si="20"/>
        <v>110508.8</v>
      </c>
      <c r="O23" s="113">
        <f t="shared" si="35"/>
        <v>0</v>
      </c>
      <c r="P23" s="54">
        <f t="shared" si="21"/>
        <v>0</v>
      </c>
      <c r="Q23" s="54">
        <f t="shared" si="22"/>
        <v>35203.668962908501</v>
      </c>
      <c r="R23" s="54">
        <f t="shared" si="23"/>
        <v>13801.783859378644</v>
      </c>
      <c r="S23" s="54">
        <f t="shared" si="24"/>
        <v>35781.276657464041</v>
      </c>
      <c r="T23" s="55">
        <f t="shared" si="25"/>
        <v>16933.025571968959</v>
      </c>
      <c r="U23" s="113">
        <f t="shared" si="39"/>
        <v>0</v>
      </c>
      <c r="V23" s="54">
        <f t="shared" si="26"/>
        <v>0</v>
      </c>
      <c r="W23" s="54">
        <f t="shared" si="27"/>
        <v>9734.1078207992578</v>
      </c>
      <c r="X23" s="54">
        <f t="shared" si="28"/>
        <v>3816.3082475326996</v>
      </c>
      <c r="Y23" s="54">
        <f t="shared" si="29"/>
        <v>9893.8211615550445</v>
      </c>
      <c r="Z23" s="115">
        <f t="shared" si="30"/>
        <v>4682.1226737350535</v>
      </c>
      <c r="AA23" s="113">
        <f t="shared" si="36"/>
        <v>101719.75505172015</v>
      </c>
      <c r="AB23" s="55">
        <f t="shared" si="37"/>
        <v>28126.359903622055</v>
      </c>
    </row>
    <row r="24" spans="2:28" x14ac:dyDescent="0.2">
      <c r="B24" s="1">
        <f t="shared" si="38"/>
        <v>2041</v>
      </c>
      <c r="C24" s="113">
        <f t="shared" si="41"/>
        <v>85000</v>
      </c>
      <c r="D24" s="54">
        <f t="shared" si="40"/>
        <v>39048</v>
      </c>
      <c r="E24" s="54">
        <f t="shared" si="15"/>
        <v>264950.86896290851</v>
      </c>
      <c r="F24" s="54">
        <f t="shared" si="16"/>
        <v>103875.38385937865</v>
      </c>
      <c r="G24" s="54">
        <f t="shared" si="31"/>
        <v>269298.07665746403</v>
      </c>
      <c r="H24" s="115">
        <f t="shared" si="17"/>
        <v>127441.82557196896</v>
      </c>
      <c r="I24" s="113">
        <f t="shared" si="32"/>
        <v>85000</v>
      </c>
      <c r="J24" s="54">
        <f t="shared" si="18"/>
        <v>39048</v>
      </c>
      <c r="K24" s="54">
        <f t="shared" si="33"/>
        <v>229747.20000000001</v>
      </c>
      <c r="L24" s="54">
        <f t="shared" si="19"/>
        <v>90073.600000000006</v>
      </c>
      <c r="M24" s="54">
        <f t="shared" si="34"/>
        <v>233516.79999999999</v>
      </c>
      <c r="N24" s="55">
        <f t="shared" si="20"/>
        <v>110508.8</v>
      </c>
      <c r="O24" s="113">
        <f t="shared" si="35"/>
        <v>0</v>
      </c>
      <c r="P24" s="54">
        <f t="shared" si="21"/>
        <v>0</v>
      </c>
      <c r="Q24" s="54">
        <f t="shared" si="22"/>
        <v>35203.668962908501</v>
      </c>
      <c r="R24" s="54">
        <f t="shared" si="23"/>
        <v>13801.783859378644</v>
      </c>
      <c r="S24" s="54">
        <f t="shared" si="24"/>
        <v>35781.276657464041</v>
      </c>
      <c r="T24" s="55">
        <f t="shared" si="25"/>
        <v>16933.025571968959</v>
      </c>
      <c r="U24" s="113">
        <f t="shared" si="39"/>
        <v>0</v>
      </c>
      <c r="V24" s="54">
        <f t="shared" si="26"/>
        <v>0</v>
      </c>
      <c r="W24" s="54">
        <f t="shared" si="27"/>
        <v>9097.2970287843546</v>
      </c>
      <c r="X24" s="54">
        <f t="shared" si="28"/>
        <v>3566.6432219931776</v>
      </c>
      <c r="Y24" s="54">
        <f t="shared" si="29"/>
        <v>9246.5618332290142</v>
      </c>
      <c r="Z24" s="115">
        <f t="shared" si="30"/>
        <v>4375.8155829299576</v>
      </c>
      <c r="AA24" s="113">
        <f t="shared" si="36"/>
        <v>101719.75505172015</v>
      </c>
      <c r="AB24" s="55">
        <f t="shared" si="37"/>
        <v>26286.317666936506</v>
      </c>
    </row>
    <row r="25" spans="2:28" x14ac:dyDescent="0.2">
      <c r="B25" s="1">
        <f t="shared" si="38"/>
        <v>2042</v>
      </c>
      <c r="C25" s="113">
        <f t="shared" si="41"/>
        <v>85000</v>
      </c>
      <c r="D25" s="54">
        <f t="shared" si="40"/>
        <v>39048</v>
      </c>
      <c r="E25" s="54">
        <f t="shared" si="15"/>
        <v>264950.86896290851</v>
      </c>
      <c r="F25" s="54">
        <f t="shared" si="16"/>
        <v>103875.38385937865</v>
      </c>
      <c r="G25" s="54">
        <f t="shared" si="31"/>
        <v>269298.07665746403</v>
      </c>
      <c r="H25" s="115">
        <f t="shared" si="17"/>
        <v>127441.82557196896</v>
      </c>
      <c r="I25" s="113">
        <f t="shared" si="32"/>
        <v>85000</v>
      </c>
      <c r="J25" s="54">
        <f t="shared" si="18"/>
        <v>39048</v>
      </c>
      <c r="K25" s="54">
        <f t="shared" si="33"/>
        <v>229747.20000000001</v>
      </c>
      <c r="L25" s="54">
        <f t="shared" si="19"/>
        <v>90073.600000000006</v>
      </c>
      <c r="M25" s="54">
        <f t="shared" si="34"/>
        <v>233516.79999999999</v>
      </c>
      <c r="N25" s="55">
        <f t="shared" si="20"/>
        <v>110508.8</v>
      </c>
      <c r="O25" s="113">
        <f t="shared" si="35"/>
        <v>0</v>
      </c>
      <c r="P25" s="54">
        <f t="shared" si="21"/>
        <v>0</v>
      </c>
      <c r="Q25" s="54">
        <f t="shared" si="22"/>
        <v>35203.668962908501</v>
      </c>
      <c r="R25" s="54">
        <f t="shared" si="23"/>
        <v>13801.783859378644</v>
      </c>
      <c r="S25" s="54">
        <f t="shared" si="24"/>
        <v>35781.276657464041</v>
      </c>
      <c r="T25" s="55">
        <f t="shared" si="25"/>
        <v>16933.025571968959</v>
      </c>
      <c r="U25" s="113">
        <f t="shared" si="39"/>
        <v>0</v>
      </c>
      <c r="V25" s="54">
        <f t="shared" si="26"/>
        <v>0</v>
      </c>
      <c r="W25" s="54">
        <f t="shared" si="27"/>
        <v>8502.1467558732274</v>
      </c>
      <c r="X25" s="54">
        <f t="shared" si="28"/>
        <v>3333.3114224235301</v>
      </c>
      <c r="Y25" s="54">
        <f t="shared" si="29"/>
        <v>8641.6465731112276</v>
      </c>
      <c r="Z25" s="115">
        <f t="shared" si="30"/>
        <v>4089.5472737663149</v>
      </c>
      <c r="AA25" s="113">
        <f t="shared" si="36"/>
        <v>101719.75505172015</v>
      </c>
      <c r="AB25" s="55">
        <f t="shared" si="37"/>
        <v>24566.652025174299</v>
      </c>
    </row>
    <row r="26" spans="2:28" x14ac:dyDescent="0.2">
      <c r="B26" s="1">
        <f t="shared" si="38"/>
        <v>2043</v>
      </c>
      <c r="C26" s="113">
        <f t="shared" si="41"/>
        <v>85000</v>
      </c>
      <c r="D26" s="54">
        <f t="shared" si="40"/>
        <v>39048</v>
      </c>
      <c r="E26" s="54">
        <f t="shared" si="15"/>
        <v>264950.86896290851</v>
      </c>
      <c r="F26" s="54">
        <f t="shared" si="16"/>
        <v>103875.38385937865</v>
      </c>
      <c r="G26" s="54">
        <f t="shared" si="31"/>
        <v>269298.07665746403</v>
      </c>
      <c r="H26" s="115">
        <f t="shared" si="17"/>
        <v>127441.82557196896</v>
      </c>
      <c r="I26" s="113">
        <f t="shared" si="32"/>
        <v>85000</v>
      </c>
      <c r="J26" s="54">
        <f t="shared" si="18"/>
        <v>39048</v>
      </c>
      <c r="K26" s="54">
        <f t="shared" si="33"/>
        <v>229747.20000000001</v>
      </c>
      <c r="L26" s="54">
        <f t="shared" si="19"/>
        <v>90073.600000000006</v>
      </c>
      <c r="M26" s="54">
        <f t="shared" si="34"/>
        <v>233516.79999999999</v>
      </c>
      <c r="N26" s="55">
        <f t="shared" si="20"/>
        <v>110508.8</v>
      </c>
      <c r="O26" s="113">
        <f t="shared" si="35"/>
        <v>0</v>
      </c>
      <c r="P26" s="54">
        <f t="shared" si="21"/>
        <v>0</v>
      </c>
      <c r="Q26" s="54">
        <f t="shared" si="22"/>
        <v>35203.668962908501</v>
      </c>
      <c r="R26" s="54">
        <f t="shared" si="23"/>
        <v>13801.783859378644</v>
      </c>
      <c r="S26" s="54">
        <f t="shared" si="24"/>
        <v>35781.276657464041</v>
      </c>
      <c r="T26" s="55">
        <f t="shared" si="25"/>
        <v>16933.025571968959</v>
      </c>
      <c r="U26" s="113">
        <f t="shared" si="39"/>
        <v>0</v>
      </c>
      <c r="V26" s="54">
        <f t="shared" si="26"/>
        <v>0</v>
      </c>
      <c r="W26" s="54">
        <f t="shared" si="27"/>
        <v>7945.931547545073</v>
      </c>
      <c r="X26" s="54">
        <f t="shared" si="28"/>
        <v>3115.2443200219909</v>
      </c>
      <c r="Y26" s="54">
        <f t="shared" si="29"/>
        <v>8076.3052085151667</v>
      </c>
      <c r="Z26" s="115">
        <f t="shared" si="30"/>
        <v>3822.0067979124442</v>
      </c>
      <c r="AA26" s="113">
        <f t="shared" si="36"/>
        <v>101719.75505172015</v>
      </c>
      <c r="AB26" s="55">
        <f t="shared" si="37"/>
        <v>22959.487873994673</v>
      </c>
    </row>
    <row r="27" spans="2:28" x14ac:dyDescent="0.2">
      <c r="B27" s="1">
        <f t="shared" si="38"/>
        <v>2044</v>
      </c>
      <c r="C27" s="113">
        <f t="shared" si="41"/>
        <v>85000</v>
      </c>
      <c r="D27" s="54">
        <f t="shared" si="40"/>
        <v>39048</v>
      </c>
      <c r="E27" s="54">
        <f t="shared" si="15"/>
        <v>264950.86896290851</v>
      </c>
      <c r="F27" s="54">
        <f t="shared" si="16"/>
        <v>103875.38385937865</v>
      </c>
      <c r="G27" s="54">
        <f t="shared" si="31"/>
        <v>269298.07665746403</v>
      </c>
      <c r="H27" s="115">
        <f t="shared" si="17"/>
        <v>127441.82557196896</v>
      </c>
      <c r="I27" s="113">
        <f t="shared" si="32"/>
        <v>85000</v>
      </c>
      <c r="J27" s="54">
        <f t="shared" si="18"/>
        <v>39048</v>
      </c>
      <c r="K27" s="54">
        <f t="shared" si="33"/>
        <v>229747.20000000001</v>
      </c>
      <c r="L27" s="54">
        <f t="shared" si="19"/>
        <v>90073.600000000006</v>
      </c>
      <c r="M27" s="54">
        <f t="shared" si="34"/>
        <v>233516.79999999999</v>
      </c>
      <c r="N27" s="55">
        <f t="shared" si="20"/>
        <v>110508.8</v>
      </c>
      <c r="O27" s="113">
        <f t="shared" si="35"/>
        <v>0</v>
      </c>
      <c r="P27" s="54">
        <f t="shared" si="21"/>
        <v>0</v>
      </c>
      <c r="Q27" s="54">
        <f t="shared" si="22"/>
        <v>35203.668962908501</v>
      </c>
      <c r="R27" s="54">
        <f t="shared" si="23"/>
        <v>13801.783859378644</v>
      </c>
      <c r="S27" s="54">
        <f t="shared" si="24"/>
        <v>35781.276657464041</v>
      </c>
      <c r="T27" s="55">
        <f t="shared" si="25"/>
        <v>16933.025571968959</v>
      </c>
      <c r="U27" s="113">
        <f t="shared" si="39"/>
        <v>0</v>
      </c>
      <c r="V27" s="54">
        <f t="shared" si="26"/>
        <v>0</v>
      </c>
      <c r="W27" s="54">
        <f t="shared" si="27"/>
        <v>7426.1042500421236</v>
      </c>
      <c r="X27" s="54">
        <f t="shared" si="28"/>
        <v>2911.443289740178</v>
      </c>
      <c r="Y27" s="54">
        <f t="shared" si="29"/>
        <v>7547.9487930048281</v>
      </c>
      <c r="Z27" s="115">
        <f t="shared" si="30"/>
        <v>3571.9689700116296</v>
      </c>
      <c r="AA27" s="113">
        <f t="shared" si="36"/>
        <v>101719.75505172015</v>
      </c>
      <c r="AB27" s="55">
        <f t="shared" si="37"/>
        <v>21457.465302798759</v>
      </c>
    </row>
    <row r="28" spans="2:28" x14ac:dyDescent="0.2">
      <c r="B28" s="1">
        <f t="shared" si="38"/>
        <v>2045</v>
      </c>
      <c r="C28" s="113">
        <f t="shared" si="41"/>
        <v>85000</v>
      </c>
      <c r="D28" s="54">
        <f t="shared" si="40"/>
        <v>39048</v>
      </c>
      <c r="E28" s="54">
        <f t="shared" si="15"/>
        <v>264950.86896290851</v>
      </c>
      <c r="F28" s="54">
        <f t="shared" si="16"/>
        <v>103875.38385937865</v>
      </c>
      <c r="G28" s="54">
        <f t="shared" si="31"/>
        <v>269298.07665746403</v>
      </c>
      <c r="H28" s="115">
        <f t="shared" si="17"/>
        <v>127441.82557196896</v>
      </c>
      <c r="I28" s="113">
        <f t="shared" si="32"/>
        <v>85000</v>
      </c>
      <c r="J28" s="54">
        <f t="shared" si="18"/>
        <v>39048</v>
      </c>
      <c r="K28" s="54">
        <f t="shared" si="33"/>
        <v>229747.20000000001</v>
      </c>
      <c r="L28" s="54">
        <f t="shared" si="19"/>
        <v>90073.600000000006</v>
      </c>
      <c r="M28" s="54">
        <f t="shared" si="34"/>
        <v>233516.79999999999</v>
      </c>
      <c r="N28" s="55">
        <f t="shared" si="20"/>
        <v>110508.8</v>
      </c>
      <c r="O28" s="113">
        <f t="shared" si="35"/>
        <v>0</v>
      </c>
      <c r="P28" s="54">
        <f t="shared" si="21"/>
        <v>0</v>
      </c>
      <c r="Q28" s="54">
        <f t="shared" si="22"/>
        <v>35203.668962908501</v>
      </c>
      <c r="R28" s="54">
        <f t="shared" si="23"/>
        <v>13801.783859378644</v>
      </c>
      <c r="S28" s="54">
        <f t="shared" si="24"/>
        <v>35781.276657464041</v>
      </c>
      <c r="T28" s="55">
        <f t="shared" si="25"/>
        <v>16933.025571968959</v>
      </c>
      <c r="U28" s="113">
        <f t="shared" si="39"/>
        <v>0</v>
      </c>
      <c r="V28" s="54">
        <f t="shared" si="26"/>
        <v>0</v>
      </c>
      <c r="W28" s="54">
        <f t="shared" si="27"/>
        <v>6940.2843458337611</v>
      </c>
      <c r="X28" s="54">
        <f t="shared" si="28"/>
        <v>2720.9750371403534</v>
      </c>
      <c r="Y28" s="54">
        <f t="shared" si="29"/>
        <v>7054.1577504718025</v>
      </c>
      <c r="Z28" s="115">
        <f t="shared" si="30"/>
        <v>3338.2887570202147</v>
      </c>
      <c r="AA28" s="113">
        <f t="shared" si="36"/>
        <v>101719.75505172015</v>
      </c>
      <c r="AB28" s="55">
        <f t="shared" si="37"/>
        <v>20053.705890466132</v>
      </c>
    </row>
    <row r="29" spans="2:28" ht="12.75" thickBot="1" x14ac:dyDescent="0.25">
      <c r="B29" s="2">
        <f t="shared" si="38"/>
        <v>2046</v>
      </c>
      <c r="C29" s="302">
        <f t="shared" si="41"/>
        <v>85000</v>
      </c>
      <c r="D29" s="57">
        <f t="shared" si="40"/>
        <v>39048</v>
      </c>
      <c r="E29" s="57">
        <f t="shared" si="15"/>
        <v>264950.86896290851</v>
      </c>
      <c r="F29" s="57">
        <f t="shared" si="16"/>
        <v>103875.38385937865</v>
      </c>
      <c r="G29" s="57">
        <f>$C$43</f>
        <v>269298.07665746403</v>
      </c>
      <c r="H29" s="303">
        <f t="shared" si="17"/>
        <v>127441.82557196896</v>
      </c>
      <c r="I29" s="302">
        <f t="shared" si="32"/>
        <v>85000</v>
      </c>
      <c r="J29" s="57">
        <f t="shared" si="18"/>
        <v>39048</v>
      </c>
      <c r="K29" s="57">
        <f t="shared" si="33"/>
        <v>229747.20000000001</v>
      </c>
      <c r="L29" s="57">
        <f t="shared" si="19"/>
        <v>90073.600000000006</v>
      </c>
      <c r="M29" s="57">
        <f t="shared" si="34"/>
        <v>233516.79999999999</v>
      </c>
      <c r="N29" s="58">
        <f t="shared" si="20"/>
        <v>110508.8</v>
      </c>
      <c r="O29" s="249">
        <f t="shared" si="35"/>
        <v>0</v>
      </c>
      <c r="P29" s="117">
        <f t="shared" si="21"/>
        <v>0</v>
      </c>
      <c r="Q29" s="117">
        <f t="shared" si="22"/>
        <v>35203.668962908501</v>
      </c>
      <c r="R29" s="117">
        <f t="shared" si="23"/>
        <v>13801.783859378644</v>
      </c>
      <c r="S29" s="117">
        <f t="shared" si="24"/>
        <v>35781.276657464041</v>
      </c>
      <c r="T29" s="118">
        <f t="shared" si="25"/>
        <v>16933.025571968959</v>
      </c>
      <c r="U29" s="249">
        <f t="shared" si="39"/>
        <v>0</v>
      </c>
      <c r="V29" s="117">
        <f t="shared" si="26"/>
        <v>0</v>
      </c>
      <c r="W29" s="117">
        <f t="shared" si="27"/>
        <v>6486.2470521810837</v>
      </c>
      <c r="X29" s="117">
        <f t="shared" si="28"/>
        <v>2542.9673244302367</v>
      </c>
      <c r="Y29" s="117">
        <f t="shared" si="29"/>
        <v>6592.6707948334588</v>
      </c>
      <c r="Z29" s="250">
        <f t="shared" si="30"/>
        <v>3119.896034598331</v>
      </c>
      <c r="AA29" s="249">
        <f t="shared" si="36"/>
        <v>101719.75505172015</v>
      </c>
      <c r="AB29" s="118">
        <f t="shared" si="37"/>
        <v>18741.78120604311</v>
      </c>
    </row>
    <row r="30" spans="2:28" ht="12.75" thickBot="1" x14ac:dyDescent="0.25">
      <c r="B30" s="304">
        <v>2047</v>
      </c>
      <c r="C30" s="66"/>
      <c r="D30" s="66"/>
      <c r="E30" s="66"/>
      <c r="F30" s="66"/>
      <c r="G30" s="66">
        <f>$C$43</f>
        <v>269298.07665746403</v>
      </c>
      <c r="H30" s="66"/>
      <c r="I30" s="66"/>
      <c r="J30" s="66"/>
      <c r="K30" s="66"/>
      <c r="L30" s="66"/>
      <c r="M30" s="66">
        <f t="shared" si="34"/>
        <v>233516.79999999999</v>
      </c>
      <c r="N30" s="67"/>
      <c r="O30" s="266">
        <f t="shared" ref="O30" si="42">C30-I30</f>
        <v>0</v>
      </c>
      <c r="P30" s="117">
        <f t="shared" ref="P30" si="43">D30-J30</f>
        <v>0</v>
      </c>
      <c r="Q30" s="117">
        <f t="shared" ref="Q30" si="44">E30-K30</f>
        <v>0</v>
      </c>
      <c r="R30" s="117">
        <f t="shared" ref="R30" si="45">F30-L30</f>
        <v>0</v>
      </c>
      <c r="S30" s="117">
        <f t="shared" ref="S30" si="46">G30-M30</f>
        <v>35781.276657464041</v>
      </c>
      <c r="T30" s="118">
        <f t="shared" ref="T30" si="47">H30-N30</f>
        <v>0</v>
      </c>
      <c r="U30" s="249">
        <f t="shared" ref="U30" si="48">O30*1.07^-($B30-2021)</f>
        <v>0</v>
      </c>
      <c r="V30" s="117">
        <f t="shared" ref="V30" si="49">P30*1.07^-($B30-2021)</f>
        <v>0</v>
      </c>
      <c r="W30" s="117">
        <f t="shared" ref="W30" si="50">Q30*1.07^-($B30-2021)</f>
        <v>0</v>
      </c>
      <c r="X30" s="117">
        <f t="shared" ref="X30" si="51">R30*1.07^-($B30-2021)</f>
        <v>0</v>
      </c>
      <c r="Y30" s="117">
        <f t="shared" ref="Y30" si="52">S30*1.07^-($B30-2021)</f>
        <v>6161.3745746107106</v>
      </c>
      <c r="Z30" s="250">
        <f t="shared" ref="Z30" si="53">T30*1.07^-($B30-2021)</f>
        <v>0</v>
      </c>
      <c r="AA30" s="249">
        <f t="shared" ref="AA30" si="54">SUM(O30:T30)</f>
        <v>35781.276657464041</v>
      </c>
      <c r="AB30" s="118">
        <f t="shared" ref="AB30" si="55">SUM(U30:Z30)</f>
        <v>6161.3745746107106</v>
      </c>
    </row>
    <row r="31" spans="2:28" ht="12.75" thickBot="1" x14ac:dyDescent="0.25">
      <c r="N31" s="42" t="s">
        <v>2926</v>
      </c>
      <c r="O31" s="119">
        <f t="shared" ref="O31:Z31" si="56">SUM(O10:O29)</f>
        <v>122315.97999999998</v>
      </c>
      <c r="P31" s="120">
        <f t="shared" si="56"/>
        <v>108000</v>
      </c>
      <c r="Q31" s="120">
        <f t="shared" si="56"/>
        <v>704073.37925816979</v>
      </c>
      <c r="R31" s="120">
        <f t="shared" si="56"/>
        <v>276035.67718757299</v>
      </c>
      <c r="S31" s="120">
        <f t="shared" si="56"/>
        <v>679844.2564918166</v>
      </c>
      <c r="T31" s="121">
        <f t="shared" si="56"/>
        <v>338660.5114393793</v>
      </c>
      <c r="U31" s="120">
        <f t="shared" si="56"/>
        <v>44332.940089654468</v>
      </c>
      <c r="V31" s="120">
        <f t="shared" si="56"/>
        <v>41884.26202987109</v>
      </c>
      <c r="W31" s="120">
        <f t="shared" si="56"/>
        <v>265906.89122129767</v>
      </c>
      <c r="X31" s="120">
        <f t="shared" si="56"/>
        <v>104250.19742182145</v>
      </c>
      <c r="Y31" s="120">
        <f t="shared" si="56"/>
        <v>246427.20948707141</v>
      </c>
      <c r="Z31" s="120">
        <f t="shared" si="56"/>
        <v>127901.67392941535</v>
      </c>
      <c r="AA31" s="120">
        <f>SUM(AA8:AA30)</f>
        <v>2580027.0610344023</v>
      </c>
      <c r="AB31" s="121">
        <f>SUM(AB8:AB30)</f>
        <v>1067070.6601809876</v>
      </c>
    </row>
    <row r="34" spans="2:26" ht="15" x14ac:dyDescent="0.25">
      <c r="G34"/>
      <c r="H34"/>
      <c r="I34"/>
      <c r="J34"/>
      <c r="K34"/>
      <c r="L34"/>
      <c r="M34"/>
      <c r="N34"/>
      <c r="O34"/>
      <c r="P34"/>
      <c r="Q34"/>
      <c r="R34"/>
      <c r="S34"/>
      <c r="T34"/>
      <c r="U34"/>
      <c r="V34"/>
      <c r="W34"/>
      <c r="X34"/>
      <c r="Y34"/>
      <c r="Z34"/>
    </row>
    <row r="35" spans="2:26" ht="15" x14ac:dyDescent="0.25">
      <c r="G35"/>
      <c r="H35"/>
      <c r="I35"/>
      <c r="J35"/>
      <c r="K35"/>
      <c r="L35"/>
      <c r="M35"/>
      <c r="N35"/>
      <c r="O35"/>
      <c r="P35"/>
      <c r="Q35"/>
      <c r="R35"/>
      <c r="S35"/>
      <c r="T35"/>
      <c r="U35"/>
      <c r="V35"/>
      <c r="W35"/>
      <c r="X35"/>
      <c r="Y35"/>
      <c r="Z35"/>
    </row>
    <row r="36" spans="2:26" ht="15" x14ac:dyDescent="0.25">
      <c r="G36"/>
      <c r="H36"/>
      <c r="I36"/>
      <c r="J36"/>
      <c r="K36"/>
      <c r="L36"/>
      <c r="M36"/>
      <c r="N36"/>
      <c r="O36"/>
      <c r="P36"/>
      <c r="Q36"/>
      <c r="R36"/>
      <c r="S36"/>
      <c r="T36"/>
      <c r="U36"/>
      <c r="V36"/>
      <c r="W36"/>
      <c r="X36"/>
      <c r="Y36"/>
      <c r="Z36"/>
    </row>
    <row r="37" spans="2:26" ht="15.75" thickBot="1" x14ac:dyDescent="0.3">
      <c r="B37" s="42" t="s">
        <v>2972</v>
      </c>
      <c r="G37" s="42" t="s">
        <v>2939</v>
      </c>
      <c r="J37"/>
      <c r="K37"/>
      <c r="L37"/>
      <c r="M37"/>
      <c r="N37"/>
      <c r="O37"/>
      <c r="P37"/>
      <c r="Q37"/>
      <c r="R37"/>
      <c r="S37"/>
      <c r="T37"/>
      <c r="U37"/>
      <c r="V37"/>
      <c r="W37"/>
      <c r="X37"/>
      <c r="Y37"/>
      <c r="Z37"/>
    </row>
    <row r="38" spans="2:26" ht="15.75" thickBot="1" x14ac:dyDescent="0.3">
      <c r="B38" s="122" t="s">
        <v>20</v>
      </c>
      <c r="C38" s="273" t="s">
        <v>2826</v>
      </c>
      <c r="D38" s="26" t="s">
        <v>2827</v>
      </c>
      <c r="E38" s="280" t="s">
        <v>2812</v>
      </c>
      <c r="G38" s="122" t="s">
        <v>2969</v>
      </c>
      <c r="H38" s="123" t="s">
        <v>2970</v>
      </c>
      <c r="I38" s="274" t="s">
        <v>2967</v>
      </c>
      <c r="J38"/>
      <c r="K38"/>
      <c r="L38"/>
      <c r="M38"/>
      <c r="N38"/>
      <c r="O38"/>
      <c r="P38"/>
      <c r="Q38"/>
      <c r="R38"/>
      <c r="S38"/>
      <c r="T38"/>
      <c r="U38"/>
      <c r="V38"/>
      <c r="W38"/>
      <c r="X38"/>
      <c r="Y38"/>
      <c r="Z38"/>
    </row>
    <row r="39" spans="2:26" ht="15" x14ac:dyDescent="0.25">
      <c r="B39" s="267" t="s">
        <v>3</v>
      </c>
      <c r="C39" s="54">
        <v>85000</v>
      </c>
      <c r="D39" s="54">
        <v>85000</v>
      </c>
      <c r="E39" s="281">
        <v>4.6100000000000003</v>
      </c>
      <c r="G39" s="112" t="s">
        <v>2959</v>
      </c>
      <c r="H39" s="50">
        <f>9920</f>
        <v>9920</v>
      </c>
      <c r="I39" s="92" t="s">
        <v>2951</v>
      </c>
      <c r="J39"/>
      <c r="K39"/>
      <c r="L39"/>
      <c r="M39"/>
      <c r="N39"/>
      <c r="O39"/>
      <c r="P39"/>
      <c r="Q39"/>
      <c r="R39"/>
      <c r="S39"/>
      <c r="T39"/>
      <c r="U39"/>
      <c r="V39"/>
      <c r="W39"/>
      <c r="X39"/>
      <c r="Y39"/>
      <c r="Z39"/>
    </row>
    <row r="40" spans="2:26" ht="15.75" thickBot="1" x14ac:dyDescent="0.3">
      <c r="B40" s="268" t="s">
        <v>1</v>
      </c>
      <c r="C40" s="54">
        <v>39048</v>
      </c>
      <c r="D40" s="55">
        <v>39048</v>
      </c>
      <c r="E40" s="282">
        <v>1.76</v>
      </c>
      <c r="G40" s="116" t="s">
        <v>2957</v>
      </c>
      <c r="H40" s="266">
        <f>AVERAGE(H50:H51)</f>
        <v>11440.020248830248</v>
      </c>
      <c r="I40" s="128" t="s">
        <v>2951</v>
      </c>
      <c r="J40"/>
      <c r="K40"/>
      <c r="L40"/>
      <c r="M40"/>
      <c r="N40"/>
      <c r="O40"/>
      <c r="P40"/>
      <c r="Q40"/>
      <c r="R40"/>
      <c r="S40"/>
      <c r="T40"/>
      <c r="U40"/>
      <c r="V40"/>
      <c r="W40"/>
      <c r="X40"/>
      <c r="Y40"/>
      <c r="Z40"/>
    </row>
    <row r="41" spans="2:26" ht="15" x14ac:dyDescent="0.25">
      <c r="B41" s="268" t="s">
        <v>6</v>
      </c>
      <c r="C41" s="113">
        <f>$H$40*'Group O&amp;M'!E41*2</f>
        <v>264950.86896290851</v>
      </c>
      <c r="D41" s="55">
        <f>$H$39*'Group O&amp;M'!E41*2</f>
        <v>229747.20000000001</v>
      </c>
      <c r="E41" s="282">
        <v>11.58</v>
      </c>
      <c r="J41"/>
      <c r="K41"/>
      <c r="L41"/>
      <c r="M41"/>
      <c r="N41"/>
      <c r="O41"/>
      <c r="P41"/>
      <c r="Q41"/>
      <c r="R41"/>
      <c r="S41"/>
      <c r="T41"/>
      <c r="U41"/>
      <c r="V41"/>
      <c r="W41"/>
      <c r="X41"/>
      <c r="Y41"/>
      <c r="Z41"/>
    </row>
    <row r="42" spans="2:26" ht="15.75" thickBot="1" x14ac:dyDescent="0.3">
      <c r="B42" s="268" t="s">
        <v>5</v>
      </c>
      <c r="C42" s="113">
        <f>$H$40*'Group O&amp;M'!E42*2</f>
        <v>103875.38385937865</v>
      </c>
      <c r="D42" s="55">
        <f>$H$39*'Group O&amp;M'!E42*2</f>
        <v>90073.600000000006</v>
      </c>
      <c r="E42" s="282">
        <v>4.54</v>
      </c>
      <c r="G42" s="42" t="s">
        <v>2973</v>
      </c>
      <c r="J42"/>
      <c r="K42"/>
      <c r="L42"/>
      <c r="M42"/>
      <c r="N42"/>
      <c r="O42"/>
      <c r="P42"/>
      <c r="Q42"/>
      <c r="R42"/>
      <c r="S42"/>
      <c r="T42"/>
      <c r="U42"/>
      <c r="V42"/>
      <c r="W42"/>
      <c r="X42"/>
      <c r="Y42"/>
      <c r="Z42"/>
    </row>
    <row r="43" spans="2:26" ht="15" x14ac:dyDescent="0.25">
      <c r="B43" s="268" t="s">
        <v>2</v>
      </c>
      <c r="C43" s="113">
        <f>$H$40*'Group O&amp;M'!E43*2</f>
        <v>269298.07665746403</v>
      </c>
      <c r="D43" s="55">
        <f>$H$39*'Group O&amp;M'!E43*2</f>
        <v>233516.79999999999</v>
      </c>
      <c r="E43" s="282">
        <v>11.77</v>
      </c>
      <c r="G43" s="122" t="s">
        <v>20</v>
      </c>
      <c r="H43" s="275" t="s">
        <v>2801</v>
      </c>
      <c r="I43" s="276" t="s">
        <v>2968</v>
      </c>
      <c r="J43"/>
      <c r="K43"/>
      <c r="L43"/>
      <c r="M43"/>
      <c r="N43"/>
      <c r="O43"/>
      <c r="P43"/>
      <c r="Q43"/>
      <c r="R43"/>
      <c r="S43"/>
      <c r="T43"/>
      <c r="U43"/>
      <c r="V43"/>
      <c r="W43"/>
      <c r="X43"/>
      <c r="Y43"/>
      <c r="Z43"/>
    </row>
    <row r="44" spans="2:26" ht="15.75" thickBot="1" x14ac:dyDescent="0.3">
      <c r="B44" s="269" t="s">
        <v>4</v>
      </c>
      <c r="C44" s="249">
        <f>$H$40*'Group O&amp;M'!E44*2</f>
        <v>127441.82557196896</v>
      </c>
      <c r="D44" s="118">
        <f>$H$39*'Group O&amp;M'!E44*2</f>
        <v>110508.8</v>
      </c>
      <c r="E44" s="283">
        <f>SUM(1.42,1.52,2.63)</f>
        <v>5.57</v>
      </c>
      <c r="G44" s="38" t="s">
        <v>2965</v>
      </c>
      <c r="H44" s="54">
        <v>122315.98</v>
      </c>
      <c r="I44" s="39" t="s">
        <v>2919</v>
      </c>
      <c r="J44"/>
      <c r="K44"/>
      <c r="L44"/>
      <c r="M44"/>
      <c r="N44"/>
      <c r="O44"/>
      <c r="P44"/>
      <c r="Q44"/>
      <c r="R44"/>
      <c r="S44"/>
      <c r="T44"/>
      <c r="U44"/>
      <c r="V44"/>
      <c r="W44"/>
      <c r="X44"/>
      <c r="Y44"/>
      <c r="Z44"/>
    </row>
    <row r="45" spans="2:26" ht="15.75" thickBot="1" x14ac:dyDescent="0.3">
      <c r="B45" s="270" t="s">
        <v>7</v>
      </c>
      <c r="C45" s="279">
        <f>SUM(C39:C44)</f>
        <v>889614.1550517201</v>
      </c>
      <c r="D45" s="67">
        <f>SUM(D39:D44)</f>
        <v>787894.40000000014</v>
      </c>
      <c r="E45" s="284">
        <f>SUM(E39:E44)</f>
        <v>39.83</v>
      </c>
      <c r="G45" s="38" t="s">
        <v>3</v>
      </c>
      <c r="H45" s="54">
        <v>85000</v>
      </c>
      <c r="I45" s="39" t="s">
        <v>2962</v>
      </c>
      <c r="J45"/>
      <c r="K45"/>
      <c r="L45"/>
      <c r="M45"/>
      <c r="N45"/>
      <c r="O45"/>
      <c r="P45"/>
      <c r="Q45"/>
      <c r="R45"/>
      <c r="S45"/>
      <c r="T45"/>
      <c r="U45"/>
      <c r="V45"/>
      <c r="W45"/>
      <c r="X45"/>
      <c r="Y45"/>
      <c r="Z45"/>
    </row>
    <row r="46" spans="2:26" ht="15" x14ac:dyDescent="0.25">
      <c r="G46" s="38" t="s">
        <v>1</v>
      </c>
      <c r="H46" s="271">
        <v>108000</v>
      </c>
      <c r="I46" s="39" t="s">
        <v>2961</v>
      </c>
      <c r="J46"/>
      <c r="K46"/>
      <c r="L46"/>
      <c r="M46"/>
      <c r="N46"/>
      <c r="O46"/>
      <c r="P46"/>
      <c r="Q46"/>
      <c r="R46"/>
      <c r="S46"/>
      <c r="T46"/>
      <c r="U46"/>
      <c r="V46"/>
      <c r="W46"/>
      <c r="X46"/>
      <c r="Y46"/>
      <c r="Z46"/>
    </row>
    <row r="47" spans="2:26" ht="15" x14ac:dyDescent="0.25">
      <c r="G47" s="38" t="s">
        <v>1</v>
      </c>
      <c r="H47" s="54">
        <f>SUM(H48:H49)</f>
        <v>39048</v>
      </c>
      <c r="I47" s="39" t="s">
        <v>2962</v>
      </c>
      <c r="J47"/>
      <c r="K47"/>
      <c r="L47"/>
      <c r="M47"/>
      <c r="N47"/>
      <c r="O47"/>
      <c r="P47"/>
      <c r="Q47"/>
      <c r="R47"/>
      <c r="S47"/>
      <c r="T47"/>
      <c r="U47"/>
      <c r="V47"/>
      <c r="W47"/>
      <c r="X47"/>
      <c r="Y47"/>
      <c r="Z47"/>
    </row>
    <row r="48" spans="2:26" ht="15" x14ac:dyDescent="0.25">
      <c r="G48" s="277" t="s">
        <v>2963</v>
      </c>
      <c r="H48" s="54">
        <v>31648</v>
      </c>
      <c r="I48" s="39" t="s">
        <v>2962</v>
      </c>
      <c r="J48"/>
      <c r="K48"/>
      <c r="L48"/>
      <c r="M48"/>
      <c r="N48"/>
      <c r="O48"/>
      <c r="P48"/>
      <c r="Q48"/>
      <c r="R48"/>
      <c r="S48"/>
      <c r="T48"/>
      <c r="U48"/>
      <c r="V48"/>
      <c r="W48"/>
      <c r="X48"/>
      <c r="Y48"/>
      <c r="Z48"/>
    </row>
    <row r="49" spans="2:26" ht="15" x14ac:dyDescent="0.25">
      <c r="G49" s="277" t="s">
        <v>2964</v>
      </c>
      <c r="H49" s="54">
        <v>7400</v>
      </c>
      <c r="I49" s="39" t="s">
        <v>2962</v>
      </c>
      <c r="J49"/>
      <c r="K49"/>
      <c r="L49"/>
      <c r="M49"/>
      <c r="N49"/>
      <c r="O49"/>
      <c r="P49"/>
      <c r="Q49"/>
      <c r="R49"/>
      <c r="S49"/>
      <c r="T49"/>
      <c r="U49"/>
      <c r="V49"/>
      <c r="W49"/>
      <c r="X49"/>
      <c r="Y49"/>
      <c r="Z49"/>
    </row>
    <row r="50" spans="2:26" ht="15" x14ac:dyDescent="0.25">
      <c r="G50" s="38" t="s">
        <v>2965</v>
      </c>
      <c r="H50" s="272">
        <f>SUM(C8:C29)/22/E39/2</f>
        <v>10006.073555511734</v>
      </c>
      <c r="I50" s="39" t="s">
        <v>2966</v>
      </c>
      <c r="J50"/>
      <c r="K50"/>
      <c r="L50"/>
      <c r="M50"/>
      <c r="N50"/>
      <c r="O50"/>
      <c r="P50"/>
      <c r="Q50"/>
      <c r="R50"/>
      <c r="S50"/>
      <c r="T50"/>
      <c r="U50"/>
      <c r="V50"/>
      <c r="W50"/>
      <c r="X50"/>
      <c r="Y50"/>
      <c r="Z50"/>
    </row>
    <row r="51" spans="2:26" ht="15.75" thickBot="1" x14ac:dyDescent="0.3">
      <c r="G51" s="60" t="s">
        <v>1</v>
      </c>
      <c r="H51" s="278">
        <f>SUM(D8:D29)/22/E40/2</f>
        <v>12873.966942148762</v>
      </c>
      <c r="I51" s="128" t="s">
        <v>2966</v>
      </c>
      <c r="J51"/>
      <c r="K51"/>
      <c r="L51"/>
      <c r="M51"/>
      <c r="N51"/>
      <c r="O51"/>
      <c r="P51"/>
      <c r="Q51"/>
      <c r="R51"/>
      <c r="S51"/>
      <c r="T51"/>
      <c r="U51"/>
      <c r="V51"/>
      <c r="W51"/>
      <c r="X51"/>
      <c r="Y51"/>
      <c r="Z51"/>
    </row>
    <row r="52" spans="2:26" ht="15" x14ac:dyDescent="0.25">
      <c r="G52"/>
      <c r="H52"/>
      <c r="I52"/>
      <c r="J52"/>
      <c r="K52"/>
      <c r="L52"/>
      <c r="M52"/>
      <c r="N52"/>
      <c r="O52"/>
      <c r="P52"/>
      <c r="Q52"/>
      <c r="R52"/>
      <c r="S52"/>
      <c r="T52"/>
      <c r="U52"/>
      <c r="V52"/>
      <c r="W52"/>
      <c r="X52"/>
      <c r="Y52"/>
      <c r="Z52"/>
    </row>
    <row r="53" spans="2:26" ht="12" customHeight="1" x14ac:dyDescent="0.25">
      <c r="B53" s="133" t="s">
        <v>2828</v>
      </c>
      <c r="F53" s="130"/>
      <c r="G53"/>
      <c r="H53"/>
      <c r="I53"/>
      <c r="J53"/>
      <c r="K53"/>
      <c r="L53"/>
      <c r="M53"/>
      <c r="N53"/>
      <c r="O53"/>
      <c r="P53"/>
      <c r="Q53"/>
      <c r="R53"/>
      <c r="S53"/>
      <c r="T53"/>
      <c r="U53"/>
      <c r="V53"/>
      <c r="W53"/>
      <c r="X53"/>
      <c r="Y53"/>
      <c r="Z53"/>
    </row>
    <row r="54" spans="2:26" ht="15" customHeight="1" x14ac:dyDescent="0.2">
      <c r="B54" s="265" t="s">
        <v>2829</v>
      </c>
      <c r="C54" s="533" t="s">
        <v>2960</v>
      </c>
      <c r="D54" s="533"/>
      <c r="E54" s="533"/>
      <c r="F54" s="533"/>
      <c r="G54" s="533"/>
      <c r="H54" s="533"/>
      <c r="I54" s="533"/>
      <c r="J54" s="533"/>
      <c r="K54" s="533"/>
    </row>
    <row r="55" spans="2:26" ht="15" customHeight="1" x14ac:dyDescent="0.2">
      <c r="C55" s="533"/>
      <c r="D55" s="533"/>
      <c r="E55" s="533"/>
      <c r="F55" s="533"/>
      <c r="G55" s="533"/>
      <c r="H55" s="533"/>
      <c r="I55" s="533"/>
      <c r="J55" s="533"/>
      <c r="K55" s="533"/>
    </row>
    <row r="56" spans="2:26" ht="15" customHeight="1" x14ac:dyDescent="0.2">
      <c r="C56" s="533"/>
      <c r="D56" s="533"/>
      <c r="E56" s="533"/>
      <c r="F56" s="533"/>
      <c r="G56" s="533"/>
      <c r="H56" s="533"/>
      <c r="I56" s="533"/>
      <c r="J56" s="533"/>
      <c r="K56" s="533"/>
    </row>
    <row r="57" spans="2:26" ht="14.25" customHeight="1" x14ac:dyDescent="0.2">
      <c r="B57" s="129" t="s">
        <v>2842</v>
      </c>
      <c r="C57" s="533" t="s">
        <v>2958</v>
      </c>
      <c r="D57" s="533"/>
      <c r="E57" s="533"/>
      <c r="F57" s="533"/>
      <c r="G57" s="533"/>
      <c r="H57" s="533"/>
      <c r="I57" s="533"/>
      <c r="J57" s="533"/>
      <c r="K57" s="533"/>
    </row>
  </sheetData>
  <mergeCells count="34">
    <mergeCell ref="AA6:AA7"/>
    <mergeCell ref="AB6:AB7"/>
    <mergeCell ref="AA4:AB5"/>
    <mergeCell ref="F6:F7"/>
    <mergeCell ref="B4:B7"/>
    <mergeCell ref="R6:R7"/>
    <mergeCell ref="S6:S7"/>
    <mergeCell ref="T6:T7"/>
    <mergeCell ref="H6:H7"/>
    <mergeCell ref="C4:H5"/>
    <mergeCell ref="I4:N5"/>
    <mergeCell ref="I6:I7"/>
    <mergeCell ref="J6:J7"/>
    <mergeCell ref="K6:K7"/>
    <mergeCell ref="L6:L7"/>
    <mergeCell ref="M6:M7"/>
    <mergeCell ref="O4:T5"/>
    <mergeCell ref="O6:O7"/>
    <mergeCell ref="P6:P7"/>
    <mergeCell ref="Q6:Q7"/>
    <mergeCell ref="D6:D7"/>
    <mergeCell ref="U4:Z5"/>
    <mergeCell ref="U6:U7"/>
    <mergeCell ref="V6:V7"/>
    <mergeCell ref="W6:W7"/>
    <mergeCell ref="X6:X7"/>
    <mergeCell ref="Y6:Y7"/>
    <mergeCell ref="Z6:Z7"/>
    <mergeCell ref="C57:K57"/>
    <mergeCell ref="C54:K56"/>
    <mergeCell ref="E6:E7"/>
    <mergeCell ref="N6:N7"/>
    <mergeCell ref="G6:G7"/>
    <mergeCell ref="C6:C7"/>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240-14F9-479F-9B4C-524F6E4E616E}">
  <sheetPr>
    <tabColor theme="4" tint="0.59999389629810485"/>
    <pageSetUpPr fitToPage="1"/>
  </sheetPr>
  <dimension ref="A1:AC58"/>
  <sheetViews>
    <sheetView view="pageBreakPreview" zoomScaleNormal="85" zoomScaleSheetLayoutView="100" workbookViewId="0">
      <selection activeCell="H46" sqref="H46"/>
    </sheetView>
  </sheetViews>
  <sheetFormatPr defaultColWidth="9.140625" defaultRowHeight="12" x14ac:dyDescent="0.2"/>
  <cols>
    <col min="1" max="1" width="5.7109375" style="17" customWidth="1"/>
    <col min="2" max="2" width="14.140625" style="17" customWidth="1"/>
    <col min="3" max="5" width="10.140625" style="17" customWidth="1"/>
    <col min="6" max="6" width="9.140625" style="17"/>
    <col min="7" max="7" width="11.5703125" style="17" bestFit="1" customWidth="1"/>
    <col min="8" max="8" width="18.7109375" style="17" customWidth="1"/>
    <col min="9" max="9" width="9.85546875" style="17" customWidth="1"/>
    <col min="10" max="10" width="10.5703125" style="17" customWidth="1"/>
    <col min="11" max="11" width="8.85546875" style="17" customWidth="1"/>
    <col min="12" max="14" width="5.5703125" style="17" customWidth="1"/>
    <col min="15" max="16384" width="9.140625" style="17"/>
  </cols>
  <sheetData>
    <row r="1" spans="2:29" ht="11.25" customHeight="1" x14ac:dyDescent="0.2"/>
    <row r="2" spans="2:29" ht="11.25" customHeight="1" x14ac:dyDescent="0.2">
      <c r="B2" s="79"/>
      <c r="C2" s="578" t="s">
        <v>2901</v>
      </c>
      <c r="D2" s="578"/>
      <c r="E2" s="578"/>
    </row>
    <row r="3" spans="2:29" ht="11.25" customHeight="1" x14ac:dyDescent="0.2">
      <c r="B3" s="79"/>
      <c r="C3" s="77" t="s">
        <v>2826</v>
      </c>
      <c r="D3" s="77" t="s">
        <v>2827</v>
      </c>
      <c r="E3" s="77" t="s">
        <v>2907</v>
      </c>
    </row>
    <row r="4" spans="2:29" ht="11.25" customHeight="1" x14ac:dyDescent="0.2">
      <c r="B4" s="78" t="s">
        <v>2797</v>
      </c>
      <c r="C4" s="77" t="s">
        <v>7</v>
      </c>
      <c r="D4" s="77" t="s">
        <v>7</v>
      </c>
      <c r="E4" s="77" t="s">
        <v>7</v>
      </c>
      <c r="F4" s="227"/>
    </row>
    <row r="5" spans="2:29" ht="11.25" customHeight="1" x14ac:dyDescent="0.2">
      <c r="B5" s="75">
        <v>2022</v>
      </c>
      <c r="C5" s="76">
        <f>J17</f>
        <v>76.046951901566004</v>
      </c>
      <c r="D5" s="76">
        <f>I17</f>
        <v>67.59729057916978</v>
      </c>
      <c r="E5" s="76">
        <f>C5-D5</f>
        <v>8.4496613223962243</v>
      </c>
    </row>
    <row r="6" spans="2:29" ht="11.25" customHeight="1" x14ac:dyDescent="0.2">
      <c r="B6" s="75">
        <v>2046</v>
      </c>
      <c r="C6" s="76">
        <f>J17</f>
        <v>76.046951901566004</v>
      </c>
      <c r="D6" s="76">
        <f>I17</f>
        <v>67.59729057916978</v>
      </c>
      <c r="E6" s="76">
        <f>C6-D6</f>
        <v>8.4496613223962243</v>
      </c>
    </row>
    <row r="7" spans="2:29" ht="11.25" customHeight="1" x14ac:dyDescent="0.2">
      <c r="B7" s="286" t="s">
        <v>2906</v>
      </c>
      <c r="C7" s="74">
        <f t="shared" ref="C7:E7" si="0">((C6-C5)/C5)/($B6-$B5)</f>
        <v>0</v>
      </c>
      <c r="D7" s="74">
        <f t="shared" si="0"/>
        <v>0</v>
      </c>
      <c r="E7" s="74">
        <f t="shared" si="0"/>
        <v>0</v>
      </c>
    </row>
    <row r="8" spans="2:29" ht="11.25" customHeight="1" x14ac:dyDescent="0.2">
      <c r="B8" s="42" t="s">
        <v>2905</v>
      </c>
      <c r="E8" s="42"/>
      <c r="X8" s="230"/>
      <c r="Y8" s="230"/>
      <c r="Z8" s="230"/>
      <c r="AA8" s="230"/>
      <c r="AB8" s="230"/>
      <c r="AC8" s="230"/>
    </row>
    <row r="9" spans="2:29" ht="11.25" customHeight="1" thickBot="1" x14ac:dyDescent="0.25">
      <c r="B9" s="42" t="s">
        <v>2978</v>
      </c>
      <c r="C9" s="228"/>
      <c r="D9" s="228"/>
      <c r="E9" s="228"/>
      <c r="X9" s="230"/>
      <c r="Y9" s="230"/>
      <c r="Z9" s="230"/>
      <c r="AA9" s="230"/>
      <c r="AB9" s="230"/>
      <c r="AC9" s="230"/>
    </row>
    <row r="10" spans="2:29" ht="11.25" customHeight="1" thickBot="1" x14ac:dyDescent="0.25">
      <c r="B10" s="510" t="s">
        <v>0</v>
      </c>
      <c r="C10" s="579" t="s">
        <v>2904</v>
      </c>
      <c r="D10" s="580"/>
      <c r="E10" s="581"/>
      <c r="X10" s="230"/>
      <c r="Y10" s="230"/>
      <c r="Z10" s="230"/>
      <c r="AA10" s="230"/>
      <c r="AB10" s="230"/>
      <c r="AC10" s="230"/>
    </row>
    <row r="11" spans="2:29" ht="11.25" customHeight="1" x14ac:dyDescent="0.2">
      <c r="B11" s="577"/>
      <c r="C11" s="510" t="s">
        <v>2826</v>
      </c>
      <c r="D11" s="510" t="s">
        <v>2827</v>
      </c>
      <c r="E11" s="510" t="s">
        <v>2903</v>
      </c>
      <c r="X11" s="230"/>
      <c r="Y11" s="230"/>
      <c r="Z11" s="230"/>
      <c r="AA11" s="230"/>
      <c r="AB11" s="230"/>
      <c r="AC11" s="230"/>
    </row>
    <row r="12" spans="2:29" ht="11.25" customHeight="1" thickBot="1" x14ac:dyDescent="0.25">
      <c r="B12" s="511"/>
      <c r="C12" s="511"/>
      <c r="D12" s="511"/>
      <c r="E12" s="511"/>
      <c r="H12" s="42" t="s">
        <v>2977</v>
      </c>
      <c r="X12" s="230"/>
      <c r="Y12" s="230"/>
      <c r="Z12" s="230"/>
      <c r="AA12" s="230"/>
      <c r="AB12" s="230"/>
      <c r="AC12" s="230"/>
    </row>
    <row r="13" spans="2:29" ht="11.25" customHeight="1" thickBot="1" x14ac:dyDescent="0.25">
      <c r="B13" s="73">
        <f>Assumptions!D8</f>
        <v>2027</v>
      </c>
      <c r="C13" s="72">
        <f>TREND(C$5:C$6,$B$5:$B$6,$B13)*Assumptions!$D$10</f>
        <v>27776.149182046982</v>
      </c>
      <c r="D13" s="72">
        <f>TREND(D$5:D$6,$B$5:$B$6,$B13)*Assumptions!$D$10</f>
        <v>24689.910384041763</v>
      </c>
      <c r="E13" s="71">
        <f>D13-C13</f>
        <v>-3086.238798005219</v>
      </c>
      <c r="H13" s="84" t="s">
        <v>2814</v>
      </c>
      <c r="I13" s="125" t="s">
        <v>2902</v>
      </c>
      <c r="J13" s="126" t="s">
        <v>2974</v>
      </c>
      <c r="X13" s="230"/>
      <c r="Y13" s="230"/>
      <c r="Z13" s="230"/>
      <c r="AA13" s="230"/>
      <c r="AB13" s="230"/>
      <c r="AC13" s="230"/>
    </row>
    <row r="14" spans="2:29" ht="11.25" customHeight="1" x14ac:dyDescent="0.2">
      <c r="B14" s="1">
        <f t="shared" ref="B14:B33" si="1">B13+1</f>
        <v>2028</v>
      </c>
      <c r="C14" s="69">
        <f>TREND(C$5:C$6,$B$5:$B$6,$B14)*Assumptions!$D$10</f>
        <v>27776.149182046982</v>
      </c>
      <c r="D14" s="69">
        <f>TREND(D$5:D$6,$B$5:$B$6,$B14)*Assumptions!$D$10</f>
        <v>24689.910384041763</v>
      </c>
      <c r="E14" s="69">
        <f t="shared" ref="E14:E33" si="2">D14-C14</f>
        <v>-3086.238798005219</v>
      </c>
      <c r="H14" s="59" t="s">
        <v>2812</v>
      </c>
      <c r="I14" s="253">
        <f>'Group O&amp;M'!E39</f>
        <v>4.6100000000000003</v>
      </c>
      <c r="J14" s="96">
        <v>4.6100000000000003</v>
      </c>
      <c r="X14" s="230"/>
      <c r="Y14" s="230"/>
      <c r="Z14" s="230"/>
      <c r="AA14" s="230"/>
      <c r="AB14" s="230"/>
      <c r="AC14" s="230"/>
    </row>
    <row r="15" spans="2:29" ht="11.25" customHeight="1" x14ac:dyDescent="0.2">
      <c r="B15" s="1">
        <f t="shared" si="1"/>
        <v>2029</v>
      </c>
      <c r="C15" s="69">
        <f>TREND(C$5:C$6,$B$5:$B$6,$B15)*Assumptions!$D$10</f>
        <v>27776.149182046982</v>
      </c>
      <c r="D15" s="69">
        <f>TREND(D$5:D$6,$B$5:$B$6,$B15)*Assumptions!$D$10</f>
        <v>24689.910384041763</v>
      </c>
      <c r="E15" s="69">
        <f t="shared" si="2"/>
        <v>-3086.238798005219</v>
      </c>
      <c r="H15" s="38" t="s">
        <v>2900</v>
      </c>
      <c r="I15" s="93">
        <v>45</v>
      </c>
      <c r="J15" s="94">
        <f>I15-J18</f>
        <v>40</v>
      </c>
      <c r="X15" s="230"/>
      <c r="Y15" s="230"/>
      <c r="Z15" s="230"/>
      <c r="AA15" s="230"/>
      <c r="AB15" s="230"/>
      <c r="AC15" s="230"/>
    </row>
    <row r="16" spans="2:29" ht="11.25" customHeight="1" x14ac:dyDescent="0.2">
      <c r="B16" s="1">
        <f t="shared" si="1"/>
        <v>2030</v>
      </c>
      <c r="C16" s="69">
        <f>TREND(C$5:C$6,$B$5:$B$6,$B16)*Assumptions!$D$10</f>
        <v>27776.149182046982</v>
      </c>
      <c r="D16" s="69">
        <f>TREND(D$5:D$6,$B$5:$B$6,$B16)*Assumptions!$D$10</f>
        <v>24689.910384041763</v>
      </c>
      <c r="E16" s="69">
        <f t="shared" si="2"/>
        <v>-3086.238798005219</v>
      </c>
      <c r="H16" s="38" t="s">
        <v>2813</v>
      </c>
      <c r="I16" s="93">
        <f>SUMPRODUCT($I$24:$K$24,I23:K23)/SUM($I$24:$K$24)</f>
        <v>659.84340044742737</v>
      </c>
      <c r="J16" s="94">
        <f>I16</f>
        <v>659.84340044742737</v>
      </c>
      <c r="X16" s="230"/>
      <c r="Y16" s="230"/>
      <c r="Z16" s="230"/>
      <c r="AA16" s="230"/>
      <c r="AB16" s="230"/>
      <c r="AC16" s="230"/>
    </row>
    <row r="17" spans="2:29" ht="11.25" customHeight="1" thickBot="1" x14ac:dyDescent="0.25">
      <c r="B17" s="1">
        <f t="shared" si="1"/>
        <v>2031</v>
      </c>
      <c r="C17" s="69">
        <f>TREND(C$5:C$6,$B$5:$B$6,$B17)*Assumptions!$D$10</f>
        <v>27776.149182046982</v>
      </c>
      <c r="D17" s="69">
        <f>TREND(D$5:D$6,$B$5:$B$6,$B17)*Assumptions!$D$10</f>
        <v>24689.910384041763</v>
      </c>
      <c r="E17" s="69">
        <f t="shared" si="2"/>
        <v>-3086.238798005219</v>
      </c>
      <c r="H17" s="60" t="s">
        <v>2899</v>
      </c>
      <c r="I17" s="89">
        <f>I14/I15*I16</f>
        <v>67.59729057916978</v>
      </c>
      <c r="J17" s="90">
        <f>J14/J15*J16</f>
        <v>76.046951901566004</v>
      </c>
      <c r="X17" s="230"/>
      <c r="Y17" s="230"/>
      <c r="Z17" s="230"/>
      <c r="AA17" s="230"/>
      <c r="AB17" s="230"/>
      <c r="AC17" s="230"/>
    </row>
    <row r="18" spans="2:29" ht="11.25" customHeight="1" thickBot="1" x14ac:dyDescent="0.25">
      <c r="B18" s="1">
        <f t="shared" si="1"/>
        <v>2032</v>
      </c>
      <c r="C18" s="69">
        <f>TREND(C$5:C$6,$B$5:$B$6,$B18)*Assumptions!$D$10</f>
        <v>27776.149182046982</v>
      </c>
      <c r="D18" s="69">
        <f>TREND(D$5:D$6,$B$5:$B$6,$B18)*Assumptions!$D$10</f>
        <v>24689.910384041763</v>
      </c>
      <c r="E18" s="69">
        <f t="shared" si="2"/>
        <v>-3086.238798005219</v>
      </c>
      <c r="H18" s="203" t="s">
        <v>2949</v>
      </c>
      <c r="I18" s="111"/>
      <c r="J18" s="264">
        <v>5</v>
      </c>
    </row>
    <row r="19" spans="2:29" ht="11.25" customHeight="1" x14ac:dyDescent="0.25">
      <c r="B19" s="1">
        <f t="shared" si="1"/>
        <v>2033</v>
      </c>
      <c r="C19" s="69">
        <f>TREND(C$5:C$6,$B$5:$B$6,$B19)*Assumptions!$D$10</f>
        <v>27776.149182046982</v>
      </c>
      <c r="D19" s="69">
        <f>TREND(D$5:D$6,$B$5:$B$6,$B19)*Assumptions!$D$10</f>
        <v>24689.910384041763</v>
      </c>
      <c r="E19" s="69">
        <f t="shared" si="2"/>
        <v>-3086.238798005219</v>
      </c>
      <c r="H19"/>
      <c r="I19"/>
    </row>
    <row r="20" spans="2:29" ht="11.25" customHeight="1" thickBot="1" x14ac:dyDescent="0.3">
      <c r="B20" s="1">
        <f t="shared" si="1"/>
        <v>2034</v>
      </c>
      <c r="C20" s="69">
        <f>TREND(C$5:C$6,$B$5:$B$6,$B20)*Assumptions!$D$10</f>
        <v>27776.149182046982</v>
      </c>
      <c r="D20" s="69">
        <f>TREND(D$5:D$6,$B$5:$B$6,$B20)*Assumptions!$D$10</f>
        <v>24689.910384041763</v>
      </c>
      <c r="E20" s="69">
        <f t="shared" si="2"/>
        <v>-3086.238798005219</v>
      </c>
      <c r="F20" s="311"/>
      <c r="H20" s="42" t="s">
        <v>2990</v>
      </c>
      <c r="I20"/>
      <c r="J20"/>
      <c r="K20"/>
      <c r="L20"/>
      <c r="M20"/>
      <c r="N20"/>
    </row>
    <row r="21" spans="2:29" ht="11.25" customHeight="1" thickBot="1" x14ac:dyDescent="0.3">
      <c r="B21" s="1">
        <f t="shared" si="1"/>
        <v>2035</v>
      </c>
      <c r="C21" s="69">
        <f>TREND(C$5:C$6,$B$5:$B$6,$B21)*Assumptions!$D$10</f>
        <v>27776.149182046982</v>
      </c>
      <c r="D21" s="69">
        <f>TREND(D$5:D$6,$B$5:$B$6,$B21)*Assumptions!$D$10</f>
        <v>24689.910384041763</v>
      </c>
      <c r="E21" s="69">
        <f t="shared" si="2"/>
        <v>-3086.238798005219</v>
      </c>
      <c r="F21" s="311"/>
      <c r="H21" s="123" t="s">
        <v>2979</v>
      </c>
      <c r="I21" s="85" t="s">
        <v>2501</v>
      </c>
      <c r="J21" s="124" t="s">
        <v>2501</v>
      </c>
      <c r="K21" s="26" t="s">
        <v>2501</v>
      </c>
      <c r="L21"/>
      <c r="M21"/>
      <c r="N21"/>
    </row>
    <row r="22" spans="2:29" ht="11.25" customHeight="1" x14ac:dyDescent="0.25">
      <c r="B22" s="1">
        <f t="shared" si="1"/>
        <v>2036</v>
      </c>
      <c r="C22" s="69">
        <f>TREND(C$5:C$6,$B$5:$B$6,$B22)*Assumptions!$D$10</f>
        <v>27776.149182046982</v>
      </c>
      <c r="D22" s="69">
        <f>TREND(D$5:D$6,$B$5:$B$6,$B22)*Assumptions!$D$10</f>
        <v>24689.910384041763</v>
      </c>
      <c r="E22" s="69">
        <f t="shared" si="2"/>
        <v>-3086.238798005219</v>
      </c>
      <c r="F22" s="311"/>
      <c r="H22" s="86" t="s">
        <v>2814</v>
      </c>
      <c r="I22" s="87" t="s">
        <v>2987</v>
      </c>
      <c r="J22" s="87" t="s">
        <v>2988</v>
      </c>
      <c r="K22" s="88" t="s">
        <v>2989</v>
      </c>
      <c r="L22"/>
      <c r="M22"/>
      <c r="N22"/>
    </row>
    <row r="23" spans="2:29" ht="11.25" customHeight="1" x14ac:dyDescent="0.25">
      <c r="B23" s="1">
        <f t="shared" si="1"/>
        <v>2037</v>
      </c>
      <c r="C23" s="69">
        <f>TREND(C$5:C$6,$B$5:$B$6,$B23)*Assumptions!$D$10</f>
        <v>27776.149182046982</v>
      </c>
      <c r="D23" s="69">
        <f>TREND(D$5:D$6,$B$5:$B$6,$B23)*Assumptions!$D$10</f>
        <v>24689.910384041763</v>
      </c>
      <c r="E23" s="69">
        <f t="shared" si="2"/>
        <v>-3086.238798005219</v>
      </c>
      <c r="F23" s="311"/>
      <c r="H23" s="38" t="s">
        <v>2813</v>
      </c>
      <c r="I23" s="65">
        <v>700</v>
      </c>
      <c r="J23" s="65">
        <v>670</v>
      </c>
      <c r="K23" s="39">
        <v>650</v>
      </c>
      <c r="L23"/>
      <c r="M23"/>
      <c r="N23"/>
    </row>
    <row r="24" spans="2:29" ht="11.25" customHeight="1" thickBot="1" x14ac:dyDescent="0.3">
      <c r="B24" s="1">
        <f t="shared" si="1"/>
        <v>2038</v>
      </c>
      <c r="C24" s="69">
        <f>TREND(C$5:C$6,$B$5:$B$6,$B24)*Assumptions!$D$10</f>
        <v>27776.149182046982</v>
      </c>
      <c r="D24" s="69">
        <f>TREND(D$5:D$6,$B$5:$B$6,$B24)*Assumptions!$D$10</f>
        <v>24689.910384041763</v>
      </c>
      <c r="E24" s="69">
        <f t="shared" si="2"/>
        <v>-3086.238798005219</v>
      </c>
      <c r="F24" s="311"/>
      <c r="H24" s="60" t="s">
        <v>2812</v>
      </c>
      <c r="I24" s="218">
        <v>0.5</v>
      </c>
      <c r="J24" s="218">
        <v>0.95</v>
      </c>
      <c r="K24" s="128">
        <v>3.02</v>
      </c>
      <c r="L24"/>
      <c r="M24"/>
      <c r="N24"/>
    </row>
    <row r="25" spans="2:29" ht="11.25" customHeight="1" x14ac:dyDescent="0.25">
      <c r="B25" s="1">
        <f t="shared" si="1"/>
        <v>2039</v>
      </c>
      <c r="C25" s="69">
        <f>TREND(C$5:C$6,$B$5:$B$6,$B25)*Assumptions!$D$10</f>
        <v>27776.149182046982</v>
      </c>
      <c r="D25" s="69">
        <f>TREND(D$5:D$6,$B$5:$B$6,$B25)*Assumptions!$D$10</f>
        <v>24689.910384041763</v>
      </c>
      <c r="E25" s="69">
        <f t="shared" si="2"/>
        <v>-3086.238798005219</v>
      </c>
      <c r="H25"/>
      <c r="I25"/>
      <c r="J25"/>
      <c r="K25"/>
      <c r="L25"/>
      <c r="M25"/>
      <c r="N25"/>
    </row>
    <row r="26" spans="2:29" ht="11.25" customHeight="1" x14ac:dyDescent="0.25">
      <c r="B26" s="1">
        <f t="shared" si="1"/>
        <v>2040</v>
      </c>
      <c r="C26" s="69">
        <f>TREND(C$5:C$6,$B$5:$B$6,$B26)*Assumptions!$D$10</f>
        <v>27776.149182046982</v>
      </c>
      <c r="D26" s="69">
        <f>TREND(D$5:D$6,$B$5:$B$6,$B26)*Assumptions!$D$10</f>
        <v>24689.910384041763</v>
      </c>
      <c r="E26" s="69">
        <f t="shared" si="2"/>
        <v>-3086.238798005219</v>
      </c>
      <c r="H26"/>
      <c r="I26"/>
      <c r="J26"/>
      <c r="K26"/>
      <c r="L26"/>
      <c r="M26"/>
      <c r="N26"/>
    </row>
    <row r="27" spans="2:29" ht="11.25" customHeight="1" x14ac:dyDescent="0.25">
      <c r="B27" s="1">
        <f t="shared" si="1"/>
        <v>2041</v>
      </c>
      <c r="C27" s="69">
        <f>TREND(C$5:C$6,$B$5:$B$6,$B27)*Assumptions!$D$10</f>
        <v>27776.149182046982</v>
      </c>
      <c r="D27" s="69">
        <f>TREND(D$5:D$6,$B$5:$B$6,$B27)*Assumptions!$D$10</f>
        <v>24689.910384041763</v>
      </c>
      <c r="E27" s="69">
        <f t="shared" si="2"/>
        <v>-3086.238798005219</v>
      </c>
      <c r="H27"/>
      <c r="I27"/>
      <c r="J27"/>
      <c r="K27"/>
      <c r="L27"/>
      <c r="M27"/>
      <c r="N27"/>
    </row>
    <row r="28" spans="2:29" ht="11.25" customHeight="1" x14ac:dyDescent="0.25">
      <c r="B28" s="1">
        <f t="shared" si="1"/>
        <v>2042</v>
      </c>
      <c r="C28" s="69">
        <f>TREND(C$5:C$6,$B$5:$B$6,$B28)*Assumptions!$D$10</f>
        <v>27776.149182046982</v>
      </c>
      <c r="D28" s="69">
        <f>TREND(D$5:D$6,$B$5:$B$6,$B28)*Assumptions!$D$10</f>
        <v>24689.910384041763</v>
      </c>
      <c r="E28" s="69">
        <f t="shared" si="2"/>
        <v>-3086.238798005219</v>
      </c>
      <c r="H28"/>
      <c r="I28"/>
      <c r="J28"/>
      <c r="K28"/>
      <c r="L28"/>
      <c r="M28"/>
      <c r="N28"/>
    </row>
    <row r="29" spans="2:29" ht="11.25" customHeight="1" x14ac:dyDescent="0.25">
      <c r="B29" s="1">
        <f t="shared" si="1"/>
        <v>2043</v>
      </c>
      <c r="C29" s="69">
        <f>TREND(C$5:C$6,$B$5:$B$6,$B29)*Assumptions!$D$10</f>
        <v>27776.149182046982</v>
      </c>
      <c r="D29" s="69">
        <f>TREND(D$5:D$6,$B$5:$B$6,$B29)*Assumptions!$D$10</f>
        <v>24689.910384041763</v>
      </c>
      <c r="E29" s="69">
        <f t="shared" si="2"/>
        <v>-3086.238798005219</v>
      </c>
      <c r="H29"/>
      <c r="I29"/>
      <c r="J29"/>
      <c r="K29"/>
      <c r="L29"/>
      <c r="M29"/>
      <c r="N29"/>
    </row>
    <row r="30" spans="2:29" ht="11.25" customHeight="1" x14ac:dyDescent="0.25">
      <c r="B30" s="1">
        <f t="shared" si="1"/>
        <v>2044</v>
      </c>
      <c r="C30" s="69">
        <f>TREND(C$5:C$6,$B$5:$B$6,$B30)*Assumptions!$D$10</f>
        <v>27776.149182046982</v>
      </c>
      <c r="D30" s="69">
        <f>TREND(D$5:D$6,$B$5:$B$6,$B30)*Assumptions!$D$10</f>
        <v>24689.910384041763</v>
      </c>
      <c r="E30" s="69">
        <f t="shared" si="2"/>
        <v>-3086.238798005219</v>
      </c>
      <c r="H30"/>
      <c r="I30"/>
      <c r="J30"/>
      <c r="K30"/>
      <c r="L30"/>
      <c r="M30"/>
      <c r="N30"/>
    </row>
    <row r="31" spans="2:29" ht="11.25" customHeight="1" x14ac:dyDescent="0.25">
      <c r="B31" s="1">
        <f t="shared" si="1"/>
        <v>2045</v>
      </c>
      <c r="C31" s="69">
        <f>TREND(C$5:C$6,$B$5:$B$6,$B31)*Assumptions!$D$10</f>
        <v>27776.149182046982</v>
      </c>
      <c r="D31" s="69">
        <f>TREND(D$5:D$6,$B$5:$B$6,$B31)*Assumptions!$D$10</f>
        <v>24689.910384041763</v>
      </c>
      <c r="E31" s="69">
        <f t="shared" si="2"/>
        <v>-3086.238798005219</v>
      </c>
      <c r="H31"/>
      <c r="I31"/>
      <c r="J31"/>
      <c r="K31"/>
      <c r="L31"/>
      <c r="M31"/>
      <c r="N31"/>
    </row>
    <row r="32" spans="2:29" ht="11.25" customHeight="1" x14ac:dyDescent="0.2">
      <c r="B32" s="1">
        <f t="shared" si="1"/>
        <v>2046</v>
      </c>
      <c r="C32" s="69">
        <f>TREND(C$5:C$6,$B$5:$B$6,$B32)*Assumptions!$D$10</f>
        <v>27776.149182046982</v>
      </c>
      <c r="D32" s="69">
        <f>TREND(D$5:D$6,$B$5:$B$6,$B32)*Assumptions!$D$10</f>
        <v>24689.910384041763</v>
      </c>
      <c r="E32" s="69">
        <f t="shared" si="2"/>
        <v>-3086.238798005219</v>
      </c>
    </row>
    <row r="33" spans="1:5" ht="11.25" customHeight="1" x14ac:dyDescent="0.2">
      <c r="B33" s="1">
        <f t="shared" si="1"/>
        <v>2047</v>
      </c>
      <c r="C33" s="69">
        <f>TREND(C$5:C$6,$B$5:$B$6,$B33)*Assumptions!$D$10</f>
        <v>27776.149182046982</v>
      </c>
      <c r="D33" s="69">
        <f>TREND(D$5:D$6,$B$5:$B$6,$B33)*Assumptions!$D$10</f>
        <v>24689.910384041763</v>
      </c>
      <c r="E33" s="69">
        <f t="shared" si="2"/>
        <v>-3086.238798005219</v>
      </c>
    </row>
    <row r="34" spans="1:5" ht="11.25" customHeight="1" x14ac:dyDescent="0.2">
      <c r="B34" s="42"/>
      <c r="C34" s="42"/>
    </row>
    <row r="35" spans="1:5" ht="11.25" customHeight="1" x14ac:dyDescent="0.2"/>
    <row r="36" spans="1:5" ht="11.25" customHeight="1" x14ac:dyDescent="0.2">
      <c r="A36" s="129"/>
    </row>
    <row r="40" spans="1:5" x14ac:dyDescent="0.2">
      <c r="B40" s="229"/>
      <c r="C40" s="229"/>
      <c r="D40" s="229"/>
      <c r="E40" s="229"/>
    </row>
    <row r="41" spans="1:5" x14ac:dyDescent="0.2">
      <c r="B41" s="42"/>
    </row>
    <row r="42" spans="1:5" ht="12" customHeight="1" x14ac:dyDescent="0.2">
      <c r="A42" s="129"/>
      <c r="B42" s="129"/>
      <c r="C42" s="131"/>
      <c r="D42" s="131"/>
      <c r="E42" s="131"/>
    </row>
    <row r="43" spans="1:5" x14ac:dyDescent="0.2">
      <c r="C43" s="131"/>
      <c r="D43" s="131"/>
      <c r="E43" s="131"/>
    </row>
    <row r="44" spans="1:5" x14ac:dyDescent="0.2">
      <c r="C44" s="131"/>
      <c r="D44" s="131"/>
      <c r="E44" s="131"/>
    </row>
    <row r="45" spans="1:5" x14ac:dyDescent="0.2">
      <c r="C45" s="131"/>
      <c r="D45" s="131"/>
      <c r="E45" s="131"/>
    </row>
    <row r="46" spans="1:5" x14ac:dyDescent="0.2">
      <c r="C46" s="131"/>
      <c r="D46" s="131"/>
      <c r="E46" s="131"/>
    </row>
    <row r="47" spans="1:5" x14ac:dyDescent="0.2">
      <c r="C47" s="131"/>
      <c r="D47" s="131"/>
      <c r="E47" s="131"/>
    </row>
    <row r="48" spans="1:5" x14ac:dyDescent="0.2">
      <c r="C48" s="131"/>
      <c r="D48" s="131"/>
      <c r="E48" s="131"/>
    </row>
    <row r="49" spans="3:5" x14ac:dyDescent="0.2">
      <c r="C49" s="131"/>
      <c r="D49" s="131"/>
      <c r="E49" s="131"/>
    </row>
    <row r="50" spans="3:5" x14ac:dyDescent="0.2">
      <c r="C50" s="131"/>
      <c r="D50" s="131"/>
      <c r="E50" s="131"/>
    </row>
    <row r="51" spans="3:5" x14ac:dyDescent="0.2">
      <c r="C51" s="131"/>
      <c r="D51" s="131"/>
      <c r="E51" s="131"/>
    </row>
    <row r="52" spans="3:5" ht="15" customHeight="1" x14ac:dyDescent="0.2"/>
    <row r="58" spans="3:5" ht="15" customHeight="1" x14ac:dyDescent="0.2"/>
  </sheetData>
  <mergeCells count="6">
    <mergeCell ref="C2:E2"/>
    <mergeCell ref="B10:B12"/>
    <mergeCell ref="C10:E10"/>
    <mergeCell ref="C11:C12"/>
    <mergeCell ref="D11:D12"/>
    <mergeCell ref="E11:E12"/>
  </mergeCells>
  <pageMargins left="0.25" right="0.25" top="0.75" bottom="0.75" header="0.3" footer="0.3"/>
  <pageSetup paperSize="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7432-5495-4E0E-97C9-5ADE6851D926}">
  <sheetPr>
    <tabColor rgb="FF00B050"/>
    <pageSetUpPr fitToPage="1"/>
  </sheetPr>
  <dimension ref="A1:AV55"/>
  <sheetViews>
    <sheetView view="pageBreakPreview" topLeftCell="A6" zoomScale="70" zoomScaleNormal="40" zoomScaleSheetLayoutView="70" workbookViewId="0">
      <selection activeCell="B37" sqref="B37:D40"/>
    </sheetView>
  </sheetViews>
  <sheetFormatPr defaultRowHeight="15" x14ac:dyDescent="0.25"/>
  <cols>
    <col min="1" max="1" width="3.7109375" customWidth="1"/>
    <col min="2" max="5" width="20.7109375" customWidth="1"/>
    <col min="6" max="7" width="5.7109375" customWidth="1"/>
    <col min="8" max="8" width="47.85546875" customWidth="1"/>
    <col min="9" max="9" width="11.140625" bestFit="1" customWidth="1"/>
    <col min="10" max="11" width="21.85546875" customWidth="1"/>
    <col min="12" max="13" width="10.85546875" customWidth="1"/>
    <col min="14" max="14" width="12.5703125" customWidth="1"/>
    <col min="15" max="15" width="18" bestFit="1" customWidth="1"/>
    <col min="16" max="16" width="22.7109375" bestFit="1" customWidth="1"/>
    <col min="17" max="17" width="34.140625" bestFit="1" customWidth="1"/>
    <col min="18" max="19" width="16" bestFit="1" customWidth="1"/>
    <col min="33" max="33" width="21.7109375" customWidth="1"/>
    <col min="34" max="34" width="14.85546875" customWidth="1"/>
    <col min="45" max="45" width="10.85546875" bestFit="1" customWidth="1"/>
    <col min="46" max="46" width="27.28515625" customWidth="1"/>
    <col min="47" max="47" width="11" bestFit="1" customWidth="1"/>
    <col min="48" max="48" width="11.5703125" bestFit="1" customWidth="1"/>
  </cols>
  <sheetData>
    <row r="1" spans="2:48" x14ac:dyDescent="0.25">
      <c r="B1" s="417">
        <v>1</v>
      </c>
      <c r="C1" s="417">
        <v>3</v>
      </c>
      <c r="D1" s="417">
        <v>6</v>
      </c>
      <c r="E1" s="417">
        <v>7</v>
      </c>
    </row>
    <row r="2" spans="2:48" x14ac:dyDescent="0.25">
      <c r="B2" s="412" t="s">
        <v>3063</v>
      </c>
    </row>
    <row r="3" spans="2:48" ht="15.75" customHeight="1" thickBot="1" x14ac:dyDescent="0.3">
      <c r="H3" s="418"/>
      <c r="AF3" s="595" t="s">
        <v>2900</v>
      </c>
      <c r="AG3" s="595" t="s">
        <v>3064</v>
      </c>
      <c r="AH3" s="583" t="s">
        <v>3065</v>
      </c>
      <c r="AI3" s="586" t="s">
        <v>3066</v>
      </c>
      <c r="AJ3" s="586"/>
      <c r="AK3" s="586"/>
      <c r="AL3" s="586"/>
      <c r="AM3" s="586"/>
      <c r="AO3" s="586" t="s">
        <v>3067</v>
      </c>
      <c r="AP3" s="586"/>
      <c r="AQ3" s="586"/>
      <c r="AR3" s="586"/>
      <c r="AS3" s="586"/>
      <c r="AT3" s="419" t="s">
        <v>3068</v>
      </c>
      <c r="AU3" s="583" t="s">
        <v>3069</v>
      </c>
      <c r="AV3" s="583"/>
    </row>
    <row r="4" spans="2:48" ht="35.1" customHeight="1" x14ac:dyDescent="0.25">
      <c r="B4" s="589" t="s">
        <v>0</v>
      </c>
      <c r="C4" s="591" t="s">
        <v>3044</v>
      </c>
      <c r="D4" s="593" t="s">
        <v>3070</v>
      </c>
      <c r="E4" s="584" t="s">
        <v>2806</v>
      </c>
      <c r="H4" s="418"/>
      <c r="AF4" s="595"/>
      <c r="AG4" s="595"/>
      <c r="AH4" s="583"/>
      <c r="AI4" s="586" t="s">
        <v>3071</v>
      </c>
      <c r="AJ4" s="586"/>
      <c r="AK4" s="586"/>
      <c r="AL4" s="586"/>
      <c r="AM4" s="586"/>
      <c r="AO4" s="586" t="s">
        <v>3071</v>
      </c>
      <c r="AP4" s="586"/>
      <c r="AQ4" s="586"/>
      <c r="AR4" s="586"/>
      <c r="AS4" s="586"/>
      <c r="AT4" s="420" t="s">
        <v>3072</v>
      </c>
      <c r="AU4" s="420" t="s">
        <v>3072</v>
      </c>
      <c r="AV4" s="420" t="s">
        <v>3073</v>
      </c>
    </row>
    <row r="5" spans="2:48" ht="43.5" customHeight="1" thickBot="1" x14ac:dyDescent="0.3">
      <c r="B5" s="590"/>
      <c r="C5" s="592"/>
      <c r="D5" s="594"/>
      <c r="E5" s="585"/>
      <c r="H5" s="412" t="s">
        <v>3060</v>
      </c>
      <c r="I5" s="413" t="s">
        <v>2826</v>
      </c>
      <c r="K5" s="414"/>
      <c r="AF5" s="595"/>
      <c r="AG5" s="595"/>
      <c r="AH5" s="583"/>
      <c r="AI5" s="421">
        <v>2</v>
      </c>
      <c r="AJ5" s="421">
        <v>3</v>
      </c>
      <c r="AK5" s="421">
        <v>4</v>
      </c>
      <c r="AL5" s="421">
        <v>5</v>
      </c>
      <c r="AM5" s="421">
        <v>6</v>
      </c>
      <c r="AO5" s="421">
        <v>2</v>
      </c>
      <c r="AP5" s="421">
        <v>3</v>
      </c>
      <c r="AQ5" s="421">
        <v>4</v>
      </c>
      <c r="AR5" s="421">
        <v>5</v>
      </c>
      <c r="AS5" s="421">
        <v>6</v>
      </c>
      <c r="AT5" s="420" t="s">
        <v>3074</v>
      </c>
      <c r="AU5" s="420"/>
      <c r="AV5" s="420"/>
    </row>
    <row r="6" spans="2:48" x14ac:dyDescent="0.25">
      <c r="B6" s="73">
        <f>Assumptions!D8</f>
        <v>2027</v>
      </c>
      <c r="C6" s="452">
        <f>SUMPRODUCT($I$22:$K$22,$I$23:$K$23)*Assumptions!$D$10</f>
        <v>1077304.875</v>
      </c>
      <c r="D6" s="423">
        <f>C6*$I$17</f>
        <v>54410.902547485035</v>
      </c>
      <c r="E6" s="422">
        <f>D6*(1+0.07)^-(B6-Assumptions!$D$5)</f>
        <v>36256.281803354723</v>
      </c>
      <c r="H6" s="415" t="s">
        <v>3061</v>
      </c>
      <c r="I6" s="416">
        <f>AV11</f>
        <v>4.2549640000000014E-2</v>
      </c>
      <c r="K6" s="424"/>
      <c r="AF6" s="587" t="s">
        <v>3075</v>
      </c>
      <c r="AG6" s="425" t="s">
        <v>3076</v>
      </c>
      <c r="AH6" s="426">
        <f>8.8*1.6*($I$35/$I$45)</f>
        <v>16.755200000000002</v>
      </c>
      <c r="AI6" s="425">
        <v>1.02</v>
      </c>
      <c r="AJ6" s="425">
        <v>1.03</v>
      </c>
      <c r="AK6" s="425">
        <v>1.07</v>
      </c>
      <c r="AL6" s="425">
        <v>1.1399999999999999</v>
      </c>
      <c r="AM6" s="425">
        <v>1.21</v>
      </c>
      <c r="AO6" s="426">
        <f>$AH6*AI6</f>
        <v>17.090304000000003</v>
      </c>
      <c r="AP6" s="426">
        <f>$AH6*AJ6</f>
        <v>17.257856000000004</v>
      </c>
      <c r="AQ6" s="427">
        <f>$AH6*AK6</f>
        <v>17.928064000000003</v>
      </c>
      <c r="AR6" s="427">
        <f t="shared" ref="AO6:AS12" si="0">$AH6*AL6</f>
        <v>19.100928</v>
      </c>
      <c r="AS6" s="427">
        <f t="shared" si="0"/>
        <v>20.273792</v>
      </c>
      <c r="AT6" s="428">
        <f>AVERAGE(AS6)</f>
        <v>20.273792</v>
      </c>
      <c r="AU6" s="428">
        <f t="shared" ref="AU6:AU12" si="1">AT6-AH6</f>
        <v>3.5185919999999982</v>
      </c>
      <c r="AV6" s="429">
        <f t="shared" ref="AV6:AV12" si="2">AU6/100</f>
        <v>3.5185919999999982E-2</v>
      </c>
    </row>
    <row r="7" spans="2:48" x14ac:dyDescent="0.25">
      <c r="B7" s="1">
        <f t="shared" ref="B7:B25" si="3">B6+1</f>
        <v>2028</v>
      </c>
      <c r="C7" s="430">
        <f>SUMPRODUCT($I$22:$K$22,$I$23:$K$23)*Assumptions!$D$10</f>
        <v>1077304.875</v>
      </c>
      <c r="D7" s="423">
        <f t="shared" ref="D7:D25" si="4">C7*$I$17</f>
        <v>54410.902547485035</v>
      </c>
      <c r="E7" s="431">
        <f>D7*(1+0.07)^-(B7-Assumptions!$D$5)</f>
        <v>33884.375517153945</v>
      </c>
      <c r="H7" s="415" t="s">
        <v>3062</v>
      </c>
      <c r="I7" s="416">
        <f>AV12</f>
        <v>8.9354719999999901E-2</v>
      </c>
      <c r="K7" s="424"/>
      <c r="AF7" s="587"/>
      <c r="AG7" s="425" t="s">
        <v>3077</v>
      </c>
      <c r="AH7" s="426">
        <f>10*1.6*($I$35/$I$45)</f>
        <v>19.04</v>
      </c>
      <c r="AI7" s="425">
        <v>1.01</v>
      </c>
      <c r="AJ7" s="425">
        <v>1.01</v>
      </c>
      <c r="AK7" s="425">
        <v>1.04</v>
      </c>
      <c r="AL7" s="425">
        <v>1.1000000000000001</v>
      </c>
      <c r="AM7" s="425">
        <v>1.1599999999999999</v>
      </c>
      <c r="AO7" s="426">
        <f t="shared" si="0"/>
        <v>19.230399999999999</v>
      </c>
      <c r="AP7" s="426">
        <f t="shared" si="0"/>
        <v>19.230399999999999</v>
      </c>
      <c r="AQ7" s="427">
        <f t="shared" si="0"/>
        <v>19.801600000000001</v>
      </c>
      <c r="AR7" s="427">
        <f t="shared" si="0"/>
        <v>20.943999999999999</v>
      </c>
      <c r="AS7" s="427">
        <f t="shared" si="0"/>
        <v>22.086399999999998</v>
      </c>
      <c r="AT7" s="428">
        <f t="shared" ref="AT7:AT10" si="5">AVERAGE(AS7)</f>
        <v>22.086399999999998</v>
      </c>
      <c r="AU7" s="428">
        <f t="shared" si="1"/>
        <v>3.0463999999999984</v>
      </c>
      <c r="AV7" s="429">
        <f t="shared" si="2"/>
        <v>3.0463999999999984E-2</v>
      </c>
    </row>
    <row r="8" spans="2:48" x14ac:dyDescent="0.25">
      <c r="B8" s="1">
        <f t="shared" si="3"/>
        <v>2029</v>
      </c>
      <c r="C8" s="430">
        <f>SUMPRODUCT($I$22:$K$22,$I$23:$K$23)*Assumptions!$D$10</f>
        <v>1077304.875</v>
      </c>
      <c r="D8" s="423">
        <f t="shared" si="4"/>
        <v>54410.902547485035</v>
      </c>
      <c r="E8" s="431">
        <f>D8*(1+0.07)^-(B8-Assumptions!$D$5)</f>
        <v>31667.640670237332</v>
      </c>
      <c r="G8" s="432"/>
      <c r="H8" s="418" t="s">
        <v>3078</v>
      </c>
      <c r="I8" s="433"/>
      <c r="K8" s="417"/>
      <c r="AF8" s="587"/>
      <c r="AG8" s="425" t="s">
        <v>3079</v>
      </c>
      <c r="AH8" s="426">
        <f>10.2*1.6*($I$35/$I$45)</f>
        <v>19.4208</v>
      </c>
      <c r="AI8" s="425">
        <v>1.01</v>
      </c>
      <c r="AJ8" s="425">
        <v>1.03</v>
      </c>
      <c r="AK8" s="425">
        <v>1.08</v>
      </c>
      <c r="AL8" s="425">
        <v>1.18</v>
      </c>
      <c r="AM8" s="425">
        <v>1.29</v>
      </c>
      <c r="AO8" s="426">
        <f t="shared" si="0"/>
        <v>19.615008</v>
      </c>
      <c r="AP8" s="426">
        <f t="shared" si="0"/>
        <v>20.003423999999999</v>
      </c>
      <c r="AQ8" s="427">
        <f t="shared" si="0"/>
        <v>20.974464000000001</v>
      </c>
      <c r="AR8" s="427">
        <f t="shared" si="0"/>
        <v>22.916543999999998</v>
      </c>
      <c r="AS8" s="427">
        <f t="shared" si="0"/>
        <v>25.052832000000002</v>
      </c>
      <c r="AT8" s="428">
        <f t="shared" si="5"/>
        <v>25.052832000000002</v>
      </c>
      <c r="AU8" s="428">
        <f t="shared" si="1"/>
        <v>5.6320320000000024</v>
      </c>
      <c r="AV8" s="429">
        <f t="shared" si="2"/>
        <v>5.6320320000000021E-2</v>
      </c>
    </row>
    <row r="9" spans="2:48" ht="14.25" customHeight="1" x14ac:dyDescent="0.25">
      <c r="B9" s="1">
        <f t="shared" si="3"/>
        <v>2030</v>
      </c>
      <c r="C9" s="430">
        <f>SUMPRODUCT($I$22:$K$22,$I$23:$K$23)*Assumptions!$D$10</f>
        <v>1077304.875</v>
      </c>
      <c r="D9" s="423">
        <f t="shared" si="4"/>
        <v>54410.902547485035</v>
      </c>
      <c r="E9" s="431">
        <f>D9*(1+0.07)^-(B9-Assumptions!$D$5)</f>
        <v>29595.925860034891</v>
      </c>
      <c r="G9" s="432"/>
      <c r="H9" s="434"/>
      <c r="I9" s="433"/>
      <c r="K9" s="417"/>
      <c r="AF9" s="587"/>
      <c r="AG9" s="425" t="s">
        <v>3080</v>
      </c>
      <c r="AH9" s="426">
        <f>14.9*1.6*($I$35/$I$45)</f>
        <v>28.369600000000002</v>
      </c>
      <c r="AI9" s="425">
        <v>1.01</v>
      </c>
      <c r="AJ9" s="425">
        <v>1.01</v>
      </c>
      <c r="AK9" s="425">
        <v>1.04</v>
      </c>
      <c r="AL9" s="425">
        <v>1.1000000000000001</v>
      </c>
      <c r="AM9" s="425">
        <v>1.17</v>
      </c>
      <c r="AO9" s="426">
        <f t="shared" si="0"/>
        <v>28.653296000000001</v>
      </c>
      <c r="AP9" s="426">
        <f t="shared" si="0"/>
        <v>28.653296000000001</v>
      </c>
      <c r="AQ9" s="427">
        <f t="shared" si="0"/>
        <v>29.504384000000002</v>
      </c>
      <c r="AR9" s="427">
        <f t="shared" si="0"/>
        <v>31.206560000000003</v>
      </c>
      <c r="AS9" s="427">
        <f t="shared" si="0"/>
        <v>33.192432000000004</v>
      </c>
      <c r="AT9" s="428">
        <f t="shared" si="5"/>
        <v>33.192432000000004</v>
      </c>
      <c r="AU9" s="428">
        <f t="shared" si="1"/>
        <v>4.8228320000000018</v>
      </c>
      <c r="AV9" s="429">
        <f t="shared" si="2"/>
        <v>4.8228320000000019E-2</v>
      </c>
    </row>
    <row r="10" spans="2:48" ht="15.75" thickBot="1" x14ac:dyDescent="0.3">
      <c r="B10" s="1">
        <f t="shared" si="3"/>
        <v>2031</v>
      </c>
      <c r="C10" s="430">
        <f>SUMPRODUCT($I$22:$K$22,$I$23:$K$23)*Assumptions!$D$10</f>
        <v>1077304.875</v>
      </c>
      <c r="D10" s="423">
        <f t="shared" si="4"/>
        <v>54410.902547485035</v>
      </c>
      <c r="E10" s="431">
        <f>D10*(1+0.07)^-(B10-Assumptions!$D$5)</f>
        <v>27659.743794425132</v>
      </c>
      <c r="H10" s="435" t="s">
        <v>3106</v>
      </c>
      <c r="AF10" s="587"/>
      <c r="AG10" s="436" t="s">
        <v>3081</v>
      </c>
      <c r="AH10" s="426">
        <f>36.1*1.6*($I$35/$I$45)</f>
        <v>68.734400000000008</v>
      </c>
      <c r="AI10" s="436">
        <v>1.01</v>
      </c>
      <c r="AJ10" s="436">
        <v>1.02</v>
      </c>
      <c r="AK10" s="436">
        <v>1.04</v>
      </c>
      <c r="AL10" s="436">
        <v>1.08</v>
      </c>
      <c r="AM10" s="436">
        <v>1.1299999999999999</v>
      </c>
      <c r="AO10" s="437">
        <f t="shared" si="0"/>
        <v>69.421744000000004</v>
      </c>
      <c r="AP10" s="437">
        <f t="shared" si="0"/>
        <v>70.109088000000014</v>
      </c>
      <c r="AQ10" s="438">
        <f t="shared" si="0"/>
        <v>71.483776000000006</v>
      </c>
      <c r="AR10" s="438">
        <f t="shared" si="0"/>
        <v>74.233152000000018</v>
      </c>
      <c r="AS10" s="438">
        <f t="shared" si="0"/>
        <v>77.669871999999998</v>
      </c>
      <c r="AT10" s="439">
        <f t="shared" si="5"/>
        <v>77.669871999999998</v>
      </c>
      <c r="AU10" s="439">
        <f t="shared" si="1"/>
        <v>8.9354719999999901</v>
      </c>
      <c r="AV10" s="440">
        <f t="shared" si="2"/>
        <v>8.9354719999999901E-2</v>
      </c>
    </row>
    <row r="11" spans="2:48" x14ac:dyDescent="0.25">
      <c r="B11" s="1">
        <f t="shared" si="3"/>
        <v>2032</v>
      </c>
      <c r="C11" s="441">
        <f>SUMPRODUCT($I$22:$K$22,$I$23:$K$23)*Assumptions!$D$10</f>
        <v>1077304.875</v>
      </c>
      <c r="D11" s="443">
        <f t="shared" si="4"/>
        <v>54410.902547485035</v>
      </c>
      <c r="E11" s="442">
        <f>D11*(1+0.07)^-(B11-Assumptions!$D$5)</f>
        <v>25850.22784525713</v>
      </c>
      <c r="AF11" s="444"/>
      <c r="AG11" s="445" t="s">
        <v>3082</v>
      </c>
      <c r="AH11" s="446">
        <f>AVERAGE(AH6:AH9)</f>
        <v>20.8964</v>
      </c>
      <c r="AI11" s="447">
        <f>AVERAGE(AI6:AI9)</f>
        <v>1.0125</v>
      </c>
      <c r="AJ11" s="447">
        <f t="shared" ref="AJ11:AM11" si="6">AVERAGE(AJ6:AJ9)</f>
        <v>1.02</v>
      </c>
      <c r="AK11" s="447">
        <f t="shared" si="6"/>
        <v>1.0575000000000001</v>
      </c>
      <c r="AL11" s="447">
        <f t="shared" si="6"/>
        <v>1.1299999999999999</v>
      </c>
      <c r="AM11" s="447">
        <f t="shared" si="6"/>
        <v>1.2075</v>
      </c>
      <c r="AN11" s="448"/>
      <c r="AO11" s="446">
        <f>$AH11*AI11</f>
        <v>21.157605</v>
      </c>
      <c r="AP11" s="446">
        <f t="shared" si="0"/>
        <v>21.314328</v>
      </c>
      <c r="AQ11" s="449">
        <f t="shared" si="0"/>
        <v>22.097943000000001</v>
      </c>
      <c r="AR11" s="449">
        <f>$AH11*AL11</f>
        <v>23.612931999999997</v>
      </c>
      <c r="AS11" s="449">
        <f>$AH11*AM11</f>
        <v>25.232403000000001</v>
      </c>
      <c r="AT11" s="450">
        <f>AVERAGE(AT6:AT9)</f>
        <v>25.151364000000001</v>
      </c>
      <c r="AU11" s="450">
        <f t="shared" si="1"/>
        <v>4.2549640000000011</v>
      </c>
      <c r="AV11" s="451">
        <f t="shared" si="2"/>
        <v>4.2549640000000014E-2</v>
      </c>
    </row>
    <row r="12" spans="2:48" ht="18" thickBot="1" x14ac:dyDescent="0.3">
      <c r="B12" s="1">
        <f t="shared" si="3"/>
        <v>2033</v>
      </c>
      <c r="C12" s="452">
        <f>SUMPRODUCT($I$22:$K$22,$I$23:$K$23)*Assumptions!$D$10</f>
        <v>1077304.875</v>
      </c>
      <c r="D12" s="443">
        <f t="shared" si="4"/>
        <v>54410.902547485035</v>
      </c>
      <c r="E12" s="442">
        <f>D12*(1+0.07)^-(B12-Assumptions!$D$5)</f>
        <v>24159.091444165544</v>
      </c>
      <c r="H12" s="588" t="s">
        <v>3083</v>
      </c>
      <c r="I12" s="588"/>
      <c r="AF12" s="444"/>
      <c r="AG12" s="454" t="s">
        <v>3084</v>
      </c>
      <c r="AH12" s="455">
        <f>AH10</f>
        <v>68.734400000000008</v>
      </c>
      <c r="AI12" s="456">
        <f>AI10</f>
        <v>1.01</v>
      </c>
      <c r="AJ12" s="456">
        <f t="shared" ref="AJ12:AM12" si="7">AJ10</f>
        <v>1.02</v>
      </c>
      <c r="AK12" s="456">
        <f t="shared" si="7"/>
        <v>1.04</v>
      </c>
      <c r="AL12" s="456">
        <f t="shared" si="7"/>
        <v>1.08</v>
      </c>
      <c r="AM12" s="456">
        <f t="shared" si="7"/>
        <v>1.1299999999999999</v>
      </c>
      <c r="AN12" s="457"/>
      <c r="AO12" s="455">
        <f t="shared" si="0"/>
        <v>69.421744000000004</v>
      </c>
      <c r="AP12" s="455">
        <f t="shared" si="0"/>
        <v>70.109088000000014</v>
      </c>
      <c r="AQ12" s="458">
        <f t="shared" si="0"/>
        <v>71.483776000000006</v>
      </c>
      <c r="AR12" s="458">
        <f t="shared" si="0"/>
        <v>74.233152000000018</v>
      </c>
      <c r="AS12" s="458">
        <f t="shared" si="0"/>
        <v>77.669871999999998</v>
      </c>
      <c r="AT12" s="459">
        <f>AT10</f>
        <v>77.669871999999998</v>
      </c>
      <c r="AU12" s="459">
        <f t="shared" si="1"/>
        <v>8.9354719999999901</v>
      </c>
      <c r="AV12" s="460">
        <f t="shared" si="2"/>
        <v>8.9354719999999901E-2</v>
      </c>
    </row>
    <row r="13" spans="2:48" ht="15" customHeight="1" x14ac:dyDescent="0.25">
      <c r="B13" s="1">
        <f t="shared" si="3"/>
        <v>2034</v>
      </c>
      <c r="C13" s="452">
        <f>SUMPRODUCT($I$22:$K$22,$I$23:$K$23)*Assumptions!$D$10</f>
        <v>1077304.875</v>
      </c>
      <c r="D13" s="443">
        <f t="shared" si="4"/>
        <v>54410.902547485035</v>
      </c>
      <c r="E13" s="442">
        <f>D13*(1+0.07)^-(B13-Assumptions!$D$5)</f>
        <v>22578.59013473415</v>
      </c>
      <c r="H13" s="415" t="s">
        <v>2892</v>
      </c>
      <c r="I13" s="461">
        <f>1-I14</f>
        <v>0.83</v>
      </c>
      <c r="K13" s="462"/>
    </row>
    <row r="14" spans="2:48" x14ac:dyDescent="0.25">
      <c r="B14" s="1">
        <f t="shared" si="3"/>
        <v>2035</v>
      </c>
      <c r="C14" s="452">
        <f>SUMPRODUCT($I$22:$K$22,$I$23:$K$23)*Assumptions!$D$10</f>
        <v>1077304.875</v>
      </c>
      <c r="D14" s="443">
        <f t="shared" si="4"/>
        <v>54410.902547485035</v>
      </c>
      <c r="E14" s="442">
        <f>D14*(1+0.07)^-(B14-Assumptions!$D$5)</f>
        <v>21101.486107228182</v>
      </c>
      <c r="H14" s="415" t="s">
        <v>2891</v>
      </c>
      <c r="I14" s="461">
        <f>'Chickasaw Travel Time'!K9</f>
        <v>0.17</v>
      </c>
      <c r="K14" s="462"/>
      <c r="AG14" t="s">
        <v>3085</v>
      </c>
      <c r="AH14">
        <v>63.4</v>
      </c>
      <c r="AI14" t="s">
        <v>3086</v>
      </c>
    </row>
    <row r="15" spans="2:48" x14ac:dyDescent="0.25">
      <c r="B15" s="1">
        <f t="shared" si="3"/>
        <v>2036</v>
      </c>
      <c r="C15" s="452">
        <f>SUMPRODUCT($I$22:$K$22,$I$23:$K$23)*Assumptions!$D$10</f>
        <v>1077304.875</v>
      </c>
      <c r="D15" s="443">
        <f t="shared" si="4"/>
        <v>54410.902547485035</v>
      </c>
      <c r="E15" s="442">
        <f>D15*(1+0.07)^-(B15-Assumptions!$D$5)</f>
        <v>19721.01505348428</v>
      </c>
      <c r="H15" s="418"/>
      <c r="I15" s="463"/>
      <c r="AG15" t="s">
        <v>3087</v>
      </c>
      <c r="AH15">
        <f>AH14*3</f>
        <v>190.2</v>
      </c>
      <c r="AI15" t="s">
        <v>3086</v>
      </c>
      <c r="AJ15" t="s">
        <v>3088</v>
      </c>
    </row>
    <row r="16" spans="2:48" x14ac:dyDescent="0.25">
      <c r="B16" s="1">
        <f t="shared" si="3"/>
        <v>2037</v>
      </c>
      <c r="C16" s="452">
        <f>SUMPRODUCT($I$22:$K$22,$I$23:$K$23)*Assumptions!$D$10</f>
        <v>1077304.875</v>
      </c>
      <c r="D16" s="443">
        <f t="shared" si="4"/>
        <v>54410.902547485035</v>
      </c>
      <c r="E16" s="442">
        <f>D16*(1+0.07)^-(B16-Assumptions!$D$5)</f>
        <v>18430.855190172224</v>
      </c>
      <c r="H16" s="453" t="s">
        <v>3089</v>
      </c>
      <c r="I16" s="417"/>
      <c r="AG16" t="s">
        <v>3090</v>
      </c>
      <c r="AH16">
        <f>AH14*4</f>
        <v>253.6</v>
      </c>
      <c r="AI16" t="s">
        <v>3086</v>
      </c>
      <c r="AJ16" t="s">
        <v>3091</v>
      </c>
    </row>
    <row r="17" spans="1:44" x14ac:dyDescent="0.25">
      <c r="B17" s="1">
        <f t="shared" si="3"/>
        <v>2038</v>
      </c>
      <c r="C17" s="452">
        <f>SUMPRODUCT($I$22:$K$22,$I$23:$K$23)*Assumptions!$D$10</f>
        <v>1077304.875</v>
      </c>
      <c r="D17" s="443">
        <f t="shared" si="4"/>
        <v>54410.902547485035</v>
      </c>
      <c r="E17" s="442">
        <f>D17*(1+0.07)^-(B17-Assumptions!$D$5)</f>
        <v>17225.098308572175</v>
      </c>
      <c r="H17" s="464" t="s">
        <v>3092</v>
      </c>
      <c r="I17" s="465">
        <f>(I6*I13)+(I7*I14)</f>
        <v>5.0506503599999988E-2</v>
      </c>
      <c r="K17" s="466"/>
    </row>
    <row r="18" spans="1:44" x14ac:dyDescent="0.25">
      <c r="B18" s="1">
        <f t="shared" si="3"/>
        <v>2039</v>
      </c>
      <c r="C18" s="452">
        <f>SUMPRODUCT($I$22:$K$22,$I$23:$K$23)*Assumptions!$D$10</f>
        <v>1077304.875</v>
      </c>
      <c r="D18" s="443">
        <f t="shared" si="4"/>
        <v>54410.902547485035</v>
      </c>
      <c r="E18" s="442">
        <f>D18*(1+0.07)^-(B18-Assumptions!$D$5)</f>
        <v>16098.22271829175</v>
      </c>
      <c r="AR18" s="467"/>
    </row>
    <row r="19" spans="1:44" ht="15.75" thickBot="1" x14ac:dyDescent="0.3">
      <c r="B19" s="1">
        <f t="shared" si="3"/>
        <v>2040</v>
      </c>
      <c r="C19" s="452">
        <f>SUMPRODUCT($I$22:$K$22,$I$23:$K$23)*Assumptions!$D$10</f>
        <v>1077304.875</v>
      </c>
      <c r="D19" s="443">
        <f t="shared" si="4"/>
        <v>54410.902547485035</v>
      </c>
      <c r="E19" s="442">
        <f>D19*(1+0.07)^-(B19-Assumptions!$D$5)</f>
        <v>15045.067961020326</v>
      </c>
      <c r="H19" s="42" t="s">
        <v>2990</v>
      </c>
      <c r="AC19" t="s">
        <v>3094</v>
      </c>
      <c r="AN19" s="467"/>
    </row>
    <row r="20" spans="1:44" ht="14.25" customHeight="1" thickBot="1" x14ac:dyDescent="0.3">
      <c r="B20" s="1">
        <f t="shared" si="3"/>
        <v>2041</v>
      </c>
      <c r="C20" s="452">
        <f>SUMPRODUCT($I$22:$K$22,$I$23:$K$23)*Assumptions!$D$10</f>
        <v>1077304.875</v>
      </c>
      <c r="D20" s="443">
        <f t="shared" si="4"/>
        <v>54410.902547485035</v>
      </c>
      <c r="E20" s="442">
        <f>D20*(1+0.07)^-(B20-Assumptions!$D$5)</f>
        <v>14060.811178523671</v>
      </c>
      <c r="H20" s="123" t="s">
        <v>2979</v>
      </c>
      <c r="I20" s="85" t="s">
        <v>2501</v>
      </c>
      <c r="J20" s="124" t="s">
        <v>2501</v>
      </c>
      <c r="K20" s="26" t="s">
        <v>2501</v>
      </c>
    </row>
    <row r="21" spans="1:44" x14ac:dyDescent="0.25">
      <c r="B21" s="1">
        <f t="shared" si="3"/>
        <v>2042</v>
      </c>
      <c r="C21" s="452">
        <f>SUMPRODUCT($I$22:$K$22,$I$23:$K$23)*Assumptions!$D$10</f>
        <v>1077304.875</v>
      </c>
      <c r="D21" s="443">
        <f t="shared" si="4"/>
        <v>54410.902547485035</v>
      </c>
      <c r="E21" s="442">
        <f>D21*(1+0.07)^-(B21-Assumptions!$D$5)</f>
        <v>13140.945026657637</v>
      </c>
      <c r="H21" s="86" t="s">
        <v>2814</v>
      </c>
      <c r="I21" s="87" t="s">
        <v>2987</v>
      </c>
      <c r="J21" s="87" t="s">
        <v>2988</v>
      </c>
      <c r="K21" s="88" t="s">
        <v>2989</v>
      </c>
      <c r="AN21" s="470"/>
      <c r="AO21" s="471"/>
      <c r="AP21" s="471"/>
    </row>
    <row r="22" spans="1:44" x14ac:dyDescent="0.25">
      <c r="B22" s="1">
        <f t="shared" si="3"/>
        <v>2043</v>
      </c>
      <c r="C22" s="452">
        <f>SUMPRODUCT($I$22:$K$22,$I$23:$K$23)*Assumptions!$D$10</f>
        <v>1077304.875</v>
      </c>
      <c r="D22" s="443">
        <f t="shared" si="4"/>
        <v>54410.902547485035</v>
      </c>
      <c r="E22" s="442">
        <f>D22*(1+0.07)^-(B22-Assumptions!$D$5)</f>
        <v>12281.257034259474</v>
      </c>
      <c r="H22" s="38" t="s">
        <v>2813</v>
      </c>
      <c r="I22" s="65">
        <v>700</v>
      </c>
      <c r="J22" s="65">
        <v>670</v>
      </c>
      <c r="K22" s="39">
        <v>650</v>
      </c>
      <c r="AN22" s="470"/>
      <c r="AO22" s="472"/>
      <c r="AP22" s="472"/>
    </row>
    <row r="23" spans="1:44" ht="15.75" thickBot="1" x14ac:dyDescent="0.3">
      <c r="B23" s="1">
        <f t="shared" si="3"/>
        <v>2044</v>
      </c>
      <c r="C23" s="452">
        <f>SUMPRODUCT($I$22:$K$22,$I$23:$K$23)*Assumptions!$D$10</f>
        <v>1077304.875</v>
      </c>
      <c r="D23" s="443">
        <f t="shared" si="4"/>
        <v>54410.902547485035</v>
      </c>
      <c r="E23" s="442">
        <f>D23*(1+0.07)^-(B23-Assumptions!$D$5)</f>
        <v>11477.81031239203</v>
      </c>
      <c r="H23" s="60" t="s">
        <v>2812</v>
      </c>
      <c r="I23" s="218">
        <v>0.5</v>
      </c>
      <c r="J23" s="218">
        <v>0.95</v>
      </c>
      <c r="K23" s="128">
        <v>3.02</v>
      </c>
      <c r="O23" s="412"/>
      <c r="AN23" s="470"/>
      <c r="AO23" s="472"/>
      <c r="AP23" s="472"/>
    </row>
    <row r="24" spans="1:44" x14ac:dyDescent="0.25">
      <c r="B24" s="1">
        <f t="shared" si="3"/>
        <v>2045</v>
      </c>
      <c r="C24" s="452">
        <f>SUMPRODUCT($I$22:$K$22,$I$23:$K$23)*Assumptions!$D$10</f>
        <v>1077304.875</v>
      </c>
      <c r="D24" s="443">
        <f t="shared" si="4"/>
        <v>54410.902547485035</v>
      </c>
      <c r="E24" s="442">
        <f>D24*(1+0.07)^-(B24-Assumptions!$D$5)</f>
        <v>10726.925525600029</v>
      </c>
      <c r="H24" s="418"/>
      <c r="I24" s="463"/>
      <c r="O24" s="412"/>
    </row>
    <row r="25" spans="1:44" ht="15" customHeight="1" thickBot="1" x14ac:dyDescent="0.3">
      <c r="B25" s="15">
        <f t="shared" si="3"/>
        <v>2046</v>
      </c>
      <c r="C25" s="473">
        <f>SUMPRODUCT($I$22:$K$22,$I$23:$K$23)*Assumptions!$D$10</f>
        <v>1077304.875</v>
      </c>
      <c r="D25" s="475">
        <f t="shared" si="4"/>
        <v>54410.902547485035</v>
      </c>
      <c r="E25" s="474">
        <f>D25*(1+0.07)^-(B25-Assumptions!$D$5)</f>
        <v>10025.164042616847</v>
      </c>
      <c r="H25" s="453" t="s">
        <v>3093</v>
      </c>
      <c r="I25" s="468"/>
      <c r="O25" s="582"/>
      <c r="P25" s="582"/>
      <c r="Q25" s="582"/>
      <c r="R25" s="582"/>
      <c r="S25" s="582"/>
      <c r="T25" s="582"/>
      <c r="U25" s="582"/>
      <c r="V25" s="582"/>
      <c r="W25" s="582"/>
      <c r="X25" s="582"/>
      <c r="Y25" s="582"/>
    </row>
    <row r="26" spans="1:44" ht="15" customHeight="1" thickBot="1" x14ac:dyDescent="0.3">
      <c r="B26" s="17"/>
      <c r="C26" s="153"/>
      <c r="D26" s="370" t="s">
        <v>2809</v>
      </c>
      <c r="E26" s="155">
        <f>SUM(E6:E25)</f>
        <v>410986.53552818153</v>
      </c>
      <c r="H26" s="469" t="s">
        <v>2797</v>
      </c>
      <c r="I26" s="469" t="s">
        <v>3095</v>
      </c>
      <c r="O26" s="582"/>
      <c r="P26" s="582"/>
      <c r="Q26" s="582"/>
      <c r="R26" s="582"/>
      <c r="S26" s="582"/>
      <c r="T26" s="582"/>
      <c r="U26" s="582"/>
      <c r="V26" s="582"/>
      <c r="W26" s="582"/>
      <c r="X26" s="582"/>
      <c r="Y26" s="582"/>
    </row>
    <row r="27" spans="1:44" x14ac:dyDescent="0.25">
      <c r="D27" s="417"/>
      <c r="E27" s="417"/>
      <c r="F27" s="417"/>
      <c r="H27" s="469">
        <v>2003</v>
      </c>
      <c r="I27" s="469">
        <v>1.44</v>
      </c>
      <c r="O27" s="477"/>
    </row>
    <row r="28" spans="1:44" x14ac:dyDescent="0.25">
      <c r="B28" s="412" t="s">
        <v>2828</v>
      </c>
      <c r="H28" s="469">
        <v>2004</v>
      </c>
      <c r="I28" s="469">
        <v>1.4</v>
      </c>
    </row>
    <row r="29" spans="1:44" ht="15" customHeight="1" x14ac:dyDescent="0.25">
      <c r="A29" s="478" t="s">
        <v>2829</v>
      </c>
      <c r="B29" s="582" t="s">
        <v>3096</v>
      </c>
      <c r="C29" s="582"/>
      <c r="D29" s="582"/>
      <c r="H29" s="469">
        <v>2005</v>
      </c>
      <c r="I29" s="469">
        <v>1.36</v>
      </c>
    </row>
    <row r="30" spans="1:44" x14ac:dyDescent="0.25">
      <c r="B30" s="582"/>
      <c r="C30" s="582"/>
      <c r="D30" s="582"/>
      <c r="F30" s="479"/>
      <c r="G30" s="480"/>
      <c r="H30" s="469">
        <v>2006</v>
      </c>
      <c r="I30" s="469">
        <v>1.32</v>
      </c>
      <c r="AC30" s="477"/>
    </row>
    <row r="31" spans="1:44" x14ac:dyDescent="0.25">
      <c r="B31" s="582"/>
      <c r="C31" s="582"/>
      <c r="D31" s="582"/>
      <c r="F31" s="479"/>
      <c r="G31" s="481"/>
      <c r="H31" s="469">
        <v>2007</v>
      </c>
      <c r="I31" s="469">
        <v>1.28</v>
      </c>
      <c r="O31" s="412" t="s">
        <v>3097</v>
      </c>
    </row>
    <row r="32" spans="1:44" x14ac:dyDescent="0.25">
      <c r="B32" s="582"/>
      <c r="C32" s="582"/>
      <c r="D32" s="582"/>
      <c r="G32" s="479"/>
      <c r="H32" s="469">
        <v>2008</v>
      </c>
      <c r="I32" s="469">
        <v>1.26</v>
      </c>
      <c r="O32" s="412" t="s">
        <v>3098</v>
      </c>
    </row>
    <row r="33" spans="1:29" ht="15" customHeight="1" x14ac:dyDescent="0.25">
      <c r="B33" s="479"/>
      <c r="C33" s="479"/>
      <c r="G33" s="479"/>
      <c r="H33" s="469">
        <v>2009</v>
      </c>
      <c r="I33" s="469">
        <v>1.25</v>
      </c>
      <c r="O33" s="477" t="s">
        <v>3099</v>
      </c>
    </row>
    <row r="34" spans="1:29" ht="15" customHeight="1" x14ac:dyDescent="0.25">
      <c r="A34" s="478" t="s">
        <v>2842</v>
      </c>
      <c r="B34" s="582" t="s">
        <v>3100</v>
      </c>
      <c r="C34" s="582"/>
      <c r="D34" s="582"/>
      <c r="G34" s="479"/>
      <c r="H34" s="469">
        <v>2010</v>
      </c>
      <c r="I34" s="469">
        <v>1.21</v>
      </c>
    </row>
    <row r="35" spans="1:29" ht="15" customHeight="1" x14ac:dyDescent="0.25">
      <c r="A35" s="478"/>
      <c r="B35" s="582"/>
      <c r="C35" s="582"/>
      <c r="D35" s="582"/>
      <c r="G35" s="479"/>
      <c r="H35" s="469">
        <v>2011</v>
      </c>
      <c r="I35" s="469">
        <v>1.19</v>
      </c>
    </row>
    <row r="36" spans="1:29" ht="15" customHeight="1" x14ac:dyDescent="0.25">
      <c r="A36" s="478"/>
      <c r="B36" s="476"/>
      <c r="C36" s="476"/>
      <c r="D36" s="476"/>
      <c r="G36" s="479"/>
      <c r="H36" s="469">
        <v>2012</v>
      </c>
      <c r="I36" s="469">
        <v>1.17</v>
      </c>
    </row>
    <row r="37" spans="1:29" x14ac:dyDescent="0.25">
      <c r="A37" s="478" t="s">
        <v>2841</v>
      </c>
      <c r="B37" s="582" t="s">
        <v>3101</v>
      </c>
      <c r="C37" s="582"/>
      <c r="D37" s="582"/>
      <c r="G37" s="479"/>
      <c r="H37" s="469">
        <v>2013</v>
      </c>
      <c r="I37" s="469">
        <v>1.1499999999999999</v>
      </c>
    </row>
    <row r="38" spans="1:29" x14ac:dyDescent="0.25">
      <c r="B38" s="582"/>
      <c r="C38" s="582"/>
      <c r="D38" s="582"/>
      <c r="G38" s="479"/>
      <c r="H38" s="469">
        <v>2014</v>
      </c>
      <c r="I38" s="469">
        <v>1.1399999999999999</v>
      </c>
    </row>
    <row r="39" spans="1:29" ht="15" customHeight="1" x14ac:dyDescent="0.25">
      <c r="B39" s="582"/>
      <c r="C39" s="582"/>
      <c r="D39" s="582"/>
      <c r="G39" s="479"/>
      <c r="H39" s="469">
        <v>2015</v>
      </c>
      <c r="I39" s="469">
        <v>1.1200000000000001</v>
      </c>
    </row>
    <row r="40" spans="1:29" ht="15" customHeight="1" x14ac:dyDescent="0.25">
      <c r="B40" s="582"/>
      <c r="C40" s="582"/>
      <c r="D40" s="582"/>
      <c r="H40" s="469">
        <v>2016</v>
      </c>
      <c r="I40" s="469">
        <v>1.1200000000000001</v>
      </c>
    </row>
    <row r="41" spans="1:29" ht="15" customHeight="1" x14ac:dyDescent="0.25">
      <c r="B41" s="479"/>
      <c r="C41" s="479"/>
      <c r="H41" s="469">
        <v>2017</v>
      </c>
      <c r="I41" s="469">
        <v>1.1000000000000001</v>
      </c>
    </row>
    <row r="42" spans="1:29" ht="15" customHeight="1" x14ac:dyDescent="0.25">
      <c r="A42" s="478" t="s">
        <v>2840</v>
      </c>
      <c r="B42" s="582" t="s">
        <v>3102</v>
      </c>
      <c r="C42" s="582"/>
      <c r="D42" s="582"/>
      <c r="H42" s="469">
        <v>2018</v>
      </c>
      <c r="I42" s="469">
        <v>1.08</v>
      </c>
    </row>
    <row r="43" spans="1:29" x14ac:dyDescent="0.25">
      <c r="B43" s="582"/>
      <c r="C43" s="582"/>
      <c r="D43" s="582"/>
      <c r="H43" s="469">
        <v>2019</v>
      </c>
      <c r="I43" s="469">
        <v>1.06</v>
      </c>
    </row>
    <row r="44" spans="1:29" x14ac:dyDescent="0.25">
      <c r="B44" s="582"/>
      <c r="C44" s="582"/>
      <c r="D44" s="582"/>
      <c r="H44" s="469">
        <v>2020</v>
      </c>
      <c r="I44" s="469">
        <v>1.04</v>
      </c>
    </row>
    <row r="45" spans="1:29" x14ac:dyDescent="0.25">
      <c r="B45" s="479"/>
      <c r="C45" s="479"/>
      <c r="D45" s="479"/>
      <c r="H45" s="469">
        <v>2021</v>
      </c>
      <c r="I45" s="469">
        <v>1</v>
      </c>
    </row>
    <row r="46" spans="1:29" ht="15" customHeight="1" x14ac:dyDescent="0.25">
      <c r="A46" s="478" t="s">
        <v>2839</v>
      </c>
      <c r="B46" s="582" t="s">
        <v>3103</v>
      </c>
      <c r="C46" s="582"/>
      <c r="D46" s="582"/>
      <c r="H46" s="468"/>
    </row>
    <row r="47" spans="1:29" x14ac:dyDescent="0.25">
      <c r="B47" s="582"/>
      <c r="C47" s="582"/>
      <c r="D47" s="582"/>
      <c r="H47" s="468"/>
    </row>
    <row r="48" spans="1:29" ht="15" customHeight="1" x14ac:dyDescent="0.25">
      <c r="B48" s="582"/>
      <c r="C48" s="582"/>
      <c r="D48" s="582"/>
      <c r="AC48" s="412" t="s">
        <v>3097</v>
      </c>
    </row>
    <row r="49" spans="1:29" x14ac:dyDescent="0.25">
      <c r="A49" s="478"/>
      <c r="B49" s="582"/>
      <c r="C49" s="582"/>
      <c r="D49" s="582"/>
      <c r="AC49" s="412" t="s">
        <v>3098</v>
      </c>
    </row>
    <row r="50" spans="1:29" x14ac:dyDescent="0.25">
      <c r="B50" s="479"/>
      <c r="C50" s="479"/>
      <c r="D50" s="479"/>
    </row>
    <row r="51" spans="1:29" x14ac:dyDescent="0.25">
      <c r="A51" t="s">
        <v>2838</v>
      </c>
      <c r="B51" s="582" t="s">
        <v>3104</v>
      </c>
      <c r="C51" s="582"/>
      <c r="D51" s="582"/>
    </row>
    <row r="52" spans="1:29" x14ac:dyDescent="0.25">
      <c r="B52" s="582"/>
      <c r="C52" s="582"/>
      <c r="D52" s="582"/>
      <c r="S52" t="s">
        <v>3105</v>
      </c>
    </row>
    <row r="53" spans="1:29" x14ac:dyDescent="0.25">
      <c r="B53" s="479"/>
      <c r="C53" s="479"/>
    </row>
    <row r="54" spans="1:29" x14ac:dyDescent="0.25">
      <c r="B54" s="479"/>
      <c r="C54" s="479"/>
      <c r="S54" s="482"/>
    </row>
    <row r="55" spans="1:29" x14ac:dyDescent="0.25">
      <c r="B55" s="479"/>
      <c r="C55" s="479"/>
      <c r="S55" s="482"/>
    </row>
  </sheetData>
  <mergeCells count="21">
    <mergeCell ref="AU3:AV3"/>
    <mergeCell ref="B51:D52"/>
    <mergeCell ref="E4:E5"/>
    <mergeCell ref="AI4:AM4"/>
    <mergeCell ref="AO4:AS4"/>
    <mergeCell ref="AF6:AF10"/>
    <mergeCell ref="H12:I12"/>
    <mergeCell ref="O25:Y26"/>
    <mergeCell ref="B4:B5"/>
    <mergeCell ref="C4:C5"/>
    <mergeCell ref="D4:D5"/>
    <mergeCell ref="AF3:AF5"/>
    <mergeCell ref="AG3:AG5"/>
    <mergeCell ref="AH3:AH5"/>
    <mergeCell ref="AI3:AM3"/>
    <mergeCell ref="AO3:AS3"/>
    <mergeCell ref="B29:D32"/>
    <mergeCell ref="B34:D35"/>
    <mergeCell ref="B37:D40"/>
    <mergeCell ref="B42:D44"/>
    <mergeCell ref="B46:D49"/>
  </mergeCells>
  <hyperlinks>
    <hyperlink ref="O33" r:id="rId1" xr:uid="{78010967-6C44-4745-A8CB-336A3FA9BF72}"/>
  </hyperlinks>
  <pageMargins left="0.25" right="0.25" top="0.75" bottom="0.75" header="0.3" footer="0.3"/>
  <pageSetup scale="2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00D21-334B-4564-8BEA-007603934FA3}">
  <sheetPr>
    <tabColor rgb="FF00B050"/>
    <pageSetUpPr fitToPage="1"/>
  </sheetPr>
  <dimension ref="A1:P61"/>
  <sheetViews>
    <sheetView view="pageBreakPreview" topLeftCell="B1" zoomScaleNormal="85" zoomScaleSheetLayoutView="100" workbookViewId="0">
      <selection activeCell="K31" sqref="K31"/>
    </sheetView>
  </sheetViews>
  <sheetFormatPr defaultRowHeight="12" x14ac:dyDescent="0.2"/>
  <cols>
    <col min="1" max="1" width="9.140625" style="129"/>
    <col min="2" max="4" width="8" style="17" customWidth="1"/>
    <col min="5" max="5" width="9.140625" style="17" customWidth="1"/>
    <col min="6" max="6" width="8" style="17" customWidth="1"/>
    <col min="7" max="7" width="10" style="17" customWidth="1"/>
    <col min="8" max="9" width="5.7109375" style="17" customWidth="1"/>
    <col min="10" max="10" width="22.140625" style="17" customWidth="1"/>
    <col min="11" max="11" width="20.7109375" style="17" customWidth="1"/>
    <col min="12" max="12" width="22.28515625" style="17" bestFit="1" customWidth="1"/>
    <col min="13" max="13" width="17.140625" style="17" customWidth="1"/>
    <col min="14" max="14" width="18.5703125" style="17" customWidth="1"/>
    <col min="15" max="15" width="16.42578125" style="17" customWidth="1"/>
    <col min="16" max="17" width="9.140625" style="17"/>
    <col min="18" max="18" width="12.28515625" style="17" customWidth="1"/>
    <col min="19" max="19" width="9.7109375" style="17" customWidth="1"/>
    <col min="20" max="23" width="10.85546875" style="17" customWidth="1"/>
    <col min="24" max="16384" width="9.140625" style="17"/>
  </cols>
  <sheetData>
    <row r="1" spans="2:16" x14ac:dyDescent="0.2">
      <c r="F1" s="17">
        <v>6</v>
      </c>
    </row>
    <row r="2" spans="2:16" x14ac:dyDescent="0.2">
      <c r="B2" s="42" t="s">
        <v>2915</v>
      </c>
    </row>
    <row r="3" spans="2:16" ht="15" thickBot="1" x14ac:dyDescent="0.25">
      <c r="E3" s="11"/>
      <c r="J3" s="133" t="s">
        <v>2930</v>
      </c>
      <c r="K3" s="133"/>
    </row>
    <row r="4" spans="2:16" x14ac:dyDescent="0.2">
      <c r="B4" s="573" t="s">
        <v>0</v>
      </c>
      <c r="C4" s="512" t="s">
        <v>2898</v>
      </c>
      <c r="D4" s="508" t="s">
        <v>2897</v>
      </c>
      <c r="E4" s="502" t="s">
        <v>2896</v>
      </c>
      <c r="F4" s="508" t="s">
        <v>2895</v>
      </c>
      <c r="G4" s="502" t="s">
        <v>2806</v>
      </c>
      <c r="J4" s="156" t="s">
        <v>2894</v>
      </c>
      <c r="K4" s="157">
        <v>18.8</v>
      </c>
    </row>
    <row r="5" spans="2:16" ht="12.75" thickBot="1" x14ac:dyDescent="0.25">
      <c r="B5" s="574"/>
      <c r="C5" s="513"/>
      <c r="D5" s="523"/>
      <c r="E5" s="549"/>
      <c r="F5" s="523"/>
      <c r="G5" s="549"/>
      <c r="J5" s="158" t="s">
        <v>2893</v>
      </c>
      <c r="K5" s="159">
        <v>34</v>
      </c>
      <c r="L5" s="160"/>
    </row>
    <row r="6" spans="2:16" x14ac:dyDescent="0.2">
      <c r="B6" s="142">
        <f>B7-1</f>
        <v>2025</v>
      </c>
      <c r="C6" s="161"/>
      <c r="D6" s="138"/>
      <c r="E6" s="139"/>
      <c r="F6" s="140"/>
      <c r="G6" s="141"/>
      <c r="J6" s="162"/>
      <c r="K6" s="163"/>
      <c r="L6" s="11"/>
      <c r="M6" s="164"/>
      <c r="O6" s="165"/>
    </row>
    <row r="7" spans="2:16" ht="15" thickBot="1" x14ac:dyDescent="0.25">
      <c r="B7" s="142">
        <f>B8-1</f>
        <v>2026</v>
      </c>
      <c r="C7" s="137"/>
      <c r="D7" s="143"/>
      <c r="E7" s="144"/>
      <c r="F7" s="145"/>
      <c r="G7" s="146"/>
      <c r="J7" s="596" t="s">
        <v>2931</v>
      </c>
      <c r="K7" s="596"/>
      <c r="P7" s="165"/>
    </row>
    <row r="8" spans="2:16" x14ac:dyDescent="0.2">
      <c r="B8" s="136">
        <f>Assumptions!D8</f>
        <v>2027</v>
      </c>
      <c r="C8" s="161">
        <f>'Chickasaw Annualization'!C13</f>
        <v>27776.149182046982</v>
      </c>
      <c r="D8" s="138">
        <f>'Chickasaw Annualization'!D13</f>
        <v>24689.910384041763</v>
      </c>
      <c r="E8" s="139">
        <f t="shared" ref="E8:E27" si="0">C8-D8</f>
        <v>3086.238798005219</v>
      </c>
      <c r="F8" s="140">
        <f>E8*K$16</f>
        <v>98261.769493272805</v>
      </c>
      <c r="G8" s="141">
        <f>F8*(1+0.07)^-(B8-2021)</f>
        <v>65475.966000292952</v>
      </c>
      <c r="I8" s="166"/>
      <c r="J8" s="156" t="s">
        <v>2892</v>
      </c>
      <c r="K8" s="167">
        <f>100%-K9</f>
        <v>0.83</v>
      </c>
    </row>
    <row r="9" spans="2:16" ht="12.75" thickBot="1" x14ac:dyDescent="0.25">
      <c r="B9" s="142">
        <f t="shared" ref="B9:B27" si="1">B8+1</f>
        <v>2028</v>
      </c>
      <c r="C9" s="137">
        <f>'Chickasaw Annualization'!C14</f>
        <v>27776.149182046982</v>
      </c>
      <c r="D9" s="143">
        <f>'Chickasaw Annualization'!D14</f>
        <v>24689.910384041763</v>
      </c>
      <c r="E9" s="144">
        <f t="shared" si="0"/>
        <v>3086.238798005219</v>
      </c>
      <c r="F9" s="145">
        <f t="shared" ref="F9:F27" si="2">E9*K$16</f>
        <v>98261.769493272805</v>
      </c>
      <c r="G9" s="146">
        <f>F9*(1+0.07)^-(B9-2021)</f>
        <v>61192.491589058824</v>
      </c>
      <c r="J9" s="158" t="s">
        <v>2891</v>
      </c>
      <c r="K9" s="168">
        <v>0.17</v>
      </c>
      <c r="L9" s="162"/>
      <c r="M9" s="162"/>
      <c r="N9" s="162"/>
      <c r="O9" s="169"/>
    </row>
    <row r="10" spans="2:16" x14ac:dyDescent="0.2">
      <c r="B10" s="142">
        <f t="shared" si="1"/>
        <v>2029</v>
      </c>
      <c r="C10" s="137">
        <f>'Chickasaw Annualization'!C15</f>
        <v>27776.149182046982</v>
      </c>
      <c r="D10" s="143">
        <f>'Chickasaw Annualization'!D15</f>
        <v>24689.910384041763</v>
      </c>
      <c r="E10" s="144">
        <f t="shared" si="0"/>
        <v>3086.238798005219</v>
      </c>
      <c r="F10" s="145">
        <f t="shared" si="2"/>
        <v>98261.769493272805</v>
      </c>
      <c r="G10" s="146">
        <f>F10*(1+0.07)^-(B10-2021)</f>
        <v>57189.244475755913</v>
      </c>
      <c r="J10" s="162"/>
      <c r="K10" s="170"/>
    </row>
    <row r="11" spans="2:16" ht="15" thickBot="1" x14ac:dyDescent="0.25">
      <c r="B11" s="142">
        <f t="shared" si="1"/>
        <v>2030</v>
      </c>
      <c r="C11" s="137">
        <f>'Chickasaw Annualization'!C16</f>
        <v>27776.149182046982</v>
      </c>
      <c r="D11" s="143">
        <f>'Chickasaw Annualization'!D16</f>
        <v>24689.910384041763</v>
      </c>
      <c r="E11" s="144">
        <f t="shared" si="0"/>
        <v>3086.238798005219</v>
      </c>
      <c r="F11" s="145">
        <f t="shared" si="2"/>
        <v>98261.769493272805</v>
      </c>
      <c r="G11" s="146">
        <f>F11*(1+0.07)^-(B11-2021)</f>
        <v>53447.892033416741</v>
      </c>
      <c r="J11" s="596" t="s">
        <v>2932</v>
      </c>
      <c r="K11" s="596"/>
    </row>
    <row r="12" spans="2:16" x14ac:dyDescent="0.2">
      <c r="B12" s="142">
        <f t="shared" si="1"/>
        <v>2031</v>
      </c>
      <c r="C12" s="137">
        <f>'Chickasaw Annualization'!C17</f>
        <v>27776.149182046982</v>
      </c>
      <c r="D12" s="143">
        <f>'Chickasaw Annualization'!D17</f>
        <v>24689.910384041763</v>
      </c>
      <c r="E12" s="144">
        <f t="shared" si="0"/>
        <v>3086.238798005219</v>
      </c>
      <c r="F12" s="145">
        <f t="shared" si="2"/>
        <v>98261.769493272805</v>
      </c>
      <c r="G12" s="146">
        <f>F12*(1+0.07)^-(B12-2021)</f>
        <v>49951.300965810042</v>
      </c>
      <c r="J12" s="156" t="s">
        <v>2890</v>
      </c>
      <c r="K12" s="171">
        <v>1.67</v>
      </c>
      <c r="N12" s="11"/>
    </row>
    <row r="13" spans="2:16" ht="12.75" thickBot="1" x14ac:dyDescent="0.25">
      <c r="B13" s="142">
        <f t="shared" si="1"/>
        <v>2032</v>
      </c>
      <c r="C13" s="137">
        <f>'Chickasaw Annualization'!C18</f>
        <v>27776.149182046982</v>
      </c>
      <c r="D13" s="143">
        <f>'Chickasaw Annualization'!D18</f>
        <v>24689.910384041763</v>
      </c>
      <c r="E13" s="144">
        <f t="shared" si="0"/>
        <v>3086.238798005219</v>
      </c>
      <c r="F13" s="145">
        <f t="shared" si="2"/>
        <v>98261.769493272805</v>
      </c>
      <c r="G13" s="146">
        <f t="shared" ref="G13:G27" si="3">F13*(1+0.07)^-(B13-2021)</f>
        <v>46683.458846551432</v>
      </c>
      <c r="J13" s="158" t="s">
        <v>2889</v>
      </c>
      <c r="K13" s="172">
        <v>1</v>
      </c>
      <c r="N13" s="11"/>
    </row>
    <row r="14" spans="2:16" x14ac:dyDescent="0.2">
      <c r="B14" s="142">
        <f t="shared" si="1"/>
        <v>2033</v>
      </c>
      <c r="C14" s="137">
        <f>'Chickasaw Annualization'!C19</f>
        <v>27776.149182046982</v>
      </c>
      <c r="D14" s="143">
        <f>'Chickasaw Annualization'!D19</f>
        <v>24689.910384041763</v>
      </c>
      <c r="E14" s="144">
        <f t="shared" si="0"/>
        <v>3086.238798005219</v>
      </c>
      <c r="F14" s="145">
        <f t="shared" si="2"/>
        <v>98261.769493272805</v>
      </c>
      <c r="G14" s="146">
        <f t="shared" si="3"/>
        <v>43629.400791169566</v>
      </c>
      <c r="J14" s="162"/>
      <c r="K14" s="170"/>
      <c r="L14" s="11"/>
      <c r="M14" s="11"/>
      <c r="N14" s="11"/>
    </row>
    <row r="15" spans="2:16" ht="12.75" thickBot="1" x14ac:dyDescent="0.25">
      <c r="B15" s="142">
        <f t="shared" si="1"/>
        <v>2034</v>
      </c>
      <c r="C15" s="137">
        <f>'Chickasaw Annualization'!C20</f>
        <v>27776.149182046982</v>
      </c>
      <c r="D15" s="143">
        <f>'Chickasaw Annualization'!D20</f>
        <v>24689.910384041763</v>
      </c>
      <c r="E15" s="144">
        <f t="shared" si="0"/>
        <v>3086.238798005219</v>
      </c>
      <c r="F15" s="145">
        <f t="shared" si="2"/>
        <v>98261.769493272805</v>
      </c>
      <c r="G15" s="146">
        <f t="shared" si="3"/>
        <v>40775.140926326698</v>
      </c>
      <c r="J15" s="133" t="s">
        <v>2888</v>
      </c>
      <c r="K15" s="11"/>
      <c r="L15" s="11"/>
      <c r="M15" s="11"/>
      <c r="N15" s="11"/>
    </row>
    <row r="16" spans="2:16" ht="12.75" thickBot="1" x14ac:dyDescent="0.25">
      <c r="B16" s="142">
        <f t="shared" si="1"/>
        <v>2035</v>
      </c>
      <c r="C16" s="137">
        <f>'Chickasaw Annualization'!C21</f>
        <v>27776.149182046982</v>
      </c>
      <c r="D16" s="143">
        <f>'Chickasaw Annualization'!D21</f>
        <v>24689.910384041763</v>
      </c>
      <c r="E16" s="144">
        <f t="shared" si="0"/>
        <v>3086.238798005219</v>
      </c>
      <c r="F16" s="145">
        <f t="shared" si="2"/>
        <v>98261.769493272805</v>
      </c>
      <c r="G16" s="146">
        <f t="shared" si="3"/>
        <v>38107.608342361404</v>
      </c>
      <c r="J16" s="97" t="s">
        <v>2887</v>
      </c>
      <c r="K16" s="173">
        <f>K4*K8*K12+K5*K9*K13</f>
        <v>31.83868</v>
      </c>
      <c r="L16" s="174"/>
      <c r="M16" s="11"/>
      <c r="N16" s="175"/>
    </row>
    <row r="17" spans="2:14" x14ac:dyDescent="0.2">
      <c r="B17" s="142">
        <f t="shared" si="1"/>
        <v>2036</v>
      </c>
      <c r="C17" s="137">
        <f>'Chickasaw Annualization'!C22</f>
        <v>27776.149182046982</v>
      </c>
      <c r="D17" s="143">
        <f>'Chickasaw Annualization'!D22</f>
        <v>24689.910384041763</v>
      </c>
      <c r="E17" s="144">
        <f t="shared" si="0"/>
        <v>3086.238798005219</v>
      </c>
      <c r="F17" s="145">
        <f t="shared" si="2"/>
        <v>98261.769493272805</v>
      </c>
      <c r="G17" s="146">
        <f t="shared" si="3"/>
        <v>35614.587235851774</v>
      </c>
      <c r="J17" s="162"/>
      <c r="K17" s="170"/>
      <c r="L17" s="176"/>
      <c r="M17" s="177"/>
      <c r="N17" s="177"/>
    </row>
    <row r="18" spans="2:14" x14ac:dyDescent="0.2">
      <c r="B18" s="142">
        <f t="shared" si="1"/>
        <v>2037</v>
      </c>
      <c r="C18" s="137">
        <f>'Chickasaw Annualization'!C23</f>
        <v>27776.149182046982</v>
      </c>
      <c r="D18" s="143">
        <f>'Chickasaw Annualization'!D23</f>
        <v>24689.910384041763</v>
      </c>
      <c r="E18" s="144">
        <f t="shared" si="0"/>
        <v>3086.238798005219</v>
      </c>
      <c r="F18" s="145">
        <f t="shared" si="2"/>
        <v>98261.769493272805</v>
      </c>
      <c r="G18" s="146">
        <f t="shared" si="3"/>
        <v>33284.660968085773</v>
      </c>
      <c r="K18" s="597"/>
      <c r="L18" s="597"/>
      <c r="M18" s="597"/>
      <c r="N18" s="597"/>
    </row>
    <row r="19" spans="2:14" x14ac:dyDescent="0.2">
      <c r="B19" s="142">
        <f t="shared" si="1"/>
        <v>2038</v>
      </c>
      <c r="C19" s="137">
        <f>'Chickasaw Annualization'!C24</f>
        <v>27776.149182046982</v>
      </c>
      <c r="D19" s="143">
        <f>'Chickasaw Annualization'!D24</f>
        <v>24689.910384041763</v>
      </c>
      <c r="E19" s="144">
        <f t="shared" si="0"/>
        <v>3086.238798005219</v>
      </c>
      <c r="F19" s="145">
        <f t="shared" si="2"/>
        <v>98261.769493272805</v>
      </c>
      <c r="G19" s="146">
        <f t="shared" si="3"/>
        <v>31107.159783257735</v>
      </c>
    </row>
    <row r="20" spans="2:14" x14ac:dyDescent="0.2">
      <c r="B20" s="142">
        <f t="shared" si="1"/>
        <v>2039</v>
      </c>
      <c r="C20" s="137">
        <f>'Chickasaw Annualization'!C25</f>
        <v>27776.149182046982</v>
      </c>
      <c r="D20" s="143">
        <f>'Chickasaw Annualization'!D25</f>
        <v>24689.910384041763</v>
      </c>
      <c r="E20" s="144">
        <f t="shared" si="0"/>
        <v>3086.238798005219</v>
      </c>
      <c r="F20" s="145">
        <f t="shared" si="2"/>
        <v>98261.769493272805</v>
      </c>
      <c r="G20" s="146">
        <f t="shared" si="3"/>
        <v>29072.111946969842</v>
      </c>
      <c r="I20" s="131"/>
    </row>
    <row r="21" spans="2:14" x14ac:dyDescent="0.2">
      <c r="B21" s="142">
        <f t="shared" si="1"/>
        <v>2040</v>
      </c>
      <c r="C21" s="137">
        <f>'Chickasaw Annualization'!C26</f>
        <v>27776.149182046982</v>
      </c>
      <c r="D21" s="143">
        <f>'Chickasaw Annualization'!D26</f>
        <v>24689.910384041763</v>
      </c>
      <c r="E21" s="144">
        <f t="shared" si="0"/>
        <v>3086.238798005219</v>
      </c>
      <c r="F21" s="145">
        <f t="shared" si="2"/>
        <v>98261.769493272805</v>
      </c>
      <c r="G21" s="146">
        <f t="shared" si="3"/>
        <v>27170.198081280225</v>
      </c>
      <c r="H21" s="11"/>
      <c r="I21" s="131"/>
    </row>
    <row r="22" spans="2:14" x14ac:dyDescent="0.2">
      <c r="B22" s="142">
        <f t="shared" si="1"/>
        <v>2041</v>
      </c>
      <c r="C22" s="137">
        <f>'Chickasaw Annualization'!C27</f>
        <v>27776.149182046982</v>
      </c>
      <c r="D22" s="143">
        <f>'Chickasaw Annualization'!D27</f>
        <v>24689.910384041763</v>
      </c>
      <c r="E22" s="144">
        <f t="shared" si="0"/>
        <v>3086.238798005219</v>
      </c>
      <c r="F22" s="145">
        <f t="shared" si="2"/>
        <v>98261.769493272805</v>
      </c>
      <c r="G22" s="146">
        <f t="shared" si="3"/>
        <v>25392.708487177784</v>
      </c>
      <c r="I22" s="131"/>
    </row>
    <row r="23" spans="2:14" x14ac:dyDescent="0.2">
      <c r="B23" s="142">
        <f t="shared" si="1"/>
        <v>2042</v>
      </c>
      <c r="C23" s="137">
        <f>'Chickasaw Annualization'!C28</f>
        <v>27776.149182046982</v>
      </c>
      <c r="D23" s="143">
        <f>'Chickasaw Annualization'!D28</f>
        <v>24689.910384041763</v>
      </c>
      <c r="E23" s="144">
        <f t="shared" si="0"/>
        <v>3086.238798005219</v>
      </c>
      <c r="F23" s="145">
        <f t="shared" si="2"/>
        <v>98261.769493272805</v>
      </c>
      <c r="G23" s="146">
        <f t="shared" si="3"/>
        <v>23731.503259044657</v>
      </c>
      <c r="I23" s="131"/>
    </row>
    <row r="24" spans="2:14" x14ac:dyDescent="0.2">
      <c r="B24" s="142">
        <f t="shared" si="1"/>
        <v>2043</v>
      </c>
      <c r="C24" s="137">
        <f>'Chickasaw Annualization'!C29</f>
        <v>27776.149182046982</v>
      </c>
      <c r="D24" s="143">
        <f>'Chickasaw Annualization'!D29</f>
        <v>24689.910384041763</v>
      </c>
      <c r="E24" s="144">
        <f t="shared" si="0"/>
        <v>3086.238798005219</v>
      </c>
      <c r="F24" s="145">
        <f t="shared" si="2"/>
        <v>98261.769493272805</v>
      </c>
      <c r="G24" s="146">
        <f t="shared" si="3"/>
        <v>22178.975008452951</v>
      </c>
      <c r="H24" s="131"/>
      <c r="I24" s="131"/>
      <c r="L24" s="597"/>
      <c r="M24" s="597"/>
    </row>
    <row r="25" spans="2:14" x14ac:dyDescent="0.2">
      <c r="B25" s="142">
        <f t="shared" si="1"/>
        <v>2044</v>
      </c>
      <c r="C25" s="137">
        <f>'Chickasaw Annualization'!C30</f>
        <v>27776.149182046982</v>
      </c>
      <c r="D25" s="143">
        <f>'Chickasaw Annualization'!D30</f>
        <v>24689.910384041763</v>
      </c>
      <c r="E25" s="144">
        <f t="shared" si="0"/>
        <v>3086.238798005219</v>
      </c>
      <c r="F25" s="145">
        <f t="shared" si="2"/>
        <v>98261.769493272805</v>
      </c>
      <c r="G25" s="146">
        <f t="shared" si="3"/>
        <v>20728.01402659154</v>
      </c>
      <c r="H25" s="131"/>
      <c r="I25" s="131"/>
    </row>
    <row r="26" spans="2:14" x14ac:dyDescent="0.2">
      <c r="B26" s="142">
        <f t="shared" si="1"/>
        <v>2045</v>
      </c>
      <c r="C26" s="137">
        <f>'Chickasaw Annualization'!C31</f>
        <v>27776.149182046982</v>
      </c>
      <c r="D26" s="143">
        <f>'Chickasaw Annualization'!D31</f>
        <v>24689.910384041763</v>
      </c>
      <c r="E26" s="144">
        <f t="shared" si="0"/>
        <v>3086.238798005219</v>
      </c>
      <c r="F26" s="145">
        <f t="shared" si="2"/>
        <v>98261.769493272805</v>
      </c>
      <c r="G26" s="146">
        <f t="shared" si="3"/>
        <v>19371.975725786488</v>
      </c>
      <c r="H26" s="131"/>
      <c r="I26" s="131"/>
    </row>
    <row r="27" spans="2:14" ht="12.75" thickBot="1" x14ac:dyDescent="0.25">
      <c r="B27" s="147">
        <f t="shared" si="1"/>
        <v>2046</v>
      </c>
      <c r="C27" s="148">
        <f>'Chickasaw Annualization'!C32</f>
        <v>27776.149182046982</v>
      </c>
      <c r="D27" s="149">
        <f>'Chickasaw Annualization'!D32</f>
        <v>24689.910384041763</v>
      </c>
      <c r="E27" s="150">
        <f t="shared" si="0"/>
        <v>3086.238798005219</v>
      </c>
      <c r="F27" s="151">
        <f t="shared" si="2"/>
        <v>98261.769493272805</v>
      </c>
      <c r="G27" s="152">
        <f t="shared" si="3"/>
        <v>18104.650211015407</v>
      </c>
      <c r="H27" s="131"/>
      <c r="I27" s="131"/>
    </row>
    <row r="28" spans="2:14" ht="12.75" thickBot="1" x14ac:dyDescent="0.25">
      <c r="C28" s="153"/>
      <c r="D28" s="153"/>
      <c r="E28" s="153"/>
      <c r="F28" s="154" t="s">
        <v>2809</v>
      </c>
      <c r="G28" s="155">
        <f>SUM(G8:G27)</f>
        <v>742209.04870425782</v>
      </c>
      <c r="H28" s="131"/>
      <c r="I28" s="131"/>
    </row>
    <row r="29" spans="2:14" x14ac:dyDescent="0.2">
      <c r="F29" s="11"/>
      <c r="G29" s="11"/>
    </row>
    <row r="30" spans="2:14" x14ac:dyDescent="0.2">
      <c r="B30" s="42" t="s">
        <v>2828</v>
      </c>
    </row>
    <row r="31" spans="2:14" x14ac:dyDescent="0.2">
      <c r="B31" s="178" t="s">
        <v>2829</v>
      </c>
      <c r="C31" s="533" t="s">
        <v>2947</v>
      </c>
      <c r="D31" s="533"/>
      <c r="E31" s="533"/>
      <c r="F31" s="533"/>
      <c r="G31" s="533"/>
    </row>
    <row r="32" spans="2:14" x14ac:dyDescent="0.2">
      <c r="B32" s="131"/>
      <c r="C32" s="533"/>
      <c r="D32" s="533"/>
      <c r="E32" s="533"/>
      <c r="F32" s="533"/>
      <c r="G32" s="533"/>
    </row>
    <row r="33" spans="2:7" x14ac:dyDescent="0.2">
      <c r="B33" s="131"/>
      <c r="C33" s="533"/>
      <c r="D33" s="533"/>
      <c r="E33" s="533"/>
      <c r="F33" s="533"/>
      <c r="G33" s="533"/>
    </row>
    <row r="34" spans="2:7" x14ac:dyDescent="0.2">
      <c r="B34" s="178" t="s">
        <v>2842</v>
      </c>
      <c r="C34" s="533" t="s">
        <v>2948</v>
      </c>
      <c r="D34" s="533"/>
      <c r="E34" s="533"/>
      <c r="F34" s="533"/>
      <c r="G34" s="533"/>
    </row>
    <row r="35" spans="2:7" x14ac:dyDescent="0.2">
      <c r="B35" s="131"/>
      <c r="C35" s="131"/>
      <c r="D35" s="131"/>
      <c r="E35" s="131"/>
    </row>
    <row r="36" spans="2:7" x14ac:dyDescent="0.2">
      <c r="B36" s="131"/>
      <c r="C36" s="131"/>
      <c r="D36" s="131"/>
      <c r="E36" s="131"/>
      <c r="F36" s="131"/>
      <c r="G36" s="131"/>
    </row>
    <row r="37" spans="2:7" x14ac:dyDescent="0.2">
      <c r="B37" s="131"/>
      <c r="C37" s="131"/>
      <c r="D37" s="131"/>
      <c r="E37" s="131"/>
      <c r="F37" s="131"/>
      <c r="G37" s="131"/>
    </row>
    <row r="38" spans="2:7" x14ac:dyDescent="0.2">
      <c r="B38" s="131"/>
      <c r="C38" s="131"/>
      <c r="D38" s="131"/>
      <c r="E38" s="131"/>
      <c r="F38" s="131"/>
      <c r="G38" s="131"/>
    </row>
    <row r="39" spans="2:7" x14ac:dyDescent="0.2">
      <c r="B39" s="131"/>
      <c r="C39" s="131"/>
      <c r="D39" s="131"/>
      <c r="E39" s="131"/>
      <c r="F39" s="131"/>
      <c r="G39" s="131"/>
    </row>
    <row r="40" spans="2:7" x14ac:dyDescent="0.2">
      <c r="B40" s="131"/>
      <c r="C40" s="131"/>
      <c r="D40" s="131"/>
      <c r="E40" s="131"/>
      <c r="F40" s="131"/>
      <c r="G40" s="131"/>
    </row>
    <row r="41" spans="2:7" x14ac:dyDescent="0.2">
      <c r="B41" s="131"/>
      <c r="C41" s="131"/>
      <c r="D41" s="131"/>
      <c r="E41" s="131"/>
      <c r="F41" s="131"/>
      <c r="G41" s="131"/>
    </row>
    <row r="42" spans="2:7" x14ac:dyDescent="0.2">
      <c r="B42" s="131"/>
      <c r="C42" s="131"/>
      <c r="D42" s="131"/>
      <c r="E42" s="131"/>
      <c r="F42" s="131"/>
      <c r="G42" s="131"/>
    </row>
    <row r="43" spans="2:7" x14ac:dyDescent="0.2">
      <c r="B43" s="131"/>
      <c r="C43" s="131"/>
      <c r="D43" s="131"/>
      <c r="E43" s="131"/>
      <c r="F43" s="131"/>
      <c r="G43" s="131"/>
    </row>
    <row r="44" spans="2:7" x14ac:dyDescent="0.2">
      <c r="B44" s="131"/>
      <c r="C44" s="131"/>
      <c r="D44" s="131"/>
      <c r="E44" s="131"/>
      <c r="F44" s="131"/>
      <c r="G44" s="131"/>
    </row>
    <row r="45" spans="2:7" x14ac:dyDescent="0.2">
      <c r="B45" s="131"/>
      <c r="C45" s="131"/>
      <c r="D45" s="131"/>
      <c r="E45" s="131"/>
      <c r="F45" s="131"/>
      <c r="G45" s="131"/>
    </row>
    <row r="46" spans="2:7" x14ac:dyDescent="0.2">
      <c r="B46" s="131"/>
      <c r="C46" s="131"/>
      <c r="D46" s="131"/>
      <c r="E46" s="131"/>
      <c r="F46" s="131"/>
      <c r="G46" s="131"/>
    </row>
    <row r="47" spans="2:7" x14ac:dyDescent="0.2">
      <c r="B47" s="131"/>
      <c r="C47" s="131"/>
      <c r="D47" s="131"/>
      <c r="E47" s="131"/>
      <c r="F47" s="131"/>
      <c r="G47" s="131"/>
    </row>
    <row r="48" spans="2:7" x14ac:dyDescent="0.2">
      <c r="B48" s="131"/>
      <c r="C48" s="131"/>
      <c r="D48" s="131"/>
      <c r="E48" s="131"/>
      <c r="F48" s="131"/>
      <c r="G48" s="131"/>
    </row>
    <row r="49" spans="2:13" x14ac:dyDescent="0.2">
      <c r="B49" s="131"/>
      <c r="C49" s="131"/>
      <c r="D49" s="131"/>
      <c r="E49" s="131"/>
      <c r="F49" s="131"/>
      <c r="G49" s="131"/>
      <c r="M49" s="131"/>
    </row>
    <row r="50" spans="2:13" x14ac:dyDescent="0.2">
      <c r="B50" s="131"/>
      <c r="C50" s="131"/>
      <c r="D50" s="131"/>
      <c r="E50" s="131"/>
      <c r="F50" s="131"/>
      <c r="G50" s="131"/>
      <c r="M50" s="131"/>
    </row>
    <row r="51" spans="2:13" x14ac:dyDescent="0.2">
      <c r="B51" s="131"/>
      <c r="C51" s="131"/>
      <c r="D51" s="131"/>
      <c r="E51" s="131"/>
      <c r="F51" s="131"/>
      <c r="G51" s="131"/>
      <c r="M51" s="131"/>
    </row>
    <row r="52" spans="2:13" x14ac:dyDescent="0.2">
      <c r="B52" s="131"/>
      <c r="C52" s="131"/>
      <c r="D52" s="131"/>
      <c r="E52" s="131"/>
      <c r="F52" s="131"/>
      <c r="G52" s="131"/>
      <c r="J52" s="131"/>
      <c r="K52" s="131"/>
      <c r="L52" s="131"/>
      <c r="M52" s="131"/>
    </row>
    <row r="53" spans="2:13" x14ac:dyDescent="0.2">
      <c r="B53" s="130"/>
      <c r="C53" s="130"/>
      <c r="D53" s="130"/>
      <c r="E53" s="130"/>
      <c r="F53" s="130"/>
      <c r="G53" s="130"/>
    </row>
    <row r="54" spans="2:13" x14ac:dyDescent="0.2">
      <c r="B54" s="131"/>
      <c r="C54" s="131"/>
      <c r="D54" s="131"/>
      <c r="E54" s="131"/>
      <c r="F54" s="131"/>
      <c r="G54" s="131"/>
    </row>
    <row r="55" spans="2:13" x14ac:dyDescent="0.2">
      <c r="B55" s="131"/>
      <c r="C55" s="131"/>
      <c r="D55" s="131"/>
      <c r="E55" s="131"/>
      <c r="F55" s="131"/>
      <c r="G55" s="131"/>
    </row>
    <row r="56" spans="2:13" x14ac:dyDescent="0.2">
      <c r="B56" s="131"/>
      <c r="C56" s="131"/>
      <c r="D56" s="131"/>
      <c r="E56" s="131"/>
      <c r="F56" s="131"/>
      <c r="G56" s="131"/>
    </row>
    <row r="57" spans="2:13" x14ac:dyDescent="0.2">
      <c r="B57" s="131"/>
      <c r="C57" s="131"/>
      <c r="D57" s="131"/>
      <c r="E57" s="131"/>
      <c r="F57" s="131"/>
      <c r="G57" s="131"/>
    </row>
    <row r="58" spans="2:13" x14ac:dyDescent="0.2">
      <c r="B58" s="131"/>
      <c r="C58" s="131"/>
      <c r="D58" s="131"/>
      <c r="E58" s="131"/>
      <c r="F58" s="131"/>
    </row>
    <row r="59" spans="2:13" x14ac:dyDescent="0.2">
      <c r="B59" s="131"/>
      <c r="C59" s="131"/>
      <c r="D59" s="131"/>
      <c r="E59" s="131"/>
      <c r="F59" s="131"/>
    </row>
    <row r="60" spans="2:13" x14ac:dyDescent="0.2">
      <c r="B60" s="131"/>
      <c r="C60" s="131"/>
      <c r="D60" s="131"/>
      <c r="E60" s="131"/>
      <c r="F60" s="131"/>
    </row>
    <row r="61" spans="2:13" x14ac:dyDescent="0.2">
      <c r="B61" s="131"/>
      <c r="C61" s="131"/>
      <c r="D61" s="131"/>
      <c r="E61" s="131"/>
      <c r="F61" s="131"/>
    </row>
  </sheetData>
  <mergeCells count="13">
    <mergeCell ref="J7:K7"/>
    <mergeCell ref="J11:K11"/>
    <mergeCell ref="K18:L18"/>
    <mergeCell ref="M18:N18"/>
    <mergeCell ref="L24:M24"/>
    <mergeCell ref="C34:G34"/>
    <mergeCell ref="B4:B5"/>
    <mergeCell ref="C4:C5"/>
    <mergeCell ref="D4:D5"/>
    <mergeCell ref="E4:E5"/>
    <mergeCell ref="F4:F5"/>
    <mergeCell ref="C31:G33"/>
    <mergeCell ref="G4:G5"/>
  </mergeCells>
  <pageMargins left="0.25" right="0.25" top="0.75" bottom="0.75" header="0.3" footer="0.3"/>
  <pageSetup paperSize="11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2AC0-B4BD-4C77-BAED-B00BD5A1B970}">
  <sheetPr>
    <tabColor rgb="FF00B050"/>
    <pageSetUpPr fitToPage="1"/>
  </sheetPr>
  <dimension ref="A2:AD70"/>
  <sheetViews>
    <sheetView view="pageBreakPreview" topLeftCell="A3" zoomScale="85" zoomScaleNormal="85" zoomScaleSheetLayoutView="85" workbookViewId="0">
      <selection activeCell="Y36" sqref="Y36"/>
    </sheetView>
  </sheetViews>
  <sheetFormatPr defaultRowHeight="12" x14ac:dyDescent="0.2"/>
  <cols>
    <col min="1" max="1" width="9.140625" style="17"/>
    <col min="2" max="3" width="15.7109375" style="17" customWidth="1"/>
    <col min="4" max="5" width="18.5703125" style="17" customWidth="1"/>
    <col min="6" max="6" width="15.7109375" style="17" customWidth="1"/>
    <col min="7" max="7" width="14.5703125" style="17" customWidth="1"/>
    <col min="8" max="8" width="14.140625" style="17" customWidth="1"/>
    <col min="9" max="9" width="13.5703125" style="17" customWidth="1"/>
    <col min="10" max="10" width="12.85546875" style="17" customWidth="1"/>
    <col min="11" max="11" width="11" style="17" customWidth="1"/>
    <col min="12" max="12" width="11.7109375" style="17" customWidth="1"/>
    <col min="13" max="13" width="19.28515625" style="17" customWidth="1"/>
    <col min="14" max="14" width="11.7109375" style="17" customWidth="1"/>
    <col min="15" max="16" width="13" style="17" customWidth="1"/>
    <col min="17" max="17" width="4.5703125" style="17" customWidth="1"/>
    <col min="18" max="22" width="8.85546875" style="17" customWidth="1"/>
    <col min="23" max="23" width="6.42578125" style="17" customWidth="1"/>
    <col min="24" max="25" width="23.85546875" style="17" customWidth="1"/>
    <col min="26" max="26" width="6.42578125" style="17" customWidth="1"/>
    <col min="27" max="29" width="7.7109375" style="17" customWidth="1"/>
    <col min="30" max="30" width="10.42578125" style="17" customWidth="1"/>
    <col min="31" max="16384" width="9.140625" style="17"/>
  </cols>
  <sheetData>
    <row r="2" spans="2:30" ht="12.75" thickBot="1" x14ac:dyDescent="0.25">
      <c r="B2" s="42" t="s">
        <v>2992</v>
      </c>
      <c r="C2" s="42"/>
      <c r="D2" s="42"/>
      <c r="E2" s="42"/>
    </row>
    <row r="3" spans="2:30" ht="12.75" thickBot="1" x14ac:dyDescent="0.25">
      <c r="C3" s="599" t="s">
        <v>2993</v>
      </c>
      <c r="D3" s="600"/>
      <c r="E3" s="601"/>
      <c r="F3" s="558" t="s">
        <v>2994</v>
      </c>
      <c r="G3" s="562"/>
      <c r="H3" s="562"/>
      <c r="I3" s="562"/>
      <c r="J3" s="562"/>
      <c r="K3" s="562"/>
      <c r="L3" s="562"/>
      <c r="M3" s="562"/>
      <c r="N3" s="562"/>
      <c r="O3" s="602" t="s">
        <v>2995</v>
      </c>
      <c r="P3" s="603"/>
    </row>
    <row r="4" spans="2:30" ht="12.75" thickBot="1" x14ac:dyDescent="0.25">
      <c r="B4" s="524" t="s">
        <v>0</v>
      </c>
      <c r="C4" s="518" t="s">
        <v>2996</v>
      </c>
      <c r="D4" s="520" t="s">
        <v>2997</v>
      </c>
      <c r="E4" s="506" t="s">
        <v>2998</v>
      </c>
      <c r="F4" s="510" t="s">
        <v>3047</v>
      </c>
      <c r="G4" s="518" t="s">
        <v>2999</v>
      </c>
      <c r="H4" s="520" t="s">
        <v>3000</v>
      </c>
      <c r="I4" s="506" t="s">
        <v>3001</v>
      </c>
      <c r="J4" s="518" t="s">
        <v>3002</v>
      </c>
      <c r="K4" s="520" t="s">
        <v>3003</v>
      </c>
      <c r="L4" s="506" t="s">
        <v>3004</v>
      </c>
      <c r="M4" s="510" t="s">
        <v>3005</v>
      </c>
      <c r="N4" s="573" t="s">
        <v>2806</v>
      </c>
      <c r="O4" s="512" t="s">
        <v>2825</v>
      </c>
      <c r="P4" s="605" t="s">
        <v>3006</v>
      </c>
      <c r="R4" s="133" t="s">
        <v>3007</v>
      </c>
      <c r="S4" s="133"/>
      <c r="T4" s="133"/>
      <c r="U4" s="133"/>
      <c r="V4" s="133"/>
      <c r="X4" s="42" t="s">
        <v>3008</v>
      </c>
    </row>
    <row r="5" spans="2:30" ht="24.75" thickBot="1" x14ac:dyDescent="0.25">
      <c r="B5" s="525"/>
      <c r="C5" s="545"/>
      <c r="D5" s="522"/>
      <c r="E5" s="604"/>
      <c r="F5" s="511"/>
      <c r="G5" s="545"/>
      <c r="H5" s="522"/>
      <c r="I5" s="544"/>
      <c r="J5" s="545"/>
      <c r="K5" s="522"/>
      <c r="L5" s="544"/>
      <c r="M5" s="511"/>
      <c r="N5" s="574"/>
      <c r="O5" s="513"/>
      <c r="P5" s="606"/>
      <c r="R5" s="318" t="s">
        <v>3009</v>
      </c>
      <c r="S5" s="124" t="s">
        <v>3010</v>
      </c>
      <c r="T5" s="124" t="s">
        <v>3011</v>
      </c>
      <c r="U5" s="124" t="s">
        <v>3012</v>
      </c>
      <c r="V5" s="319" t="s">
        <v>3013</v>
      </c>
      <c r="X5" s="320" t="s">
        <v>3014</v>
      </c>
      <c r="Y5" s="321" t="s">
        <v>3015</v>
      </c>
      <c r="Z5" s="321" t="s">
        <v>3016</v>
      </c>
      <c r="AA5" s="321" t="s">
        <v>3010</v>
      </c>
      <c r="AB5" s="321" t="s">
        <v>3011</v>
      </c>
      <c r="AC5" s="321" t="s">
        <v>3012</v>
      </c>
      <c r="AD5" s="322" t="s">
        <v>3013</v>
      </c>
    </row>
    <row r="6" spans="2:30" x14ac:dyDescent="0.2">
      <c r="B6" s="237">
        <f>Assumptions!D8</f>
        <v>2027</v>
      </c>
      <c r="C6" s="323">
        <f>($F6*V$6*'Chickasaw Travel Time'!$K$8+$F6*V$7*'Chickasaw Travel Time'!$K$9)/10^6</f>
        <v>-10.014533732400656</v>
      </c>
      <c r="D6" s="324">
        <f t="shared" ref="D6:D25" si="0">-C6*_xlfn.XLOOKUP($B6,$R$12:$R$50,$V$12:$V$50)</f>
        <v>610.88655767644002</v>
      </c>
      <c r="E6" s="325">
        <f>D6*(1+0.03)^-($B6-2021)</f>
        <v>511.60787467368976</v>
      </c>
      <c r="F6" s="326">
        <f>$Y$38</f>
        <v>-21133.020169340736</v>
      </c>
      <c r="G6" s="327">
        <f>($F6*S$6*'Chickasaw Travel Time'!$K$8+$F6*S$7*'Chickasaw Travel Time'!$K$9)/10^6</f>
        <v>-1.1540266803104148E-2</v>
      </c>
      <c r="H6" s="328">
        <f>($F6*T$6*'Chickasaw Travel Time'!$K$8+$F6*T$7*'Chickasaw Travel Time'!$K$9)/10^6</f>
        <v>-5.3500435284198273E-5</v>
      </c>
      <c r="I6" s="329">
        <f>($F6*U$6*'Chickasaw Travel Time'!$K$8+$F6*U$7*'Chickasaw Travel Time'!$K$9)/10^6</f>
        <v>-2.1883027293295317E-4</v>
      </c>
      <c r="J6" s="330">
        <f>-G6*_xlfn.XLOOKUP($B6,$R$12:$R$50,$S$12:$S$50)</f>
        <v>206.57077577556424</v>
      </c>
      <c r="K6" s="324">
        <f t="shared" ref="K6:K25" si="1">-H6*_xlfn.XLOOKUP($B6,$R$12:$R$50,$T$12:$T$50)</f>
        <v>2.6054711983404557</v>
      </c>
      <c r="L6" s="325">
        <f t="shared" ref="L6:L25" si="2">-I6*_xlfn.XLOOKUP($B6,$R$12:$R$50,$U$12:$U$50)</f>
        <v>189.41948425076427</v>
      </c>
      <c r="M6" s="331">
        <f>SUM(J6:L6)</f>
        <v>398.59573122466895</v>
      </c>
      <c r="N6" s="332">
        <f>M6*(1+0.07)^-($B6-2021)</f>
        <v>265.60116594801485</v>
      </c>
      <c r="O6" s="330">
        <f t="shared" ref="O6:P24" si="3">M6+D6</f>
        <v>1009.482288901109</v>
      </c>
      <c r="P6" s="325">
        <f>N6+E6</f>
        <v>777.20904062170462</v>
      </c>
      <c r="R6" s="86" t="s">
        <v>3017</v>
      </c>
      <c r="S6" s="333">
        <f>AVERAGE(AA6:AA9)</f>
        <v>0.22790983982547491</v>
      </c>
      <c r="T6" s="333">
        <f t="shared" ref="T6:V6" si="4">AVERAGE(AB6:AB9)</f>
        <v>2.0699004398994176E-3</v>
      </c>
      <c r="U6" s="333">
        <f t="shared" si="4"/>
        <v>5.8180715878192544E-3</v>
      </c>
      <c r="V6" s="334">
        <f t="shared" si="4"/>
        <v>317.22468262036</v>
      </c>
      <c r="X6" s="335">
        <v>11</v>
      </c>
      <c r="Y6" s="87" t="s">
        <v>3018</v>
      </c>
      <c r="Z6" s="87" t="s">
        <v>3019</v>
      </c>
      <c r="AA6" s="336">
        <v>0.73690802096518104</v>
      </c>
      <c r="AB6" s="336">
        <v>2.4081927794970298E-3</v>
      </c>
      <c r="AC6" s="336">
        <v>1.78605259703664E-2</v>
      </c>
      <c r="AD6" s="337">
        <v>362.51238716242</v>
      </c>
    </row>
    <row r="7" spans="2:30" ht="12.75" thickBot="1" x14ac:dyDescent="0.25">
      <c r="B7" s="1">
        <f t="shared" ref="B7:B25" si="5">+B6+1</f>
        <v>2028</v>
      </c>
      <c r="C7" s="338">
        <f>($F7*V$6*'Chickasaw Travel Time'!$K$8+$F7*V$7*'Chickasaw Travel Time'!$K$9)/10^6</f>
        <v>-10.014533732400656</v>
      </c>
      <c r="D7" s="81">
        <f t="shared" si="0"/>
        <v>620.90109140884067</v>
      </c>
      <c r="E7" s="16">
        <f t="shared" ref="E7:E25" si="6">D7*(1+0.03)^-($B7-2021)</f>
        <v>504.84940680835211</v>
      </c>
      <c r="F7" s="339">
        <f t="shared" ref="F7:F25" si="7">$Y$38</f>
        <v>-21133.020169340736</v>
      </c>
      <c r="G7" s="340">
        <f>($F7*S$6*'Chickasaw Travel Time'!$K$8+$F7*S$7*'Chickasaw Travel Time'!$K$9)/10^6</f>
        <v>-1.1540266803104148E-2</v>
      </c>
      <c r="H7" s="341">
        <f>($F7*T$6*'Chickasaw Travel Time'!$K$8+$F7*T$7*'Chickasaw Travel Time'!$K$9)/10^6</f>
        <v>-5.3500435284198273E-5</v>
      </c>
      <c r="I7" s="342">
        <f>($F7*U$6*'Chickasaw Travel Time'!$K$8+$F7*U$7*'Chickasaw Travel Time'!$K$9)/10^6</f>
        <v>-2.1883027293295317E-4</v>
      </c>
      <c r="J7" s="343">
        <f t="shared" ref="J7:J25" si="8">-G7*_xlfn.XLOOKUP($B7,$R$12:$R$50,$S$12:$S$50)</f>
        <v>210.0328558164955</v>
      </c>
      <c r="K7" s="81">
        <f t="shared" si="1"/>
        <v>2.6482715465678144</v>
      </c>
      <c r="L7" s="16">
        <f t="shared" si="2"/>
        <v>192.439342017239</v>
      </c>
      <c r="M7" s="344">
        <f t="shared" ref="M7:M24" si="9">SUM(J7:L7)</f>
        <v>405.12046938030232</v>
      </c>
      <c r="N7" s="345">
        <f t="shared" ref="N7:N25" si="10">M7*(1+0.07)^-($B7-2021)</f>
        <v>252.28866773874765</v>
      </c>
      <c r="O7" s="343">
        <f t="shared" si="3"/>
        <v>1026.021560789143</v>
      </c>
      <c r="P7" s="16">
        <f t="shared" si="3"/>
        <v>757.13807454709979</v>
      </c>
      <c r="R7" s="60" t="s">
        <v>3020</v>
      </c>
      <c r="S7" s="346">
        <f>AVERAGE(AA10:AA18)</f>
        <v>2.099484306313415</v>
      </c>
      <c r="T7" s="346">
        <f t="shared" ref="T7:V7" si="11">AVERAGE(AB10:AB18)</f>
        <v>4.7858028693373951E-3</v>
      </c>
      <c r="U7" s="346">
        <f t="shared" si="11"/>
        <v>3.2505287070740692E-2</v>
      </c>
      <c r="V7" s="347">
        <f t="shared" si="11"/>
        <v>1238.7315972924489</v>
      </c>
      <c r="X7" s="238">
        <v>21</v>
      </c>
      <c r="Y7" s="65" t="s">
        <v>3021</v>
      </c>
      <c r="Z7" s="65" t="s">
        <v>3019</v>
      </c>
      <c r="AA7" s="348">
        <v>3.7528759722247264E-2</v>
      </c>
      <c r="AB7" s="348">
        <v>1.6122938930079201E-3</v>
      </c>
      <c r="AC7" s="348">
        <v>1.1798384221972261E-3</v>
      </c>
      <c r="AD7" s="349">
        <v>243.79125643460799</v>
      </c>
    </row>
    <row r="8" spans="2:30" ht="15" x14ac:dyDescent="0.25">
      <c r="B8" s="1">
        <f t="shared" si="5"/>
        <v>2029</v>
      </c>
      <c r="C8" s="338">
        <f>($F8*V$6*'Chickasaw Travel Time'!$K$8+$F8*V$7*'Chickasaw Travel Time'!$K$9)/10^6</f>
        <v>-10.014533732400656</v>
      </c>
      <c r="D8" s="81">
        <f t="shared" si="0"/>
        <v>630.91562514124132</v>
      </c>
      <c r="E8" s="16">
        <f t="shared" si="6"/>
        <v>498.05062055944541</v>
      </c>
      <c r="F8" s="339">
        <f t="shared" si="7"/>
        <v>-21133.020169340736</v>
      </c>
      <c r="G8" s="340">
        <f>($F8*S$6*'Chickasaw Travel Time'!$K$8+$F8*S$7*'Chickasaw Travel Time'!$K$9)/10^6</f>
        <v>-1.1540266803104148E-2</v>
      </c>
      <c r="H8" s="341">
        <f>($F8*T$6*'Chickasaw Travel Time'!$K$8+$F8*T$7*'Chickasaw Travel Time'!$K$9)/10^6</f>
        <v>-5.3500435284198273E-5</v>
      </c>
      <c r="I8" s="342">
        <f>($F8*U$6*'Chickasaw Travel Time'!$K$8+$F8*U$7*'Chickasaw Travel Time'!$K$9)/10^6</f>
        <v>-2.1883027293295317E-4</v>
      </c>
      <c r="J8" s="343">
        <f t="shared" si="8"/>
        <v>214.64896253773716</v>
      </c>
      <c r="K8" s="81">
        <f t="shared" si="1"/>
        <v>2.696421938323593</v>
      </c>
      <c r="L8" s="16">
        <f t="shared" si="2"/>
        <v>195.50296583830036</v>
      </c>
      <c r="M8" s="344">
        <f t="shared" si="9"/>
        <v>412.84835031436114</v>
      </c>
      <c r="N8" s="345">
        <f t="shared" si="10"/>
        <v>240.28149868761463</v>
      </c>
      <c r="O8" s="343">
        <f t="shared" si="3"/>
        <v>1043.7639754556026</v>
      </c>
      <c r="P8" s="16">
        <f t="shared" si="3"/>
        <v>738.33211924706006</v>
      </c>
      <c r="R8"/>
      <c r="S8"/>
      <c r="T8"/>
      <c r="U8"/>
      <c r="V8"/>
      <c r="X8" s="238">
        <v>31</v>
      </c>
      <c r="Y8" s="65" t="s">
        <v>3021</v>
      </c>
      <c r="Z8" s="65" t="s">
        <v>3019</v>
      </c>
      <c r="AA8" s="348">
        <v>5.602001301010253E-2</v>
      </c>
      <c r="AB8" s="348">
        <v>2.0534055761767299E-3</v>
      </c>
      <c r="AC8" s="348">
        <v>1.6834690354423085E-3</v>
      </c>
      <c r="AD8" s="349">
        <v>318.590574637288</v>
      </c>
    </row>
    <row r="9" spans="2:30" x14ac:dyDescent="0.2">
      <c r="B9" s="1">
        <f t="shared" si="5"/>
        <v>2030</v>
      </c>
      <c r="C9" s="338">
        <f>($F9*V$6*'Chickasaw Travel Time'!$K$8+$F9*V$7*'Chickasaw Travel Time'!$K$9)/10^6</f>
        <v>-10.014533732400656</v>
      </c>
      <c r="D9" s="81">
        <f t="shared" si="0"/>
        <v>650.94469260604262</v>
      </c>
      <c r="E9" s="16">
        <f t="shared" si="6"/>
        <v>498.89490424354989</v>
      </c>
      <c r="F9" s="339">
        <f t="shared" si="7"/>
        <v>-21133.020169340736</v>
      </c>
      <c r="G9" s="340">
        <f>($F9*S$6*'Chickasaw Travel Time'!$K$8+$F9*S$7*'Chickasaw Travel Time'!$K$9)/10^6</f>
        <v>-1.1540266803104148E-2</v>
      </c>
      <c r="H9" s="341">
        <f>($F9*T$6*'Chickasaw Travel Time'!$K$8+$F9*T$7*'Chickasaw Travel Time'!$K$9)/10^6</f>
        <v>-5.3500435284198273E-5</v>
      </c>
      <c r="I9" s="342">
        <f>($F9*U$6*'Chickasaw Travel Time'!$K$8+$F9*U$7*'Chickasaw Travel Time'!$K$9)/10^6</f>
        <v>-2.1883027293295317E-4</v>
      </c>
      <c r="J9" s="343">
        <f t="shared" si="8"/>
        <v>218.11104257866839</v>
      </c>
      <c r="K9" s="81">
        <f t="shared" si="1"/>
        <v>2.7445723300793712</v>
      </c>
      <c r="L9" s="16">
        <f t="shared" si="2"/>
        <v>198.61035571394828</v>
      </c>
      <c r="M9" s="344">
        <f t="shared" si="9"/>
        <v>419.46597062269603</v>
      </c>
      <c r="N9" s="345">
        <f t="shared" si="10"/>
        <v>228.16169528749535</v>
      </c>
      <c r="O9" s="343">
        <f t="shared" si="3"/>
        <v>1070.4106632287387</v>
      </c>
      <c r="P9" s="16">
        <f t="shared" si="3"/>
        <v>727.05659953104521</v>
      </c>
      <c r="X9" s="238">
        <v>32</v>
      </c>
      <c r="Y9" s="65" t="s">
        <v>3021</v>
      </c>
      <c r="Z9" s="65" t="s">
        <v>3019</v>
      </c>
      <c r="AA9" s="348">
        <v>8.1182565604368817E-2</v>
      </c>
      <c r="AB9" s="348">
        <v>2.2057095109159902E-3</v>
      </c>
      <c r="AC9" s="348">
        <v>2.5484529232710825E-3</v>
      </c>
      <c r="AD9" s="349">
        <v>344.00451224712401</v>
      </c>
    </row>
    <row r="10" spans="2:30" ht="12.75" thickBot="1" x14ac:dyDescent="0.25">
      <c r="B10" s="1">
        <f t="shared" si="5"/>
        <v>2031</v>
      </c>
      <c r="C10" s="338">
        <f>($F10*V$6*'Chickasaw Travel Time'!$K$8+$F10*V$7*'Chickasaw Travel Time'!$K$9)/10^6</f>
        <v>-10.014533732400656</v>
      </c>
      <c r="D10" s="81">
        <f t="shared" si="0"/>
        <v>660.95922633844327</v>
      </c>
      <c r="E10" s="16">
        <f t="shared" si="6"/>
        <v>491.81573831328291</v>
      </c>
      <c r="F10" s="339">
        <f t="shared" si="7"/>
        <v>-21133.020169340736</v>
      </c>
      <c r="G10" s="340">
        <f>($F10*S$6*'Chickasaw Travel Time'!$K$8+$F10*S$7*'Chickasaw Travel Time'!$K$9)/10^6</f>
        <v>-1.1540266803104148E-2</v>
      </c>
      <c r="H10" s="341">
        <f>($F10*T$6*'Chickasaw Travel Time'!$K$8+$F10*T$7*'Chickasaw Travel Time'!$K$9)/10^6</f>
        <v>-5.3500435284198273E-5</v>
      </c>
      <c r="I10" s="342">
        <f>($F10*U$6*'Chickasaw Travel Time'!$K$8+$F10*U$7*'Chickasaw Travel Time'!$K$9)/10^6</f>
        <v>-2.1883027293295317E-4</v>
      </c>
      <c r="J10" s="343">
        <f t="shared" si="8"/>
        <v>218.11104257866839</v>
      </c>
      <c r="K10" s="81">
        <f t="shared" si="1"/>
        <v>2.7445723300793712</v>
      </c>
      <c r="L10" s="16">
        <f t="shared" si="2"/>
        <v>198.61035571394828</v>
      </c>
      <c r="M10" s="344">
        <f t="shared" si="9"/>
        <v>419.46597062269603</v>
      </c>
      <c r="N10" s="345">
        <f>M10*(1+0.07)^-($B10-2021)</f>
        <v>213.23522924064986</v>
      </c>
      <c r="O10" s="343">
        <f t="shared" si="3"/>
        <v>1080.4251969611394</v>
      </c>
      <c r="P10" s="16">
        <f t="shared" si="3"/>
        <v>705.05096755393276</v>
      </c>
      <c r="R10" s="42" t="s">
        <v>3022</v>
      </c>
      <c r="X10" s="238">
        <v>41</v>
      </c>
      <c r="Y10" s="65" t="s">
        <v>3023</v>
      </c>
      <c r="Z10" s="65" t="s">
        <v>3024</v>
      </c>
      <c r="AA10" s="348">
        <v>2.237602310868759</v>
      </c>
      <c r="AB10" s="348">
        <v>5.5717265564873301E-3</v>
      </c>
      <c r="AC10" s="348">
        <v>1.658066855283262E-2</v>
      </c>
      <c r="AD10" s="349">
        <v>1406.7823013201701</v>
      </c>
    </row>
    <row r="11" spans="2:30" ht="12.75" thickBot="1" x14ac:dyDescent="0.25">
      <c r="B11" s="1">
        <f t="shared" si="5"/>
        <v>2032</v>
      </c>
      <c r="C11" s="338">
        <f>($F11*V$6*'Chickasaw Travel Time'!$K$8+$F11*V$7*'Chickasaw Travel Time'!$K$9)/10^6</f>
        <v>-10.014533732400656</v>
      </c>
      <c r="D11" s="81">
        <f t="shared" si="0"/>
        <v>670.97376007084392</v>
      </c>
      <c r="E11" s="16">
        <f t="shared" si="6"/>
        <v>484.72572031465074</v>
      </c>
      <c r="F11" s="339">
        <f t="shared" si="7"/>
        <v>-21133.020169340736</v>
      </c>
      <c r="G11" s="340">
        <f>($F11*S$6*'Chickasaw Travel Time'!$K$8+$F11*S$7*'Chickasaw Travel Time'!$K$9)/10^6</f>
        <v>-1.1540266803104148E-2</v>
      </c>
      <c r="H11" s="341">
        <f>($F11*T$6*'Chickasaw Travel Time'!$K$8+$F11*T$7*'Chickasaw Travel Time'!$K$9)/10^6</f>
        <v>-5.3500435284198273E-5</v>
      </c>
      <c r="I11" s="342">
        <f>($F11*U$6*'Chickasaw Travel Time'!$K$8+$F11*U$7*'Chickasaw Travel Time'!$K$9)/10^6</f>
        <v>-2.1883027293295317E-4</v>
      </c>
      <c r="J11" s="343">
        <f t="shared" si="8"/>
        <v>218.11104257866839</v>
      </c>
      <c r="K11" s="81">
        <f t="shared" si="1"/>
        <v>2.7445723300793712</v>
      </c>
      <c r="L11" s="16">
        <f t="shared" si="2"/>
        <v>198.61035571394828</v>
      </c>
      <c r="M11" s="344">
        <f t="shared" si="9"/>
        <v>419.46597062269603</v>
      </c>
      <c r="N11" s="345">
        <f t="shared" si="10"/>
        <v>199.28526097256994</v>
      </c>
      <c r="O11" s="343">
        <f t="shared" si="3"/>
        <v>1090.43973069354</v>
      </c>
      <c r="P11" s="16">
        <f t="shared" si="3"/>
        <v>684.01098128722072</v>
      </c>
      <c r="R11" s="350" t="s">
        <v>2797</v>
      </c>
      <c r="S11" s="351" t="s">
        <v>3010</v>
      </c>
      <c r="T11" s="351" t="s">
        <v>3011</v>
      </c>
      <c r="U11" s="351" t="s">
        <v>3012</v>
      </c>
      <c r="V11" s="352" t="s">
        <v>3013</v>
      </c>
      <c r="X11" s="238">
        <v>42</v>
      </c>
      <c r="Y11" s="65" t="s">
        <v>3023</v>
      </c>
      <c r="Z11" s="65" t="s">
        <v>3024</v>
      </c>
      <c r="AA11" s="348">
        <v>1.9658170115512426</v>
      </c>
      <c r="AB11" s="348">
        <v>5.4889920561794897E-3</v>
      </c>
      <c r="AC11" s="348">
        <v>1.2308421676718551E-2</v>
      </c>
      <c r="AD11" s="349">
        <v>1391.9649569298599</v>
      </c>
    </row>
    <row r="12" spans="2:30" x14ac:dyDescent="0.2">
      <c r="B12" s="1">
        <f t="shared" si="5"/>
        <v>2033</v>
      </c>
      <c r="C12" s="338">
        <f>($F12*V$6*'Chickasaw Travel Time'!$K$8+$F12*V$7*'Chickasaw Travel Time'!$K$9)/10^6</f>
        <v>-10.014533732400656</v>
      </c>
      <c r="D12" s="81">
        <f t="shared" si="0"/>
        <v>680.98829380324457</v>
      </c>
      <c r="E12" s="16">
        <f t="shared" si="6"/>
        <v>477.63148792053693</v>
      </c>
      <c r="F12" s="339">
        <f t="shared" si="7"/>
        <v>-21133.020169340736</v>
      </c>
      <c r="G12" s="340">
        <f>($F12*S$6*'Chickasaw Travel Time'!$K$8+$F12*S$7*'Chickasaw Travel Time'!$K$9)/10^6</f>
        <v>-1.1540266803104148E-2</v>
      </c>
      <c r="H12" s="341">
        <f>($F12*T$6*'Chickasaw Travel Time'!$K$8+$F12*T$7*'Chickasaw Travel Time'!$K$9)/10^6</f>
        <v>-5.3500435284198273E-5</v>
      </c>
      <c r="I12" s="342">
        <f>($F12*U$6*'Chickasaw Travel Time'!$K$8+$F12*U$7*'Chickasaw Travel Time'!$K$9)/10^6</f>
        <v>-2.1883027293295317E-4</v>
      </c>
      <c r="J12" s="343">
        <f t="shared" si="8"/>
        <v>218.11104257866839</v>
      </c>
      <c r="K12" s="81">
        <f t="shared" si="1"/>
        <v>2.7445723300793712</v>
      </c>
      <c r="L12" s="16">
        <f t="shared" si="2"/>
        <v>198.61035571394828</v>
      </c>
      <c r="M12" s="344">
        <f t="shared" si="9"/>
        <v>419.46597062269603</v>
      </c>
      <c r="N12" s="345">
        <f t="shared" si="10"/>
        <v>186.24790745099997</v>
      </c>
      <c r="O12" s="343">
        <f t="shared" si="3"/>
        <v>1100.4542644259407</v>
      </c>
      <c r="P12" s="16">
        <f t="shared" si="3"/>
        <v>663.87939537153693</v>
      </c>
      <c r="R12" s="353">
        <v>2022</v>
      </c>
      <c r="S12" s="354">
        <v>16600</v>
      </c>
      <c r="T12" s="354">
        <v>44300</v>
      </c>
      <c r="U12" s="354">
        <v>796700</v>
      </c>
      <c r="V12" s="355">
        <v>56</v>
      </c>
      <c r="X12" s="238">
        <v>43</v>
      </c>
      <c r="Y12" s="65" t="s">
        <v>3023</v>
      </c>
      <c r="Z12" s="65" t="s">
        <v>3024</v>
      </c>
      <c r="AA12" s="348">
        <v>1.9469017025302577</v>
      </c>
      <c r="AB12" s="348">
        <v>3.66910948950592E-3</v>
      </c>
      <c r="AC12" s="348">
        <v>5.5096995199883071E-2</v>
      </c>
      <c r="AD12" s="349">
        <v>1071.1129065416801</v>
      </c>
    </row>
    <row r="13" spans="2:30" x14ac:dyDescent="0.2">
      <c r="B13" s="1">
        <f t="shared" si="5"/>
        <v>2034</v>
      </c>
      <c r="C13" s="338">
        <f>($F13*V$6*'Chickasaw Travel Time'!$K$8+$F13*V$7*'Chickasaw Travel Time'!$K$9)/10^6</f>
        <v>-10.014533732400656</v>
      </c>
      <c r="D13" s="81">
        <f t="shared" si="0"/>
        <v>691.00282753564522</v>
      </c>
      <c r="E13" s="16">
        <f t="shared" si="6"/>
        <v>470.53930134947245</v>
      </c>
      <c r="F13" s="339">
        <f t="shared" si="7"/>
        <v>-21133.020169340736</v>
      </c>
      <c r="G13" s="340">
        <f>($F13*S$6*'Chickasaw Travel Time'!$K$8+$F13*S$7*'Chickasaw Travel Time'!$K$9)/10^6</f>
        <v>-1.1540266803104148E-2</v>
      </c>
      <c r="H13" s="341">
        <f>($F13*T$6*'Chickasaw Travel Time'!$K$8+$F13*T$7*'Chickasaw Travel Time'!$K$9)/10^6</f>
        <v>-5.3500435284198273E-5</v>
      </c>
      <c r="I13" s="342">
        <f>($F13*U$6*'Chickasaw Travel Time'!$K$8+$F13*U$7*'Chickasaw Travel Time'!$K$9)/10^6</f>
        <v>-2.1883027293295317E-4</v>
      </c>
      <c r="J13" s="343">
        <f t="shared" si="8"/>
        <v>218.11104257866839</v>
      </c>
      <c r="K13" s="81">
        <f t="shared" si="1"/>
        <v>2.7445723300793712</v>
      </c>
      <c r="L13" s="16">
        <f t="shared" si="2"/>
        <v>198.61035571394828</v>
      </c>
      <c r="M13" s="344">
        <f t="shared" si="9"/>
        <v>419.46597062269603</v>
      </c>
      <c r="N13" s="345">
        <f t="shared" si="10"/>
        <v>174.0634649074766</v>
      </c>
      <c r="O13" s="343">
        <f t="shared" si="3"/>
        <v>1110.4687981583413</v>
      </c>
      <c r="P13" s="16">
        <f t="shared" si="3"/>
        <v>644.60276625694905</v>
      </c>
      <c r="R13" s="356">
        <v>2023</v>
      </c>
      <c r="S13" s="357">
        <v>16800</v>
      </c>
      <c r="T13" s="357">
        <v>45100</v>
      </c>
      <c r="U13" s="357">
        <v>810500</v>
      </c>
      <c r="V13" s="358">
        <v>57</v>
      </c>
      <c r="X13" s="238">
        <v>51</v>
      </c>
      <c r="Y13" s="65" t="s">
        <v>3025</v>
      </c>
      <c r="Z13" s="65" t="s">
        <v>3024</v>
      </c>
      <c r="AA13" s="348">
        <v>2.48942987946789</v>
      </c>
      <c r="AB13" s="348">
        <v>5.2833773025508703E-3</v>
      </c>
      <c r="AC13" s="348">
        <v>3.4321389281753531E-2</v>
      </c>
      <c r="AD13" s="349">
        <v>1427.83446247497</v>
      </c>
    </row>
    <row r="14" spans="2:30" x14ac:dyDescent="0.2">
      <c r="B14" s="1">
        <f t="shared" si="5"/>
        <v>2035</v>
      </c>
      <c r="C14" s="338">
        <f>($F14*V$6*'Chickasaw Travel Time'!$K$8+$F14*V$7*'Chickasaw Travel Time'!$K$9)/10^6</f>
        <v>-10.014533732400656</v>
      </c>
      <c r="D14" s="81">
        <f t="shared" si="0"/>
        <v>701.01736126804587</v>
      </c>
      <c r="E14" s="16">
        <f t="shared" si="6"/>
        <v>463.45505972228881</v>
      </c>
      <c r="F14" s="339">
        <f t="shared" si="7"/>
        <v>-21133.020169340736</v>
      </c>
      <c r="G14" s="340">
        <f>($F14*S$6*'Chickasaw Travel Time'!$K$8+$F14*S$7*'Chickasaw Travel Time'!$K$9)/10^6</f>
        <v>-1.1540266803104148E-2</v>
      </c>
      <c r="H14" s="341">
        <f>($F14*T$6*'Chickasaw Travel Time'!$K$8+$F14*T$7*'Chickasaw Travel Time'!$K$9)/10^6</f>
        <v>-5.3500435284198273E-5</v>
      </c>
      <c r="I14" s="342">
        <f>($F14*U$6*'Chickasaw Travel Time'!$K$8+$F14*U$7*'Chickasaw Travel Time'!$K$9)/10^6</f>
        <v>-2.1883027293295317E-4</v>
      </c>
      <c r="J14" s="343">
        <f t="shared" si="8"/>
        <v>218.11104257866839</v>
      </c>
      <c r="K14" s="81">
        <f t="shared" si="1"/>
        <v>2.7445723300793712</v>
      </c>
      <c r="L14" s="16">
        <f t="shared" si="2"/>
        <v>198.61035571394828</v>
      </c>
      <c r="M14" s="344">
        <f t="shared" si="9"/>
        <v>419.46597062269603</v>
      </c>
      <c r="N14" s="345">
        <f t="shared" si="10"/>
        <v>162.67613542754825</v>
      </c>
      <c r="O14" s="343">
        <f t="shared" si="3"/>
        <v>1120.483331890742</v>
      </c>
      <c r="P14" s="16">
        <f t="shared" si="3"/>
        <v>626.13119514983703</v>
      </c>
      <c r="R14" s="356">
        <v>2024</v>
      </c>
      <c r="S14" s="357">
        <v>17000</v>
      </c>
      <c r="T14" s="357">
        <v>46000</v>
      </c>
      <c r="U14" s="357">
        <v>824500</v>
      </c>
      <c r="V14" s="358">
        <v>58</v>
      </c>
      <c r="X14" s="238">
        <v>52</v>
      </c>
      <c r="Y14" s="65" t="s">
        <v>3025</v>
      </c>
      <c r="Z14" s="65" t="s">
        <v>3024</v>
      </c>
      <c r="AA14" s="348">
        <v>0.95074648895471525</v>
      </c>
      <c r="AB14" s="348">
        <v>3.5321878667988801E-3</v>
      </c>
      <c r="AC14" s="348">
        <v>1.5158170819293781E-2</v>
      </c>
      <c r="AD14" s="349">
        <v>862.616489254057</v>
      </c>
    </row>
    <row r="15" spans="2:30" x14ac:dyDescent="0.2">
      <c r="B15" s="1">
        <f t="shared" si="5"/>
        <v>2036</v>
      </c>
      <c r="C15" s="338">
        <f>($F15*V$6*'Chickasaw Travel Time'!$K$8+$F15*V$7*'Chickasaw Travel Time'!$K$9)/10^6</f>
        <v>-10.014533732400656</v>
      </c>
      <c r="D15" s="81">
        <f t="shared" si="0"/>
        <v>721.04642873284718</v>
      </c>
      <c r="E15" s="16">
        <f t="shared" si="6"/>
        <v>462.81226490991389</v>
      </c>
      <c r="F15" s="339">
        <f t="shared" si="7"/>
        <v>-21133.020169340736</v>
      </c>
      <c r="G15" s="340">
        <f>($F15*S$6*'Chickasaw Travel Time'!$K$8+$F15*S$7*'Chickasaw Travel Time'!$K$9)/10^6</f>
        <v>-1.1540266803104148E-2</v>
      </c>
      <c r="H15" s="341">
        <f>($F15*T$6*'Chickasaw Travel Time'!$K$8+$F15*T$7*'Chickasaw Travel Time'!$K$9)/10^6</f>
        <v>-5.3500435284198273E-5</v>
      </c>
      <c r="I15" s="342">
        <f>($F15*U$6*'Chickasaw Travel Time'!$K$8+$F15*U$7*'Chickasaw Travel Time'!$K$9)/10^6</f>
        <v>-2.1883027293295317E-4</v>
      </c>
      <c r="J15" s="343">
        <f t="shared" si="8"/>
        <v>218.11104257866839</v>
      </c>
      <c r="K15" s="81">
        <f t="shared" si="1"/>
        <v>2.7445723300793712</v>
      </c>
      <c r="L15" s="16">
        <f t="shared" si="2"/>
        <v>198.61035571394828</v>
      </c>
      <c r="M15" s="344">
        <f t="shared" si="9"/>
        <v>419.46597062269603</v>
      </c>
      <c r="N15" s="345">
        <f t="shared" si="10"/>
        <v>152.03377142761516</v>
      </c>
      <c r="O15" s="343">
        <f t="shared" si="3"/>
        <v>1140.5123993555433</v>
      </c>
      <c r="P15" s="16">
        <f t="shared" si="3"/>
        <v>614.84603633752909</v>
      </c>
      <c r="R15" s="356">
        <v>2025</v>
      </c>
      <c r="S15" s="357">
        <v>17200</v>
      </c>
      <c r="T15" s="357">
        <v>46900</v>
      </c>
      <c r="U15" s="357">
        <v>838800</v>
      </c>
      <c r="V15" s="358">
        <v>59</v>
      </c>
      <c r="X15" s="238">
        <v>53</v>
      </c>
      <c r="Y15" s="65" t="s">
        <v>3025</v>
      </c>
      <c r="Z15" s="65" t="s">
        <v>3024</v>
      </c>
      <c r="AA15" s="348">
        <v>0.89067775827536644</v>
      </c>
      <c r="AB15" s="348">
        <v>3.4020765235606102E-3</v>
      </c>
      <c r="AC15" s="348">
        <v>1.349939126139434E-2</v>
      </c>
      <c r="AD15" s="349">
        <v>829.46088804247995</v>
      </c>
    </row>
    <row r="16" spans="2:30" x14ac:dyDescent="0.2">
      <c r="B16" s="1">
        <f t="shared" si="5"/>
        <v>2037</v>
      </c>
      <c r="C16" s="338">
        <f>($F16*V$6*'Chickasaw Travel Time'!$K$8+$F16*V$7*'Chickasaw Travel Time'!$K$9)/10^6</f>
        <v>-10.014533732400656</v>
      </c>
      <c r="D16" s="81">
        <f t="shared" si="0"/>
        <v>731.06096246524783</v>
      </c>
      <c r="E16" s="16">
        <f t="shared" si="6"/>
        <v>455.5730223627794</v>
      </c>
      <c r="F16" s="339">
        <f t="shared" si="7"/>
        <v>-21133.020169340736</v>
      </c>
      <c r="G16" s="340">
        <f>($F16*S$6*'Chickasaw Travel Time'!$K$8+$F16*S$7*'Chickasaw Travel Time'!$K$9)/10^6</f>
        <v>-1.1540266803104148E-2</v>
      </c>
      <c r="H16" s="341">
        <f>($F16*T$6*'Chickasaw Travel Time'!$K$8+$F16*T$7*'Chickasaw Travel Time'!$K$9)/10^6</f>
        <v>-5.3500435284198273E-5</v>
      </c>
      <c r="I16" s="342">
        <f>($F16*U$6*'Chickasaw Travel Time'!$K$8+$F16*U$7*'Chickasaw Travel Time'!$K$9)/10^6</f>
        <v>-2.1883027293295317E-4</v>
      </c>
      <c r="J16" s="343">
        <f t="shared" si="8"/>
        <v>218.11104257866839</v>
      </c>
      <c r="K16" s="81">
        <f t="shared" si="1"/>
        <v>2.7445723300793712</v>
      </c>
      <c r="L16" s="16">
        <f t="shared" si="2"/>
        <v>198.61035571394828</v>
      </c>
      <c r="M16" s="344">
        <f t="shared" si="9"/>
        <v>419.46597062269603</v>
      </c>
      <c r="N16" s="345">
        <f t="shared" si="10"/>
        <v>142.08763684823847</v>
      </c>
      <c r="O16" s="343">
        <f t="shared" si="3"/>
        <v>1150.5269330879439</v>
      </c>
      <c r="P16" s="16">
        <f t="shared" si="3"/>
        <v>597.6606592110179</v>
      </c>
      <c r="R16" s="356">
        <v>2026</v>
      </c>
      <c r="S16" s="357">
        <v>17500</v>
      </c>
      <c r="T16" s="357">
        <v>47800</v>
      </c>
      <c r="U16" s="357">
        <v>852100</v>
      </c>
      <c r="V16" s="358">
        <v>60</v>
      </c>
      <c r="X16" s="238">
        <v>54</v>
      </c>
      <c r="Y16" s="65" t="s">
        <v>3025</v>
      </c>
      <c r="Z16" s="65" t="s">
        <v>3024</v>
      </c>
      <c r="AA16" s="348">
        <v>1.6481032166429217</v>
      </c>
      <c r="AB16" s="348">
        <v>6.0326542026046303E-3</v>
      </c>
      <c r="AC16" s="348">
        <v>4.2864875162321965E-2</v>
      </c>
      <c r="AD16" s="349">
        <v>1166.1048437433201</v>
      </c>
    </row>
    <row r="17" spans="2:30" x14ac:dyDescent="0.2">
      <c r="B17" s="1">
        <f t="shared" si="5"/>
        <v>2038</v>
      </c>
      <c r="C17" s="338">
        <f>($F17*V$6*'Chickasaw Travel Time'!$K$8+$F17*V$7*'Chickasaw Travel Time'!$K$9)/10^6</f>
        <v>-10.014533732400656</v>
      </c>
      <c r="D17" s="81">
        <f t="shared" si="0"/>
        <v>741.07549619764848</v>
      </c>
      <c r="E17" s="16">
        <f t="shared" si="6"/>
        <v>448.36286281215155</v>
      </c>
      <c r="F17" s="339">
        <f t="shared" si="7"/>
        <v>-21133.020169340736</v>
      </c>
      <c r="G17" s="340">
        <f>($F17*S$6*'Chickasaw Travel Time'!$K$8+$F17*S$7*'Chickasaw Travel Time'!$K$9)/10^6</f>
        <v>-1.1540266803104148E-2</v>
      </c>
      <c r="H17" s="341">
        <f>($F17*T$6*'Chickasaw Travel Time'!$K$8+$F17*T$7*'Chickasaw Travel Time'!$K$9)/10^6</f>
        <v>-5.3500435284198273E-5</v>
      </c>
      <c r="I17" s="342">
        <f>($F17*U$6*'Chickasaw Travel Time'!$K$8+$F17*U$7*'Chickasaw Travel Time'!$K$9)/10^6</f>
        <v>-2.1883027293295317E-4</v>
      </c>
      <c r="J17" s="343">
        <f t="shared" si="8"/>
        <v>218.11104257866839</v>
      </c>
      <c r="K17" s="81">
        <f t="shared" si="1"/>
        <v>2.7445723300793712</v>
      </c>
      <c r="L17" s="16">
        <f t="shared" si="2"/>
        <v>198.61035571394828</v>
      </c>
      <c r="M17" s="344">
        <f t="shared" si="9"/>
        <v>419.46597062269603</v>
      </c>
      <c r="N17" s="345">
        <f t="shared" si="10"/>
        <v>132.79218397031633</v>
      </c>
      <c r="O17" s="343">
        <f t="shared" si="3"/>
        <v>1160.5414668203446</v>
      </c>
      <c r="P17" s="16">
        <f t="shared" si="3"/>
        <v>581.15504678246793</v>
      </c>
      <c r="R17" s="356">
        <v>2027</v>
      </c>
      <c r="S17" s="357">
        <v>17900</v>
      </c>
      <c r="T17" s="357">
        <v>48700</v>
      </c>
      <c r="U17" s="357">
        <v>865600</v>
      </c>
      <c r="V17" s="358">
        <v>61</v>
      </c>
      <c r="X17" s="238">
        <v>61</v>
      </c>
      <c r="Y17" s="65" t="s">
        <v>3026</v>
      </c>
      <c r="Z17" s="65" t="s">
        <v>3024</v>
      </c>
      <c r="AA17" s="348">
        <v>3.0234078113615883</v>
      </c>
      <c r="AB17" s="348">
        <v>4.9760807160904204E-3</v>
      </c>
      <c r="AC17" s="348">
        <v>4.3407648080982714E-2</v>
      </c>
      <c r="AD17" s="349">
        <v>1463.90880302132</v>
      </c>
    </row>
    <row r="18" spans="2:30" ht="12.75" thickBot="1" x14ac:dyDescent="0.25">
      <c r="B18" s="1">
        <f t="shared" si="5"/>
        <v>2039</v>
      </c>
      <c r="C18" s="338">
        <f>($F18*V$6*'Chickasaw Travel Time'!$K$8+$F18*V$7*'Chickasaw Travel Time'!$K$9)/10^6</f>
        <v>-10.014533732400656</v>
      </c>
      <c r="D18" s="81">
        <f t="shared" si="0"/>
        <v>751.09002993004924</v>
      </c>
      <c r="E18" s="16">
        <f t="shared" si="6"/>
        <v>441.1862334152633</v>
      </c>
      <c r="F18" s="339">
        <f t="shared" si="7"/>
        <v>-21133.020169340736</v>
      </c>
      <c r="G18" s="340">
        <f>($F18*S$6*'Chickasaw Travel Time'!$K$8+$F18*S$7*'Chickasaw Travel Time'!$K$9)/10^6</f>
        <v>-1.1540266803104148E-2</v>
      </c>
      <c r="H18" s="341">
        <f>($F18*T$6*'Chickasaw Travel Time'!$K$8+$F18*T$7*'Chickasaw Travel Time'!$K$9)/10^6</f>
        <v>-5.3500435284198273E-5</v>
      </c>
      <c r="I18" s="342">
        <f>($F18*U$6*'Chickasaw Travel Time'!$K$8+$F18*U$7*'Chickasaw Travel Time'!$K$9)/10^6</f>
        <v>-2.1883027293295317E-4</v>
      </c>
      <c r="J18" s="343">
        <f t="shared" si="8"/>
        <v>218.11104257866839</v>
      </c>
      <c r="K18" s="81">
        <f t="shared" si="1"/>
        <v>2.7445723300793712</v>
      </c>
      <c r="L18" s="16">
        <f t="shared" si="2"/>
        <v>198.61035571394828</v>
      </c>
      <c r="M18" s="344">
        <f t="shared" si="9"/>
        <v>419.46597062269603</v>
      </c>
      <c r="N18" s="345">
        <f t="shared" si="10"/>
        <v>124.10484483207134</v>
      </c>
      <c r="O18" s="343">
        <f t="shared" si="3"/>
        <v>1170.5560005527452</v>
      </c>
      <c r="P18" s="16">
        <f t="shared" si="3"/>
        <v>565.29107824733467</v>
      </c>
      <c r="R18" s="356">
        <v>2028</v>
      </c>
      <c r="S18" s="357">
        <v>18200</v>
      </c>
      <c r="T18" s="357">
        <v>49500</v>
      </c>
      <c r="U18" s="357">
        <v>879400</v>
      </c>
      <c r="V18" s="358">
        <v>62</v>
      </c>
      <c r="X18" s="239">
        <v>62</v>
      </c>
      <c r="Y18" s="218" t="s">
        <v>3026</v>
      </c>
      <c r="Z18" s="218" t="s">
        <v>3024</v>
      </c>
      <c r="AA18" s="359">
        <v>3.7426725771679936</v>
      </c>
      <c r="AB18" s="359">
        <v>5.1160211102583997E-3</v>
      </c>
      <c r="AC18" s="359">
        <v>5.9310023601485649E-2</v>
      </c>
      <c r="AD18" s="360">
        <v>1528.79872430418</v>
      </c>
    </row>
    <row r="19" spans="2:30" x14ac:dyDescent="0.2">
      <c r="B19" s="1">
        <f t="shared" si="5"/>
        <v>2040</v>
      </c>
      <c r="C19" s="338">
        <f>($F19*V$6*'Chickasaw Travel Time'!$K$8+$F19*V$7*'Chickasaw Travel Time'!$K$9)/10^6</f>
        <v>-10.014533732400656</v>
      </c>
      <c r="D19" s="81">
        <f t="shared" si="0"/>
        <v>761.10456366244989</v>
      </c>
      <c r="E19" s="16">
        <f t="shared" si="6"/>
        <v>434.04729759948236</v>
      </c>
      <c r="F19" s="339">
        <f t="shared" si="7"/>
        <v>-21133.020169340736</v>
      </c>
      <c r="G19" s="340">
        <f>($F19*S$6*'Chickasaw Travel Time'!$K$8+$F19*S$7*'Chickasaw Travel Time'!$K$9)/10^6</f>
        <v>-1.1540266803104148E-2</v>
      </c>
      <c r="H19" s="341">
        <f>($F19*T$6*'Chickasaw Travel Time'!$K$8+$F19*T$7*'Chickasaw Travel Time'!$K$9)/10^6</f>
        <v>-5.3500435284198273E-5</v>
      </c>
      <c r="I19" s="342">
        <f>($F19*U$6*'Chickasaw Travel Time'!$K$8+$F19*U$7*'Chickasaw Travel Time'!$K$9)/10^6</f>
        <v>-2.1883027293295317E-4</v>
      </c>
      <c r="J19" s="343">
        <f t="shared" si="8"/>
        <v>218.11104257866839</v>
      </c>
      <c r="K19" s="81">
        <f t="shared" si="1"/>
        <v>2.7445723300793712</v>
      </c>
      <c r="L19" s="16">
        <f t="shared" si="2"/>
        <v>198.61035571394828</v>
      </c>
      <c r="M19" s="344">
        <f t="shared" si="9"/>
        <v>419.46597062269603</v>
      </c>
      <c r="N19" s="345">
        <f t="shared" si="10"/>
        <v>115.98583629165545</v>
      </c>
      <c r="O19" s="343">
        <f t="shared" si="3"/>
        <v>1180.5705342851459</v>
      </c>
      <c r="P19" s="16">
        <f t="shared" si="3"/>
        <v>550.03313389113782</v>
      </c>
      <c r="R19" s="356">
        <v>2029</v>
      </c>
      <c r="S19" s="357">
        <v>18600</v>
      </c>
      <c r="T19" s="357">
        <v>50400</v>
      </c>
      <c r="U19" s="357">
        <v>893400</v>
      </c>
      <c r="V19" s="358">
        <v>63</v>
      </c>
    </row>
    <row r="20" spans="2:30" ht="12.75" thickBot="1" x14ac:dyDescent="0.25">
      <c r="B20" s="1">
        <f t="shared" si="5"/>
        <v>2041</v>
      </c>
      <c r="C20" s="338">
        <f>($F20*V$6*'Chickasaw Travel Time'!$K$8+$F20*V$7*'Chickasaw Travel Time'!$K$9)/10^6</f>
        <v>-10.014533732400656</v>
      </c>
      <c r="D20" s="81">
        <f t="shared" si="0"/>
        <v>781.13363112725119</v>
      </c>
      <c r="E20" s="16">
        <f t="shared" si="6"/>
        <v>432.49475233469116</v>
      </c>
      <c r="F20" s="339">
        <f t="shared" si="7"/>
        <v>-21133.020169340736</v>
      </c>
      <c r="G20" s="340">
        <f>($F20*S$6*'Chickasaw Travel Time'!$K$8+$F20*S$7*'Chickasaw Travel Time'!$K$9)/10^6</f>
        <v>-1.1540266803104148E-2</v>
      </c>
      <c r="H20" s="341">
        <f>($F20*T$6*'Chickasaw Travel Time'!$K$8+$F20*T$7*'Chickasaw Travel Time'!$K$9)/10^6</f>
        <v>-5.3500435284198273E-5</v>
      </c>
      <c r="I20" s="342">
        <f>($F20*U$6*'Chickasaw Travel Time'!$K$8+$F20*U$7*'Chickasaw Travel Time'!$K$9)/10^6</f>
        <v>-2.1883027293295317E-4</v>
      </c>
      <c r="J20" s="343">
        <f t="shared" si="8"/>
        <v>218.11104257866839</v>
      </c>
      <c r="K20" s="81">
        <f t="shared" si="1"/>
        <v>2.7445723300793712</v>
      </c>
      <c r="L20" s="16">
        <f t="shared" si="2"/>
        <v>198.61035571394828</v>
      </c>
      <c r="M20" s="344">
        <f t="shared" si="9"/>
        <v>419.46597062269603</v>
      </c>
      <c r="N20" s="345">
        <f t="shared" si="10"/>
        <v>108.39797784266865</v>
      </c>
      <c r="O20" s="343">
        <f t="shared" si="3"/>
        <v>1200.5996017499472</v>
      </c>
      <c r="P20" s="16">
        <f t="shared" si="3"/>
        <v>540.89273017735979</v>
      </c>
      <c r="R20" s="356">
        <v>2030</v>
      </c>
      <c r="S20" s="357">
        <v>18900</v>
      </c>
      <c r="T20" s="357">
        <v>51300</v>
      </c>
      <c r="U20" s="357">
        <v>907600</v>
      </c>
      <c r="V20" s="358">
        <v>65</v>
      </c>
      <c r="X20" s="133" t="s">
        <v>3036</v>
      </c>
      <c r="Y20" s="162"/>
    </row>
    <row r="21" spans="2:30" ht="12.75" thickBot="1" x14ac:dyDescent="0.25">
      <c r="B21" s="1">
        <f t="shared" si="5"/>
        <v>2042</v>
      </c>
      <c r="C21" s="338">
        <f>($F21*V$6*'Chickasaw Travel Time'!$K$8+$F21*V$7*'Chickasaw Travel Time'!$K$9)/10^6</f>
        <v>-10.014533732400656</v>
      </c>
      <c r="D21" s="81">
        <f t="shared" si="0"/>
        <v>791.14816485965184</v>
      </c>
      <c r="E21" s="16">
        <f t="shared" si="6"/>
        <v>425.28112315708995</v>
      </c>
      <c r="F21" s="339">
        <f t="shared" si="7"/>
        <v>-21133.020169340736</v>
      </c>
      <c r="G21" s="340">
        <f>($F21*S$6*'Chickasaw Travel Time'!$K$8+$F21*S$7*'Chickasaw Travel Time'!$K$9)/10^6</f>
        <v>-1.1540266803104148E-2</v>
      </c>
      <c r="H21" s="341">
        <f>($F21*T$6*'Chickasaw Travel Time'!$K$8+$F21*T$7*'Chickasaw Travel Time'!$K$9)/10^6</f>
        <v>-5.3500435284198273E-5</v>
      </c>
      <c r="I21" s="342">
        <f>($F21*U$6*'Chickasaw Travel Time'!$K$8+$F21*U$7*'Chickasaw Travel Time'!$K$9)/10^6</f>
        <v>-2.1883027293295317E-4</v>
      </c>
      <c r="J21" s="343">
        <f t="shared" si="8"/>
        <v>218.11104257866839</v>
      </c>
      <c r="K21" s="81">
        <f t="shared" si="1"/>
        <v>2.7445723300793712</v>
      </c>
      <c r="L21" s="16">
        <f t="shared" si="2"/>
        <v>198.61035571394828</v>
      </c>
      <c r="M21" s="344">
        <f t="shared" si="9"/>
        <v>419.46597062269603</v>
      </c>
      <c r="N21" s="345">
        <f t="shared" si="10"/>
        <v>101.30652134828846</v>
      </c>
      <c r="O21" s="343">
        <f t="shared" si="3"/>
        <v>1210.6141354823478</v>
      </c>
      <c r="P21" s="16">
        <f t="shared" si="3"/>
        <v>526.58764450537842</v>
      </c>
      <c r="R21" s="356">
        <v>2031</v>
      </c>
      <c r="S21" s="357">
        <v>18900</v>
      </c>
      <c r="T21" s="357">
        <v>51300</v>
      </c>
      <c r="U21" s="357">
        <v>907600</v>
      </c>
      <c r="V21" s="358">
        <v>66</v>
      </c>
      <c r="X21" s="210" t="s">
        <v>3037</v>
      </c>
      <c r="Y21" s="378">
        <v>0.27500000000000002</v>
      </c>
    </row>
    <row r="22" spans="2:30" x14ac:dyDescent="0.2">
      <c r="B22" s="1">
        <f t="shared" si="5"/>
        <v>2043</v>
      </c>
      <c r="C22" s="338">
        <f>($F22*V$6*'Chickasaw Travel Time'!$K$8+$F22*V$7*'Chickasaw Travel Time'!$K$9)/10^6</f>
        <v>-10.014533732400656</v>
      </c>
      <c r="D22" s="81">
        <f t="shared" si="0"/>
        <v>801.16269859205249</v>
      </c>
      <c r="E22" s="16">
        <f t="shared" si="6"/>
        <v>418.12080438204737</v>
      </c>
      <c r="F22" s="339">
        <f t="shared" si="7"/>
        <v>-21133.020169340736</v>
      </c>
      <c r="G22" s="340">
        <f>($F22*S$6*'Chickasaw Travel Time'!$K$8+$F22*S$7*'Chickasaw Travel Time'!$K$9)/10^6</f>
        <v>-1.1540266803104148E-2</v>
      </c>
      <c r="H22" s="341">
        <f>($F22*T$6*'Chickasaw Travel Time'!$K$8+$F22*T$7*'Chickasaw Travel Time'!$K$9)/10^6</f>
        <v>-5.3500435284198273E-5</v>
      </c>
      <c r="I22" s="342">
        <f>($F22*U$6*'Chickasaw Travel Time'!$K$8+$F22*U$7*'Chickasaw Travel Time'!$K$9)/10^6</f>
        <v>-2.1883027293295317E-4</v>
      </c>
      <c r="J22" s="343">
        <f t="shared" si="8"/>
        <v>218.11104257866839</v>
      </c>
      <c r="K22" s="81">
        <f t="shared" si="1"/>
        <v>2.7445723300793712</v>
      </c>
      <c r="L22" s="16">
        <f t="shared" si="2"/>
        <v>198.61035571394828</v>
      </c>
      <c r="M22" s="344">
        <f t="shared" si="9"/>
        <v>419.46597062269603</v>
      </c>
      <c r="N22" s="345">
        <f t="shared" si="10"/>
        <v>94.678991914288275</v>
      </c>
      <c r="O22" s="343">
        <f t="shared" si="3"/>
        <v>1220.6286692147485</v>
      </c>
      <c r="P22" s="16">
        <f t="shared" si="3"/>
        <v>512.79979629633567</v>
      </c>
      <c r="R22" s="356">
        <v>2032</v>
      </c>
      <c r="S22" s="357">
        <v>18900</v>
      </c>
      <c r="T22" s="357">
        <v>51300</v>
      </c>
      <c r="U22" s="357">
        <v>907600</v>
      </c>
      <c r="V22" s="358">
        <v>67</v>
      </c>
      <c r="X22" s="392" t="s">
        <v>3038</v>
      </c>
      <c r="Y22" s="390"/>
    </row>
    <row r="23" spans="2:30" x14ac:dyDescent="0.2">
      <c r="B23" s="1">
        <f t="shared" si="5"/>
        <v>2044</v>
      </c>
      <c r="C23" s="338">
        <f>($F23*V$6*'Chickasaw Travel Time'!$K$8+$F23*V$7*'Chickasaw Travel Time'!$K$9)/10^6</f>
        <v>-10.014533732400656</v>
      </c>
      <c r="D23" s="81">
        <f t="shared" si="0"/>
        <v>811.17723232445314</v>
      </c>
      <c r="E23" s="16">
        <f t="shared" si="6"/>
        <v>411.0168101328378</v>
      </c>
      <c r="F23" s="339">
        <f t="shared" si="7"/>
        <v>-21133.020169340736</v>
      </c>
      <c r="G23" s="340">
        <f>($F23*S$6*'Chickasaw Travel Time'!$K$8+$F23*S$7*'Chickasaw Travel Time'!$K$9)/10^6</f>
        <v>-1.1540266803104148E-2</v>
      </c>
      <c r="H23" s="341">
        <f>($F23*T$6*'Chickasaw Travel Time'!$K$8+$F23*T$7*'Chickasaw Travel Time'!$K$9)/10^6</f>
        <v>-5.3500435284198273E-5</v>
      </c>
      <c r="I23" s="342">
        <f>($F23*U$6*'Chickasaw Travel Time'!$K$8+$F23*U$7*'Chickasaw Travel Time'!$K$9)/10^6</f>
        <v>-2.1883027293295317E-4</v>
      </c>
      <c r="J23" s="343">
        <f t="shared" si="8"/>
        <v>218.11104257866839</v>
      </c>
      <c r="K23" s="81">
        <f t="shared" si="1"/>
        <v>2.7445723300793712</v>
      </c>
      <c r="L23" s="16">
        <f t="shared" si="2"/>
        <v>198.61035571394828</v>
      </c>
      <c r="M23" s="344">
        <f t="shared" si="9"/>
        <v>419.46597062269603</v>
      </c>
      <c r="N23" s="345">
        <f t="shared" si="10"/>
        <v>88.485039172232035</v>
      </c>
      <c r="O23" s="343">
        <f t="shared" si="3"/>
        <v>1230.6432029471491</v>
      </c>
      <c r="P23" s="16">
        <f t="shared" si="3"/>
        <v>499.50184930506987</v>
      </c>
      <c r="R23" s="356">
        <v>2033</v>
      </c>
      <c r="S23" s="357">
        <v>18900</v>
      </c>
      <c r="T23" s="357">
        <v>51300</v>
      </c>
      <c r="U23" s="357">
        <v>907600</v>
      </c>
      <c r="V23" s="358">
        <v>68</v>
      </c>
      <c r="X23" s="130"/>
      <c r="Y23" s="130"/>
    </row>
    <row r="24" spans="2:30" x14ac:dyDescent="0.2">
      <c r="B24" s="1">
        <f t="shared" si="5"/>
        <v>2045</v>
      </c>
      <c r="C24" s="338">
        <f>($F24*V$6*'Chickasaw Travel Time'!$K$8+$F24*V$7*'Chickasaw Travel Time'!$K$9)/10^6</f>
        <v>-10.014533732400656</v>
      </c>
      <c r="D24" s="81">
        <f t="shared" si="0"/>
        <v>821.19176605685379</v>
      </c>
      <c r="E24" s="16">
        <f t="shared" si="6"/>
        <v>403.97193372758841</v>
      </c>
      <c r="F24" s="339">
        <f t="shared" si="7"/>
        <v>-21133.020169340736</v>
      </c>
      <c r="G24" s="340">
        <f>($F24*S$6*'Chickasaw Travel Time'!$K$8+$F24*S$7*'Chickasaw Travel Time'!$K$9)/10^6</f>
        <v>-1.1540266803104148E-2</v>
      </c>
      <c r="H24" s="341">
        <f>($F24*T$6*'Chickasaw Travel Time'!$K$8+$F24*T$7*'Chickasaw Travel Time'!$K$9)/10^6</f>
        <v>-5.3500435284198273E-5</v>
      </c>
      <c r="I24" s="342">
        <f>($F24*U$6*'Chickasaw Travel Time'!$K$8+$F24*U$7*'Chickasaw Travel Time'!$K$9)/10^6</f>
        <v>-2.1883027293295317E-4</v>
      </c>
      <c r="J24" s="343">
        <f t="shared" si="8"/>
        <v>218.11104257866839</v>
      </c>
      <c r="K24" s="81">
        <f t="shared" si="1"/>
        <v>2.7445723300793712</v>
      </c>
      <c r="L24" s="16">
        <f t="shared" si="2"/>
        <v>198.61035571394828</v>
      </c>
      <c r="M24" s="344">
        <f t="shared" si="9"/>
        <v>419.46597062269603</v>
      </c>
      <c r="N24" s="345">
        <f t="shared" si="10"/>
        <v>82.696298291805633</v>
      </c>
      <c r="O24" s="343">
        <f t="shared" si="3"/>
        <v>1240.6577366795498</v>
      </c>
      <c r="P24" s="16">
        <f t="shared" si="3"/>
        <v>486.66823201939405</v>
      </c>
      <c r="R24" s="356">
        <v>2034</v>
      </c>
      <c r="S24" s="357">
        <v>18900</v>
      </c>
      <c r="T24" s="357">
        <v>51300</v>
      </c>
      <c r="U24" s="357">
        <v>907600</v>
      </c>
      <c r="V24" s="358">
        <v>69</v>
      </c>
      <c r="X24" s="162"/>
      <c r="Y24" s="162"/>
    </row>
    <row r="25" spans="2:30" ht="12.75" thickBot="1" x14ac:dyDescent="0.25">
      <c r="B25" s="15">
        <f t="shared" si="5"/>
        <v>2046</v>
      </c>
      <c r="C25" s="361">
        <f>($F25*V$6*'Chickasaw Travel Time'!$K$8+$F25*V$7*'Chickasaw Travel Time'!$K$9)/10^6</f>
        <v>-10.014533732400656</v>
      </c>
      <c r="D25" s="132">
        <f t="shared" si="0"/>
        <v>841.22083352165509</v>
      </c>
      <c r="E25" s="14">
        <f t="shared" si="6"/>
        <v>401.77175506887789</v>
      </c>
      <c r="F25" s="362">
        <f t="shared" si="7"/>
        <v>-21133.020169340736</v>
      </c>
      <c r="G25" s="363">
        <f>($F25*S$6*'Chickasaw Travel Time'!$K$8+$F25*S$7*'Chickasaw Travel Time'!$K$9)/10^6</f>
        <v>-1.1540266803104148E-2</v>
      </c>
      <c r="H25" s="364">
        <f>($F25*T$6*'Chickasaw Travel Time'!$K$8+$F25*T$7*'Chickasaw Travel Time'!$K$9)/10^6</f>
        <v>-5.3500435284198273E-5</v>
      </c>
      <c r="I25" s="365">
        <f>($F25*U$6*'Chickasaw Travel Time'!$K$8+$F25*U$7*'Chickasaw Travel Time'!$K$9)/10^6</f>
        <v>-2.1883027293295317E-4</v>
      </c>
      <c r="J25" s="366">
        <f t="shared" si="8"/>
        <v>218.11104257866839</v>
      </c>
      <c r="K25" s="132">
        <f t="shared" si="1"/>
        <v>2.7445723300793712</v>
      </c>
      <c r="L25" s="14">
        <f t="shared" si="2"/>
        <v>198.61035571394828</v>
      </c>
      <c r="M25" s="367">
        <f>SUM(J25:L25)</f>
        <v>419.46597062269603</v>
      </c>
      <c r="N25" s="368">
        <f t="shared" si="10"/>
        <v>77.286260085799654</v>
      </c>
      <c r="O25" s="366">
        <f>M25+D25</f>
        <v>1260.6868041443511</v>
      </c>
      <c r="P25" s="14">
        <f t="shared" ref="P25" si="12">N25+E25</f>
        <v>479.05801515467755</v>
      </c>
      <c r="R25" s="356">
        <v>2035</v>
      </c>
      <c r="S25" s="357">
        <v>18900</v>
      </c>
      <c r="T25" s="357">
        <v>51300</v>
      </c>
      <c r="U25" s="357">
        <v>907600</v>
      </c>
      <c r="V25" s="358">
        <v>70</v>
      </c>
      <c r="X25" s="133" t="s">
        <v>3039</v>
      </c>
      <c r="Y25" s="133"/>
    </row>
    <row r="26" spans="2:30" ht="12.75" thickBot="1" x14ac:dyDescent="0.25">
      <c r="C26" s="369">
        <f>SUM(C11:C25)</f>
        <v>-150.21800598600981</v>
      </c>
      <c r="D26" s="370" t="s">
        <v>2809</v>
      </c>
      <c r="E26" s="371">
        <f>SUM(E11:E25)</f>
        <v>6630.9904292096708</v>
      </c>
      <c r="F26" s="80"/>
      <c r="G26" s="372">
        <f>SUM(G11:G25)</f>
        <v>-0.17310400204656226</v>
      </c>
      <c r="H26" s="372">
        <f>SUM(H11:H25)</f>
        <v>-8.0250652926297408E-4</v>
      </c>
      <c r="I26" s="372">
        <f>SUM(I11:I25)</f>
        <v>-3.2824540939942982E-3</v>
      </c>
      <c r="M26" s="370" t="s">
        <v>2809</v>
      </c>
      <c r="N26" s="371">
        <f>SUM(N6:N25)</f>
        <v>3141.6963876860964</v>
      </c>
      <c r="O26" s="371">
        <f>SUM(O6:O25)</f>
        <v>22818.487294824114</v>
      </c>
      <c r="P26" s="371">
        <f>SUM(P6:P25)</f>
        <v>12277.905361494093</v>
      </c>
      <c r="R26" s="356">
        <v>2036</v>
      </c>
      <c r="S26" s="357">
        <v>18900</v>
      </c>
      <c r="T26" s="357">
        <v>51300</v>
      </c>
      <c r="U26" s="357">
        <v>907600</v>
      </c>
      <c r="V26" s="358">
        <v>72</v>
      </c>
      <c r="X26" s="210" t="s">
        <v>3040</v>
      </c>
      <c r="Y26" s="379" t="s">
        <v>3041</v>
      </c>
    </row>
    <row r="27" spans="2:30" ht="12.75" thickBot="1" x14ac:dyDescent="0.25">
      <c r="G27" s="166">
        <f>G26*1000</f>
        <v>-173.10400204656227</v>
      </c>
      <c r="H27" s="166">
        <f>H26*1000</f>
        <v>-0.80250652926297406</v>
      </c>
      <c r="I27" s="166">
        <f>I26*1000</f>
        <v>-3.2824540939942981</v>
      </c>
      <c r="R27" s="356">
        <v>2037</v>
      </c>
      <c r="S27" s="357">
        <v>18900</v>
      </c>
      <c r="T27" s="357">
        <v>51300</v>
      </c>
      <c r="U27" s="357">
        <v>907600</v>
      </c>
      <c r="V27" s="358">
        <v>73</v>
      </c>
      <c r="X27" s="380" t="s">
        <v>3017</v>
      </c>
      <c r="Y27" s="381">
        <v>24.9</v>
      </c>
    </row>
    <row r="28" spans="2:30" x14ac:dyDescent="0.2">
      <c r="B28" s="42" t="s">
        <v>2828</v>
      </c>
      <c r="C28" s="42"/>
      <c r="D28" s="42"/>
      <c r="E28" s="42"/>
      <c r="R28" s="356">
        <v>2038</v>
      </c>
      <c r="S28" s="357">
        <v>18900</v>
      </c>
      <c r="T28" s="357">
        <v>51300</v>
      </c>
      <c r="U28" s="357">
        <v>907600</v>
      </c>
      <c r="V28" s="358">
        <v>74</v>
      </c>
      <c r="X28" s="162"/>
      <c r="Y28" s="162"/>
    </row>
    <row r="29" spans="2:30" ht="12" customHeight="1" thickBot="1" x14ac:dyDescent="0.25">
      <c r="B29" s="129" t="s">
        <v>2829</v>
      </c>
      <c r="C29" s="598" t="s">
        <v>3034</v>
      </c>
      <c r="D29" s="598"/>
      <c r="E29" s="598"/>
      <c r="F29" s="598"/>
      <c r="R29" s="356">
        <v>2039</v>
      </c>
      <c r="S29" s="357">
        <v>18900</v>
      </c>
      <c r="T29" s="357">
        <v>51300</v>
      </c>
      <c r="U29" s="357">
        <v>907600</v>
      </c>
      <c r="V29" s="358">
        <v>75</v>
      </c>
      <c r="X29" s="133" t="s">
        <v>3042</v>
      </c>
      <c r="Y29" s="162"/>
    </row>
    <row r="30" spans="2:30" ht="12.75" thickBot="1" x14ac:dyDescent="0.25">
      <c r="B30" s="178" t="s">
        <v>2842</v>
      </c>
      <c r="C30" s="533" t="s">
        <v>3035</v>
      </c>
      <c r="D30" s="533"/>
      <c r="E30" s="533"/>
      <c r="F30" s="533"/>
      <c r="G30" s="131"/>
      <c r="H30" s="131"/>
      <c r="I30" s="131"/>
      <c r="J30" s="131"/>
      <c r="K30" s="131"/>
      <c r="L30" s="131"/>
      <c r="M30" s="131"/>
      <c r="R30" s="356">
        <v>2040</v>
      </c>
      <c r="S30" s="357">
        <v>18900</v>
      </c>
      <c r="T30" s="357">
        <v>51300</v>
      </c>
      <c r="U30" s="357">
        <v>907600</v>
      </c>
      <c r="V30" s="358">
        <v>76</v>
      </c>
      <c r="X30" s="210" t="s">
        <v>3043</v>
      </c>
      <c r="Y30" s="379" t="s">
        <v>3044</v>
      </c>
    </row>
    <row r="31" spans="2:30" ht="12.75" thickBot="1" x14ac:dyDescent="0.25">
      <c r="B31" s="131"/>
      <c r="C31" s="533"/>
      <c r="D31" s="533"/>
      <c r="E31" s="533"/>
      <c r="F31" s="533"/>
      <c r="G31" s="131"/>
      <c r="H31" s="131"/>
      <c r="I31" s="131"/>
      <c r="J31" s="131"/>
      <c r="K31" s="131"/>
      <c r="L31" s="131"/>
      <c r="M31" s="131"/>
      <c r="R31" s="356">
        <v>2041</v>
      </c>
      <c r="S31" s="357">
        <v>18900</v>
      </c>
      <c r="T31" s="357">
        <v>51300</v>
      </c>
      <c r="U31" s="357">
        <v>907600</v>
      </c>
      <c r="V31" s="358">
        <v>78</v>
      </c>
      <c r="X31" s="380" t="s">
        <v>3045</v>
      </c>
      <c r="Y31" s="381">
        <f>Y21*Y27</f>
        <v>6.8475000000000001</v>
      </c>
    </row>
    <row r="32" spans="2:30" x14ac:dyDescent="0.2">
      <c r="B32" s="131"/>
      <c r="C32" s="533"/>
      <c r="D32" s="533"/>
      <c r="E32" s="533"/>
      <c r="F32" s="533"/>
      <c r="G32" s="131"/>
      <c r="H32" s="131"/>
      <c r="I32" s="131"/>
      <c r="J32" s="131"/>
      <c r="K32" s="131"/>
      <c r="L32" s="131"/>
      <c r="M32" s="131"/>
      <c r="R32" s="356">
        <v>2042</v>
      </c>
      <c r="S32" s="357">
        <v>18900</v>
      </c>
      <c r="T32" s="357">
        <v>51300</v>
      </c>
      <c r="U32" s="357">
        <v>907600</v>
      </c>
      <c r="V32" s="358">
        <v>79</v>
      </c>
      <c r="X32" s="162"/>
      <c r="Y32" s="162"/>
    </row>
    <row r="33" spans="1:27" x14ac:dyDescent="0.2">
      <c r="B33" s="131"/>
      <c r="C33" s="131"/>
      <c r="D33" s="131"/>
      <c r="E33" s="131"/>
      <c r="F33" s="131"/>
      <c r="R33" s="356">
        <v>2043</v>
      </c>
      <c r="S33" s="357">
        <v>18900</v>
      </c>
      <c r="T33" s="357">
        <v>51300</v>
      </c>
      <c r="U33" s="357">
        <v>907600</v>
      </c>
      <c r="V33" s="358">
        <v>80</v>
      </c>
    </row>
    <row r="34" spans="1:27" x14ac:dyDescent="0.2">
      <c r="B34" s="230"/>
      <c r="C34" s="230"/>
      <c r="D34" s="230"/>
      <c r="E34" s="230"/>
      <c r="F34" s="131"/>
      <c r="G34" s="131"/>
      <c r="H34" s="131"/>
      <c r="I34" s="131"/>
      <c r="J34" s="131"/>
      <c r="K34" s="131"/>
      <c r="L34" s="131"/>
      <c r="M34" s="131"/>
      <c r="R34" s="356">
        <v>2044</v>
      </c>
      <c r="S34" s="357">
        <v>18900</v>
      </c>
      <c r="T34" s="357">
        <v>51300</v>
      </c>
      <c r="U34" s="357">
        <v>907600</v>
      </c>
      <c r="V34" s="358">
        <v>81</v>
      </c>
      <c r="X34" s="17" t="s">
        <v>3046</v>
      </c>
      <c r="Z34" s="373"/>
      <c r="AA34" s="373"/>
    </row>
    <row r="35" spans="1:27" x14ac:dyDescent="0.2">
      <c r="A35" s="129"/>
      <c r="G35" s="131"/>
      <c r="H35" s="131"/>
      <c r="I35" s="131"/>
      <c r="J35" s="131"/>
      <c r="K35" s="131"/>
      <c r="L35" s="131"/>
      <c r="M35" s="131"/>
      <c r="R35" s="356">
        <v>2045</v>
      </c>
      <c r="S35" s="357">
        <v>18900</v>
      </c>
      <c r="T35" s="357">
        <v>51300</v>
      </c>
      <c r="U35" s="357">
        <v>907600</v>
      </c>
      <c r="V35" s="358">
        <v>82</v>
      </c>
      <c r="X35" s="17" t="s">
        <v>2827</v>
      </c>
      <c r="Y35" s="391">
        <f>'Chickasaw Annualization'!D13</f>
        <v>24689.910384041763</v>
      </c>
      <c r="Z35" s="373"/>
      <c r="AA35" s="373"/>
    </row>
    <row r="36" spans="1:27" x14ac:dyDescent="0.2">
      <c r="A36" s="129"/>
      <c r="G36" s="229"/>
      <c r="H36" s="229"/>
      <c r="I36" s="131"/>
      <c r="Q36" s="229"/>
      <c r="R36" s="356">
        <v>2046</v>
      </c>
      <c r="S36" s="357">
        <v>18900</v>
      </c>
      <c r="T36" s="357">
        <v>51300</v>
      </c>
      <c r="U36" s="357">
        <v>907600</v>
      </c>
      <c r="V36" s="358">
        <v>84</v>
      </c>
      <c r="X36" s="17" t="s">
        <v>2826</v>
      </c>
      <c r="Y36" s="391">
        <f>'Chickasaw Annualization'!C13</f>
        <v>27776.149182046982</v>
      </c>
    </row>
    <row r="37" spans="1:27" x14ac:dyDescent="0.2">
      <c r="Q37" s="229"/>
      <c r="R37" s="356">
        <v>2047</v>
      </c>
      <c r="S37" s="357">
        <v>18900</v>
      </c>
      <c r="T37" s="357">
        <v>51300</v>
      </c>
      <c r="U37" s="357">
        <v>907600</v>
      </c>
      <c r="V37" s="358">
        <v>85</v>
      </c>
      <c r="X37" s="17" t="s">
        <v>2907</v>
      </c>
      <c r="Y37" s="373">
        <f>Y35-Y36</f>
        <v>-3086.238798005219</v>
      </c>
    </row>
    <row r="38" spans="1:27" x14ac:dyDescent="0.2">
      <c r="A38" s="129"/>
      <c r="B38" s="130"/>
      <c r="C38" s="130"/>
      <c r="D38" s="130"/>
      <c r="E38" s="130"/>
      <c r="F38" s="130"/>
      <c r="R38" s="356">
        <v>2048</v>
      </c>
      <c r="S38" s="357">
        <v>18900</v>
      </c>
      <c r="T38" s="357">
        <v>51300</v>
      </c>
      <c r="U38" s="357">
        <v>907600</v>
      </c>
      <c r="V38" s="358">
        <v>86</v>
      </c>
      <c r="X38" s="17" t="s">
        <v>3048</v>
      </c>
      <c r="Y38" s="373">
        <f>Y37*Y31</f>
        <v>-21133.020169340736</v>
      </c>
    </row>
    <row r="39" spans="1:27" x14ac:dyDescent="0.2">
      <c r="A39" s="129"/>
      <c r="B39" s="130"/>
      <c r="C39" s="130"/>
      <c r="D39" s="130"/>
      <c r="E39" s="130"/>
      <c r="F39" s="130"/>
      <c r="R39" s="356">
        <v>2049</v>
      </c>
      <c r="S39" s="357">
        <v>18900</v>
      </c>
      <c r="T39" s="357">
        <v>51300</v>
      </c>
      <c r="U39" s="357">
        <v>907600</v>
      </c>
      <c r="V39" s="358">
        <v>87</v>
      </c>
    </row>
    <row r="40" spans="1:27" ht="12.75" thickBot="1" x14ac:dyDescent="0.25">
      <c r="B40" s="130"/>
      <c r="C40" s="130"/>
      <c r="D40" s="130"/>
      <c r="E40" s="130"/>
      <c r="F40" s="130"/>
      <c r="G40" s="130"/>
      <c r="H40" s="130"/>
      <c r="I40" s="130"/>
      <c r="R40" s="356">
        <v>2050</v>
      </c>
      <c r="S40" s="357">
        <v>18900</v>
      </c>
      <c r="T40" s="357">
        <v>51300</v>
      </c>
      <c r="U40" s="357">
        <v>907600</v>
      </c>
      <c r="V40" s="358">
        <v>88</v>
      </c>
      <c r="X40" s="133" t="s">
        <v>3109</v>
      </c>
      <c r="Y40" s="162"/>
    </row>
    <row r="41" spans="1:27" ht="12.75" thickBot="1" x14ac:dyDescent="0.25">
      <c r="B41" s="130"/>
      <c r="C41" s="130"/>
      <c r="D41" s="130"/>
      <c r="E41" s="130"/>
      <c r="F41" s="130"/>
      <c r="G41" s="130"/>
      <c r="H41" s="130"/>
      <c r="I41" s="130"/>
      <c r="R41" s="356">
        <v>2051</v>
      </c>
      <c r="S41" s="357">
        <v>18900</v>
      </c>
      <c r="T41" s="357">
        <v>51300</v>
      </c>
      <c r="U41" s="357">
        <v>907600</v>
      </c>
      <c r="V41" s="358">
        <v>89</v>
      </c>
      <c r="X41" s="382" t="s">
        <v>3028</v>
      </c>
      <c r="Y41" s="383" t="s">
        <v>3029</v>
      </c>
    </row>
    <row r="42" spans="1:27" x14ac:dyDescent="0.2">
      <c r="B42" s="130"/>
      <c r="C42" s="130"/>
      <c r="D42" s="130"/>
      <c r="E42" s="130"/>
      <c r="F42" s="130"/>
      <c r="G42" s="130"/>
      <c r="H42" s="130"/>
      <c r="I42" s="130"/>
      <c r="R42" s="356">
        <v>2052</v>
      </c>
      <c r="S42" s="357">
        <v>18900</v>
      </c>
      <c r="T42" s="357">
        <v>51300</v>
      </c>
      <c r="U42" s="357">
        <v>907600</v>
      </c>
      <c r="V42" s="358">
        <v>90</v>
      </c>
      <c r="X42" s="384" t="s">
        <v>3030</v>
      </c>
      <c r="Y42" s="495">
        <f>C26+'Mitchell Air Quality'!Y42</f>
        <v>-481.4486553109266</v>
      </c>
    </row>
    <row r="43" spans="1:27" x14ac:dyDescent="0.2">
      <c r="A43" s="129"/>
      <c r="B43" s="230"/>
      <c r="C43" s="230"/>
      <c r="F43" s="131"/>
      <c r="G43" s="130"/>
      <c r="H43" s="130"/>
      <c r="I43" s="130"/>
      <c r="R43" s="356">
        <v>2053</v>
      </c>
      <c r="S43" s="357">
        <v>18900</v>
      </c>
      <c r="T43" s="357">
        <v>51300</v>
      </c>
      <c r="U43" s="357">
        <v>907600</v>
      </c>
      <c r="V43" s="358">
        <v>91</v>
      </c>
      <c r="X43" s="386" t="s">
        <v>3031</v>
      </c>
      <c r="Y43" s="496">
        <f>G27+'Mitchell Air Quality'!Y43</f>
        <v>-554.79826447715607</v>
      </c>
    </row>
    <row r="44" spans="1:27" x14ac:dyDescent="0.2">
      <c r="B44" s="230"/>
      <c r="C44" s="230"/>
      <c r="F44" s="131"/>
      <c r="G44" s="130"/>
      <c r="H44" s="130"/>
      <c r="I44" s="130"/>
      <c r="N44" s="374"/>
      <c r="O44" s="374"/>
      <c r="P44" s="374"/>
      <c r="R44" s="356">
        <v>2054</v>
      </c>
      <c r="S44" s="357">
        <f t="shared" ref="S44:V50" si="13">S43</f>
        <v>18900</v>
      </c>
      <c r="T44" s="357">
        <f t="shared" si="13"/>
        <v>51300</v>
      </c>
      <c r="U44" s="357">
        <f t="shared" si="13"/>
        <v>907600</v>
      </c>
      <c r="V44" s="358">
        <f t="shared" si="13"/>
        <v>91</v>
      </c>
      <c r="X44" s="386" t="s">
        <v>3032</v>
      </c>
      <c r="Y44" s="496">
        <f>H27+'Mitchell Air Quality'!Y44</f>
        <v>-2.5720331384766277</v>
      </c>
    </row>
    <row r="45" spans="1:27" ht="12.75" thickBot="1" x14ac:dyDescent="0.25">
      <c r="B45" s="230"/>
      <c r="C45" s="230"/>
      <c r="F45" s="131"/>
      <c r="G45" s="131"/>
      <c r="H45" s="131"/>
      <c r="I45" s="131"/>
      <c r="N45" s="374"/>
      <c r="O45" s="374"/>
      <c r="P45" s="374"/>
      <c r="R45" s="356">
        <v>2055</v>
      </c>
      <c r="S45" s="357">
        <f t="shared" si="13"/>
        <v>18900</v>
      </c>
      <c r="T45" s="357">
        <f t="shared" si="13"/>
        <v>51300</v>
      </c>
      <c r="U45" s="357">
        <f t="shared" si="13"/>
        <v>907600</v>
      </c>
      <c r="V45" s="358">
        <f t="shared" si="13"/>
        <v>91</v>
      </c>
      <c r="X45" s="388" t="s">
        <v>3033</v>
      </c>
      <c r="Y45" s="497">
        <f>I27+'Mitchell Air Quality'!Y45</f>
        <v>-10.520264194031315</v>
      </c>
    </row>
    <row r="46" spans="1:27" x14ac:dyDescent="0.2">
      <c r="B46" s="230"/>
      <c r="C46" s="230"/>
      <c r="F46" s="131"/>
      <c r="G46" s="131"/>
      <c r="H46" s="131"/>
      <c r="I46" s="131"/>
      <c r="J46" s="80"/>
      <c r="L46" s="229"/>
      <c r="M46" s="229"/>
      <c r="N46" s="374"/>
      <c r="O46" s="374"/>
      <c r="P46" s="374"/>
      <c r="R46" s="356">
        <v>2056</v>
      </c>
      <c r="S46" s="357">
        <f t="shared" si="13"/>
        <v>18900</v>
      </c>
      <c r="T46" s="357">
        <f t="shared" si="13"/>
        <v>51300</v>
      </c>
      <c r="U46" s="357">
        <f t="shared" si="13"/>
        <v>907600</v>
      </c>
      <c r="V46" s="358">
        <f t="shared" si="13"/>
        <v>91</v>
      </c>
    </row>
    <row r="47" spans="1:27" x14ac:dyDescent="0.2">
      <c r="B47" s="230"/>
      <c r="C47" s="230"/>
      <c r="D47" s="230"/>
      <c r="E47" s="230"/>
      <c r="F47" s="131"/>
      <c r="G47" s="131"/>
      <c r="H47" s="131"/>
      <c r="I47" s="131"/>
      <c r="J47" s="80"/>
      <c r="L47" s="229"/>
      <c r="M47" s="229"/>
      <c r="R47" s="356">
        <v>2057</v>
      </c>
      <c r="S47" s="357">
        <f t="shared" si="13"/>
        <v>18900</v>
      </c>
      <c r="T47" s="357">
        <f t="shared" si="13"/>
        <v>51300</v>
      </c>
      <c r="U47" s="357">
        <f t="shared" si="13"/>
        <v>907600</v>
      </c>
      <c r="V47" s="358">
        <f t="shared" si="13"/>
        <v>91</v>
      </c>
    </row>
    <row r="48" spans="1:27" x14ac:dyDescent="0.2">
      <c r="A48" s="129"/>
      <c r="B48" s="230"/>
      <c r="C48" s="230"/>
      <c r="D48" s="230"/>
      <c r="E48" s="230"/>
      <c r="F48" s="131"/>
      <c r="G48" s="131"/>
      <c r="H48" s="131"/>
      <c r="I48" s="131"/>
      <c r="L48" s="229"/>
      <c r="M48" s="229"/>
      <c r="R48" s="356">
        <v>2058</v>
      </c>
      <c r="S48" s="357">
        <f t="shared" si="13"/>
        <v>18900</v>
      </c>
      <c r="T48" s="357">
        <f t="shared" si="13"/>
        <v>51300</v>
      </c>
      <c r="U48" s="357">
        <f t="shared" si="13"/>
        <v>907600</v>
      </c>
      <c r="V48" s="358">
        <f t="shared" si="13"/>
        <v>91</v>
      </c>
    </row>
    <row r="49" spans="1:22" x14ac:dyDescent="0.2">
      <c r="B49" s="230"/>
      <c r="C49" s="230"/>
      <c r="D49" s="230"/>
      <c r="E49" s="230"/>
      <c r="F49" s="131"/>
      <c r="G49" s="131"/>
      <c r="H49" s="131"/>
      <c r="I49" s="131"/>
      <c r="L49" s="229"/>
      <c r="M49" s="229"/>
      <c r="R49" s="356">
        <v>2059</v>
      </c>
      <c r="S49" s="357">
        <f t="shared" si="13"/>
        <v>18900</v>
      </c>
      <c r="T49" s="357">
        <f t="shared" si="13"/>
        <v>51300</v>
      </c>
      <c r="U49" s="357">
        <f t="shared" si="13"/>
        <v>907600</v>
      </c>
      <c r="V49" s="358">
        <f t="shared" si="13"/>
        <v>91</v>
      </c>
    </row>
    <row r="50" spans="1:22" ht="12.75" thickBot="1" x14ac:dyDescent="0.25">
      <c r="B50" s="230"/>
      <c r="C50" s="230"/>
      <c r="D50" s="230"/>
      <c r="E50" s="230"/>
      <c r="F50" s="131"/>
      <c r="G50" s="131"/>
      <c r="H50" s="131"/>
      <c r="I50" s="131"/>
      <c r="J50" s="229"/>
      <c r="K50" s="229"/>
      <c r="L50" s="229"/>
      <c r="M50" s="229"/>
      <c r="R50" s="375">
        <v>2060</v>
      </c>
      <c r="S50" s="376">
        <f t="shared" si="13"/>
        <v>18900</v>
      </c>
      <c r="T50" s="376">
        <f t="shared" si="13"/>
        <v>51300</v>
      </c>
      <c r="U50" s="376">
        <f t="shared" si="13"/>
        <v>907600</v>
      </c>
      <c r="V50" s="377">
        <f t="shared" si="13"/>
        <v>91</v>
      </c>
    </row>
    <row r="51" spans="1:22" ht="15" x14ac:dyDescent="0.25">
      <c r="B51" s="230"/>
      <c r="C51" s="230"/>
      <c r="D51" s="230"/>
      <c r="E51" s="230"/>
      <c r="F51" s="131"/>
      <c r="G51" s="131"/>
      <c r="H51" s="131"/>
      <c r="I51" s="131"/>
      <c r="K51" s="229"/>
      <c r="L51" s="229"/>
      <c r="M51" s="229"/>
      <c r="R51"/>
      <c r="S51"/>
      <c r="T51"/>
      <c r="U51"/>
      <c r="V51"/>
    </row>
    <row r="52" spans="1:22" x14ac:dyDescent="0.2">
      <c r="B52" s="230"/>
      <c r="C52" s="230"/>
      <c r="D52" s="230"/>
      <c r="E52" s="230"/>
      <c r="F52" s="131"/>
      <c r="G52" s="131"/>
      <c r="H52" s="131"/>
      <c r="I52" s="131"/>
      <c r="J52" s="131"/>
      <c r="L52" s="229"/>
      <c r="M52" s="229"/>
    </row>
    <row r="53" spans="1:22" x14ac:dyDescent="0.2">
      <c r="B53" s="230"/>
      <c r="C53" s="230"/>
      <c r="D53" s="230"/>
      <c r="E53" s="230"/>
      <c r="F53" s="131"/>
      <c r="G53" s="131"/>
      <c r="H53" s="131"/>
      <c r="I53" s="131"/>
      <c r="J53" s="131"/>
    </row>
    <row r="54" spans="1:22" x14ac:dyDescent="0.2">
      <c r="B54" s="230"/>
      <c r="C54" s="230"/>
      <c r="D54" s="230"/>
      <c r="E54" s="230"/>
      <c r="F54" s="131"/>
      <c r="G54" s="131"/>
      <c r="H54" s="131"/>
      <c r="I54" s="131"/>
      <c r="J54" s="131"/>
      <c r="K54" s="131"/>
    </row>
    <row r="55" spans="1:22" x14ac:dyDescent="0.2">
      <c r="G55" s="131"/>
      <c r="H55" s="131"/>
      <c r="I55" s="131"/>
      <c r="J55" s="131"/>
      <c r="K55" s="131"/>
    </row>
    <row r="56" spans="1:22" x14ac:dyDescent="0.2">
      <c r="A56" s="129"/>
      <c r="F56" s="229"/>
      <c r="G56" s="131"/>
      <c r="H56" s="131"/>
      <c r="I56" s="131"/>
      <c r="J56" s="131"/>
      <c r="K56" s="131"/>
    </row>
    <row r="57" spans="1:22" x14ac:dyDescent="0.2">
      <c r="B57" s="229"/>
      <c r="C57" s="229"/>
      <c r="D57" s="229"/>
      <c r="E57" s="229"/>
      <c r="F57" s="229"/>
      <c r="J57" s="131"/>
      <c r="K57" s="131"/>
    </row>
    <row r="58" spans="1:22" x14ac:dyDescent="0.2">
      <c r="I58" s="229"/>
      <c r="J58" s="131"/>
      <c r="K58" s="131"/>
    </row>
    <row r="59" spans="1:22" x14ac:dyDescent="0.2">
      <c r="B59" s="131"/>
      <c r="C59" s="131"/>
      <c r="D59" s="131"/>
      <c r="E59" s="131"/>
      <c r="F59" s="131"/>
      <c r="I59" s="229"/>
      <c r="J59" s="131"/>
      <c r="K59" s="131"/>
    </row>
    <row r="60" spans="1:22" x14ac:dyDescent="0.2">
      <c r="B60" s="131"/>
      <c r="C60" s="131"/>
      <c r="D60" s="131"/>
      <c r="E60" s="131"/>
      <c r="F60" s="131"/>
      <c r="J60" s="131"/>
      <c r="K60" s="131"/>
    </row>
    <row r="61" spans="1:22" x14ac:dyDescent="0.2">
      <c r="A61" s="129"/>
      <c r="G61" s="131"/>
      <c r="H61" s="131"/>
      <c r="I61" s="131"/>
      <c r="J61" s="131"/>
      <c r="K61" s="131"/>
    </row>
    <row r="62" spans="1:22" x14ac:dyDescent="0.2">
      <c r="G62" s="131"/>
      <c r="H62" s="131"/>
      <c r="J62" s="131"/>
      <c r="K62" s="131"/>
    </row>
    <row r="63" spans="1:22" x14ac:dyDescent="0.2">
      <c r="J63" s="131"/>
      <c r="K63" s="131"/>
    </row>
    <row r="64" spans="1:22" x14ac:dyDescent="0.2">
      <c r="A64" s="129"/>
      <c r="J64" s="131"/>
      <c r="K64" s="131"/>
    </row>
    <row r="65" spans="10:12" x14ac:dyDescent="0.2">
      <c r="J65" s="131"/>
      <c r="K65" s="131"/>
    </row>
    <row r="67" spans="10:12" x14ac:dyDescent="0.2">
      <c r="J67" s="229"/>
    </row>
    <row r="68" spans="10:12" x14ac:dyDescent="0.2">
      <c r="J68" s="229"/>
      <c r="L68" s="131"/>
    </row>
    <row r="70" spans="10:12" x14ac:dyDescent="0.2">
      <c r="J70" s="131"/>
      <c r="K70" s="131"/>
    </row>
  </sheetData>
  <mergeCells count="20">
    <mergeCell ref="C3:E3"/>
    <mergeCell ref="F3:N3"/>
    <mergeCell ref="O3:P3"/>
    <mergeCell ref="B4:B5"/>
    <mergeCell ref="C4:C5"/>
    <mergeCell ref="D4:D5"/>
    <mergeCell ref="E4:E5"/>
    <mergeCell ref="F4:F5"/>
    <mergeCell ref="G4:G5"/>
    <mergeCell ref="H4:H5"/>
    <mergeCell ref="O4:O5"/>
    <mergeCell ref="P4:P5"/>
    <mergeCell ref="L4:L5"/>
    <mergeCell ref="M4:M5"/>
    <mergeCell ref="N4:N5"/>
    <mergeCell ref="C29:F29"/>
    <mergeCell ref="C30:F32"/>
    <mergeCell ref="I4:I5"/>
    <mergeCell ref="J4:J5"/>
    <mergeCell ref="K4:K5"/>
  </mergeCells>
  <pageMargins left="0.25" right="0.25" top="0.75" bottom="0.75" header="0.3" footer="0.3"/>
  <pageSetup paperSize="3"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BE47-8FD2-48C3-A989-8FDCABF26419}">
  <sheetPr>
    <tabColor theme="4" tint="0.59999389629810485"/>
    <pageSetUpPr fitToPage="1"/>
  </sheetPr>
  <dimension ref="A2:AD49"/>
  <sheetViews>
    <sheetView view="pageBreakPreview" topLeftCell="A12" zoomScale="85" zoomScaleNormal="85" zoomScaleSheetLayoutView="85" workbookViewId="0">
      <selection activeCell="P56" sqref="P56"/>
    </sheetView>
  </sheetViews>
  <sheetFormatPr defaultColWidth="9.140625" defaultRowHeight="12" x14ac:dyDescent="0.2"/>
  <cols>
    <col min="1" max="1" width="5.7109375" style="17" customWidth="1"/>
    <col min="2" max="2" width="10.5703125" style="17" customWidth="1"/>
    <col min="3" max="4" width="9.28515625" style="17" bestFit="1" customWidth="1"/>
    <col min="5" max="5" width="11.7109375" style="17" bestFit="1" customWidth="1"/>
    <col min="6" max="7" width="9.140625" style="17"/>
    <col min="8" max="8" width="24.5703125" style="17" customWidth="1"/>
    <col min="9" max="9" width="11.42578125" style="17" customWidth="1"/>
    <col min="10" max="10" width="11.85546875" style="17" customWidth="1"/>
    <col min="11" max="12" width="8.42578125" style="17" customWidth="1"/>
    <col min="13" max="13" width="12" style="17" customWidth="1"/>
    <col min="14" max="14" width="13.5703125" style="17" customWidth="1"/>
    <col min="15" max="15" width="8.85546875" style="17" customWidth="1"/>
    <col min="16" max="17" width="9.7109375" style="17" customWidth="1"/>
    <col min="18" max="16384" width="9.140625" style="17"/>
  </cols>
  <sheetData>
    <row r="2" spans="2:30" x14ac:dyDescent="0.2">
      <c r="B2" s="79"/>
      <c r="C2" s="578" t="s">
        <v>2901</v>
      </c>
      <c r="D2" s="578"/>
      <c r="E2" s="578"/>
    </row>
    <row r="3" spans="2:30" x14ac:dyDescent="0.2">
      <c r="B3" s="79"/>
      <c r="C3" s="77" t="s">
        <v>2826</v>
      </c>
      <c r="D3" s="77" t="s">
        <v>2827</v>
      </c>
      <c r="E3" s="77" t="s">
        <v>2907</v>
      </c>
    </row>
    <row r="4" spans="2:30" x14ac:dyDescent="0.2">
      <c r="B4" s="78" t="s">
        <v>2797</v>
      </c>
      <c r="C4" s="77" t="s">
        <v>7</v>
      </c>
      <c r="D4" s="77" t="s">
        <v>7</v>
      </c>
      <c r="E4" s="77" t="s">
        <v>7</v>
      </c>
      <c r="F4" s="227"/>
    </row>
    <row r="5" spans="2:30" x14ac:dyDescent="0.2">
      <c r="B5" s="75">
        <v>2022</v>
      </c>
      <c r="C5" s="76">
        <f>J15</f>
        <v>167.6835016694491</v>
      </c>
      <c r="D5" s="76">
        <f>I15</f>
        <v>149.05200148395474</v>
      </c>
      <c r="E5" s="76">
        <f>C5-D5</f>
        <v>18.63150018549436</v>
      </c>
    </row>
    <row r="6" spans="2:30" x14ac:dyDescent="0.2">
      <c r="B6" s="75">
        <v>2046</v>
      </c>
      <c r="C6" s="76">
        <f>J15</f>
        <v>167.6835016694491</v>
      </c>
      <c r="D6" s="76">
        <f>I15</f>
        <v>149.05200148395474</v>
      </c>
      <c r="E6" s="76">
        <f>C6-D6</f>
        <v>18.63150018549436</v>
      </c>
    </row>
    <row r="7" spans="2:30" x14ac:dyDescent="0.2">
      <c r="B7" s="75" t="s">
        <v>2906</v>
      </c>
      <c r="C7" s="74">
        <f t="shared" ref="C7:E7" si="0">((C6-C5)/C5)/($B6-$B5)</f>
        <v>0</v>
      </c>
      <c r="D7" s="74">
        <f t="shared" si="0"/>
        <v>0</v>
      </c>
      <c r="E7" s="74">
        <f t="shared" si="0"/>
        <v>0</v>
      </c>
    </row>
    <row r="8" spans="2:30" x14ac:dyDescent="0.2">
      <c r="B8" s="42" t="s">
        <v>2905</v>
      </c>
      <c r="E8" s="42"/>
    </row>
    <row r="9" spans="2:30" ht="15.75" thickBot="1" x14ac:dyDescent="0.3">
      <c r="B9" s="42" t="s">
        <v>2991</v>
      </c>
      <c r="C9" s="228"/>
      <c r="D9" s="228"/>
      <c r="E9" s="228"/>
      <c r="M9"/>
      <c r="N9"/>
      <c r="O9"/>
      <c r="P9"/>
      <c r="Q9"/>
      <c r="Z9" s="533"/>
      <c r="AA9" s="533"/>
      <c r="AB9" s="533"/>
      <c r="AC9" s="533"/>
      <c r="AD9" s="533"/>
    </row>
    <row r="10" spans="2:30" ht="15.75" thickBot="1" x14ac:dyDescent="0.3">
      <c r="B10" s="510" t="s">
        <v>0</v>
      </c>
      <c r="C10" s="579" t="s">
        <v>2904</v>
      </c>
      <c r="D10" s="580"/>
      <c r="E10" s="581"/>
      <c r="H10" s="42" t="s">
        <v>2977</v>
      </c>
      <c r="M10"/>
      <c r="N10"/>
      <c r="O10"/>
      <c r="P10"/>
      <c r="Q10"/>
      <c r="Z10" s="533"/>
      <c r="AA10" s="533"/>
      <c r="AB10" s="533"/>
      <c r="AC10" s="533"/>
      <c r="AD10" s="533"/>
    </row>
    <row r="11" spans="2:30" ht="15.75" thickBot="1" x14ac:dyDescent="0.3">
      <c r="B11" s="577"/>
      <c r="C11" s="510" t="s">
        <v>2826</v>
      </c>
      <c r="D11" s="510" t="s">
        <v>2827</v>
      </c>
      <c r="E11" s="510" t="s">
        <v>2903</v>
      </c>
      <c r="H11" s="84" t="s">
        <v>2814</v>
      </c>
      <c r="I11" s="125" t="s">
        <v>2902</v>
      </c>
      <c r="J11" s="126" t="s">
        <v>2940</v>
      </c>
      <c r="M11"/>
      <c r="N11"/>
      <c r="O11"/>
      <c r="P11"/>
      <c r="Q11"/>
      <c r="Z11" s="533"/>
      <c r="AA11" s="533"/>
      <c r="AB11" s="533"/>
      <c r="AC11" s="533"/>
      <c r="AD11" s="533"/>
    </row>
    <row r="12" spans="2:30" ht="15.75" thickBot="1" x14ac:dyDescent="0.3">
      <c r="B12" s="511"/>
      <c r="C12" s="511"/>
      <c r="D12" s="511"/>
      <c r="E12" s="511"/>
      <c r="H12" s="59" t="s">
        <v>2812</v>
      </c>
      <c r="I12" s="253">
        <f>'Group O&amp;M'!E44</f>
        <v>5.57</v>
      </c>
      <c r="J12" s="96">
        <f>I12</f>
        <v>5.57</v>
      </c>
      <c r="M12"/>
      <c r="N12"/>
      <c r="O12"/>
      <c r="P12"/>
      <c r="Q12"/>
      <c r="Z12" s="533"/>
      <c r="AA12" s="533"/>
      <c r="AB12" s="533"/>
      <c r="AC12" s="533"/>
      <c r="AD12" s="533"/>
    </row>
    <row r="13" spans="2:30" ht="15" x14ac:dyDescent="0.25">
      <c r="B13" s="73">
        <f>B14-1</f>
        <v>2025</v>
      </c>
      <c r="C13" s="72"/>
      <c r="D13" s="72"/>
      <c r="E13" s="71"/>
      <c r="H13" s="38" t="s">
        <v>2975</v>
      </c>
      <c r="I13" s="93">
        <v>45</v>
      </c>
      <c r="J13" s="94">
        <f>I13-J16</f>
        <v>40</v>
      </c>
      <c r="M13"/>
      <c r="N13"/>
      <c r="O13"/>
      <c r="P13"/>
      <c r="Q13"/>
      <c r="Z13" s="533"/>
      <c r="AA13" s="533"/>
      <c r="AB13" s="533"/>
      <c r="AC13" s="533"/>
      <c r="AD13" s="533"/>
    </row>
    <row r="14" spans="2:30" ht="15.75" thickBot="1" x14ac:dyDescent="0.3">
      <c r="B14" s="1">
        <f>B15-1</f>
        <v>2026</v>
      </c>
      <c r="C14" s="69"/>
      <c r="D14" s="69"/>
      <c r="E14" s="69"/>
      <c r="H14" s="38" t="s">
        <v>2976</v>
      </c>
      <c r="I14" s="93">
        <f>SUMPRODUCT(I22:N22,I21:N21)/SUM(I22:N22)</f>
        <v>1204.1903171953256</v>
      </c>
      <c r="J14" s="94">
        <f>I14</f>
        <v>1204.1903171953256</v>
      </c>
      <c r="M14"/>
      <c r="N14"/>
      <c r="O14"/>
      <c r="P14"/>
      <c r="Q14"/>
      <c r="Z14" s="533"/>
      <c r="AA14" s="533"/>
      <c r="AB14" s="533"/>
      <c r="AC14" s="533"/>
      <c r="AD14" s="533"/>
    </row>
    <row r="15" spans="2:30" ht="15.75" thickBot="1" x14ac:dyDescent="0.3">
      <c r="B15" s="73">
        <f>Assumptions!D8</f>
        <v>2027</v>
      </c>
      <c r="C15" s="72">
        <f>TREND(C$5:C$6,$B$5:$B$6,$B15)*Assumptions!$D$10</f>
        <v>61246.398984766282</v>
      </c>
      <c r="D15" s="72">
        <f>TREND(D$5:D$6,$B$5:$B$6,$B15)*Assumptions!$D$10</f>
        <v>54441.243542014468</v>
      </c>
      <c r="E15" s="71">
        <f>D15-C15</f>
        <v>-6805.1554427518131</v>
      </c>
      <c r="H15" s="60" t="s">
        <v>2899</v>
      </c>
      <c r="I15" s="89">
        <f>I12/I13*I14</f>
        <v>149.05200148395474</v>
      </c>
      <c r="J15" s="90">
        <f>J12/J13*J14</f>
        <v>167.6835016694491</v>
      </c>
      <c r="M15"/>
      <c r="N15"/>
      <c r="O15"/>
      <c r="P15"/>
      <c r="Q15"/>
      <c r="Z15" s="533"/>
      <c r="AA15" s="533"/>
      <c r="AB15" s="533"/>
      <c r="AC15" s="533"/>
      <c r="AD15" s="533"/>
    </row>
    <row r="16" spans="2:30" ht="15.75" thickBot="1" x14ac:dyDescent="0.3">
      <c r="B16" s="1">
        <f t="shared" ref="B16:B34" si="1">B15+1</f>
        <v>2028</v>
      </c>
      <c r="C16" s="69">
        <f>TREND(C$5:C$6,$B$5:$B$6,$B16)*Assumptions!$D$10</f>
        <v>61246.398984766282</v>
      </c>
      <c r="D16" s="69">
        <f>TREND(D$5:D$6,$B$5:$B$6,$B16)*Assumptions!$D$10</f>
        <v>54441.243542014468</v>
      </c>
      <c r="E16" s="69">
        <f t="shared" ref="E16:E34" si="2">D16-C16</f>
        <v>-6805.1554427518131</v>
      </c>
      <c r="H16" s="203" t="s">
        <v>2949</v>
      </c>
      <c r="I16" s="111"/>
      <c r="J16" s="264">
        <v>5</v>
      </c>
      <c r="M16"/>
      <c r="N16"/>
      <c r="O16"/>
      <c r="P16"/>
      <c r="Q16"/>
      <c r="Z16" s="533"/>
      <c r="AA16" s="533"/>
      <c r="AB16" s="533"/>
      <c r="AC16" s="533"/>
      <c r="AD16" s="533"/>
    </row>
    <row r="17" spans="2:17" ht="15" x14ac:dyDescent="0.25">
      <c r="B17" s="1">
        <f t="shared" si="1"/>
        <v>2029</v>
      </c>
      <c r="C17" s="69">
        <f>TREND(C$5:C$6,$B$5:$B$6,$B17)*Assumptions!$D$10</f>
        <v>61246.398984766282</v>
      </c>
      <c r="D17" s="69">
        <f>TREND(D$5:D$6,$B$5:$B$6,$B17)*Assumptions!$D$10</f>
        <v>54441.243542014468</v>
      </c>
      <c r="E17" s="69">
        <f t="shared" si="2"/>
        <v>-6805.1554427518131</v>
      </c>
      <c r="H17" s="42"/>
      <c r="M17"/>
      <c r="N17"/>
      <c r="O17"/>
      <c r="P17"/>
      <c r="Q17"/>
    </row>
    <row r="18" spans="2:17" ht="15.75" thickBot="1" x14ac:dyDescent="0.3">
      <c r="B18" s="1">
        <f t="shared" si="1"/>
        <v>2030</v>
      </c>
      <c r="C18" s="69">
        <f>TREND(C$5:C$6,$B$5:$B$6,$B18)*Assumptions!$D$10</f>
        <v>61246.398984766282</v>
      </c>
      <c r="D18" s="69">
        <f>TREND(D$5:D$6,$B$5:$B$6,$B18)*Assumptions!$D$10</f>
        <v>54441.243542014468</v>
      </c>
      <c r="E18" s="69">
        <f t="shared" si="2"/>
        <v>-6805.1554427518131</v>
      </c>
      <c r="H18" s="42" t="s">
        <v>2990</v>
      </c>
      <c r="I18"/>
      <c r="J18"/>
      <c r="K18"/>
      <c r="L18"/>
      <c r="M18"/>
      <c r="N18"/>
      <c r="O18"/>
      <c r="P18"/>
      <c r="Q18"/>
    </row>
    <row r="19" spans="2:17" ht="12.75" thickBot="1" x14ac:dyDescent="0.25">
      <c r="B19" s="1">
        <f t="shared" si="1"/>
        <v>2031</v>
      </c>
      <c r="C19" s="69">
        <f>TREND(C$5:C$6,$B$5:$B$6,$B19)*Assumptions!$D$10</f>
        <v>61246.398984766282</v>
      </c>
      <c r="D19" s="69">
        <f>TREND(D$5:D$6,$B$5:$B$6,$B19)*Assumptions!$D$10</f>
        <v>54441.243542014468</v>
      </c>
      <c r="E19" s="69">
        <f t="shared" si="2"/>
        <v>-6805.1554427518131</v>
      </c>
      <c r="H19" s="312" t="s">
        <v>2979</v>
      </c>
      <c r="I19" s="313" t="s">
        <v>2624</v>
      </c>
      <c r="J19" s="314" t="s">
        <v>2624</v>
      </c>
      <c r="K19" s="312" t="s">
        <v>2624</v>
      </c>
      <c r="L19" s="313" t="s">
        <v>2624</v>
      </c>
      <c r="M19" s="314" t="s">
        <v>2984</v>
      </c>
      <c r="N19" s="312" t="s">
        <v>2984</v>
      </c>
    </row>
    <row r="20" spans="2:17" x14ac:dyDescent="0.2">
      <c r="B20" s="1">
        <f t="shared" si="1"/>
        <v>2032</v>
      </c>
      <c r="C20" s="69">
        <f>TREND(C$5:C$6,$B$5:$B$6,$B20)*Assumptions!$D$10</f>
        <v>61246.398984766282</v>
      </c>
      <c r="D20" s="69">
        <f>TREND(D$5:D$6,$B$5:$B$6,$B20)*Assumptions!$D$10</f>
        <v>54441.243542014468</v>
      </c>
      <c r="E20" s="69">
        <f t="shared" si="2"/>
        <v>-6805.1554427518131</v>
      </c>
      <c r="H20" s="59" t="s">
        <v>2814</v>
      </c>
      <c r="I20" s="253" t="s">
        <v>2980</v>
      </c>
      <c r="J20" s="315" t="s">
        <v>2981</v>
      </c>
      <c r="K20" s="91" t="s">
        <v>2982</v>
      </c>
      <c r="L20" s="253" t="s">
        <v>2983</v>
      </c>
      <c r="M20" s="315" t="s">
        <v>2985</v>
      </c>
      <c r="N20" s="92" t="s">
        <v>2986</v>
      </c>
    </row>
    <row r="21" spans="2:17" x14ac:dyDescent="0.2">
      <c r="B21" s="1">
        <f t="shared" si="1"/>
        <v>2033</v>
      </c>
      <c r="C21" s="69">
        <f>TREND(C$5:C$6,$B$5:$B$6,$B21)*Assumptions!$D$10</f>
        <v>61246.398984766282</v>
      </c>
      <c r="D21" s="69">
        <f>TREND(D$5:D$6,$B$5:$B$6,$B21)*Assumptions!$D$10</f>
        <v>54441.243542014468</v>
      </c>
      <c r="E21" s="69">
        <f t="shared" si="2"/>
        <v>-6805.1554427518131</v>
      </c>
      <c r="H21" s="38" t="s">
        <v>2813</v>
      </c>
      <c r="I21" s="93">
        <v>1030</v>
      </c>
      <c r="J21" s="93">
        <v>1330</v>
      </c>
      <c r="K21" s="65">
        <v>2340</v>
      </c>
      <c r="L21" s="93">
        <v>1490</v>
      </c>
      <c r="M21" s="93">
        <v>800</v>
      </c>
      <c r="N21" s="39">
        <v>710</v>
      </c>
    </row>
    <row r="22" spans="2:17" ht="12.75" thickBot="1" x14ac:dyDescent="0.25">
      <c r="B22" s="2">
        <f t="shared" si="1"/>
        <v>2034</v>
      </c>
      <c r="C22" s="231">
        <f>TREND(C$5:C$6,$B$5:$B$6,$B22)*Assumptions!$D$10</f>
        <v>61246.398984766282</v>
      </c>
      <c r="D22" s="231">
        <f>TREND(D$5:D$6,$B$5:$B$6,$B22)*Assumptions!$D$10</f>
        <v>54441.243542014468</v>
      </c>
      <c r="E22" s="231">
        <f t="shared" si="2"/>
        <v>-6805.1554427518131</v>
      </c>
      <c r="H22" s="60" t="s">
        <v>2812</v>
      </c>
      <c r="I22" s="316">
        <v>1.84</v>
      </c>
      <c r="J22" s="316">
        <v>3.37</v>
      </c>
      <c r="K22" s="316">
        <v>0.06</v>
      </c>
      <c r="L22" s="316">
        <v>0.19</v>
      </c>
      <c r="M22" s="316">
        <v>0.4</v>
      </c>
      <c r="N22" s="317">
        <v>0.13</v>
      </c>
    </row>
    <row r="23" spans="2:17" ht="15" x14ac:dyDescent="0.25">
      <c r="B23" s="73">
        <f t="shared" si="1"/>
        <v>2035</v>
      </c>
      <c r="C23" s="71">
        <f>TREND(C$5:C$6,$B$5:$B$6,$B23)*Assumptions!$D$10</f>
        <v>61246.398984766282</v>
      </c>
      <c r="D23" s="72">
        <f>TREND(D$5:D$6,$B$5:$B$6,$B23)*Assumptions!$D$10</f>
        <v>54441.243542014468</v>
      </c>
      <c r="E23" s="71">
        <f t="shared" si="2"/>
        <v>-6805.1554427518131</v>
      </c>
      <c r="H23"/>
      <c r="I23"/>
      <c r="J23"/>
      <c r="K23"/>
      <c r="L23"/>
      <c r="M23"/>
      <c r="N23"/>
    </row>
    <row r="24" spans="2:17" ht="15" x14ac:dyDescent="0.25">
      <c r="B24" s="1">
        <f t="shared" si="1"/>
        <v>2036</v>
      </c>
      <c r="C24" s="69">
        <f>TREND(C$5:C$6,$B$5:$B$6,$B24)*Assumptions!$D$10</f>
        <v>61246.398984766282</v>
      </c>
      <c r="D24" s="70">
        <f>TREND(D$5:D$6,$B$5:$B$6,$B24)*Assumptions!$D$10</f>
        <v>54441.243542014468</v>
      </c>
      <c r="E24" s="69">
        <f t="shared" si="2"/>
        <v>-6805.1554427518131</v>
      </c>
      <c r="H24"/>
      <c r="I24"/>
      <c r="J24"/>
      <c r="K24"/>
      <c r="L24"/>
      <c r="M24"/>
      <c r="N24"/>
    </row>
    <row r="25" spans="2:17" ht="15" x14ac:dyDescent="0.25">
      <c r="B25" s="1">
        <f t="shared" si="1"/>
        <v>2037</v>
      </c>
      <c r="C25" s="69">
        <f>TREND(C$5:C$6,$B$5:$B$6,$B25)*Assumptions!$D$10</f>
        <v>61246.398984766282</v>
      </c>
      <c r="D25" s="70">
        <f>TREND(D$5:D$6,$B$5:$B$6,$B25)*Assumptions!$D$10</f>
        <v>54441.243542014468</v>
      </c>
      <c r="E25" s="69">
        <f t="shared" si="2"/>
        <v>-6805.1554427518131</v>
      </c>
      <c r="H25"/>
      <c r="I25"/>
      <c r="J25"/>
      <c r="K25"/>
      <c r="L25"/>
      <c r="M25"/>
      <c r="N25"/>
    </row>
    <row r="26" spans="2:17" x14ac:dyDescent="0.2">
      <c r="B26" s="1">
        <f t="shared" si="1"/>
        <v>2038</v>
      </c>
      <c r="C26" s="69">
        <f>TREND(C$5:C$6,$B$5:$B$6,$B26)*Assumptions!$D$10</f>
        <v>61246.398984766282</v>
      </c>
      <c r="D26" s="70">
        <f>TREND(D$5:D$6,$B$5:$B$6,$B26)*Assumptions!$D$10</f>
        <v>54441.243542014468</v>
      </c>
      <c r="E26" s="69">
        <f t="shared" si="2"/>
        <v>-6805.1554427518131</v>
      </c>
    </row>
    <row r="27" spans="2:17" x14ac:dyDescent="0.2">
      <c r="B27" s="1">
        <f t="shared" si="1"/>
        <v>2039</v>
      </c>
      <c r="C27" s="69">
        <f>TREND(C$5:C$6,$B$5:$B$6,$B27)*Assumptions!$D$10</f>
        <v>61246.398984766282</v>
      </c>
      <c r="D27" s="70">
        <f>TREND(D$5:D$6,$B$5:$B$6,$B27)*Assumptions!$D$10</f>
        <v>54441.243542014468</v>
      </c>
      <c r="E27" s="69">
        <f t="shared" si="2"/>
        <v>-6805.1554427518131</v>
      </c>
    </row>
    <row r="28" spans="2:17" x14ac:dyDescent="0.2">
      <c r="B28" s="1">
        <f t="shared" si="1"/>
        <v>2040</v>
      </c>
      <c r="C28" s="69">
        <f>TREND(C$5:C$6,$B$5:$B$6,$B28)*Assumptions!$D$10</f>
        <v>61246.398984766282</v>
      </c>
      <c r="D28" s="70">
        <f>TREND(D$5:D$6,$B$5:$B$6,$B28)*Assumptions!$D$10</f>
        <v>54441.243542014468</v>
      </c>
      <c r="E28" s="69">
        <f t="shared" si="2"/>
        <v>-6805.1554427518131</v>
      </c>
    </row>
    <row r="29" spans="2:17" x14ac:dyDescent="0.2">
      <c r="B29" s="1">
        <f t="shared" si="1"/>
        <v>2041</v>
      </c>
      <c r="C29" s="69">
        <f>TREND(C$5:C$6,$B$5:$B$6,$B29)*Assumptions!$D$10</f>
        <v>61246.398984766282</v>
      </c>
      <c r="D29" s="70">
        <f>TREND(D$5:D$6,$B$5:$B$6,$B29)*Assumptions!$D$10</f>
        <v>54441.243542014468</v>
      </c>
      <c r="E29" s="69">
        <f t="shared" si="2"/>
        <v>-6805.1554427518131</v>
      </c>
    </row>
    <row r="30" spans="2:17" x14ac:dyDescent="0.2">
      <c r="B30" s="1">
        <f t="shared" si="1"/>
        <v>2042</v>
      </c>
      <c r="C30" s="69">
        <f>TREND(C$5:C$6,$B$5:$B$6,$B30)*Assumptions!$D$10</f>
        <v>61246.398984766282</v>
      </c>
      <c r="D30" s="70">
        <f>TREND(D$5:D$6,$B$5:$B$6,$B30)*Assumptions!$D$10</f>
        <v>54441.243542014468</v>
      </c>
      <c r="E30" s="69">
        <f t="shared" si="2"/>
        <v>-6805.1554427518131</v>
      </c>
    </row>
    <row r="31" spans="2:17" x14ac:dyDescent="0.2">
      <c r="B31" s="1">
        <f t="shared" si="1"/>
        <v>2043</v>
      </c>
      <c r="C31" s="69">
        <f>TREND(C$5:C$6,$B$5:$B$6,$B31)*Assumptions!$D$10</f>
        <v>61246.398984766282</v>
      </c>
      <c r="D31" s="70">
        <f>TREND(D$5:D$6,$B$5:$B$6,$B31)*Assumptions!$D$10</f>
        <v>54441.243542014468</v>
      </c>
      <c r="E31" s="69">
        <f t="shared" si="2"/>
        <v>-6805.1554427518131</v>
      </c>
    </row>
    <row r="32" spans="2:17" x14ac:dyDescent="0.2">
      <c r="B32" s="1">
        <f t="shared" si="1"/>
        <v>2044</v>
      </c>
      <c r="C32" s="69">
        <f>TREND(C$5:C$6,$B$5:$B$6,$B32)*Assumptions!$D$10</f>
        <v>61246.398984766282</v>
      </c>
      <c r="D32" s="70">
        <f>TREND(D$5:D$6,$B$5:$B$6,$B32)*Assumptions!$D$10</f>
        <v>54441.243542014468</v>
      </c>
      <c r="E32" s="69">
        <f t="shared" si="2"/>
        <v>-6805.1554427518131</v>
      </c>
    </row>
    <row r="33" spans="1:5" x14ac:dyDescent="0.2">
      <c r="B33" s="1">
        <f t="shared" si="1"/>
        <v>2045</v>
      </c>
      <c r="C33" s="69">
        <f>TREND(C$5:C$6,$B$5:$B$6,$B33)*Assumptions!$D$10</f>
        <v>61246.398984766282</v>
      </c>
      <c r="D33" s="70">
        <f>TREND(D$5:D$6,$B$5:$B$6,$B33)*Assumptions!$D$10</f>
        <v>54441.243542014468</v>
      </c>
      <c r="E33" s="69">
        <f t="shared" si="2"/>
        <v>-6805.1554427518131</v>
      </c>
    </row>
    <row r="34" spans="1:5" ht="12.75" thickBot="1" x14ac:dyDescent="0.25">
      <c r="B34" s="15">
        <f t="shared" si="1"/>
        <v>2046</v>
      </c>
      <c r="C34" s="233">
        <f>TREND(C$5:C$6,$B$5:$B$6,$B34)*Assumptions!$D$10</f>
        <v>61246.398984766282</v>
      </c>
      <c r="D34" s="232">
        <f>TREND(D$5:D$6,$B$5:$B$6,$B34)*Assumptions!$D$10</f>
        <v>54441.243542014468</v>
      </c>
      <c r="E34" s="233">
        <f t="shared" si="2"/>
        <v>-6805.1554427518131</v>
      </c>
    </row>
    <row r="36" spans="1:5" x14ac:dyDescent="0.2">
      <c r="A36" s="129"/>
      <c r="B36" s="42"/>
      <c r="C36" s="42"/>
    </row>
    <row r="40" spans="1:5" ht="12" customHeight="1" x14ac:dyDescent="0.2"/>
    <row r="41" spans="1:5" x14ac:dyDescent="0.2">
      <c r="B41" s="42"/>
    </row>
    <row r="42" spans="1:5" x14ac:dyDescent="0.2">
      <c r="A42" s="129"/>
      <c r="B42" s="265"/>
      <c r="C42" s="131"/>
      <c r="D42" s="131"/>
      <c r="E42" s="229"/>
    </row>
    <row r="43" spans="1:5" x14ac:dyDescent="0.2">
      <c r="C43" s="131"/>
      <c r="D43" s="131"/>
    </row>
    <row r="44" spans="1:5" x14ac:dyDescent="0.2">
      <c r="C44" s="131"/>
      <c r="D44" s="131"/>
    </row>
    <row r="45" spans="1:5" x14ac:dyDescent="0.2">
      <c r="C45" s="131"/>
      <c r="D45" s="131"/>
    </row>
    <row r="46" spans="1:5" x14ac:dyDescent="0.2">
      <c r="C46" s="131"/>
      <c r="D46" s="131"/>
    </row>
    <row r="47" spans="1:5" x14ac:dyDescent="0.2">
      <c r="C47" s="131"/>
      <c r="D47" s="131"/>
    </row>
    <row r="48" spans="1:5" x14ac:dyDescent="0.2">
      <c r="C48" s="131"/>
      <c r="D48" s="131"/>
    </row>
    <row r="49" spans="3:4" x14ac:dyDescent="0.2">
      <c r="C49" s="131"/>
      <c r="D49" s="131"/>
    </row>
  </sheetData>
  <mergeCells count="7">
    <mergeCell ref="Z9:AD16"/>
    <mergeCell ref="E11:E12"/>
    <mergeCell ref="C2:E2"/>
    <mergeCell ref="B10:B12"/>
    <mergeCell ref="C10:E10"/>
    <mergeCell ref="C11:C12"/>
    <mergeCell ref="D11:D12"/>
  </mergeCells>
  <pageMargins left="0.25" right="0.25" top="0.75" bottom="0.75" header="0.3" footer="0.3"/>
  <pageSetup paperSize="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F2C8-021F-494D-96F4-B5F24DA03349}">
  <sheetPr>
    <tabColor rgb="FF00B050"/>
    <pageSetUpPr fitToPage="1"/>
  </sheetPr>
  <dimension ref="A1:P61"/>
  <sheetViews>
    <sheetView view="pageBreakPreview" zoomScaleNormal="85" zoomScaleSheetLayoutView="100" workbookViewId="0">
      <selection activeCell="C34" sqref="C34:F35"/>
    </sheetView>
  </sheetViews>
  <sheetFormatPr defaultRowHeight="12" x14ac:dyDescent="0.2"/>
  <cols>
    <col min="1" max="1" width="9.140625" style="129"/>
    <col min="2" max="4" width="10.140625" style="17" customWidth="1"/>
    <col min="5" max="5" width="12.140625" style="17" customWidth="1"/>
    <col min="6" max="6" width="10.140625" style="17" customWidth="1"/>
    <col min="7" max="7" width="13.140625" style="17" bestFit="1" customWidth="1"/>
    <col min="8" max="9" width="5.7109375" style="17" customWidth="1"/>
    <col min="10" max="10" width="37" style="17" customWidth="1"/>
    <col min="11" max="11" width="13.5703125" style="17" customWidth="1"/>
    <col min="12" max="12" width="22.28515625" style="17" bestFit="1" customWidth="1"/>
    <col min="13" max="13" width="17.140625" style="17" customWidth="1"/>
    <col min="14" max="14" width="18.5703125" style="17" customWidth="1"/>
    <col min="15" max="15" width="16.42578125" style="17" customWidth="1"/>
    <col min="16" max="17" width="9.140625" style="17"/>
    <col min="18" max="18" width="12.28515625" style="17" customWidth="1"/>
    <col min="19" max="19" width="9.7109375" style="17" customWidth="1"/>
    <col min="20" max="23" width="10.85546875" style="17" customWidth="1"/>
    <col min="24" max="16384" width="9.140625" style="17"/>
  </cols>
  <sheetData>
    <row r="1" spans="2:16" x14ac:dyDescent="0.2">
      <c r="F1" s="17">
        <v>6</v>
      </c>
    </row>
    <row r="2" spans="2:16" x14ac:dyDescent="0.2">
      <c r="B2" s="42" t="s">
        <v>2916</v>
      </c>
    </row>
    <row r="3" spans="2:16" ht="15" thickBot="1" x14ac:dyDescent="0.25">
      <c r="E3" s="11"/>
      <c r="J3" s="133" t="s">
        <v>2930</v>
      </c>
      <c r="K3" s="133"/>
    </row>
    <row r="4" spans="2:16" x14ac:dyDescent="0.2">
      <c r="B4" s="573" t="s">
        <v>0</v>
      </c>
      <c r="C4" s="512" t="s">
        <v>2898</v>
      </c>
      <c r="D4" s="508" t="s">
        <v>2897</v>
      </c>
      <c r="E4" s="502" t="s">
        <v>2896</v>
      </c>
      <c r="F4" s="508" t="s">
        <v>2895</v>
      </c>
      <c r="G4" s="502" t="s">
        <v>2806</v>
      </c>
      <c r="J4" s="156" t="s">
        <v>2894</v>
      </c>
      <c r="K4" s="157">
        <v>18.8</v>
      </c>
    </row>
    <row r="5" spans="2:16" ht="12.75" thickBot="1" x14ac:dyDescent="0.25">
      <c r="B5" s="574"/>
      <c r="C5" s="513"/>
      <c r="D5" s="523"/>
      <c r="E5" s="549"/>
      <c r="F5" s="523"/>
      <c r="G5" s="549"/>
      <c r="J5" s="158" t="s">
        <v>2893</v>
      </c>
      <c r="K5" s="159">
        <v>34</v>
      </c>
      <c r="L5" s="160"/>
    </row>
    <row r="6" spans="2:16" x14ac:dyDescent="0.2">
      <c r="B6" s="136">
        <f>B7-1</f>
        <v>2025</v>
      </c>
      <c r="C6" s="161"/>
      <c r="D6" s="138"/>
      <c r="E6" s="139"/>
      <c r="F6" s="140"/>
      <c r="G6" s="141"/>
      <c r="J6" s="162"/>
      <c r="K6" s="163"/>
      <c r="L6" s="11"/>
      <c r="M6" s="164"/>
      <c r="O6" s="165"/>
    </row>
    <row r="7" spans="2:16" ht="15" thickBot="1" x14ac:dyDescent="0.25">
      <c r="B7" s="142">
        <f>B8-1</f>
        <v>2026</v>
      </c>
      <c r="C7" s="137"/>
      <c r="D7" s="143"/>
      <c r="E7" s="144"/>
      <c r="F7" s="145"/>
      <c r="G7" s="146"/>
      <c r="J7" s="596" t="s">
        <v>2931</v>
      </c>
      <c r="K7" s="596"/>
      <c r="P7" s="165"/>
    </row>
    <row r="8" spans="2:16" x14ac:dyDescent="0.2">
      <c r="B8" s="136">
        <f>Assumptions!D8</f>
        <v>2027</v>
      </c>
      <c r="C8" s="161">
        <f>'Mitchell Annualization'!C15</f>
        <v>61246.398984766282</v>
      </c>
      <c r="D8" s="138">
        <f>'Mitchell Annualization'!D15</f>
        <v>54441.243542014468</v>
      </c>
      <c r="E8" s="139">
        <f>C8-D8</f>
        <v>6805.1554427518131</v>
      </c>
      <c r="F8" s="140">
        <f t="shared" ref="F8:F27" si="0">E8*K$16</f>
        <v>216383.63649566649</v>
      </c>
      <c r="G8" s="141">
        <f>F8*(1+0.07)^-(B8-2021)</f>
        <v>144185.5535400263</v>
      </c>
      <c r="I8" s="166"/>
      <c r="J8" s="156" t="s">
        <v>2892</v>
      </c>
      <c r="K8" s="167">
        <f>100%-K9</f>
        <v>0.84599999999999997</v>
      </c>
    </row>
    <row r="9" spans="2:16" ht="12.75" thickBot="1" x14ac:dyDescent="0.25">
      <c r="B9" s="142">
        <f t="shared" ref="B9:B27" si="1">B8+1</f>
        <v>2028</v>
      </c>
      <c r="C9" s="137">
        <f>'Mitchell Annualization'!C16</f>
        <v>61246.398984766282</v>
      </c>
      <c r="D9" s="143">
        <f>'Mitchell Annualization'!D16</f>
        <v>54441.243542014468</v>
      </c>
      <c r="E9" s="144">
        <f>C9-D9</f>
        <v>6805.1554427518131</v>
      </c>
      <c r="F9" s="145">
        <f t="shared" si="0"/>
        <v>216383.63649566649</v>
      </c>
      <c r="G9" s="146">
        <f t="shared" ref="G9:G27" si="2">F9*(1+0.07)^-(B9-2021)</f>
        <v>134752.8537757255</v>
      </c>
      <c r="J9" s="158" t="s">
        <v>2891</v>
      </c>
      <c r="K9" s="168">
        <v>0.154</v>
      </c>
      <c r="L9" s="162"/>
      <c r="M9" s="162"/>
      <c r="N9" s="162"/>
      <c r="O9" s="169"/>
    </row>
    <row r="10" spans="2:16" x14ac:dyDescent="0.2">
      <c r="B10" s="142">
        <f t="shared" si="1"/>
        <v>2029</v>
      </c>
      <c r="C10" s="137">
        <f>'Mitchell Annualization'!C17</f>
        <v>61246.398984766282</v>
      </c>
      <c r="D10" s="143">
        <f>'Mitchell Annualization'!D17</f>
        <v>54441.243542014468</v>
      </c>
      <c r="E10" s="144">
        <f t="shared" ref="E10:E27" si="3">C10-D10</f>
        <v>6805.1554427518131</v>
      </c>
      <c r="F10" s="145">
        <f t="shared" si="0"/>
        <v>216383.63649566649</v>
      </c>
      <c r="G10" s="146">
        <f t="shared" si="2"/>
        <v>125937.24651936963</v>
      </c>
      <c r="J10" s="162"/>
      <c r="K10" s="170"/>
    </row>
    <row r="11" spans="2:16" ht="15" thickBot="1" x14ac:dyDescent="0.25">
      <c r="B11" s="142">
        <f t="shared" si="1"/>
        <v>2030</v>
      </c>
      <c r="C11" s="137">
        <f>'Mitchell Annualization'!C18</f>
        <v>61246.398984766282</v>
      </c>
      <c r="D11" s="143">
        <f>'Mitchell Annualization'!D18</f>
        <v>54441.243542014468</v>
      </c>
      <c r="E11" s="144">
        <f t="shared" si="3"/>
        <v>6805.1554427518131</v>
      </c>
      <c r="F11" s="145">
        <f t="shared" si="0"/>
        <v>216383.63649566649</v>
      </c>
      <c r="G11" s="146">
        <f t="shared" si="2"/>
        <v>117698.36123305572</v>
      </c>
      <c r="J11" s="596" t="s">
        <v>2932</v>
      </c>
      <c r="K11" s="596"/>
    </row>
    <row r="12" spans="2:16" x14ac:dyDescent="0.2">
      <c r="B12" s="142">
        <f t="shared" si="1"/>
        <v>2031</v>
      </c>
      <c r="C12" s="137">
        <f>'Mitchell Annualization'!C19</f>
        <v>61246.398984766282</v>
      </c>
      <c r="D12" s="143">
        <f>'Mitchell Annualization'!D19</f>
        <v>54441.243542014468</v>
      </c>
      <c r="E12" s="144">
        <f t="shared" si="3"/>
        <v>6805.1554427518131</v>
      </c>
      <c r="F12" s="145">
        <f t="shared" si="0"/>
        <v>216383.63649566649</v>
      </c>
      <c r="G12" s="146">
        <f t="shared" si="2"/>
        <v>109998.46844210815</v>
      </c>
      <c r="J12" s="156" t="s">
        <v>2890</v>
      </c>
      <c r="K12" s="171">
        <v>1.67</v>
      </c>
      <c r="N12" s="11"/>
    </row>
    <row r="13" spans="2:16" ht="12.75" thickBot="1" x14ac:dyDescent="0.25">
      <c r="B13" s="142">
        <f t="shared" si="1"/>
        <v>2032</v>
      </c>
      <c r="C13" s="137">
        <f>'Mitchell Annualization'!C20</f>
        <v>61246.398984766282</v>
      </c>
      <c r="D13" s="143">
        <f>'Mitchell Annualization'!D20</f>
        <v>54441.243542014468</v>
      </c>
      <c r="E13" s="144">
        <f t="shared" si="3"/>
        <v>6805.1554427518131</v>
      </c>
      <c r="F13" s="145">
        <f t="shared" si="0"/>
        <v>216383.63649566649</v>
      </c>
      <c r="G13" s="146">
        <f t="shared" si="2"/>
        <v>102802.30695524125</v>
      </c>
      <c r="J13" s="158" t="s">
        <v>2889</v>
      </c>
      <c r="K13" s="172">
        <v>1</v>
      </c>
      <c r="N13" s="11"/>
    </row>
    <row r="14" spans="2:16" x14ac:dyDescent="0.2">
      <c r="B14" s="142">
        <f t="shared" si="1"/>
        <v>2033</v>
      </c>
      <c r="C14" s="137">
        <f>'Mitchell Annualization'!C21</f>
        <v>61246.398984766282</v>
      </c>
      <c r="D14" s="143">
        <f>'Mitchell Annualization'!D21</f>
        <v>54441.243542014468</v>
      </c>
      <c r="E14" s="144">
        <f t="shared" si="3"/>
        <v>6805.1554427518131</v>
      </c>
      <c r="F14" s="145">
        <f t="shared" si="0"/>
        <v>216383.63649566649</v>
      </c>
      <c r="G14" s="146">
        <f t="shared" si="2"/>
        <v>96076.922388075953</v>
      </c>
      <c r="J14" s="162"/>
      <c r="K14" s="170"/>
      <c r="L14" s="11"/>
      <c r="M14" s="11"/>
      <c r="N14" s="11"/>
    </row>
    <row r="15" spans="2:16" ht="12.75" thickBot="1" x14ac:dyDescent="0.25">
      <c r="B15" s="142">
        <f t="shared" si="1"/>
        <v>2034</v>
      </c>
      <c r="C15" s="137">
        <f>'Mitchell Annualization'!C22</f>
        <v>61246.398984766282</v>
      </c>
      <c r="D15" s="143">
        <f>'Mitchell Annualization'!D22</f>
        <v>54441.243542014468</v>
      </c>
      <c r="E15" s="144">
        <f t="shared" si="3"/>
        <v>6805.1554427518131</v>
      </c>
      <c r="F15" s="145">
        <f t="shared" si="0"/>
        <v>216383.63649566649</v>
      </c>
      <c r="G15" s="146">
        <f t="shared" si="2"/>
        <v>89791.516250538261</v>
      </c>
      <c r="J15" s="133" t="s">
        <v>2888</v>
      </c>
      <c r="K15" s="11"/>
      <c r="L15" s="11"/>
      <c r="M15" s="11"/>
      <c r="N15" s="11"/>
    </row>
    <row r="16" spans="2:16" ht="12.75" thickBot="1" x14ac:dyDescent="0.25">
      <c r="B16" s="142">
        <f t="shared" si="1"/>
        <v>2035</v>
      </c>
      <c r="C16" s="137">
        <f>'Mitchell Annualization'!C23</f>
        <v>61246.398984766282</v>
      </c>
      <c r="D16" s="143">
        <f>'Mitchell Annualization'!D23</f>
        <v>54441.243542014468</v>
      </c>
      <c r="E16" s="144">
        <f t="shared" si="3"/>
        <v>6805.1554427518131</v>
      </c>
      <c r="F16" s="145">
        <f t="shared" si="0"/>
        <v>216383.63649566649</v>
      </c>
      <c r="G16" s="146">
        <f>F16*(1+0.07)^-(B16-2021)</f>
        <v>83917.304907045109</v>
      </c>
      <c r="J16" s="97" t="s">
        <v>2887</v>
      </c>
      <c r="K16" s="173">
        <f>K4*K8*K12+K5*K9*K13</f>
        <v>31.797015999999999</v>
      </c>
      <c r="L16" s="174"/>
      <c r="M16" s="11"/>
      <c r="N16" s="175"/>
    </row>
    <row r="17" spans="2:14" x14ac:dyDescent="0.2">
      <c r="B17" s="142">
        <f t="shared" si="1"/>
        <v>2036</v>
      </c>
      <c r="C17" s="137">
        <f>'Mitchell Annualization'!C24</f>
        <v>61246.398984766282</v>
      </c>
      <c r="D17" s="143">
        <f>'Mitchell Annualization'!D24</f>
        <v>54441.243542014468</v>
      </c>
      <c r="E17" s="144">
        <f t="shared" si="3"/>
        <v>6805.1554427518131</v>
      </c>
      <c r="F17" s="145">
        <f t="shared" si="0"/>
        <v>216383.63649566649</v>
      </c>
      <c r="G17" s="146">
        <f t="shared" si="2"/>
        <v>78427.38776359355</v>
      </c>
      <c r="J17" s="162"/>
      <c r="K17" s="170"/>
      <c r="L17" s="176"/>
      <c r="M17" s="177"/>
      <c r="N17" s="177"/>
    </row>
    <row r="18" spans="2:14" x14ac:dyDescent="0.2">
      <c r="B18" s="142">
        <f t="shared" si="1"/>
        <v>2037</v>
      </c>
      <c r="C18" s="137">
        <f>'Mitchell Annualization'!C25</f>
        <v>61246.398984766282</v>
      </c>
      <c r="D18" s="143">
        <f>'Mitchell Annualization'!D25</f>
        <v>54441.243542014468</v>
      </c>
      <c r="E18" s="144">
        <f t="shared" si="3"/>
        <v>6805.1554427518131</v>
      </c>
      <c r="F18" s="145">
        <f t="shared" si="0"/>
        <v>216383.63649566649</v>
      </c>
      <c r="G18" s="146">
        <f t="shared" si="2"/>
        <v>73296.62407812482</v>
      </c>
      <c r="K18" s="597"/>
      <c r="L18" s="597"/>
      <c r="M18" s="597"/>
      <c r="N18" s="597"/>
    </row>
    <row r="19" spans="2:14" x14ac:dyDescent="0.2">
      <c r="B19" s="142">
        <f t="shared" si="1"/>
        <v>2038</v>
      </c>
      <c r="C19" s="137">
        <f>'Mitchell Annualization'!C26</f>
        <v>61246.398984766282</v>
      </c>
      <c r="D19" s="143">
        <f>'Mitchell Annualization'!D26</f>
        <v>54441.243542014468</v>
      </c>
      <c r="E19" s="144">
        <f t="shared" si="3"/>
        <v>6805.1554427518131</v>
      </c>
      <c r="F19" s="145">
        <f t="shared" si="0"/>
        <v>216383.63649566649</v>
      </c>
      <c r="G19" s="146">
        <f t="shared" si="2"/>
        <v>68501.517830023207</v>
      </c>
    </row>
    <row r="20" spans="2:14" x14ac:dyDescent="0.2">
      <c r="B20" s="142">
        <f t="shared" si="1"/>
        <v>2039</v>
      </c>
      <c r="C20" s="137">
        <f>'Mitchell Annualization'!C27</f>
        <v>61246.398984766282</v>
      </c>
      <c r="D20" s="143">
        <f>'Mitchell Annualization'!D27</f>
        <v>54441.243542014468</v>
      </c>
      <c r="E20" s="144">
        <f t="shared" si="3"/>
        <v>6805.1554427518131</v>
      </c>
      <c r="F20" s="145">
        <f t="shared" si="0"/>
        <v>216383.63649566649</v>
      </c>
      <c r="G20" s="146">
        <f t="shared" si="2"/>
        <v>64020.110121517006</v>
      </c>
      <c r="I20" s="131"/>
    </row>
    <row r="21" spans="2:14" x14ac:dyDescent="0.2">
      <c r="B21" s="142">
        <f t="shared" si="1"/>
        <v>2040</v>
      </c>
      <c r="C21" s="137">
        <f>'Mitchell Annualization'!C28</f>
        <v>61246.398984766282</v>
      </c>
      <c r="D21" s="143">
        <f>'Mitchell Annualization'!D28</f>
        <v>54441.243542014468</v>
      </c>
      <c r="E21" s="144">
        <f t="shared" si="3"/>
        <v>6805.1554427518131</v>
      </c>
      <c r="F21" s="145">
        <f t="shared" si="0"/>
        <v>216383.63649566649</v>
      </c>
      <c r="G21" s="146">
        <f t="shared" si="2"/>
        <v>59831.878618240189</v>
      </c>
      <c r="H21" s="11"/>
      <c r="I21" s="131"/>
    </row>
    <row r="22" spans="2:14" x14ac:dyDescent="0.2">
      <c r="B22" s="142">
        <f t="shared" si="1"/>
        <v>2041</v>
      </c>
      <c r="C22" s="137">
        <f>'Mitchell Annualization'!C29</f>
        <v>61246.398984766282</v>
      </c>
      <c r="D22" s="143">
        <f>'Mitchell Annualization'!D29</f>
        <v>54441.243542014468</v>
      </c>
      <c r="E22" s="144">
        <f t="shared" si="3"/>
        <v>6805.1554427518131</v>
      </c>
      <c r="F22" s="145">
        <f t="shared" si="0"/>
        <v>216383.63649566649</v>
      </c>
      <c r="G22" s="146">
        <f t="shared" si="2"/>
        <v>55917.643568448781</v>
      </c>
      <c r="I22" s="131"/>
    </row>
    <row r="23" spans="2:14" x14ac:dyDescent="0.2">
      <c r="B23" s="142">
        <f t="shared" si="1"/>
        <v>2042</v>
      </c>
      <c r="C23" s="137">
        <f>'Mitchell Annualization'!C30</f>
        <v>61246.398984766282</v>
      </c>
      <c r="D23" s="143">
        <f>'Mitchell Annualization'!D30</f>
        <v>54441.243542014468</v>
      </c>
      <c r="E23" s="144">
        <f t="shared" si="3"/>
        <v>6805.1554427518131</v>
      </c>
      <c r="F23" s="145">
        <f t="shared" si="0"/>
        <v>216383.63649566649</v>
      </c>
      <c r="G23" s="146">
        <f t="shared" si="2"/>
        <v>52259.479970512883</v>
      </c>
      <c r="I23" s="131"/>
    </row>
    <row r="24" spans="2:14" x14ac:dyDescent="0.2">
      <c r="B24" s="142">
        <f t="shared" si="1"/>
        <v>2043</v>
      </c>
      <c r="C24" s="137">
        <f>'Mitchell Annualization'!C31</f>
        <v>61246.398984766282</v>
      </c>
      <c r="D24" s="143">
        <f>'Mitchell Annualization'!D31</f>
        <v>54441.243542014468</v>
      </c>
      <c r="E24" s="144">
        <f t="shared" si="3"/>
        <v>6805.1554427518131</v>
      </c>
      <c r="F24" s="145">
        <f t="shared" si="0"/>
        <v>216383.63649566649</v>
      </c>
      <c r="G24" s="146">
        <f t="shared" si="2"/>
        <v>48840.635486460633</v>
      </c>
      <c r="H24" s="131"/>
      <c r="I24" s="131"/>
      <c r="L24" s="597"/>
      <c r="M24" s="597"/>
    </row>
    <row r="25" spans="2:14" x14ac:dyDescent="0.2">
      <c r="B25" s="142">
        <f t="shared" si="1"/>
        <v>2044</v>
      </c>
      <c r="C25" s="137">
        <f>'Mitchell Annualization'!C32</f>
        <v>61246.398984766282</v>
      </c>
      <c r="D25" s="143">
        <f>'Mitchell Annualization'!D32</f>
        <v>54441.243542014468</v>
      </c>
      <c r="E25" s="144">
        <f t="shared" si="3"/>
        <v>6805.1554427518131</v>
      </c>
      <c r="F25" s="145">
        <f t="shared" si="0"/>
        <v>216383.63649566649</v>
      </c>
      <c r="G25" s="146">
        <f t="shared" si="2"/>
        <v>45645.453725664142</v>
      </c>
      <c r="H25" s="131"/>
      <c r="I25" s="131"/>
    </row>
    <row r="26" spans="2:14" x14ac:dyDescent="0.2">
      <c r="B26" s="142">
        <f t="shared" si="1"/>
        <v>2045</v>
      </c>
      <c r="C26" s="137">
        <f>'Mitchell Annualization'!C33</f>
        <v>61246.398984766282</v>
      </c>
      <c r="D26" s="143">
        <f>'Mitchell Annualization'!D33</f>
        <v>54441.243542014468</v>
      </c>
      <c r="E26" s="144">
        <f t="shared" si="3"/>
        <v>6805.1554427518131</v>
      </c>
      <c r="F26" s="145">
        <f t="shared" si="0"/>
        <v>216383.63649566649</v>
      </c>
      <c r="G26" s="146">
        <f t="shared" si="2"/>
        <v>42659.302547349667</v>
      </c>
      <c r="H26" s="131"/>
      <c r="I26" s="131"/>
    </row>
    <row r="27" spans="2:14" ht="12.75" thickBot="1" x14ac:dyDescent="0.25">
      <c r="B27" s="147">
        <f t="shared" si="1"/>
        <v>2046</v>
      </c>
      <c r="C27" s="148">
        <f>'Mitchell Annualization'!C34</f>
        <v>61246.398984766282</v>
      </c>
      <c r="D27" s="149">
        <f>'Mitchell Annualization'!D34</f>
        <v>54441.243542014468</v>
      </c>
      <c r="E27" s="150">
        <f t="shared" si="3"/>
        <v>6805.1554427518131</v>
      </c>
      <c r="F27" s="151">
        <f t="shared" si="0"/>
        <v>216383.63649566649</v>
      </c>
      <c r="G27" s="152">
        <f t="shared" si="2"/>
        <v>39868.507053597816</v>
      </c>
      <c r="H27" s="131"/>
      <c r="I27" s="131"/>
    </row>
    <row r="28" spans="2:14" ht="12.75" thickBot="1" x14ac:dyDescent="0.25">
      <c r="C28" s="153"/>
      <c r="D28" s="153"/>
      <c r="E28" s="153"/>
      <c r="F28" s="154" t="s">
        <v>2809</v>
      </c>
      <c r="G28" s="155">
        <f>SUM(G8:G27)</f>
        <v>1634429.0747747184</v>
      </c>
      <c r="H28" s="131"/>
      <c r="I28" s="131"/>
    </row>
    <row r="29" spans="2:14" x14ac:dyDescent="0.2">
      <c r="F29" s="11"/>
      <c r="G29" s="11"/>
    </row>
    <row r="30" spans="2:14" x14ac:dyDescent="0.2">
      <c r="B30" s="133" t="s">
        <v>2828</v>
      </c>
    </row>
    <row r="31" spans="2:14" x14ac:dyDescent="0.2">
      <c r="B31" s="178" t="s">
        <v>2829</v>
      </c>
      <c r="C31" s="533" t="s">
        <v>2947</v>
      </c>
      <c r="D31" s="533"/>
      <c r="E31" s="533"/>
      <c r="F31" s="533"/>
      <c r="G31" s="131"/>
    </row>
    <row r="32" spans="2:14" x14ac:dyDescent="0.2">
      <c r="B32" s="131"/>
      <c r="C32" s="533"/>
      <c r="D32" s="533"/>
      <c r="E32" s="533"/>
      <c r="F32" s="533"/>
      <c r="G32" s="131"/>
    </row>
    <row r="33" spans="2:7" x14ac:dyDescent="0.2">
      <c r="B33" s="131"/>
      <c r="C33" s="533"/>
      <c r="D33" s="533"/>
      <c r="E33" s="533"/>
      <c r="F33" s="533"/>
      <c r="G33" s="131"/>
    </row>
    <row r="34" spans="2:7" x14ac:dyDescent="0.2">
      <c r="B34" s="178" t="s">
        <v>2842</v>
      </c>
      <c r="C34" s="533" t="s">
        <v>2948</v>
      </c>
      <c r="D34" s="533"/>
      <c r="E34" s="533"/>
      <c r="F34" s="533"/>
      <c r="G34" s="131"/>
    </row>
    <row r="35" spans="2:7" x14ac:dyDescent="0.2">
      <c r="B35" s="131"/>
      <c r="C35" s="533"/>
      <c r="D35" s="533"/>
      <c r="E35" s="533"/>
      <c r="F35" s="533"/>
    </row>
    <row r="36" spans="2:7" x14ac:dyDescent="0.2">
      <c r="B36" s="131"/>
      <c r="C36" s="131"/>
      <c r="D36" s="131"/>
      <c r="E36" s="131"/>
      <c r="F36" s="131"/>
      <c r="G36" s="131"/>
    </row>
    <row r="37" spans="2:7" x14ac:dyDescent="0.2">
      <c r="B37" s="131"/>
      <c r="C37" s="131"/>
      <c r="D37" s="131"/>
      <c r="E37" s="131"/>
      <c r="F37" s="131"/>
      <c r="G37" s="131"/>
    </row>
    <row r="38" spans="2:7" x14ac:dyDescent="0.2">
      <c r="B38" s="131"/>
      <c r="C38" s="131"/>
      <c r="D38" s="131"/>
      <c r="E38" s="131"/>
      <c r="F38" s="131"/>
      <c r="G38" s="131"/>
    </row>
    <row r="39" spans="2:7" x14ac:dyDescent="0.2">
      <c r="B39" s="131"/>
      <c r="C39" s="131"/>
      <c r="D39" s="131"/>
      <c r="E39" s="131"/>
      <c r="F39" s="131"/>
      <c r="G39" s="131"/>
    </row>
    <row r="40" spans="2:7" x14ac:dyDescent="0.2">
      <c r="B40" s="131"/>
      <c r="C40" s="131"/>
      <c r="D40" s="131"/>
      <c r="E40" s="131"/>
      <c r="F40" s="131"/>
      <c r="G40" s="131"/>
    </row>
    <row r="41" spans="2:7" x14ac:dyDescent="0.2">
      <c r="B41" s="131"/>
      <c r="C41" s="131"/>
      <c r="D41" s="131"/>
      <c r="E41" s="131"/>
      <c r="F41" s="131"/>
      <c r="G41" s="131"/>
    </row>
    <row r="42" spans="2:7" x14ac:dyDescent="0.2">
      <c r="B42" s="131"/>
      <c r="C42" s="131"/>
      <c r="D42" s="131"/>
      <c r="E42" s="131"/>
      <c r="F42" s="131"/>
      <c r="G42" s="131"/>
    </row>
    <row r="43" spans="2:7" x14ac:dyDescent="0.2">
      <c r="B43" s="131"/>
      <c r="C43" s="131"/>
      <c r="D43" s="131"/>
      <c r="E43" s="131"/>
      <c r="F43" s="131"/>
      <c r="G43" s="131"/>
    </row>
    <row r="44" spans="2:7" x14ac:dyDescent="0.2">
      <c r="B44" s="131"/>
      <c r="C44" s="131"/>
      <c r="D44" s="131"/>
      <c r="E44" s="131"/>
      <c r="F44" s="131"/>
      <c r="G44" s="131"/>
    </row>
    <row r="45" spans="2:7" x14ac:dyDescent="0.2">
      <c r="B45" s="131"/>
      <c r="C45" s="131"/>
      <c r="D45" s="131"/>
      <c r="E45" s="131"/>
      <c r="F45" s="131"/>
      <c r="G45" s="131"/>
    </row>
    <row r="46" spans="2:7" x14ac:dyDescent="0.2">
      <c r="B46" s="131"/>
      <c r="C46" s="131"/>
      <c r="D46" s="131"/>
      <c r="E46" s="131"/>
      <c r="F46" s="131"/>
      <c r="G46" s="131"/>
    </row>
    <row r="47" spans="2:7" x14ac:dyDescent="0.2">
      <c r="B47" s="131"/>
      <c r="C47" s="131"/>
      <c r="D47" s="131"/>
      <c r="E47" s="131"/>
      <c r="F47" s="131"/>
      <c r="G47" s="131"/>
    </row>
    <row r="48" spans="2:7" x14ac:dyDescent="0.2">
      <c r="B48" s="131"/>
      <c r="C48" s="131"/>
      <c r="D48" s="131"/>
      <c r="E48" s="131"/>
      <c r="F48" s="131"/>
      <c r="G48" s="131"/>
    </row>
    <row r="49" spans="2:13" x14ac:dyDescent="0.2">
      <c r="B49" s="131"/>
      <c r="C49" s="131"/>
      <c r="D49" s="131"/>
      <c r="E49" s="131"/>
      <c r="F49" s="131"/>
      <c r="G49" s="131"/>
      <c r="M49" s="131"/>
    </row>
    <row r="50" spans="2:13" x14ac:dyDescent="0.2">
      <c r="B50" s="131"/>
      <c r="C50" s="131"/>
      <c r="D50" s="131"/>
      <c r="E50" s="131"/>
      <c r="F50" s="131"/>
      <c r="G50" s="131"/>
      <c r="M50" s="131"/>
    </row>
    <row r="51" spans="2:13" x14ac:dyDescent="0.2">
      <c r="B51" s="131"/>
      <c r="C51" s="131"/>
      <c r="D51" s="131"/>
      <c r="E51" s="131"/>
      <c r="F51" s="131"/>
      <c r="G51" s="131"/>
      <c r="M51" s="131"/>
    </row>
    <row r="52" spans="2:13" x14ac:dyDescent="0.2">
      <c r="B52" s="131"/>
      <c r="C52" s="131"/>
      <c r="D52" s="131"/>
      <c r="E52" s="131"/>
      <c r="F52" s="131"/>
      <c r="G52" s="131"/>
      <c r="J52" s="131"/>
      <c r="K52" s="131"/>
      <c r="L52" s="131"/>
      <c r="M52" s="131"/>
    </row>
    <row r="53" spans="2:13" x14ac:dyDescent="0.2">
      <c r="B53" s="130"/>
      <c r="C53" s="130"/>
      <c r="D53" s="130"/>
      <c r="E53" s="130"/>
      <c r="F53" s="130"/>
      <c r="G53" s="130"/>
    </row>
    <row r="54" spans="2:13" x14ac:dyDescent="0.2">
      <c r="B54" s="131"/>
      <c r="C54" s="131"/>
      <c r="D54" s="131"/>
      <c r="E54" s="131"/>
      <c r="F54" s="131"/>
      <c r="G54" s="131"/>
    </row>
    <row r="55" spans="2:13" x14ac:dyDescent="0.2">
      <c r="B55" s="131"/>
      <c r="C55" s="131"/>
      <c r="D55" s="131"/>
      <c r="E55" s="131"/>
      <c r="F55" s="131"/>
      <c r="G55" s="131"/>
    </row>
    <row r="56" spans="2:13" x14ac:dyDescent="0.2">
      <c r="B56" s="131"/>
      <c r="C56" s="131"/>
      <c r="D56" s="131"/>
      <c r="E56" s="131"/>
      <c r="F56" s="131"/>
      <c r="G56" s="131"/>
    </row>
    <row r="57" spans="2:13" x14ac:dyDescent="0.2">
      <c r="B57" s="131"/>
      <c r="C57" s="131"/>
      <c r="D57" s="131"/>
      <c r="E57" s="131"/>
      <c r="F57" s="131"/>
      <c r="G57" s="131"/>
    </row>
    <row r="58" spans="2:13" x14ac:dyDescent="0.2">
      <c r="B58" s="131"/>
      <c r="C58" s="131"/>
      <c r="D58" s="131"/>
      <c r="E58" s="131"/>
      <c r="F58" s="131"/>
    </row>
    <row r="59" spans="2:13" x14ac:dyDescent="0.2">
      <c r="B59" s="131"/>
      <c r="C59" s="131"/>
      <c r="D59" s="131"/>
      <c r="E59" s="131"/>
      <c r="F59" s="131"/>
    </row>
    <row r="60" spans="2:13" x14ac:dyDescent="0.2">
      <c r="B60" s="131"/>
      <c r="C60" s="131"/>
      <c r="D60" s="131"/>
      <c r="E60" s="131"/>
      <c r="F60" s="131"/>
    </row>
    <row r="61" spans="2:13" x14ac:dyDescent="0.2">
      <c r="B61" s="131"/>
      <c r="C61" s="131"/>
      <c r="D61" s="131"/>
      <c r="E61" s="131"/>
      <c r="F61" s="131"/>
    </row>
  </sheetData>
  <mergeCells count="13">
    <mergeCell ref="G4:G5"/>
    <mergeCell ref="B4:B5"/>
    <mergeCell ref="C4:C5"/>
    <mergeCell ref="D4:D5"/>
    <mergeCell ref="E4:E5"/>
    <mergeCell ref="F4:F5"/>
    <mergeCell ref="C34:F35"/>
    <mergeCell ref="J7:K7"/>
    <mergeCell ref="J11:K11"/>
    <mergeCell ref="K18:L18"/>
    <mergeCell ref="M18:N18"/>
    <mergeCell ref="L24:M24"/>
    <mergeCell ref="C31:F33"/>
  </mergeCells>
  <pageMargins left="0.25" right="0.25" top="0.75" bottom="0.75" header="0.3" footer="0.3"/>
  <pageSetup paperSize="11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758E-35FE-47FD-BBB2-F9DE901766D6}">
  <sheetPr>
    <tabColor rgb="FF00B050"/>
    <pageSetUpPr fitToPage="1"/>
  </sheetPr>
  <dimension ref="A1:AV55"/>
  <sheetViews>
    <sheetView view="pageBreakPreview" topLeftCell="A8" zoomScale="70" zoomScaleNormal="40" zoomScaleSheetLayoutView="70" workbookViewId="0">
      <selection activeCell="K31" sqref="K31"/>
    </sheetView>
  </sheetViews>
  <sheetFormatPr defaultRowHeight="15" x14ac:dyDescent="0.25"/>
  <cols>
    <col min="1" max="1" width="3.7109375" customWidth="1"/>
    <col min="2" max="5" width="20.7109375" customWidth="1"/>
    <col min="6" max="7" width="5.7109375" customWidth="1"/>
    <col min="8" max="8" width="47.85546875" customWidth="1"/>
    <col min="9" max="9" width="11.140625" bestFit="1" customWidth="1"/>
    <col min="10" max="11" width="21.85546875" customWidth="1"/>
    <col min="12" max="13" width="10.85546875" customWidth="1"/>
    <col min="14" max="14" width="12.5703125" customWidth="1"/>
    <col min="15" max="15" width="18" bestFit="1" customWidth="1"/>
    <col min="16" max="16" width="22.7109375" bestFit="1" customWidth="1"/>
    <col min="17" max="17" width="34.140625" bestFit="1" customWidth="1"/>
    <col min="18" max="19" width="16" bestFit="1" customWidth="1"/>
    <col min="33" max="33" width="21.7109375" customWidth="1"/>
    <col min="34" max="34" width="14.85546875" customWidth="1"/>
    <col min="45" max="45" width="10.85546875" bestFit="1" customWidth="1"/>
    <col min="46" max="46" width="27.28515625" customWidth="1"/>
    <col min="47" max="47" width="11" bestFit="1" customWidth="1"/>
    <col min="48" max="48" width="11.5703125" bestFit="1" customWidth="1"/>
  </cols>
  <sheetData>
    <row r="1" spans="2:48" x14ac:dyDescent="0.25">
      <c r="B1" s="417">
        <v>1</v>
      </c>
      <c r="C1" s="417">
        <v>3</v>
      </c>
      <c r="D1" s="417">
        <v>6</v>
      </c>
      <c r="E1" s="417">
        <v>7</v>
      </c>
    </row>
    <row r="2" spans="2:48" x14ac:dyDescent="0.25">
      <c r="B2" s="412" t="s">
        <v>3063</v>
      </c>
    </row>
    <row r="3" spans="2:48" ht="15.75" customHeight="1" thickBot="1" x14ac:dyDescent="0.3">
      <c r="H3" s="418"/>
      <c r="AF3" s="595" t="s">
        <v>2900</v>
      </c>
      <c r="AG3" s="595" t="s">
        <v>3064</v>
      </c>
      <c r="AH3" s="583" t="s">
        <v>3065</v>
      </c>
      <c r="AI3" s="586" t="s">
        <v>3066</v>
      </c>
      <c r="AJ3" s="586"/>
      <c r="AK3" s="586"/>
      <c r="AL3" s="586"/>
      <c r="AM3" s="586"/>
      <c r="AO3" s="586" t="s">
        <v>3067</v>
      </c>
      <c r="AP3" s="586"/>
      <c r="AQ3" s="586"/>
      <c r="AR3" s="586"/>
      <c r="AS3" s="586"/>
      <c r="AT3" s="419" t="s">
        <v>3068</v>
      </c>
      <c r="AU3" s="583" t="s">
        <v>3069</v>
      </c>
      <c r="AV3" s="583"/>
    </row>
    <row r="4" spans="2:48" ht="35.1" customHeight="1" x14ac:dyDescent="0.25">
      <c r="B4" s="589" t="s">
        <v>0</v>
      </c>
      <c r="C4" s="591" t="s">
        <v>3044</v>
      </c>
      <c r="D4" s="593" t="s">
        <v>3070</v>
      </c>
      <c r="E4" s="584" t="s">
        <v>2806</v>
      </c>
      <c r="H4" s="418"/>
      <c r="AF4" s="595"/>
      <c r="AG4" s="595"/>
      <c r="AH4" s="583"/>
      <c r="AI4" s="586" t="s">
        <v>3071</v>
      </c>
      <c r="AJ4" s="586"/>
      <c r="AK4" s="586"/>
      <c r="AL4" s="586"/>
      <c r="AM4" s="586"/>
      <c r="AO4" s="586" t="s">
        <v>3071</v>
      </c>
      <c r="AP4" s="586"/>
      <c r="AQ4" s="586"/>
      <c r="AR4" s="586"/>
      <c r="AS4" s="586"/>
      <c r="AT4" s="420" t="s">
        <v>3072</v>
      </c>
      <c r="AU4" s="420" t="s">
        <v>3072</v>
      </c>
      <c r="AV4" s="420" t="s">
        <v>3073</v>
      </c>
    </row>
    <row r="5" spans="2:48" ht="43.5" customHeight="1" thickBot="1" x14ac:dyDescent="0.3">
      <c r="B5" s="590"/>
      <c r="C5" s="592"/>
      <c r="D5" s="594"/>
      <c r="E5" s="585"/>
      <c r="H5" s="412" t="s">
        <v>3060</v>
      </c>
      <c r="I5" s="413" t="s">
        <v>2826</v>
      </c>
      <c r="K5" s="414"/>
      <c r="AF5" s="595"/>
      <c r="AG5" s="595"/>
      <c r="AH5" s="583"/>
      <c r="AI5" s="421">
        <v>2</v>
      </c>
      <c r="AJ5" s="421">
        <v>3</v>
      </c>
      <c r="AK5" s="421">
        <v>4</v>
      </c>
      <c r="AL5" s="421">
        <v>5</v>
      </c>
      <c r="AM5" s="421">
        <v>6</v>
      </c>
      <c r="AO5" s="421">
        <v>2</v>
      </c>
      <c r="AP5" s="421">
        <v>3</v>
      </c>
      <c r="AQ5" s="421">
        <v>4</v>
      </c>
      <c r="AR5" s="421">
        <v>5</v>
      </c>
      <c r="AS5" s="421">
        <v>6</v>
      </c>
      <c r="AT5" s="420" t="s">
        <v>3074</v>
      </c>
      <c r="AU5" s="420"/>
      <c r="AV5" s="420"/>
    </row>
    <row r="6" spans="2:48" x14ac:dyDescent="0.25">
      <c r="B6" s="73">
        <f>Assumptions!D8</f>
        <v>2027</v>
      </c>
      <c r="C6" s="452">
        <f>SUMPRODUCT($I$22:$N$22,$I$23:$N$23)*Assumptions!$D$10</f>
        <v>2634584.7749999999</v>
      </c>
      <c r="D6" s="423">
        <f>C6*$I$17</f>
        <v>131090.67420447216</v>
      </c>
      <c r="E6" s="422">
        <f>D6*(1+0.07)^-(B6-Assumptions!$D$5)</f>
        <v>87351.251371013917</v>
      </c>
      <c r="H6" s="415" t="s">
        <v>3061</v>
      </c>
      <c r="I6" s="416">
        <f>AV11</f>
        <v>4.2549640000000014E-2</v>
      </c>
      <c r="K6" s="424"/>
      <c r="AF6" s="587" t="s">
        <v>3075</v>
      </c>
      <c r="AG6" s="425" t="s">
        <v>3076</v>
      </c>
      <c r="AH6" s="426">
        <f>8.8*1.6*($I$35/$I$45)</f>
        <v>16.755200000000002</v>
      </c>
      <c r="AI6" s="425">
        <v>1.02</v>
      </c>
      <c r="AJ6" s="425">
        <v>1.03</v>
      </c>
      <c r="AK6" s="425">
        <v>1.07</v>
      </c>
      <c r="AL6" s="425">
        <v>1.1399999999999999</v>
      </c>
      <c r="AM6" s="425">
        <v>1.21</v>
      </c>
      <c r="AO6" s="426">
        <f>$AH6*AI6</f>
        <v>17.090304000000003</v>
      </c>
      <c r="AP6" s="426">
        <f>$AH6*AJ6</f>
        <v>17.257856000000004</v>
      </c>
      <c r="AQ6" s="427">
        <f>$AH6*AK6</f>
        <v>17.928064000000003</v>
      </c>
      <c r="AR6" s="427">
        <f t="shared" ref="AO6:AS12" si="0">$AH6*AL6</f>
        <v>19.100928</v>
      </c>
      <c r="AS6" s="427">
        <f t="shared" si="0"/>
        <v>20.273792</v>
      </c>
      <c r="AT6" s="428">
        <f>AVERAGE(AS6)</f>
        <v>20.273792</v>
      </c>
      <c r="AU6" s="428">
        <f t="shared" ref="AU6:AU12" si="1">AT6-AH6</f>
        <v>3.5185919999999982</v>
      </c>
      <c r="AV6" s="429">
        <f t="shared" ref="AV6:AV12" si="2">AU6/100</f>
        <v>3.5185919999999982E-2</v>
      </c>
    </row>
    <row r="7" spans="2:48" x14ac:dyDescent="0.25">
      <c r="B7" s="1">
        <f t="shared" ref="B7:B25" si="3">B6+1</f>
        <v>2028</v>
      </c>
      <c r="C7" s="430">
        <f>SUMPRODUCT($I$22:$N$22,$I$23:$N$23)*Assumptions!$D$10</f>
        <v>2634584.7749999999</v>
      </c>
      <c r="D7" s="423">
        <f t="shared" ref="D7:D25" si="4">C7*$I$17</f>
        <v>131090.67420447216</v>
      </c>
      <c r="E7" s="431">
        <f>D7*(1+0.07)^-(B7-Assumptions!$D$5)</f>
        <v>81636.683524312059</v>
      </c>
      <c r="H7" s="415" t="s">
        <v>3062</v>
      </c>
      <c r="I7" s="416">
        <f>AV12</f>
        <v>8.9354719999999901E-2</v>
      </c>
      <c r="K7" s="424"/>
      <c r="AF7" s="587"/>
      <c r="AG7" s="425" t="s">
        <v>3077</v>
      </c>
      <c r="AH7" s="426">
        <f>10*1.6*($I$35/$I$45)</f>
        <v>19.04</v>
      </c>
      <c r="AI7" s="425">
        <v>1.01</v>
      </c>
      <c r="AJ7" s="425">
        <v>1.01</v>
      </c>
      <c r="AK7" s="425">
        <v>1.04</v>
      </c>
      <c r="AL7" s="425">
        <v>1.1000000000000001</v>
      </c>
      <c r="AM7" s="425">
        <v>1.1599999999999999</v>
      </c>
      <c r="AO7" s="426">
        <f t="shared" si="0"/>
        <v>19.230399999999999</v>
      </c>
      <c r="AP7" s="426">
        <f t="shared" si="0"/>
        <v>19.230399999999999</v>
      </c>
      <c r="AQ7" s="427">
        <f t="shared" si="0"/>
        <v>19.801600000000001</v>
      </c>
      <c r="AR7" s="427">
        <f t="shared" si="0"/>
        <v>20.943999999999999</v>
      </c>
      <c r="AS7" s="427">
        <f t="shared" si="0"/>
        <v>22.086399999999998</v>
      </c>
      <c r="AT7" s="428">
        <f t="shared" ref="AT7:AT10" si="5">AVERAGE(AS7)</f>
        <v>22.086399999999998</v>
      </c>
      <c r="AU7" s="428">
        <f t="shared" si="1"/>
        <v>3.0463999999999984</v>
      </c>
      <c r="AV7" s="429">
        <f t="shared" si="2"/>
        <v>3.0463999999999984E-2</v>
      </c>
    </row>
    <row r="8" spans="2:48" x14ac:dyDescent="0.25">
      <c r="B8" s="1">
        <f t="shared" si="3"/>
        <v>2029</v>
      </c>
      <c r="C8" s="430">
        <f>SUMPRODUCT($I$22:$N$22,$I$23:$N$23)*Assumptions!$D$10</f>
        <v>2634584.7749999999</v>
      </c>
      <c r="D8" s="423">
        <f t="shared" si="4"/>
        <v>131090.67420447216</v>
      </c>
      <c r="E8" s="431">
        <f>D8*(1+0.07)^-(B8-Assumptions!$D$5)</f>
        <v>76295.96591057202</v>
      </c>
      <c r="G8" s="432"/>
      <c r="H8" s="418" t="s">
        <v>3078</v>
      </c>
      <c r="I8" s="433"/>
      <c r="K8" s="417"/>
      <c r="AF8" s="587"/>
      <c r="AG8" s="425" t="s">
        <v>3079</v>
      </c>
      <c r="AH8" s="426">
        <f>10.2*1.6*($I$35/$I$45)</f>
        <v>19.4208</v>
      </c>
      <c r="AI8" s="425">
        <v>1.01</v>
      </c>
      <c r="AJ8" s="425">
        <v>1.03</v>
      </c>
      <c r="AK8" s="425">
        <v>1.08</v>
      </c>
      <c r="AL8" s="425">
        <v>1.18</v>
      </c>
      <c r="AM8" s="425">
        <v>1.29</v>
      </c>
      <c r="AO8" s="426">
        <f t="shared" si="0"/>
        <v>19.615008</v>
      </c>
      <c r="AP8" s="426">
        <f t="shared" si="0"/>
        <v>20.003423999999999</v>
      </c>
      <c r="AQ8" s="427">
        <f t="shared" si="0"/>
        <v>20.974464000000001</v>
      </c>
      <c r="AR8" s="427">
        <f t="shared" si="0"/>
        <v>22.916543999999998</v>
      </c>
      <c r="AS8" s="427">
        <f t="shared" si="0"/>
        <v>25.052832000000002</v>
      </c>
      <c r="AT8" s="428">
        <f t="shared" si="5"/>
        <v>25.052832000000002</v>
      </c>
      <c r="AU8" s="428">
        <f t="shared" si="1"/>
        <v>5.6320320000000024</v>
      </c>
      <c r="AV8" s="429">
        <f t="shared" si="2"/>
        <v>5.6320320000000021E-2</v>
      </c>
    </row>
    <row r="9" spans="2:48" ht="14.25" customHeight="1" x14ac:dyDescent="0.25">
      <c r="B9" s="1">
        <f t="shared" si="3"/>
        <v>2030</v>
      </c>
      <c r="C9" s="430">
        <f>SUMPRODUCT($I$22:$N$22,$I$23:$N$23)*Assumptions!$D$10</f>
        <v>2634584.7749999999</v>
      </c>
      <c r="D9" s="423">
        <f t="shared" si="4"/>
        <v>131090.67420447216</v>
      </c>
      <c r="E9" s="431">
        <f>D9*(1+0.07)^-(B9-Assumptions!$D$5)</f>
        <v>71304.641037917783</v>
      </c>
      <c r="G9" s="432"/>
      <c r="H9" s="434"/>
      <c r="I9" s="433"/>
      <c r="K9" s="417"/>
      <c r="AF9" s="587"/>
      <c r="AG9" s="425" t="s">
        <v>3080</v>
      </c>
      <c r="AH9" s="426">
        <f>14.9*1.6*($I$35/$I$45)</f>
        <v>28.369600000000002</v>
      </c>
      <c r="AI9" s="425">
        <v>1.01</v>
      </c>
      <c r="AJ9" s="425">
        <v>1.01</v>
      </c>
      <c r="AK9" s="425">
        <v>1.04</v>
      </c>
      <c r="AL9" s="425">
        <v>1.1000000000000001</v>
      </c>
      <c r="AM9" s="425">
        <v>1.17</v>
      </c>
      <c r="AO9" s="426">
        <f t="shared" si="0"/>
        <v>28.653296000000001</v>
      </c>
      <c r="AP9" s="426">
        <f t="shared" si="0"/>
        <v>28.653296000000001</v>
      </c>
      <c r="AQ9" s="427">
        <f t="shared" si="0"/>
        <v>29.504384000000002</v>
      </c>
      <c r="AR9" s="427">
        <f t="shared" si="0"/>
        <v>31.206560000000003</v>
      </c>
      <c r="AS9" s="427">
        <f t="shared" si="0"/>
        <v>33.192432000000004</v>
      </c>
      <c r="AT9" s="428">
        <f t="shared" si="5"/>
        <v>33.192432000000004</v>
      </c>
      <c r="AU9" s="428">
        <f t="shared" si="1"/>
        <v>4.8228320000000018</v>
      </c>
      <c r="AV9" s="429">
        <f t="shared" si="2"/>
        <v>4.8228320000000019E-2</v>
      </c>
    </row>
    <row r="10" spans="2:48" ht="15.75" thickBot="1" x14ac:dyDescent="0.3">
      <c r="B10" s="1">
        <f t="shared" si="3"/>
        <v>2031</v>
      </c>
      <c r="C10" s="430">
        <f>SUMPRODUCT($I$22:$N$22,$I$23:$N$23)*Assumptions!$D$10</f>
        <v>2634584.7749999999</v>
      </c>
      <c r="D10" s="423">
        <f t="shared" si="4"/>
        <v>131090.67420447216</v>
      </c>
      <c r="E10" s="431">
        <f>D10*(1+0.07)^-(B10-Assumptions!$D$5)</f>
        <v>66639.851437306337</v>
      </c>
      <c r="H10" s="435" t="s">
        <v>3106</v>
      </c>
      <c r="AF10" s="587"/>
      <c r="AG10" s="436" t="s">
        <v>3081</v>
      </c>
      <c r="AH10" s="426">
        <f>36.1*1.6*($I$35/$I$45)</f>
        <v>68.734400000000008</v>
      </c>
      <c r="AI10" s="436">
        <v>1.01</v>
      </c>
      <c r="AJ10" s="436">
        <v>1.02</v>
      </c>
      <c r="AK10" s="436">
        <v>1.04</v>
      </c>
      <c r="AL10" s="436">
        <v>1.08</v>
      </c>
      <c r="AM10" s="436">
        <v>1.1299999999999999</v>
      </c>
      <c r="AO10" s="437">
        <f t="shared" si="0"/>
        <v>69.421744000000004</v>
      </c>
      <c r="AP10" s="437">
        <f t="shared" si="0"/>
        <v>70.109088000000014</v>
      </c>
      <c r="AQ10" s="438">
        <f t="shared" si="0"/>
        <v>71.483776000000006</v>
      </c>
      <c r="AR10" s="438">
        <f t="shared" si="0"/>
        <v>74.233152000000018</v>
      </c>
      <c r="AS10" s="438">
        <f t="shared" si="0"/>
        <v>77.669871999999998</v>
      </c>
      <c r="AT10" s="439">
        <f t="shared" si="5"/>
        <v>77.669871999999998</v>
      </c>
      <c r="AU10" s="439">
        <f t="shared" si="1"/>
        <v>8.9354719999999901</v>
      </c>
      <c r="AV10" s="440">
        <f t="shared" si="2"/>
        <v>8.9354719999999901E-2</v>
      </c>
    </row>
    <row r="11" spans="2:48" x14ac:dyDescent="0.25">
      <c r="B11" s="1">
        <f t="shared" si="3"/>
        <v>2032</v>
      </c>
      <c r="C11" s="441">
        <f>SUMPRODUCT($I$22:$N$22,$I$23:$N$23)*Assumptions!$D$10</f>
        <v>2634584.7749999999</v>
      </c>
      <c r="D11" s="443">
        <f t="shared" si="4"/>
        <v>131090.67420447216</v>
      </c>
      <c r="E11" s="442">
        <f>D11*(1+0.07)^-(B11-Assumptions!$D$5)</f>
        <v>62280.234988136755</v>
      </c>
      <c r="AF11" s="444"/>
      <c r="AG11" s="445" t="s">
        <v>3082</v>
      </c>
      <c r="AH11" s="446">
        <f>AVERAGE(AH6:AH9)</f>
        <v>20.8964</v>
      </c>
      <c r="AI11" s="447">
        <f>AVERAGE(AI6:AI9)</f>
        <v>1.0125</v>
      </c>
      <c r="AJ11" s="447">
        <f t="shared" ref="AJ11:AM11" si="6">AVERAGE(AJ6:AJ9)</f>
        <v>1.02</v>
      </c>
      <c r="AK11" s="447">
        <f t="shared" si="6"/>
        <v>1.0575000000000001</v>
      </c>
      <c r="AL11" s="447">
        <f t="shared" si="6"/>
        <v>1.1299999999999999</v>
      </c>
      <c r="AM11" s="447">
        <f t="shared" si="6"/>
        <v>1.2075</v>
      </c>
      <c r="AN11" s="448"/>
      <c r="AO11" s="446">
        <f>$AH11*AI11</f>
        <v>21.157605</v>
      </c>
      <c r="AP11" s="446">
        <f t="shared" si="0"/>
        <v>21.314328</v>
      </c>
      <c r="AQ11" s="449">
        <f t="shared" si="0"/>
        <v>22.097943000000001</v>
      </c>
      <c r="AR11" s="449">
        <f>$AH11*AL11</f>
        <v>23.612931999999997</v>
      </c>
      <c r="AS11" s="449">
        <f>$AH11*AM11</f>
        <v>25.232403000000001</v>
      </c>
      <c r="AT11" s="450">
        <f>AVERAGE(AT6:AT9)</f>
        <v>25.151364000000001</v>
      </c>
      <c r="AU11" s="450">
        <f t="shared" si="1"/>
        <v>4.2549640000000011</v>
      </c>
      <c r="AV11" s="451">
        <f t="shared" si="2"/>
        <v>4.2549640000000014E-2</v>
      </c>
    </row>
    <row r="12" spans="2:48" ht="18" thickBot="1" x14ac:dyDescent="0.3">
      <c r="B12" s="1">
        <f t="shared" si="3"/>
        <v>2033</v>
      </c>
      <c r="C12" s="452">
        <f>SUMPRODUCT($I$22:$N$22,$I$23:$N$23)*Assumptions!$D$10</f>
        <v>2634584.7749999999</v>
      </c>
      <c r="D12" s="443">
        <f t="shared" si="4"/>
        <v>131090.67420447216</v>
      </c>
      <c r="E12" s="442">
        <f>D12*(1+0.07)^-(B12-Assumptions!$D$5)</f>
        <v>58205.827091716601</v>
      </c>
      <c r="H12" s="588" t="s">
        <v>3083</v>
      </c>
      <c r="I12" s="588"/>
      <c r="AF12" s="444"/>
      <c r="AG12" s="454" t="s">
        <v>3084</v>
      </c>
      <c r="AH12" s="455">
        <f>AH10</f>
        <v>68.734400000000008</v>
      </c>
      <c r="AI12" s="456">
        <f>AI10</f>
        <v>1.01</v>
      </c>
      <c r="AJ12" s="456">
        <f t="shared" ref="AJ12:AM12" si="7">AJ10</f>
        <v>1.02</v>
      </c>
      <c r="AK12" s="456">
        <f t="shared" si="7"/>
        <v>1.04</v>
      </c>
      <c r="AL12" s="456">
        <f t="shared" si="7"/>
        <v>1.08</v>
      </c>
      <c r="AM12" s="456">
        <f t="shared" si="7"/>
        <v>1.1299999999999999</v>
      </c>
      <c r="AN12" s="457"/>
      <c r="AO12" s="455">
        <f t="shared" si="0"/>
        <v>69.421744000000004</v>
      </c>
      <c r="AP12" s="455">
        <f t="shared" si="0"/>
        <v>70.109088000000014</v>
      </c>
      <c r="AQ12" s="458">
        <f t="shared" si="0"/>
        <v>71.483776000000006</v>
      </c>
      <c r="AR12" s="458">
        <f t="shared" si="0"/>
        <v>74.233152000000018</v>
      </c>
      <c r="AS12" s="458">
        <f t="shared" si="0"/>
        <v>77.669871999999998</v>
      </c>
      <c r="AT12" s="459">
        <f>AT10</f>
        <v>77.669871999999998</v>
      </c>
      <c r="AU12" s="459">
        <f t="shared" si="1"/>
        <v>8.9354719999999901</v>
      </c>
      <c r="AV12" s="460">
        <f t="shared" si="2"/>
        <v>8.9354719999999901E-2</v>
      </c>
    </row>
    <row r="13" spans="2:48" ht="15" customHeight="1" x14ac:dyDescent="0.25">
      <c r="B13" s="1">
        <f t="shared" si="3"/>
        <v>2034</v>
      </c>
      <c r="C13" s="452">
        <f>SUMPRODUCT($I$22:$N$22,$I$23:$N$23)*Assumptions!$D$10</f>
        <v>2634584.7749999999</v>
      </c>
      <c r="D13" s="443">
        <f t="shared" si="4"/>
        <v>131090.67420447216</v>
      </c>
      <c r="E13" s="442">
        <f>D13*(1+0.07)^-(B13-Assumptions!$D$5)</f>
        <v>54397.969244594948</v>
      </c>
      <c r="H13" s="415" t="s">
        <v>2892</v>
      </c>
      <c r="I13" s="461">
        <f>1-I14</f>
        <v>0.84599999999999997</v>
      </c>
      <c r="K13" s="462"/>
    </row>
    <row r="14" spans="2:48" x14ac:dyDescent="0.25">
      <c r="B14" s="1">
        <f t="shared" si="3"/>
        <v>2035</v>
      </c>
      <c r="C14" s="452">
        <f>SUMPRODUCT($I$22:$N$22,$I$23:$N$23)*Assumptions!$D$10</f>
        <v>2634584.7749999999</v>
      </c>
      <c r="D14" s="443">
        <f t="shared" si="4"/>
        <v>131090.67420447216</v>
      </c>
      <c r="E14" s="442">
        <f>D14*(1+0.07)^-(B14-Assumptions!$D$5)</f>
        <v>50839.223593079398</v>
      </c>
      <c r="H14" s="415" t="s">
        <v>2891</v>
      </c>
      <c r="I14" s="461">
        <f>'Mitchell Travel Time'!K9</f>
        <v>0.154</v>
      </c>
      <c r="K14" s="462"/>
      <c r="AG14" t="s">
        <v>3085</v>
      </c>
      <c r="AH14">
        <v>63.4</v>
      </c>
      <c r="AI14" t="s">
        <v>3086</v>
      </c>
    </row>
    <row r="15" spans="2:48" x14ac:dyDescent="0.25">
      <c r="B15" s="1">
        <f t="shared" si="3"/>
        <v>2036</v>
      </c>
      <c r="C15" s="452">
        <f>SUMPRODUCT($I$22:$N$22,$I$23:$N$23)*Assumptions!$D$10</f>
        <v>2634584.7749999999</v>
      </c>
      <c r="D15" s="443">
        <f t="shared" si="4"/>
        <v>131090.67420447216</v>
      </c>
      <c r="E15" s="442">
        <f>D15*(1+0.07)^-(B15-Assumptions!$D$5)</f>
        <v>47513.293077644288</v>
      </c>
      <c r="H15" s="418"/>
      <c r="I15" s="463"/>
      <c r="AG15" t="s">
        <v>3087</v>
      </c>
      <c r="AH15">
        <f>AH14*3</f>
        <v>190.2</v>
      </c>
      <c r="AI15" t="s">
        <v>3086</v>
      </c>
      <c r="AJ15" t="s">
        <v>3088</v>
      </c>
    </row>
    <row r="16" spans="2:48" x14ac:dyDescent="0.25">
      <c r="B16" s="1">
        <f t="shared" si="3"/>
        <v>2037</v>
      </c>
      <c r="C16" s="452">
        <f>SUMPRODUCT($I$22:$N$22,$I$23:$N$23)*Assumptions!$D$10</f>
        <v>2634584.7749999999</v>
      </c>
      <c r="D16" s="443">
        <f t="shared" si="4"/>
        <v>131090.67420447216</v>
      </c>
      <c r="E16" s="442">
        <f>D16*(1+0.07)^-(B16-Assumptions!$D$5)</f>
        <v>44404.946801536724</v>
      </c>
      <c r="H16" s="453" t="s">
        <v>3089</v>
      </c>
      <c r="I16" s="417"/>
      <c r="AG16" t="s">
        <v>3090</v>
      </c>
      <c r="AH16">
        <f>AH14*4</f>
        <v>253.6</v>
      </c>
      <c r="AI16" t="s">
        <v>3086</v>
      </c>
      <c r="AJ16" t="s">
        <v>3091</v>
      </c>
    </row>
    <row r="17" spans="1:44" x14ac:dyDescent="0.25">
      <c r="B17" s="1">
        <f t="shared" si="3"/>
        <v>2038</v>
      </c>
      <c r="C17" s="452">
        <f>SUMPRODUCT($I$22:$N$22,$I$23:$N$23)*Assumptions!$D$10</f>
        <v>2634584.7749999999</v>
      </c>
      <c r="D17" s="443">
        <f t="shared" si="4"/>
        <v>131090.67420447216</v>
      </c>
      <c r="E17" s="442">
        <f>D17*(1+0.07)^-(B17-Assumptions!$D$5)</f>
        <v>41499.950281810023</v>
      </c>
      <c r="H17" s="464" t="s">
        <v>3092</v>
      </c>
      <c r="I17" s="465">
        <f>(I6*I13)+(I7*I14)</f>
        <v>4.975762232E-2</v>
      </c>
      <c r="K17" s="466"/>
    </row>
    <row r="18" spans="1:44" x14ac:dyDescent="0.25">
      <c r="B18" s="1">
        <f t="shared" si="3"/>
        <v>2039</v>
      </c>
      <c r="C18" s="452">
        <f>SUMPRODUCT($I$22:$N$22,$I$23:$N$23)*Assumptions!$D$10</f>
        <v>2634584.7749999999</v>
      </c>
      <c r="D18" s="443">
        <f t="shared" si="4"/>
        <v>131090.67420447216</v>
      </c>
      <c r="E18" s="442">
        <f>D18*(1+0.07)^-(B18-Assumptions!$D$5)</f>
        <v>38785.000263373848</v>
      </c>
      <c r="AR18" s="467"/>
    </row>
    <row r="19" spans="1:44" ht="15.75" thickBot="1" x14ac:dyDescent="0.3">
      <c r="B19" s="1">
        <f t="shared" si="3"/>
        <v>2040</v>
      </c>
      <c r="C19" s="452">
        <f>SUMPRODUCT($I$22:$N$22,$I$23:$N$23)*Assumptions!$D$10</f>
        <v>2634584.7749999999</v>
      </c>
      <c r="D19" s="443">
        <f t="shared" si="4"/>
        <v>131090.67420447216</v>
      </c>
      <c r="E19" s="442">
        <f>D19*(1+0.07)^-(B19-Assumptions!$D$5)</f>
        <v>36247.663797545654</v>
      </c>
      <c r="H19" s="42" t="s">
        <v>2990</v>
      </c>
      <c r="AC19" t="s">
        <v>3094</v>
      </c>
      <c r="AN19" s="467"/>
    </row>
    <row r="20" spans="1:44" ht="14.25" customHeight="1" thickBot="1" x14ac:dyDescent="0.3">
      <c r="B20" s="1">
        <f t="shared" si="3"/>
        <v>2041</v>
      </c>
      <c r="C20" s="452">
        <f>SUMPRODUCT($I$22:$N$22,$I$23:$N$23)*Assumptions!$D$10</f>
        <v>2634584.7749999999</v>
      </c>
      <c r="D20" s="443">
        <f t="shared" si="4"/>
        <v>131090.67420447216</v>
      </c>
      <c r="E20" s="442">
        <f>D20*(1+0.07)^-(B20-Assumptions!$D$5)</f>
        <v>33876.321306117439</v>
      </c>
      <c r="H20" s="312" t="s">
        <v>2979</v>
      </c>
      <c r="I20" s="313" t="s">
        <v>2624</v>
      </c>
      <c r="J20" s="314" t="s">
        <v>2624</v>
      </c>
      <c r="K20" s="312" t="s">
        <v>2624</v>
      </c>
      <c r="L20" s="313" t="s">
        <v>2624</v>
      </c>
      <c r="M20" s="314" t="s">
        <v>2984</v>
      </c>
      <c r="N20" s="312" t="s">
        <v>2984</v>
      </c>
    </row>
    <row r="21" spans="1:44" x14ac:dyDescent="0.25">
      <c r="B21" s="1">
        <f t="shared" si="3"/>
        <v>2042</v>
      </c>
      <c r="C21" s="452">
        <f>SUMPRODUCT($I$22:$N$22,$I$23:$N$23)*Assumptions!$D$10</f>
        <v>2634584.7749999999</v>
      </c>
      <c r="D21" s="443">
        <f t="shared" si="4"/>
        <v>131090.67420447216</v>
      </c>
      <c r="E21" s="442">
        <f>D21*(1+0.07)^-(B21-Assumptions!$D$5)</f>
        <v>31660.113370203213</v>
      </c>
      <c r="H21" s="59" t="s">
        <v>2814</v>
      </c>
      <c r="I21" s="253" t="s">
        <v>2980</v>
      </c>
      <c r="J21" s="315" t="s">
        <v>2981</v>
      </c>
      <c r="K21" s="91" t="s">
        <v>2982</v>
      </c>
      <c r="L21" s="253" t="s">
        <v>2983</v>
      </c>
      <c r="M21" s="315" t="s">
        <v>2985</v>
      </c>
      <c r="N21" s="92" t="s">
        <v>2986</v>
      </c>
      <c r="AN21" s="470"/>
      <c r="AO21" s="471"/>
      <c r="AP21" s="471"/>
    </row>
    <row r="22" spans="1:44" x14ac:dyDescent="0.25">
      <c r="B22" s="1">
        <f t="shared" si="3"/>
        <v>2043</v>
      </c>
      <c r="C22" s="452">
        <f>SUMPRODUCT($I$22:$N$22,$I$23:$N$23)*Assumptions!$D$10</f>
        <v>2634584.7749999999</v>
      </c>
      <c r="D22" s="443">
        <f t="shared" si="4"/>
        <v>131090.67420447216</v>
      </c>
      <c r="E22" s="442">
        <f>D22*(1+0.07)^-(B22-Assumptions!$D$5)</f>
        <v>29588.891000189917</v>
      </c>
      <c r="H22" s="38" t="s">
        <v>2813</v>
      </c>
      <c r="I22" s="93">
        <v>1030</v>
      </c>
      <c r="J22" s="93">
        <v>1330</v>
      </c>
      <c r="K22" s="65">
        <v>2340</v>
      </c>
      <c r="L22" s="93">
        <v>1490</v>
      </c>
      <c r="M22" s="93">
        <v>800</v>
      </c>
      <c r="N22" s="39">
        <v>710</v>
      </c>
      <c r="AN22" s="470"/>
      <c r="AO22" s="472"/>
      <c r="AP22" s="472"/>
    </row>
    <row r="23" spans="1:44" ht="15.75" thickBot="1" x14ac:dyDescent="0.3">
      <c r="B23" s="1">
        <f t="shared" si="3"/>
        <v>2044</v>
      </c>
      <c r="C23" s="452">
        <f>SUMPRODUCT($I$22:$N$22,$I$23:$N$23)*Assumptions!$D$10</f>
        <v>2634584.7749999999</v>
      </c>
      <c r="D23" s="443">
        <f t="shared" si="4"/>
        <v>131090.67420447216</v>
      </c>
      <c r="E23" s="442">
        <f>D23*(1+0.07)^-(B23-Assumptions!$D$5)</f>
        <v>27653.169159055997</v>
      </c>
      <c r="H23" s="60" t="s">
        <v>2812</v>
      </c>
      <c r="I23" s="316">
        <v>1.84</v>
      </c>
      <c r="J23" s="316">
        <v>3.37</v>
      </c>
      <c r="K23" s="316">
        <v>0.06</v>
      </c>
      <c r="L23" s="316">
        <v>0.19</v>
      </c>
      <c r="M23" s="316">
        <v>0.4</v>
      </c>
      <c r="N23" s="317">
        <v>0.13</v>
      </c>
      <c r="O23" s="412"/>
      <c r="AN23" s="470"/>
      <c r="AO23" s="472"/>
      <c r="AP23" s="472"/>
    </row>
    <row r="24" spans="1:44" x14ac:dyDescent="0.25">
      <c r="B24" s="1">
        <f t="shared" si="3"/>
        <v>2045</v>
      </c>
      <c r="C24" s="452">
        <f>SUMPRODUCT($I$22:$N$22,$I$23:$N$23)*Assumptions!$D$10</f>
        <v>2634584.7749999999</v>
      </c>
      <c r="D24" s="443">
        <f t="shared" si="4"/>
        <v>131090.67420447216</v>
      </c>
      <c r="E24" s="442">
        <f>D24*(1+0.07)^-(B24-Assumptions!$D$5)</f>
        <v>25844.083326220556</v>
      </c>
      <c r="H24" s="418"/>
      <c r="I24" s="463"/>
      <c r="O24" s="412"/>
    </row>
    <row r="25" spans="1:44" ht="15" customHeight="1" thickBot="1" x14ac:dyDescent="0.3">
      <c r="B25" s="15">
        <f t="shared" si="3"/>
        <v>2046</v>
      </c>
      <c r="C25" s="473">
        <f>SUMPRODUCT($I$22:$N$22,$I$23:$N$23)*Assumptions!$D$10</f>
        <v>2634584.7749999999</v>
      </c>
      <c r="D25" s="475">
        <f t="shared" si="4"/>
        <v>131090.67420447216</v>
      </c>
      <c r="E25" s="474">
        <f>D25*(1+0.07)^-(B25-Assumptions!$D$5)</f>
        <v>24153.348903009864</v>
      </c>
      <c r="H25" s="453" t="s">
        <v>3093</v>
      </c>
      <c r="I25" s="468"/>
      <c r="O25" s="582"/>
      <c r="P25" s="582"/>
      <c r="Q25" s="582"/>
      <c r="R25" s="582"/>
      <c r="S25" s="582"/>
      <c r="T25" s="582"/>
      <c r="U25" s="582"/>
      <c r="V25" s="582"/>
      <c r="W25" s="582"/>
      <c r="X25" s="582"/>
      <c r="Y25" s="582"/>
    </row>
    <row r="26" spans="1:44" ht="15" customHeight="1" thickBot="1" x14ac:dyDescent="0.3">
      <c r="B26" s="17"/>
      <c r="C26" s="153"/>
      <c r="D26" s="370" t="s">
        <v>2809</v>
      </c>
      <c r="E26" s="155">
        <f>SUM(E6:E25)</f>
        <v>990178.42948535725</v>
      </c>
      <c r="H26" s="469" t="s">
        <v>2797</v>
      </c>
      <c r="I26" s="469" t="s">
        <v>3095</v>
      </c>
      <c r="O26" s="582"/>
      <c r="P26" s="582"/>
      <c r="Q26" s="582"/>
      <c r="R26" s="582"/>
      <c r="S26" s="582"/>
      <c r="T26" s="582"/>
      <c r="U26" s="582"/>
      <c r="V26" s="582"/>
      <c r="W26" s="582"/>
      <c r="X26" s="582"/>
      <c r="Y26" s="582"/>
    </row>
    <row r="27" spans="1:44" x14ac:dyDescent="0.25">
      <c r="D27" s="417"/>
      <c r="E27" s="417"/>
      <c r="F27" s="417"/>
      <c r="H27" s="469">
        <v>2003</v>
      </c>
      <c r="I27" s="469">
        <v>1.44</v>
      </c>
      <c r="O27" s="477"/>
    </row>
    <row r="28" spans="1:44" x14ac:dyDescent="0.25">
      <c r="B28" s="412" t="s">
        <v>2828</v>
      </c>
      <c r="H28" s="469">
        <v>2004</v>
      </c>
      <c r="I28" s="469">
        <v>1.4</v>
      </c>
    </row>
    <row r="29" spans="1:44" ht="15" customHeight="1" x14ac:dyDescent="0.25">
      <c r="A29" s="478" t="s">
        <v>2829</v>
      </c>
      <c r="B29" s="582" t="s">
        <v>3096</v>
      </c>
      <c r="C29" s="582"/>
      <c r="D29" s="582"/>
      <c r="H29" s="469">
        <v>2005</v>
      </c>
      <c r="I29" s="469">
        <v>1.36</v>
      </c>
    </row>
    <row r="30" spans="1:44" x14ac:dyDescent="0.25">
      <c r="B30" s="582"/>
      <c r="C30" s="582"/>
      <c r="D30" s="582"/>
      <c r="F30" s="479"/>
      <c r="G30" s="480"/>
      <c r="H30" s="469">
        <v>2006</v>
      </c>
      <c r="I30" s="469">
        <v>1.32</v>
      </c>
      <c r="AC30" s="477"/>
    </row>
    <row r="31" spans="1:44" x14ac:dyDescent="0.25">
      <c r="B31" s="582"/>
      <c r="C31" s="582"/>
      <c r="D31" s="582"/>
      <c r="F31" s="479"/>
      <c r="G31" s="481"/>
      <c r="H31" s="469">
        <v>2007</v>
      </c>
      <c r="I31" s="469">
        <v>1.28</v>
      </c>
      <c r="O31" s="412" t="s">
        <v>3097</v>
      </c>
    </row>
    <row r="32" spans="1:44" x14ac:dyDescent="0.25">
      <c r="B32" s="582"/>
      <c r="C32" s="582"/>
      <c r="D32" s="582"/>
      <c r="G32" s="479"/>
      <c r="H32" s="469">
        <v>2008</v>
      </c>
      <c r="I32" s="469">
        <v>1.26</v>
      </c>
      <c r="O32" s="412" t="s">
        <v>3098</v>
      </c>
    </row>
    <row r="33" spans="1:29" ht="15" customHeight="1" x14ac:dyDescent="0.25">
      <c r="B33" s="479"/>
      <c r="C33" s="479"/>
      <c r="G33" s="479"/>
      <c r="H33" s="469">
        <v>2009</v>
      </c>
      <c r="I33" s="469">
        <v>1.25</v>
      </c>
      <c r="O33" s="477" t="s">
        <v>3099</v>
      </c>
    </row>
    <row r="34" spans="1:29" ht="15" customHeight="1" x14ac:dyDescent="0.25">
      <c r="A34" s="478" t="s">
        <v>2842</v>
      </c>
      <c r="B34" s="582" t="s">
        <v>3100</v>
      </c>
      <c r="C34" s="582"/>
      <c r="D34" s="582"/>
      <c r="G34" s="479"/>
      <c r="H34" s="469">
        <v>2010</v>
      </c>
      <c r="I34" s="469">
        <v>1.21</v>
      </c>
    </row>
    <row r="35" spans="1:29" ht="15" customHeight="1" x14ac:dyDescent="0.25">
      <c r="A35" s="478"/>
      <c r="B35" s="582"/>
      <c r="C35" s="582"/>
      <c r="D35" s="582"/>
      <c r="G35" s="479"/>
      <c r="H35" s="469">
        <v>2011</v>
      </c>
      <c r="I35" s="469">
        <v>1.19</v>
      </c>
    </row>
    <row r="36" spans="1:29" ht="15" customHeight="1" x14ac:dyDescent="0.25">
      <c r="A36" s="478"/>
      <c r="B36" s="476"/>
      <c r="C36" s="476"/>
      <c r="D36" s="476"/>
      <c r="G36" s="479"/>
      <c r="H36" s="469">
        <v>2012</v>
      </c>
      <c r="I36" s="469">
        <v>1.17</v>
      </c>
    </row>
    <row r="37" spans="1:29" x14ac:dyDescent="0.25">
      <c r="A37" s="478" t="s">
        <v>2841</v>
      </c>
      <c r="B37" s="582" t="s">
        <v>3101</v>
      </c>
      <c r="C37" s="582"/>
      <c r="D37" s="582"/>
      <c r="G37" s="479"/>
      <c r="H37" s="469">
        <v>2013</v>
      </c>
      <c r="I37" s="469">
        <v>1.1499999999999999</v>
      </c>
    </row>
    <row r="38" spans="1:29" x14ac:dyDescent="0.25">
      <c r="B38" s="582"/>
      <c r="C38" s="582"/>
      <c r="D38" s="582"/>
      <c r="G38" s="479"/>
      <c r="H38" s="469">
        <v>2014</v>
      </c>
      <c r="I38" s="469">
        <v>1.1399999999999999</v>
      </c>
    </row>
    <row r="39" spans="1:29" ht="15" customHeight="1" x14ac:dyDescent="0.25">
      <c r="B39" s="582"/>
      <c r="C39" s="582"/>
      <c r="D39" s="582"/>
      <c r="G39" s="479"/>
      <c r="H39" s="469">
        <v>2015</v>
      </c>
      <c r="I39" s="469">
        <v>1.1200000000000001</v>
      </c>
    </row>
    <row r="40" spans="1:29" ht="15" customHeight="1" x14ac:dyDescent="0.25">
      <c r="B40" s="582"/>
      <c r="C40" s="582"/>
      <c r="D40" s="582"/>
      <c r="H40" s="469">
        <v>2016</v>
      </c>
      <c r="I40" s="469">
        <v>1.1200000000000001</v>
      </c>
    </row>
    <row r="41" spans="1:29" ht="15" customHeight="1" x14ac:dyDescent="0.25">
      <c r="B41" s="479"/>
      <c r="C41" s="479"/>
      <c r="H41" s="469">
        <v>2017</v>
      </c>
      <c r="I41" s="469">
        <v>1.1000000000000001</v>
      </c>
    </row>
    <row r="42" spans="1:29" ht="15" customHeight="1" x14ac:dyDescent="0.25">
      <c r="A42" s="478" t="s">
        <v>2840</v>
      </c>
      <c r="B42" s="582" t="s">
        <v>3102</v>
      </c>
      <c r="C42" s="582"/>
      <c r="D42" s="582"/>
      <c r="H42" s="469">
        <v>2018</v>
      </c>
      <c r="I42" s="469">
        <v>1.08</v>
      </c>
    </row>
    <row r="43" spans="1:29" x14ac:dyDescent="0.25">
      <c r="B43" s="582"/>
      <c r="C43" s="582"/>
      <c r="D43" s="582"/>
      <c r="H43" s="469">
        <v>2019</v>
      </c>
      <c r="I43" s="469">
        <v>1.06</v>
      </c>
    </row>
    <row r="44" spans="1:29" x14ac:dyDescent="0.25">
      <c r="B44" s="582"/>
      <c r="C44" s="582"/>
      <c r="D44" s="582"/>
      <c r="H44" s="469">
        <v>2020</v>
      </c>
      <c r="I44" s="469">
        <v>1.04</v>
      </c>
    </row>
    <row r="45" spans="1:29" x14ac:dyDescent="0.25">
      <c r="B45" s="479"/>
      <c r="C45" s="479"/>
      <c r="D45" s="479"/>
      <c r="H45" s="469">
        <v>2021</v>
      </c>
      <c r="I45" s="469">
        <v>1</v>
      </c>
    </row>
    <row r="46" spans="1:29" ht="15" customHeight="1" x14ac:dyDescent="0.25">
      <c r="A46" s="478" t="s">
        <v>2839</v>
      </c>
      <c r="B46" s="582" t="s">
        <v>3103</v>
      </c>
      <c r="C46" s="582"/>
      <c r="D46" s="582"/>
      <c r="H46" s="468"/>
    </row>
    <row r="47" spans="1:29" x14ac:dyDescent="0.25">
      <c r="B47" s="582"/>
      <c r="C47" s="582"/>
      <c r="D47" s="582"/>
      <c r="H47" s="468"/>
    </row>
    <row r="48" spans="1:29" ht="15" customHeight="1" x14ac:dyDescent="0.25">
      <c r="B48" s="582"/>
      <c r="C48" s="582"/>
      <c r="D48" s="582"/>
      <c r="AC48" s="412" t="s">
        <v>3097</v>
      </c>
    </row>
    <row r="49" spans="1:29" x14ac:dyDescent="0.25">
      <c r="A49" s="478"/>
      <c r="B49" s="582"/>
      <c r="C49" s="582"/>
      <c r="D49" s="582"/>
      <c r="AC49" s="412" t="s">
        <v>3098</v>
      </c>
    </row>
    <row r="50" spans="1:29" x14ac:dyDescent="0.25">
      <c r="B50" s="479"/>
      <c r="C50" s="479"/>
      <c r="D50" s="479"/>
    </row>
    <row r="51" spans="1:29" x14ac:dyDescent="0.25">
      <c r="A51" t="s">
        <v>2838</v>
      </c>
      <c r="B51" s="582" t="s">
        <v>3104</v>
      </c>
      <c r="C51" s="582"/>
      <c r="D51" s="582"/>
    </row>
    <row r="52" spans="1:29" x14ac:dyDescent="0.25">
      <c r="B52" s="582"/>
      <c r="C52" s="582"/>
      <c r="D52" s="582"/>
      <c r="S52" t="s">
        <v>3105</v>
      </c>
    </row>
    <row r="53" spans="1:29" x14ac:dyDescent="0.25">
      <c r="B53" s="479"/>
      <c r="C53" s="479"/>
    </row>
    <row r="54" spans="1:29" x14ac:dyDescent="0.25">
      <c r="B54" s="479"/>
      <c r="C54" s="479"/>
      <c r="S54" s="482"/>
    </row>
    <row r="55" spans="1:29" x14ac:dyDescent="0.25">
      <c r="B55" s="479"/>
      <c r="C55" s="479"/>
      <c r="S55" s="482"/>
    </row>
  </sheetData>
  <mergeCells count="21">
    <mergeCell ref="AU3:AV3"/>
    <mergeCell ref="AO4:AS4"/>
    <mergeCell ref="AF3:AF5"/>
    <mergeCell ref="AG3:AG5"/>
    <mergeCell ref="AH3:AH5"/>
    <mergeCell ref="AI3:AM3"/>
    <mergeCell ref="AO3:AS3"/>
    <mergeCell ref="B4:B5"/>
    <mergeCell ref="C4:C5"/>
    <mergeCell ref="D4:D5"/>
    <mergeCell ref="E4:E5"/>
    <mergeCell ref="AI4:AM4"/>
    <mergeCell ref="B42:D44"/>
    <mergeCell ref="B46:D49"/>
    <mergeCell ref="B51:D52"/>
    <mergeCell ref="AF6:AF10"/>
    <mergeCell ref="H12:I12"/>
    <mergeCell ref="O25:Y26"/>
    <mergeCell ref="B29:D32"/>
    <mergeCell ref="B34:D35"/>
    <mergeCell ref="B37:D40"/>
  </mergeCells>
  <hyperlinks>
    <hyperlink ref="O33" r:id="rId1" xr:uid="{52E0339F-5960-4F84-81B0-50D94096590A}"/>
  </hyperlinks>
  <pageMargins left="0.25" right="0.25" top="0.75" bottom="0.75" header="0.3" footer="0.3"/>
  <pageSetup scale="2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2016-C54D-4871-AE7F-DC7429DDEC63}">
  <sheetPr>
    <tabColor rgb="FF00B050"/>
    <pageSetUpPr fitToPage="1"/>
  </sheetPr>
  <dimension ref="A2:AD70"/>
  <sheetViews>
    <sheetView view="pageBreakPreview" zoomScale="85" zoomScaleNormal="85" zoomScaleSheetLayoutView="85" workbookViewId="0">
      <selection activeCell="H43" sqref="H43"/>
    </sheetView>
  </sheetViews>
  <sheetFormatPr defaultRowHeight="12" x14ac:dyDescent="0.2"/>
  <cols>
    <col min="1" max="1" width="9.140625" style="17"/>
    <col min="2" max="3" width="15.7109375" style="17" customWidth="1"/>
    <col min="4" max="5" width="18.5703125" style="17" customWidth="1"/>
    <col min="6" max="6" width="15.7109375" style="17" customWidth="1"/>
    <col min="7" max="7" width="14.5703125" style="17" customWidth="1"/>
    <col min="8" max="8" width="14.140625" style="17" customWidth="1"/>
    <col min="9" max="9" width="13.5703125" style="17" customWidth="1"/>
    <col min="10" max="10" width="12.85546875" style="17" customWidth="1"/>
    <col min="11" max="11" width="11" style="17" customWidth="1"/>
    <col min="12" max="12" width="11.7109375" style="17" customWidth="1"/>
    <col min="13" max="13" width="19.28515625" style="17" customWidth="1"/>
    <col min="14" max="14" width="11.7109375" style="17" customWidth="1"/>
    <col min="15" max="16" width="13" style="17" customWidth="1"/>
    <col min="17" max="17" width="4.5703125" style="17" customWidth="1"/>
    <col min="18" max="22" width="8.85546875" style="17" customWidth="1"/>
    <col min="23" max="23" width="6.42578125" style="17" customWidth="1"/>
    <col min="24" max="25" width="23.85546875" style="17" customWidth="1"/>
    <col min="26" max="26" width="6.42578125" style="17" customWidth="1"/>
    <col min="27" max="29" width="7.7109375" style="17" customWidth="1"/>
    <col min="30" max="30" width="10.42578125" style="17" customWidth="1"/>
    <col min="31" max="16384" width="9.140625" style="17"/>
  </cols>
  <sheetData>
    <row r="2" spans="2:30" ht="12.75" thickBot="1" x14ac:dyDescent="0.25">
      <c r="B2" s="42" t="s">
        <v>2992</v>
      </c>
      <c r="C2" s="42"/>
      <c r="D2" s="42"/>
      <c r="E2" s="42"/>
    </row>
    <row r="3" spans="2:30" ht="12.75" thickBot="1" x14ac:dyDescent="0.25">
      <c r="C3" s="599" t="s">
        <v>2993</v>
      </c>
      <c r="D3" s="600"/>
      <c r="E3" s="601"/>
      <c r="F3" s="558" t="s">
        <v>2994</v>
      </c>
      <c r="G3" s="562"/>
      <c r="H3" s="562"/>
      <c r="I3" s="562"/>
      <c r="J3" s="562"/>
      <c r="K3" s="562"/>
      <c r="L3" s="562"/>
      <c r="M3" s="562"/>
      <c r="N3" s="562"/>
      <c r="O3" s="602" t="s">
        <v>2995</v>
      </c>
      <c r="P3" s="603"/>
    </row>
    <row r="4" spans="2:30" ht="12.75" thickBot="1" x14ac:dyDescent="0.25">
      <c r="B4" s="524" t="s">
        <v>0</v>
      </c>
      <c r="C4" s="518" t="s">
        <v>2996</v>
      </c>
      <c r="D4" s="520" t="s">
        <v>2997</v>
      </c>
      <c r="E4" s="506" t="s">
        <v>2998</v>
      </c>
      <c r="F4" s="510" t="s">
        <v>3047</v>
      </c>
      <c r="G4" s="518" t="s">
        <v>2999</v>
      </c>
      <c r="H4" s="520" t="s">
        <v>3000</v>
      </c>
      <c r="I4" s="506" t="s">
        <v>3001</v>
      </c>
      <c r="J4" s="518" t="s">
        <v>3002</v>
      </c>
      <c r="K4" s="520" t="s">
        <v>3003</v>
      </c>
      <c r="L4" s="506" t="s">
        <v>3004</v>
      </c>
      <c r="M4" s="510" t="s">
        <v>3005</v>
      </c>
      <c r="N4" s="573" t="s">
        <v>2806</v>
      </c>
      <c r="O4" s="512" t="s">
        <v>2825</v>
      </c>
      <c r="P4" s="605" t="s">
        <v>3006</v>
      </c>
      <c r="R4" s="133" t="s">
        <v>3007</v>
      </c>
      <c r="S4" s="133"/>
      <c r="T4" s="133"/>
      <c r="U4" s="133"/>
      <c r="V4" s="133"/>
      <c r="X4" s="42" t="s">
        <v>3008</v>
      </c>
    </row>
    <row r="5" spans="2:30" ht="24.75" thickBot="1" x14ac:dyDescent="0.25">
      <c r="B5" s="525"/>
      <c r="C5" s="545"/>
      <c r="D5" s="522"/>
      <c r="E5" s="604"/>
      <c r="F5" s="511"/>
      <c r="G5" s="545"/>
      <c r="H5" s="522"/>
      <c r="I5" s="544"/>
      <c r="J5" s="545"/>
      <c r="K5" s="522"/>
      <c r="L5" s="544"/>
      <c r="M5" s="511"/>
      <c r="N5" s="574"/>
      <c r="O5" s="513"/>
      <c r="P5" s="606"/>
      <c r="R5" s="318" t="s">
        <v>3009</v>
      </c>
      <c r="S5" s="124" t="s">
        <v>3010</v>
      </c>
      <c r="T5" s="124" t="s">
        <v>3011</v>
      </c>
      <c r="U5" s="124" t="s">
        <v>3012</v>
      </c>
      <c r="V5" s="319" t="s">
        <v>3013</v>
      </c>
      <c r="X5" s="320" t="s">
        <v>3014</v>
      </c>
      <c r="Y5" s="321" t="s">
        <v>3015</v>
      </c>
      <c r="Z5" s="321" t="s">
        <v>3016</v>
      </c>
      <c r="AA5" s="321" t="s">
        <v>3010</v>
      </c>
      <c r="AB5" s="321" t="s">
        <v>3011</v>
      </c>
      <c r="AC5" s="321" t="s">
        <v>3012</v>
      </c>
      <c r="AD5" s="322" t="s">
        <v>3013</v>
      </c>
    </row>
    <row r="6" spans="2:30" x14ac:dyDescent="0.2">
      <c r="B6" s="237">
        <f>Assumptions!D8</f>
        <v>2027</v>
      </c>
      <c r="C6" s="323">
        <f>($F6*V$6*'Chickasaw Travel Time'!$K$8+$F6*V$7*'Chickasaw Travel Time'!$K$9)/10^6</f>
        <v>-22.082043288327792</v>
      </c>
      <c r="D6" s="324">
        <f t="shared" ref="D6:D25" si="0">-C6*_xlfn.XLOOKUP($B6,$R$12:$R$50,$V$12:$V$50)</f>
        <v>1347.0046405879953</v>
      </c>
      <c r="E6" s="325">
        <f>D6*(1+0.03)^-($B6-2021)</f>
        <v>1128.0951801722704</v>
      </c>
      <c r="F6" s="326">
        <f>$Y$38</f>
        <v>-46598.301894243043</v>
      </c>
      <c r="G6" s="327">
        <f>($F6*S$6*'Chickasaw Travel Time'!$K$8+$F6*S$7*'Chickasaw Travel Time'!$K$9)/10^6</f>
        <v>-2.5446284162039576E-2</v>
      </c>
      <c r="H6" s="328">
        <f>($F6*T$6*'Chickasaw Travel Time'!$K$8+$F6*T$7*'Chickasaw Travel Time'!$K$9)/10^6</f>
        <v>-1.1796844061424357E-4</v>
      </c>
      <c r="I6" s="329">
        <f>($F6*U$6*'Chickasaw Travel Time'!$K$8+$F6*U$7*'Chickasaw Travel Time'!$K$9)/10^6</f>
        <v>-4.8252067333580097E-4</v>
      </c>
      <c r="J6" s="330">
        <f>-G6*_xlfn.XLOOKUP($B6,$R$12:$R$50,$S$12:$S$50)</f>
        <v>455.48848650050843</v>
      </c>
      <c r="K6" s="324">
        <f t="shared" ref="K6:K25" si="1">-H6*_xlfn.XLOOKUP($B6,$R$12:$R$50,$T$12:$T$50)</f>
        <v>5.7450630579136615</v>
      </c>
      <c r="L6" s="325">
        <f t="shared" ref="L6:L25" si="2">-I6*_xlfn.XLOOKUP($B6,$R$12:$R$50,$U$12:$U$50)</f>
        <v>417.66989483946929</v>
      </c>
      <c r="M6" s="331">
        <f>SUM(J6:L6)</f>
        <v>878.90344439789146</v>
      </c>
      <c r="N6" s="332">
        <f>M6*(1+0.07)^-($B6-2021)</f>
        <v>585.65047566008354</v>
      </c>
      <c r="O6" s="330">
        <f t="shared" ref="O6:P24" si="3">M6+D6</f>
        <v>2225.9080849858865</v>
      </c>
      <c r="P6" s="325">
        <f>N6+E6</f>
        <v>1713.7456558323538</v>
      </c>
      <c r="R6" s="86" t="s">
        <v>3017</v>
      </c>
      <c r="S6" s="333">
        <f>AVERAGE(AA6:AA9)</f>
        <v>0.22790983982547491</v>
      </c>
      <c r="T6" s="333">
        <f t="shared" ref="T6:V6" si="4">AVERAGE(AB6:AB9)</f>
        <v>2.0699004398994176E-3</v>
      </c>
      <c r="U6" s="333">
        <f t="shared" si="4"/>
        <v>5.8180715878192544E-3</v>
      </c>
      <c r="V6" s="334">
        <f t="shared" si="4"/>
        <v>317.22468262036</v>
      </c>
      <c r="X6" s="335">
        <v>11</v>
      </c>
      <c r="Y6" s="87" t="s">
        <v>3018</v>
      </c>
      <c r="Z6" s="87" t="s">
        <v>3019</v>
      </c>
      <c r="AA6" s="336">
        <v>0.73690802096518104</v>
      </c>
      <c r="AB6" s="336">
        <v>2.4081927794970298E-3</v>
      </c>
      <c r="AC6" s="336">
        <v>1.78605259703664E-2</v>
      </c>
      <c r="AD6" s="337">
        <v>362.51238716242</v>
      </c>
    </row>
    <row r="7" spans="2:30" ht="12.75" thickBot="1" x14ac:dyDescent="0.25">
      <c r="B7" s="1">
        <f t="shared" ref="B7:B25" si="5">+B6+1</f>
        <v>2028</v>
      </c>
      <c r="C7" s="338">
        <f>($F7*V$6*'Chickasaw Travel Time'!$K$8+$F7*V$7*'Chickasaw Travel Time'!$K$9)/10^6</f>
        <v>-22.082043288327792</v>
      </c>
      <c r="D7" s="81">
        <f t="shared" si="0"/>
        <v>1369.0866838763231</v>
      </c>
      <c r="E7" s="16">
        <f t="shared" ref="E7:E25" si="6">D7*(1+0.03)^-($B7-2021)</f>
        <v>1113.1927609530601</v>
      </c>
      <c r="F7" s="339">
        <f t="shared" ref="F7:F25" si="7">$Y$38</f>
        <v>-46598.301894243043</v>
      </c>
      <c r="G7" s="340">
        <f>($F7*S$6*'Chickasaw Travel Time'!$K$8+$F7*S$7*'Chickasaw Travel Time'!$K$9)/10^6</f>
        <v>-2.5446284162039576E-2</v>
      </c>
      <c r="H7" s="341">
        <f>($F7*T$6*'Chickasaw Travel Time'!$K$8+$F7*T$7*'Chickasaw Travel Time'!$K$9)/10^6</f>
        <v>-1.1796844061424357E-4</v>
      </c>
      <c r="I7" s="342">
        <f>($F7*U$6*'Chickasaw Travel Time'!$K$8+$F7*U$7*'Chickasaw Travel Time'!$K$9)/10^6</f>
        <v>-4.8252067333580097E-4</v>
      </c>
      <c r="J7" s="343">
        <f t="shared" ref="J7:J25" si="8">-G7*_xlfn.XLOOKUP($B7,$R$12:$R$50,$S$12:$S$50)</f>
        <v>463.1223717491203</v>
      </c>
      <c r="K7" s="81">
        <f t="shared" si="1"/>
        <v>5.839437810405057</v>
      </c>
      <c r="L7" s="16">
        <f t="shared" si="2"/>
        <v>424.32868013150335</v>
      </c>
      <c r="M7" s="344">
        <f t="shared" ref="M7:M24" si="9">SUM(J7:L7)</f>
        <v>893.29048969102871</v>
      </c>
      <c r="N7" s="345">
        <f t="shared" ref="N7:N25" si="10">M7*(1+0.07)^-($B7-2021)</f>
        <v>556.29642188304808</v>
      </c>
      <c r="O7" s="343">
        <f t="shared" si="3"/>
        <v>2262.3771735673517</v>
      </c>
      <c r="P7" s="16">
        <f t="shared" si="3"/>
        <v>1669.4891828361083</v>
      </c>
      <c r="R7" s="60" t="s">
        <v>3020</v>
      </c>
      <c r="S7" s="346">
        <f>AVERAGE(AA10:AA18)</f>
        <v>2.099484306313415</v>
      </c>
      <c r="T7" s="346">
        <f t="shared" ref="T7:V7" si="11">AVERAGE(AB10:AB18)</f>
        <v>4.7858028693373951E-3</v>
      </c>
      <c r="U7" s="346">
        <f t="shared" si="11"/>
        <v>3.2505287070740692E-2</v>
      </c>
      <c r="V7" s="347">
        <f t="shared" si="11"/>
        <v>1238.7315972924489</v>
      </c>
      <c r="X7" s="238">
        <v>21</v>
      </c>
      <c r="Y7" s="65" t="s">
        <v>3021</v>
      </c>
      <c r="Z7" s="65" t="s">
        <v>3019</v>
      </c>
      <c r="AA7" s="348">
        <v>3.7528759722247264E-2</v>
      </c>
      <c r="AB7" s="348">
        <v>1.6122938930079201E-3</v>
      </c>
      <c r="AC7" s="348">
        <v>1.1798384221972261E-3</v>
      </c>
      <c r="AD7" s="349">
        <v>243.79125643460799</v>
      </c>
    </row>
    <row r="8" spans="2:30" ht="15" x14ac:dyDescent="0.25">
      <c r="B8" s="1">
        <f t="shared" si="5"/>
        <v>2029</v>
      </c>
      <c r="C8" s="338">
        <f>($F8*V$6*'Chickasaw Travel Time'!$K$8+$F8*V$7*'Chickasaw Travel Time'!$K$9)/10^6</f>
        <v>-22.082043288327792</v>
      </c>
      <c r="D8" s="81">
        <f t="shared" si="0"/>
        <v>1391.1687271646508</v>
      </c>
      <c r="E8" s="16">
        <f t="shared" si="6"/>
        <v>1098.2014397125395</v>
      </c>
      <c r="F8" s="339">
        <f t="shared" si="7"/>
        <v>-46598.301894243043</v>
      </c>
      <c r="G8" s="340">
        <f>($F8*S$6*'Chickasaw Travel Time'!$K$8+$F8*S$7*'Chickasaw Travel Time'!$K$9)/10^6</f>
        <v>-2.5446284162039576E-2</v>
      </c>
      <c r="H8" s="341">
        <f>($F8*T$6*'Chickasaw Travel Time'!$K$8+$F8*T$7*'Chickasaw Travel Time'!$K$9)/10^6</f>
        <v>-1.1796844061424357E-4</v>
      </c>
      <c r="I8" s="342">
        <f>($F8*U$6*'Chickasaw Travel Time'!$K$8+$F8*U$7*'Chickasaw Travel Time'!$K$9)/10^6</f>
        <v>-4.8252067333580097E-4</v>
      </c>
      <c r="J8" s="343">
        <f t="shared" si="8"/>
        <v>473.3008854139361</v>
      </c>
      <c r="K8" s="81">
        <f t="shared" si="1"/>
        <v>5.9456094069578755</v>
      </c>
      <c r="L8" s="16">
        <f t="shared" si="2"/>
        <v>431.08396955820461</v>
      </c>
      <c r="M8" s="344">
        <f t="shared" si="9"/>
        <v>910.33046437909866</v>
      </c>
      <c r="N8" s="345">
        <f t="shared" si="10"/>
        <v>529.82061843155475</v>
      </c>
      <c r="O8" s="343">
        <f t="shared" si="3"/>
        <v>2301.4991915437495</v>
      </c>
      <c r="P8" s="16">
        <f t="shared" si="3"/>
        <v>1628.0220581440942</v>
      </c>
      <c r="R8"/>
      <c r="S8"/>
      <c r="T8"/>
      <c r="U8"/>
      <c r="V8"/>
      <c r="X8" s="238">
        <v>31</v>
      </c>
      <c r="Y8" s="65" t="s">
        <v>3021</v>
      </c>
      <c r="Z8" s="65" t="s">
        <v>3019</v>
      </c>
      <c r="AA8" s="348">
        <v>5.602001301010253E-2</v>
      </c>
      <c r="AB8" s="348">
        <v>2.0534055761767299E-3</v>
      </c>
      <c r="AC8" s="348">
        <v>1.6834690354423085E-3</v>
      </c>
      <c r="AD8" s="349">
        <v>318.590574637288</v>
      </c>
    </row>
    <row r="9" spans="2:30" x14ac:dyDescent="0.2">
      <c r="B9" s="1">
        <f t="shared" si="5"/>
        <v>2030</v>
      </c>
      <c r="C9" s="338">
        <f>($F9*V$6*'Chickasaw Travel Time'!$K$8+$F9*V$7*'Chickasaw Travel Time'!$K$9)/10^6</f>
        <v>-22.082043288327792</v>
      </c>
      <c r="D9" s="81">
        <f t="shared" si="0"/>
        <v>1435.3328137413066</v>
      </c>
      <c r="E9" s="16">
        <f t="shared" si="6"/>
        <v>1100.063084933196</v>
      </c>
      <c r="F9" s="339">
        <f t="shared" si="7"/>
        <v>-46598.301894243043</v>
      </c>
      <c r="G9" s="340">
        <f>($F9*S$6*'Chickasaw Travel Time'!$K$8+$F9*S$7*'Chickasaw Travel Time'!$K$9)/10^6</f>
        <v>-2.5446284162039576E-2</v>
      </c>
      <c r="H9" s="341">
        <f>($F9*T$6*'Chickasaw Travel Time'!$K$8+$F9*T$7*'Chickasaw Travel Time'!$K$9)/10^6</f>
        <v>-1.1796844061424357E-4</v>
      </c>
      <c r="I9" s="342">
        <f>($F9*U$6*'Chickasaw Travel Time'!$K$8+$F9*U$7*'Chickasaw Travel Time'!$K$9)/10^6</f>
        <v>-4.8252067333580097E-4</v>
      </c>
      <c r="J9" s="343">
        <f t="shared" si="8"/>
        <v>480.93477066254798</v>
      </c>
      <c r="K9" s="81">
        <f t="shared" si="1"/>
        <v>6.0517810035106949</v>
      </c>
      <c r="L9" s="16">
        <f t="shared" si="2"/>
        <v>437.93576311957298</v>
      </c>
      <c r="M9" s="344">
        <f t="shared" si="9"/>
        <v>924.92231478563167</v>
      </c>
      <c r="N9" s="345">
        <f t="shared" si="10"/>
        <v>503.09645628094216</v>
      </c>
      <c r="O9" s="343">
        <f t="shared" si="3"/>
        <v>2360.2551285269383</v>
      </c>
      <c r="P9" s="16">
        <f t="shared" si="3"/>
        <v>1603.1595412141382</v>
      </c>
      <c r="X9" s="238">
        <v>32</v>
      </c>
      <c r="Y9" s="65" t="s">
        <v>3021</v>
      </c>
      <c r="Z9" s="65" t="s">
        <v>3019</v>
      </c>
      <c r="AA9" s="348">
        <v>8.1182565604368817E-2</v>
      </c>
      <c r="AB9" s="348">
        <v>2.2057095109159902E-3</v>
      </c>
      <c r="AC9" s="348">
        <v>2.5484529232710825E-3</v>
      </c>
      <c r="AD9" s="349">
        <v>344.00451224712401</v>
      </c>
    </row>
    <row r="10" spans="2:30" ht="12.75" thickBot="1" x14ac:dyDescent="0.25">
      <c r="B10" s="1">
        <f t="shared" si="5"/>
        <v>2031</v>
      </c>
      <c r="C10" s="338">
        <f>($F10*V$6*'Chickasaw Travel Time'!$K$8+$F10*V$7*'Chickasaw Travel Time'!$K$9)/10^6</f>
        <v>-22.082043288327792</v>
      </c>
      <c r="D10" s="81">
        <f t="shared" si="0"/>
        <v>1457.4148570296343</v>
      </c>
      <c r="E10" s="16">
        <f t="shared" si="6"/>
        <v>1084.4535265958316</v>
      </c>
      <c r="F10" s="339">
        <f t="shared" si="7"/>
        <v>-46598.301894243043</v>
      </c>
      <c r="G10" s="340">
        <f>($F10*S$6*'Chickasaw Travel Time'!$K$8+$F10*S$7*'Chickasaw Travel Time'!$K$9)/10^6</f>
        <v>-2.5446284162039576E-2</v>
      </c>
      <c r="H10" s="341">
        <f>($F10*T$6*'Chickasaw Travel Time'!$K$8+$F10*T$7*'Chickasaw Travel Time'!$K$9)/10^6</f>
        <v>-1.1796844061424357E-4</v>
      </c>
      <c r="I10" s="342">
        <f>($F10*U$6*'Chickasaw Travel Time'!$K$8+$F10*U$7*'Chickasaw Travel Time'!$K$9)/10^6</f>
        <v>-4.8252067333580097E-4</v>
      </c>
      <c r="J10" s="343">
        <f t="shared" si="8"/>
        <v>480.93477066254798</v>
      </c>
      <c r="K10" s="81">
        <f t="shared" si="1"/>
        <v>6.0517810035106949</v>
      </c>
      <c r="L10" s="16">
        <f t="shared" si="2"/>
        <v>437.93576311957298</v>
      </c>
      <c r="M10" s="344">
        <f t="shared" si="9"/>
        <v>924.92231478563167</v>
      </c>
      <c r="N10" s="345">
        <f>M10*(1+0.07)^-($B10-2021)</f>
        <v>470.18360400088051</v>
      </c>
      <c r="O10" s="343">
        <f t="shared" si="3"/>
        <v>2382.3371718152657</v>
      </c>
      <c r="P10" s="16">
        <f t="shared" si="3"/>
        <v>1554.637130596712</v>
      </c>
      <c r="R10" s="42" t="s">
        <v>3022</v>
      </c>
      <c r="X10" s="238">
        <v>41</v>
      </c>
      <c r="Y10" s="65" t="s">
        <v>3023</v>
      </c>
      <c r="Z10" s="65" t="s">
        <v>3024</v>
      </c>
      <c r="AA10" s="348">
        <v>2.237602310868759</v>
      </c>
      <c r="AB10" s="348">
        <v>5.5717265564873301E-3</v>
      </c>
      <c r="AC10" s="348">
        <v>1.658066855283262E-2</v>
      </c>
      <c r="AD10" s="349">
        <v>1406.7823013201701</v>
      </c>
    </row>
    <row r="11" spans="2:30" ht="12.75" thickBot="1" x14ac:dyDescent="0.25">
      <c r="B11" s="1">
        <f t="shared" si="5"/>
        <v>2032</v>
      </c>
      <c r="C11" s="338">
        <f>($F11*V$6*'Chickasaw Travel Time'!$K$8+$F11*V$7*'Chickasaw Travel Time'!$K$9)/10^6</f>
        <v>-22.082043288327792</v>
      </c>
      <c r="D11" s="81">
        <f t="shared" si="0"/>
        <v>1479.4969003179622</v>
      </c>
      <c r="E11" s="16">
        <f t="shared" si="6"/>
        <v>1068.8200394516141</v>
      </c>
      <c r="F11" s="339">
        <f t="shared" si="7"/>
        <v>-46598.301894243043</v>
      </c>
      <c r="G11" s="340">
        <f>($F11*S$6*'Chickasaw Travel Time'!$K$8+$F11*S$7*'Chickasaw Travel Time'!$K$9)/10^6</f>
        <v>-2.5446284162039576E-2</v>
      </c>
      <c r="H11" s="341">
        <f>($F11*T$6*'Chickasaw Travel Time'!$K$8+$F11*T$7*'Chickasaw Travel Time'!$K$9)/10^6</f>
        <v>-1.1796844061424357E-4</v>
      </c>
      <c r="I11" s="342">
        <f>($F11*U$6*'Chickasaw Travel Time'!$K$8+$F11*U$7*'Chickasaw Travel Time'!$K$9)/10^6</f>
        <v>-4.8252067333580097E-4</v>
      </c>
      <c r="J11" s="343">
        <f t="shared" si="8"/>
        <v>480.93477066254798</v>
      </c>
      <c r="K11" s="81">
        <f t="shared" si="1"/>
        <v>6.0517810035106949</v>
      </c>
      <c r="L11" s="16">
        <f t="shared" si="2"/>
        <v>437.93576311957298</v>
      </c>
      <c r="M11" s="344">
        <f t="shared" si="9"/>
        <v>924.92231478563167</v>
      </c>
      <c r="N11" s="345">
        <f t="shared" si="10"/>
        <v>439.42392897278546</v>
      </c>
      <c r="O11" s="343">
        <f t="shared" si="3"/>
        <v>2404.4192151035941</v>
      </c>
      <c r="P11" s="16">
        <f t="shared" si="3"/>
        <v>1508.2439684243996</v>
      </c>
      <c r="R11" s="350" t="s">
        <v>2797</v>
      </c>
      <c r="S11" s="351" t="s">
        <v>3010</v>
      </c>
      <c r="T11" s="351" t="s">
        <v>3011</v>
      </c>
      <c r="U11" s="351" t="s">
        <v>3012</v>
      </c>
      <c r="V11" s="352" t="s">
        <v>3013</v>
      </c>
      <c r="X11" s="238">
        <v>42</v>
      </c>
      <c r="Y11" s="65" t="s">
        <v>3023</v>
      </c>
      <c r="Z11" s="65" t="s">
        <v>3024</v>
      </c>
      <c r="AA11" s="348">
        <v>1.9658170115512426</v>
      </c>
      <c r="AB11" s="348">
        <v>5.4889920561794897E-3</v>
      </c>
      <c r="AC11" s="348">
        <v>1.2308421676718551E-2</v>
      </c>
      <c r="AD11" s="349">
        <v>1391.9649569298599</v>
      </c>
    </row>
    <row r="12" spans="2:30" x14ac:dyDescent="0.2">
      <c r="B12" s="1">
        <f t="shared" si="5"/>
        <v>2033</v>
      </c>
      <c r="C12" s="338">
        <f>($F12*V$6*'Chickasaw Travel Time'!$K$8+$F12*V$7*'Chickasaw Travel Time'!$K$9)/10^6</f>
        <v>-22.082043288327792</v>
      </c>
      <c r="D12" s="81">
        <f t="shared" si="0"/>
        <v>1501.5789436062898</v>
      </c>
      <c r="E12" s="16">
        <f t="shared" si="6"/>
        <v>1053.1772595668708</v>
      </c>
      <c r="F12" s="339">
        <f t="shared" si="7"/>
        <v>-46598.301894243043</v>
      </c>
      <c r="G12" s="340">
        <f>($F12*S$6*'Chickasaw Travel Time'!$K$8+$F12*S$7*'Chickasaw Travel Time'!$K$9)/10^6</f>
        <v>-2.5446284162039576E-2</v>
      </c>
      <c r="H12" s="341">
        <f>($F12*T$6*'Chickasaw Travel Time'!$K$8+$F12*T$7*'Chickasaw Travel Time'!$K$9)/10^6</f>
        <v>-1.1796844061424357E-4</v>
      </c>
      <c r="I12" s="342">
        <f>($F12*U$6*'Chickasaw Travel Time'!$K$8+$F12*U$7*'Chickasaw Travel Time'!$K$9)/10^6</f>
        <v>-4.8252067333580097E-4</v>
      </c>
      <c r="J12" s="343">
        <f t="shared" si="8"/>
        <v>480.93477066254798</v>
      </c>
      <c r="K12" s="81">
        <f t="shared" si="1"/>
        <v>6.0517810035106949</v>
      </c>
      <c r="L12" s="16">
        <f t="shared" si="2"/>
        <v>437.93576311957298</v>
      </c>
      <c r="M12" s="344">
        <f t="shared" si="9"/>
        <v>924.92231478563167</v>
      </c>
      <c r="N12" s="345">
        <f t="shared" si="10"/>
        <v>410.67656913344439</v>
      </c>
      <c r="O12" s="343">
        <f t="shared" si="3"/>
        <v>2426.5012583919215</v>
      </c>
      <c r="P12" s="16">
        <f t="shared" si="3"/>
        <v>1463.8538287003153</v>
      </c>
      <c r="R12" s="353">
        <v>2022</v>
      </c>
      <c r="S12" s="354">
        <v>16600</v>
      </c>
      <c r="T12" s="354">
        <v>44300</v>
      </c>
      <c r="U12" s="354">
        <v>796700</v>
      </c>
      <c r="V12" s="355">
        <v>56</v>
      </c>
      <c r="X12" s="238">
        <v>43</v>
      </c>
      <c r="Y12" s="65" t="s">
        <v>3023</v>
      </c>
      <c r="Z12" s="65" t="s">
        <v>3024</v>
      </c>
      <c r="AA12" s="348">
        <v>1.9469017025302577</v>
      </c>
      <c r="AB12" s="348">
        <v>3.66910948950592E-3</v>
      </c>
      <c r="AC12" s="348">
        <v>5.5096995199883071E-2</v>
      </c>
      <c r="AD12" s="349">
        <v>1071.1129065416801</v>
      </c>
    </row>
    <row r="13" spans="2:30" x14ac:dyDescent="0.2">
      <c r="B13" s="1">
        <f t="shared" si="5"/>
        <v>2034</v>
      </c>
      <c r="C13" s="338">
        <f>($F13*V$6*'Chickasaw Travel Time'!$K$8+$F13*V$7*'Chickasaw Travel Time'!$K$9)/10^6</f>
        <v>-22.082043288327792</v>
      </c>
      <c r="D13" s="81">
        <f t="shared" si="0"/>
        <v>1523.6609868946177</v>
      </c>
      <c r="E13" s="16">
        <f t="shared" si="6"/>
        <v>1037.5389907212179</v>
      </c>
      <c r="F13" s="339">
        <f t="shared" si="7"/>
        <v>-46598.301894243043</v>
      </c>
      <c r="G13" s="340">
        <f>($F13*S$6*'Chickasaw Travel Time'!$K$8+$F13*S$7*'Chickasaw Travel Time'!$K$9)/10^6</f>
        <v>-2.5446284162039576E-2</v>
      </c>
      <c r="H13" s="341">
        <f>($F13*T$6*'Chickasaw Travel Time'!$K$8+$F13*T$7*'Chickasaw Travel Time'!$K$9)/10^6</f>
        <v>-1.1796844061424357E-4</v>
      </c>
      <c r="I13" s="342">
        <f>($F13*U$6*'Chickasaw Travel Time'!$K$8+$F13*U$7*'Chickasaw Travel Time'!$K$9)/10^6</f>
        <v>-4.8252067333580097E-4</v>
      </c>
      <c r="J13" s="343">
        <f t="shared" si="8"/>
        <v>480.93477066254798</v>
      </c>
      <c r="K13" s="81">
        <f t="shared" si="1"/>
        <v>6.0517810035106949</v>
      </c>
      <c r="L13" s="16">
        <f t="shared" si="2"/>
        <v>437.93576311957298</v>
      </c>
      <c r="M13" s="344">
        <f t="shared" si="9"/>
        <v>924.92231478563167</v>
      </c>
      <c r="N13" s="345">
        <f t="shared" si="10"/>
        <v>383.80987769480782</v>
      </c>
      <c r="O13" s="343">
        <f t="shared" si="3"/>
        <v>2448.5833016802494</v>
      </c>
      <c r="P13" s="16">
        <f t="shared" si="3"/>
        <v>1421.3488684160257</v>
      </c>
      <c r="R13" s="356">
        <v>2023</v>
      </c>
      <c r="S13" s="357">
        <v>16800</v>
      </c>
      <c r="T13" s="357">
        <v>45100</v>
      </c>
      <c r="U13" s="357">
        <v>810500</v>
      </c>
      <c r="V13" s="358">
        <v>57</v>
      </c>
      <c r="X13" s="238">
        <v>51</v>
      </c>
      <c r="Y13" s="65" t="s">
        <v>3025</v>
      </c>
      <c r="Z13" s="65" t="s">
        <v>3024</v>
      </c>
      <c r="AA13" s="348">
        <v>2.48942987946789</v>
      </c>
      <c r="AB13" s="348">
        <v>5.2833773025508703E-3</v>
      </c>
      <c r="AC13" s="348">
        <v>3.4321389281753531E-2</v>
      </c>
      <c r="AD13" s="349">
        <v>1427.83446247497</v>
      </c>
    </row>
    <row r="14" spans="2:30" x14ac:dyDescent="0.2">
      <c r="B14" s="1">
        <f t="shared" si="5"/>
        <v>2035</v>
      </c>
      <c r="C14" s="338">
        <f>($F14*V$6*'Chickasaw Travel Time'!$K$8+$F14*V$7*'Chickasaw Travel Time'!$K$9)/10^6</f>
        <v>-22.082043288327792</v>
      </c>
      <c r="D14" s="81">
        <f t="shared" si="0"/>
        <v>1545.7430301829454</v>
      </c>
      <c r="E14" s="16">
        <f t="shared" si="6"/>
        <v>1021.9182404739726</v>
      </c>
      <c r="F14" s="339">
        <f t="shared" si="7"/>
        <v>-46598.301894243043</v>
      </c>
      <c r="G14" s="340">
        <f>($F14*S$6*'Chickasaw Travel Time'!$K$8+$F14*S$7*'Chickasaw Travel Time'!$K$9)/10^6</f>
        <v>-2.5446284162039576E-2</v>
      </c>
      <c r="H14" s="341">
        <f>($F14*T$6*'Chickasaw Travel Time'!$K$8+$F14*T$7*'Chickasaw Travel Time'!$K$9)/10^6</f>
        <v>-1.1796844061424357E-4</v>
      </c>
      <c r="I14" s="342">
        <f>($F14*U$6*'Chickasaw Travel Time'!$K$8+$F14*U$7*'Chickasaw Travel Time'!$K$9)/10^6</f>
        <v>-4.8252067333580097E-4</v>
      </c>
      <c r="J14" s="343">
        <f t="shared" si="8"/>
        <v>480.93477066254798</v>
      </c>
      <c r="K14" s="81">
        <f t="shared" si="1"/>
        <v>6.0517810035106949</v>
      </c>
      <c r="L14" s="16">
        <f t="shared" si="2"/>
        <v>437.93576311957298</v>
      </c>
      <c r="M14" s="344">
        <f t="shared" si="9"/>
        <v>924.92231478563167</v>
      </c>
      <c r="N14" s="345">
        <f t="shared" si="10"/>
        <v>358.70082027552138</v>
      </c>
      <c r="O14" s="343">
        <f t="shared" si="3"/>
        <v>2470.6653449685773</v>
      </c>
      <c r="P14" s="16">
        <f t="shared" si="3"/>
        <v>1380.6190607494939</v>
      </c>
      <c r="R14" s="356">
        <v>2024</v>
      </c>
      <c r="S14" s="357">
        <v>17000</v>
      </c>
      <c r="T14" s="357">
        <v>46000</v>
      </c>
      <c r="U14" s="357">
        <v>824500</v>
      </c>
      <c r="V14" s="358">
        <v>58</v>
      </c>
      <c r="X14" s="238">
        <v>52</v>
      </c>
      <c r="Y14" s="65" t="s">
        <v>3025</v>
      </c>
      <c r="Z14" s="65" t="s">
        <v>3024</v>
      </c>
      <c r="AA14" s="348">
        <v>0.95074648895471525</v>
      </c>
      <c r="AB14" s="348">
        <v>3.5321878667988801E-3</v>
      </c>
      <c r="AC14" s="348">
        <v>1.5158170819293781E-2</v>
      </c>
      <c r="AD14" s="349">
        <v>862.616489254057</v>
      </c>
    </row>
    <row r="15" spans="2:30" x14ac:dyDescent="0.2">
      <c r="B15" s="1">
        <f t="shared" si="5"/>
        <v>2036</v>
      </c>
      <c r="C15" s="338">
        <f>($F15*V$6*'Chickasaw Travel Time'!$K$8+$F15*V$7*'Chickasaw Travel Time'!$K$9)/10^6</f>
        <v>-22.082043288327792</v>
      </c>
      <c r="D15" s="81">
        <f t="shared" si="0"/>
        <v>1589.907116759601</v>
      </c>
      <c r="E15" s="16">
        <f t="shared" si="6"/>
        <v>1020.5008781432181</v>
      </c>
      <c r="F15" s="339">
        <f t="shared" si="7"/>
        <v>-46598.301894243043</v>
      </c>
      <c r="G15" s="340">
        <f>($F15*S$6*'Chickasaw Travel Time'!$K$8+$F15*S$7*'Chickasaw Travel Time'!$K$9)/10^6</f>
        <v>-2.5446284162039576E-2</v>
      </c>
      <c r="H15" s="341">
        <f>($F15*T$6*'Chickasaw Travel Time'!$K$8+$F15*T$7*'Chickasaw Travel Time'!$K$9)/10^6</f>
        <v>-1.1796844061424357E-4</v>
      </c>
      <c r="I15" s="342">
        <f>($F15*U$6*'Chickasaw Travel Time'!$K$8+$F15*U$7*'Chickasaw Travel Time'!$K$9)/10^6</f>
        <v>-4.8252067333580097E-4</v>
      </c>
      <c r="J15" s="343">
        <f t="shared" si="8"/>
        <v>480.93477066254798</v>
      </c>
      <c r="K15" s="81">
        <f t="shared" si="1"/>
        <v>6.0517810035106949</v>
      </c>
      <c r="L15" s="16">
        <f t="shared" si="2"/>
        <v>437.93576311957298</v>
      </c>
      <c r="M15" s="344">
        <f t="shared" si="9"/>
        <v>924.92231478563167</v>
      </c>
      <c r="N15" s="345">
        <f t="shared" si="10"/>
        <v>335.23441147244984</v>
      </c>
      <c r="O15" s="343">
        <f t="shared" si="3"/>
        <v>2514.8294315452326</v>
      </c>
      <c r="P15" s="16">
        <f t="shared" si="3"/>
        <v>1355.7352896156679</v>
      </c>
      <c r="R15" s="356">
        <v>2025</v>
      </c>
      <c r="S15" s="357">
        <v>17200</v>
      </c>
      <c r="T15" s="357">
        <v>46900</v>
      </c>
      <c r="U15" s="357">
        <v>838800</v>
      </c>
      <c r="V15" s="358">
        <v>59</v>
      </c>
      <c r="X15" s="238">
        <v>53</v>
      </c>
      <c r="Y15" s="65" t="s">
        <v>3025</v>
      </c>
      <c r="Z15" s="65" t="s">
        <v>3024</v>
      </c>
      <c r="AA15" s="348">
        <v>0.89067775827536644</v>
      </c>
      <c r="AB15" s="348">
        <v>3.4020765235606102E-3</v>
      </c>
      <c r="AC15" s="348">
        <v>1.349939126139434E-2</v>
      </c>
      <c r="AD15" s="349">
        <v>829.46088804247995</v>
      </c>
    </row>
    <row r="16" spans="2:30" x14ac:dyDescent="0.2">
      <c r="B16" s="1">
        <f t="shared" si="5"/>
        <v>2037</v>
      </c>
      <c r="C16" s="338">
        <f>($F16*V$6*'Chickasaw Travel Time'!$K$8+$F16*V$7*'Chickasaw Travel Time'!$K$9)/10^6</f>
        <v>-22.082043288327792</v>
      </c>
      <c r="D16" s="81">
        <f t="shared" si="0"/>
        <v>1611.9891600479289</v>
      </c>
      <c r="E16" s="16">
        <f t="shared" si="6"/>
        <v>1004.5383509230709</v>
      </c>
      <c r="F16" s="339">
        <f t="shared" si="7"/>
        <v>-46598.301894243043</v>
      </c>
      <c r="G16" s="340">
        <f>($F16*S$6*'Chickasaw Travel Time'!$K$8+$F16*S$7*'Chickasaw Travel Time'!$K$9)/10^6</f>
        <v>-2.5446284162039576E-2</v>
      </c>
      <c r="H16" s="341">
        <f>($F16*T$6*'Chickasaw Travel Time'!$K$8+$F16*T$7*'Chickasaw Travel Time'!$K$9)/10^6</f>
        <v>-1.1796844061424357E-4</v>
      </c>
      <c r="I16" s="342">
        <f>($F16*U$6*'Chickasaw Travel Time'!$K$8+$F16*U$7*'Chickasaw Travel Time'!$K$9)/10^6</f>
        <v>-4.8252067333580097E-4</v>
      </c>
      <c r="J16" s="343">
        <f t="shared" si="8"/>
        <v>480.93477066254798</v>
      </c>
      <c r="K16" s="81">
        <f t="shared" si="1"/>
        <v>6.0517810035106949</v>
      </c>
      <c r="L16" s="16">
        <f t="shared" si="2"/>
        <v>437.93576311957298</v>
      </c>
      <c r="M16" s="344">
        <f t="shared" si="9"/>
        <v>924.92231478563167</v>
      </c>
      <c r="N16" s="345">
        <f t="shared" si="10"/>
        <v>313.30318829200922</v>
      </c>
      <c r="O16" s="343">
        <f t="shared" si="3"/>
        <v>2536.9114748335605</v>
      </c>
      <c r="P16" s="16">
        <f t="shared" si="3"/>
        <v>1317.84153921508</v>
      </c>
      <c r="R16" s="356">
        <v>2026</v>
      </c>
      <c r="S16" s="357">
        <v>17500</v>
      </c>
      <c r="T16" s="357">
        <v>47800</v>
      </c>
      <c r="U16" s="357">
        <v>852100</v>
      </c>
      <c r="V16" s="358">
        <v>60</v>
      </c>
      <c r="X16" s="238">
        <v>54</v>
      </c>
      <c r="Y16" s="65" t="s">
        <v>3025</v>
      </c>
      <c r="Z16" s="65" t="s">
        <v>3024</v>
      </c>
      <c r="AA16" s="348">
        <v>1.6481032166429217</v>
      </c>
      <c r="AB16" s="348">
        <v>6.0326542026046303E-3</v>
      </c>
      <c r="AC16" s="348">
        <v>4.2864875162321965E-2</v>
      </c>
      <c r="AD16" s="349">
        <v>1166.1048437433201</v>
      </c>
    </row>
    <row r="17" spans="2:30" x14ac:dyDescent="0.2">
      <c r="B17" s="1">
        <f t="shared" si="5"/>
        <v>2038</v>
      </c>
      <c r="C17" s="338">
        <f>($F17*V$6*'Chickasaw Travel Time'!$K$8+$F17*V$7*'Chickasaw Travel Time'!$K$9)/10^6</f>
        <v>-22.082043288327792</v>
      </c>
      <c r="D17" s="81">
        <f t="shared" si="0"/>
        <v>1634.0712033362565</v>
      </c>
      <c r="E17" s="16">
        <f t="shared" si="6"/>
        <v>988.63995169979034</v>
      </c>
      <c r="F17" s="339">
        <f t="shared" si="7"/>
        <v>-46598.301894243043</v>
      </c>
      <c r="G17" s="340">
        <f>($F17*S$6*'Chickasaw Travel Time'!$K$8+$F17*S$7*'Chickasaw Travel Time'!$K$9)/10^6</f>
        <v>-2.5446284162039576E-2</v>
      </c>
      <c r="H17" s="341">
        <f>($F17*T$6*'Chickasaw Travel Time'!$K$8+$F17*T$7*'Chickasaw Travel Time'!$K$9)/10^6</f>
        <v>-1.1796844061424357E-4</v>
      </c>
      <c r="I17" s="342">
        <f>($F17*U$6*'Chickasaw Travel Time'!$K$8+$F17*U$7*'Chickasaw Travel Time'!$K$9)/10^6</f>
        <v>-4.8252067333580097E-4</v>
      </c>
      <c r="J17" s="343">
        <f t="shared" si="8"/>
        <v>480.93477066254798</v>
      </c>
      <c r="K17" s="81">
        <f t="shared" si="1"/>
        <v>6.0517810035106949</v>
      </c>
      <c r="L17" s="16">
        <f t="shared" si="2"/>
        <v>437.93576311957298</v>
      </c>
      <c r="M17" s="344">
        <f t="shared" si="9"/>
        <v>924.92231478563167</v>
      </c>
      <c r="N17" s="345">
        <f t="shared" si="10"/>
        <v>292.8067180299152</v>
      </c>
      <c r="O17" s="343">
        <f t="shared" si="3"/>
        <v>2558.993518121888</v>
      </c>
      <c r="P17" s="16">
        <f t="shared" si="3"/>
        <v>1281.4466697297055</v>
      </c>
      <c r="R17" s="356">
        <v>2027</v>
      </c>
      <c r="S17" s="357">
        <v>17900</v>
      </c>
      <c r="T17" s="357">
        <v>48700</v>
      </c>
      <c r="U17" s="357">
        <v>865600</v>
      </c>
      <c r="V17" s="358">
        <v>61</v>
      </c>
      <c r="X17" s="238">
        <v>61</v>
      </c>
      <c r="Y17" s="65" t="s">
        <v>3026</v>
      </c>
      <c r="Z17" s="65" t="s">
        <v>3024</v>
      </c>
      <c r="AA17" s="348">
        <v>3.0234078113615883</v>
      </c>
      <c r="AB17" s="348">
        <v>4.9760807160904204E-3</v>
      </c>
      <c r="AC17" s="348">
        <v>4.3407648080982714E-2</v>
      </c>
      <c r="AD17" s="349">
        <v>1463.90880302132</v>
      </c>
    </row>
    <row r="18" spans="2:30" ht="12.75" thickBot="1" x14ac:dyDescent="0.25">
      <c r="B18" s="1">
        <f t="shared" si="5"/>
        <v>2039</v>
      </c>
      <c r="C18" s="338">
        <f>($F18*V$6*'Chickasaw Travel Time'!$K$8+$F18*V$7*'Chickasaw Travel Time'!$K$9)/10^6</f>
        <v>-22.082043288327792</v>
      </c>
      <c r="D18" s="81">
        <f t="shared" si="0"/>
        <v>1656.1532466245844</v>
      </c>
      <c r="E18" s="16">
        <f t="shared" si="6"/>
        <v>972.8154864534805</v>
      </c>
      <c r="F18" s="339">
        <f t="shared" si="7"/>
        <v>-46598.301894243043</v>
      </c>
      <c r="G18" s="340">
        <f>($F18*S$6*'Chickasaw Travel Time'!$K$8+$F18*S$7*'Chickasaw Travel Time'!$K$9)/10^6</f>
        <v>-2.5446284162039576E-2</v>
      </c>
      <c r="H18" s="341">
        <f>($F18*T$6*'Chickasaw Travel Time'!$K$8+$F18*T$7*'Chickasaw Travel Time'!$K$9)/10^6</f>
        <v>-1.1796844061424357E-4</v>
      </c>
      <c r="I18" s="342">
        <f>($F18*U$6*'Chickasaw Travel Time'!$K$8+$F18*U$7*'Chickasaw Travel Time'!$K$9)/10^6</f>
        <v>-4.8252067333580097E-4</v>
      </c>
      <c r="J18" s="343">
        <f t="shared" si="8"/>
        <v>480.93477066254798</v>
      </c>
      <c r="K18" s="81">
        <f t="shared" si="1"/>
        <v>6.0517810035106949</v>
      </c>
      <c r="L18" s="16">
        <f t="shared" si="2"/>
        <v>437.93576311957298</v>
      </c>
      <c r="M18" s="344">
        <f t="shared" si="9"/>
        <v>924.92231478563167</v>
      </c>
      <c r="N18" s="345">
        <f t="shared" si="10"/>
        <v>273.65113834571508</v>
      </c>
      <c r="O18" s="343">
        <f t="shared" si="3"/>
        <v>2581.0755614102163</v>
      </c>
      <c r="P18" s="16">
        <f t="shared" si="3"/>
        <v>1246.4666247991956</v>
      </c>
      <c r="R18" s="356">
        <v>2028</v>
      </c>
      <c r="S18" s="357">
        <v>18200</v>
      </c>
      <c r="T18" s="357">
        <v>49500</v>
      </c>
      <c r="U18" s="357">
        <v>879400</v>
      </c>
      <c r="V18" s="358">
        <v>62</v>
      </c>
      <c r="X18" s="239">
        <v>62</v>
      </c>
      <c r="Y18" s="218" t="s">
        <v>3026</v>
      </c>
      <c r="Z18" s="218" t="s">
        <v>3024</v>
      </c>
      <c r="AA18" s="359">
        <v>3.7426725771679936</v>
      </c>
      <c r="AB18" s="359">
        <v>5.1160211102583997E-3</v>
      </c>
      <c r="AC18" s="359">
        <v>5.9310023601485649E-2</v>
      </c>
      <c r="AD18" s="360">
        <v>1528.79872430418</v>
      </c>
    </row>
    <row r="19" spans="2:30" x14ac:dyDescent="0.2">
      <c r="B19" s="1">
        <f t="shared" si="5"/>
        <v>2040</v>
      </c>
      <c r="C19" s="338">
        <f>($F19*V$6*'Chickasaw Travel Time'!$K$8+$F19*V$7*'Chickasaw Travel Time'!$K$9)/10^6</f>
        <v>-22.082043288327792</v>
      </c>
      <c r="D19" s="81">
        <f t="shared" si="0"/>
        <v>1678.2352899129123</v>
      </c>
      <c r="E19" s="16">
        <f t="shared" si="6"/>
        <v>957.07413553999379</v>
      </c>
      <c r="F19" s="339">
        <f t="shared" si="7"/>
        <v>-46598.301894243043</v>
      </c>
      <c r="G19" s="340">
        <f>($F19*S$6*'Chickasaw Travel Time'!$K$8+$F19*S$7*'Chickasaw Travel Time'!$K$9)/10^6</f>
        <v>-2.5446284162039576E-2</v>
      </c>
      <c r="H19" s="341">
        <f>($F19*T$6*'Chickasaw Travel Time'!$K$8+$F19*T$7*'Chickasaw Travel Time'!$K$9)/10^6</f>
        <v>-1.1796844061424357E-4</v>
      </c>
      <c r="I19" s="342">
        <f>($F19*U$6*'Chickasaw Travel Time'!$K$8+$F19*U$7*'Chickasaw Travel Time'!$K$9)/10^6</f>
        <v>-4.8252067333580097E-4</v>
      </c>
      <c r="J19" s="343">
        <f t="shared" si="8"/>
        <v>480.93477066254798</v>
      </c>
      <c r="K19" s="81">
        <f t="shared" si="1"/>
        <v>6.0517810035106949</v>
      </c>
      <c r="L19" s="16">
        <f t="shared" si="2"/>
        <v>437.93576311957298</v>
      </c>
      <c r="M19" s="344">
        <f t="shared" si="9"/>
        <v>924.92231478563167</v>
      </c>
      <c r="N19" s="345">
        <f t="shared" si="10"/>
        <v>255.74872742590196</v>
      </c>
      <c r="O19" s="343">
        <f t="shared" si="3"/>
        <v>2603.1576046985438</v>
      </c>
      <c r="P19" s="16">
        <f t="shared" si="3"/>
        <v>1212.8228629658956</v>
      </c>
      <c r="R19" s="356">
        <v>2029</v>
      </c>
      <c r="S19" s="357">
        <v>18600</v>
      </c>
      <c r="T19" s="357">
        <v>50400</v>
      </c>
      <c r="U19" s="357">
        <v>893400</v>
      </c>
      <c r="V19" s="358">
        <v>63</v>
      </c>
    </row>
    <row r="20" spans="2:30" ht="12.75" thickBot="1" x14ac:dyDescent="0.25">
      <c r="B20" s="1">
        <f t="shared" si="5"/>
        <v>2041</v>
      </c>
      <c r="C20" s="338">
        <f>($F20*V$6*'Chickasaw Travel Time'!$K$8+$F20*V$7*'Chickasaw Travel Time'!$K$9)/10^6</f>
        <v>-22.082043288327792</v>
      </c>
      <c r="D20" s="81">
        <f t="shared" si="0"/>
        <v>1722.3993764895679</v>
      </c>
      <c r="E20" s="16">
        <f t="shared" si="6"/>
        <v>953.65077378793455</v>
      </c>
      <c r="F20" s="339">
        <f t="shared" si="7"/>
        <v>-46598.301894243043</v>
      </c>
      <c r="G20" s="340">
        <f>($F20*S$6*'Chickasaw Travel Time'!$K$8+$F20*S$7*'Chickasaw Travel Time'!$K$9)/10^6</f>
        <v>-2.5446284162039576E-2</v>
      </c>
      <c r="H20" s="341">
        <f>($F20*T$6*'Chickasaw Travel Time'!$K$8+$F20*T$7*'Chickasaw Travel Time'!$K$9)/10^6</f>
        <v>-1.1796844061424357E-4</v>
      </c>
      <c r="I20" s="342">
        <f>($F20*U$6*'Chickasaw Travel Time'!$K$8+$F20*U$7*'Chickasaw Travel Time'!$K$9)/10^6</f>
        <v>-4.8252067333580097E-4</v>
      </c>
      <c r="J20" s="343">
        <f t="shared" si="8"/>
        <v>480.93477066254798</v>
      </c>
      <c r="K20" s="81">
        <f t="shared" si="1"/>
        <v>6.0517810035106949</v>
      </c>
      <c r="L20" s="16">
        <f t="shared" si="2"/>
        <v>437.93576311957298</v>
      </c>
      <c r="M20" s="344">
        <f t="shared" si="9"/>
        <v>924.92231478563167</v>
      </c>
      <c r="N20" s="345">
        <f t="shared" si="10"/>
        <v>239.0175022671981</v>
      </c>
      <c r="O20" s="343">
        <f t="shared" si="3"/>
        <v>2647.3216912751996</v>
      </c>
      <c r="P20" s="16">
        <f t="shared" si="3"/>
        <v>1192.6682760551325</v>
      </c>
      <c r="R20" s="356">
        <v>2030</v>
      </c>
      <c r="S20" s="357">
        <v>18900</v>
      </c>
      <c r="T20" s="357">
        <v>51300</v>
      </c>
      <c r="U20" s="357">
        <v>907600</v>
      </c>
      <c r="V20" s="358">
        <v>65</v>
      </c>
      <c r="X20" s="133" t="s">
        <v>3036</v>
      </c>
      <c r="Y20" s="162"/>
    </row>
    <row r="21" spans="2:30" ht="12.75" thickBot="1" x14ac:dyDescent="0.25">
      <c r="B21" s="1">
        <f t="shared" si="5"/>
        <v>2042</v>
      </c>
      <c r="C21" s="338">
        <f>($F21*V$6*'Chickasaw Travel Time'!$K$8+$F21*V$7*'Chickasaw Travel Time'!$K$9)/10^6</f>
        <v>-22.082043288327792</v>
      </c>
      <c r="D21" s="81">
        <f t="shared" si="0"/>
        <v>1744.4814197778956</v>
      </c>
      <c r="E21" s="16">
        <f t="shared" si="6"/>
        <v>937.74472403842208</v>
      </c>
      <c r="F21" s="339">
        <f t="shared" si="7"/>
        <v>-46598.301894243043</v>
      </c>
      <c r="G21" s="340">
        <f>($F21*S$6*'Chickasaw Travel Time'!$K$8+$F21*S$7*'Chickasaw Travel Time'!$K$9)/10^6</f>
        <v>-2.5446284162039576E-2</v>
      </c>
      <c r="H21" s="341">
        <f>($F21*T$6*'Chickasaw Travel Time'!$K$8+$F21*T$7*'Chickasaw Travel Time'!$K$9)/10^6</f>
        <v>-1.1796844061424357E-4</v>
      </c>
      <c r="I21" s="342">
        <f>($F21*U$6*'Chickasaw Travel Time'!$K$8+$F21*U$7*'Chickasaw Travel Time'!$K$9)/10^6</f>
        <v>-4.8252067333580097E-4</v>
      </c>
      <c r="J21" s="343">
        <f t="shared" si="8"/>
        <v>480.93477066254798</v>
      </c>
      <c r="K21" s="81">
        <f t="shared" si="1"/>
        <v>6.0517810035106949</v>
      </c>
      <c r="L21" s="16">
        <f t="shared" si="2"/>
        <v>437.93576311957298</v>
      </c>
      <c r="M21" s="344">
        <f t="shared" si="9"/>
        <v>924.92231478563167</v>
      </c>
      <c r="N21" s="345">
        <f t="shared" si="10"/>
        <v>223.38084324037206</v>
      </c>
      <c r="O21" s="343">
        <f t="shared" si="3"/>
        <v>2669.403734563527</v>
      </c>
      <c r="P21" s="16">
        <f t="shared" si="3"/>
        <v>1161.1255672787941</v>
      </c>
      <c r="R21" s="356">
        <v>2031</v>
      </c>
      <c r="S21" s="357">
        <v>18900</v>
      </c>
      <c r="T21" s="357">
        <v>51300</v>
      </c>
      <c r="U21" s="357">
        <v>907600</v>
      </c>
      <c r="V21" s="358">
        <v>66</v>
      </c>
      <c r="X21" s="210" t="s">
        <v>3037</v>
      </c>
      <c r="Y21" s="378">
        <v>0.27500000000000002</v>
      </c>
    </row>
    <row r="22" spans="2:30" x14ac:dyDescent="0.2">
      <c r="B22" s="1">
        <f t="shared" si="5"/>
        <v>2043</v>
      </c>
      <c r="C22" s="338">
        <f>($F22*V$6*'Chickasaw Travel Time'!$K$8+$F22*V$7*'Chickasaw Travel Time'!$K$9)/10^6</f>
        <v>-22.082043288327792</v>
      </c>
      <c r="D22" s="81">
        <f t="shared" si="0"/>
        <v>1766.5634630662234</v>
      </c>
      <c r="E22" s="16">
        <f t="shared" si="6"/>
        <v>921.9562237074324</v>
      </c>
      <c r="F22" s="339">
        <f t="shared" si="7"/>
        <v>-46598.301894243043</v>
      </c>
      <c r="G22" s="340">
        <f>($F22*S$6*'Chickasaw Travel Time'!$K$8+$F22*S$7*'Chickasaw Travel Time'!$K$9)/10^6</f>
        <v>-2.5446284162039576E-2</v>
      </c>
      <c r="H22" s="341">
        <f>($F22*T$6*'Chickasaw Travel Time'!$K$8+$F22*T$7*'Chickasaw Travel Time'!$K$9)/10^6</f>
        <v>-1.1796844061424357E-4</v>
      </c>
      <c r="I22" s="342">
        <f>($F22*U$6*'Chickasaw Travel Time'!$K$8+$F22*U$7*'Chickasaw Travel Time'!$K$9)/10^6</f>
        <v>-4.8252067333580097E-4</v>
      </c>
      <c r="J22" s="343">
        <f t="shared" si="8"/>
        <v>480.93477066254798</v>
      </c>
      <c r="K22" s="81">
        <f t="shared" si="1"/>
        <v>6.0517810035106949</v>
      </c>
      <c r="L22" s="16">
        <f t="shared" si="2"/>
        <v>437.93576311957298</v>
      </c>
      <c r="M22" s="344">
        <f t="shared" si="9"/>
        <v>924.92231478563167</v>
      </c>
      <c r="N22" s="345">
        <f t="shared" si="10"/>
        <v>208.76714321530099</v>
      </c>
      <c r="O22" s="343">
        <f t="shared" si="3"/>
        <v>2691.4857778518553</v>
      </c>
      <c r="P22" s="16">
        <f t="shared" si="3"/>
        <v>1130.7233669227335</v>
      </c>
      <c r="R22" s="356">
        <v>2032</v>
      </c>
      <c r="S22" s="357">
        <v>18900</v>
      </c>
      <c r="T22" s="357">
        <v>51300</v>
      </c>
      <c r="U22" s="357">
        <v>907600</v>
      </c>
      <c r="V22" s="358">
        <v>67</v>
      </c>
      <c r="X22" s="392" t="s">
        <v>3038</v>
      </c>
      <c r="Y22" s="390"/>
    </row>
    <row r="23" spans="2:30" x14ac:dyDescent="0.2">
      <c r="B23" s="1">
        <f t="shared" si="5"/>
        <v>2044</v>
      </c>
      <c r="C23" s="338">
        <f>($F23*V$6*'Chickasaw Travel Time'!$K$8+$F23*V$7*'Chickasaw Travel Time'!$K$9)/10^6</f>
        <v>-22.082043288327792</v>
      </c>
      <c r="D23" s="81">
        <f t="shared" si="0"/>
        <v>1788.6455063545511</v>
      </c>
      <c r="E23" s="16">
        <f t="shared" si="6"/>
        <v>906.29191893570408</v>
      </c>
      <c r="F23" s="339">
        <f t="shared" si="7"/>
        <v>-46598.301894243043</v>
      </c>
      <c r="G23" s="340">
        <f>($F23*S$6*'Chickasaw Travel Time'!$K$8+$F23*S$7*'Chickasaw Travel Time'!$K$9)/10^6</f>
        <v>-2.5446284162039576E-2</v>
      </c>
      <c r="H23" s="341">
        <f>($F23*T$6*'Chickasaw Travel Time'!$K$8+$F23*T$7*'Chickasaw Travel Time'!$K$9)/10^6</f>
        <v>-1.1796844061424357E-4</v>
      </c>
      <c r="I23" s="342">
        <f>($F23*U$6*'Chickasaw Travel Time'!$K$8+$F23*U$7*'Chickasaw Travel Time'!$K$9)/10^6</f>
        <v>-4.8252067333580097E-4</v>
      </c>
      <c r="J23" s="343">
        <f t="shared" si="8"/>
        <v>480.93477066254798</v>
      </c>
      <c r="K23" s="81">
        <f t="shared" si="1"/>
        <v>6.0517810035106949</v>
      </c>
      <c r="L23" s="16">
        <f t="shared" si="2"/>
        <v>437.93576311957298</v>
      </c>
      <c r="M23" s="344">
        <f t="shared" si="9"/>
        <v>924.92231478563167</v>
      </c>
      <c r="N23" s="345">
        <f t="shared" si="10"/>
        <v>195.10947964046821</v>
      </c>
      <c r="O23" s="343">
        <f t="shared" si="3"/>
        <v>2713.5678211401828</v>
      </c>
      <c r="P23" s="16">
        <f t="shared" si="3"/>
        <v>1101.4013985761724</v>
      </c>
      <c r="R23" s="356">
        <v>2033</v>
      </c>
      <c r="S23" s="357">
        <v>18900</v>
      </c>
      <c r="T23" s="357">
        <v>51300</v>
      </c>
      <c r="U23" s="357">
        <v>907600</v>
      </c>
      <c r="V23" s="358">
        <v>68</v>
      </c>
      <c r="X23" s="130"/>
      <c r="Y23" s="130"/>
    </row>
    <row r="24" spans="2:30" x14ac:dyDescent="0.2">
      <c r="B24" s="1">
        <f t="shared" si="5"/>
        <v>2045</v>
      </c>
      <c r="C24" s="338">
        <f>($F24*V$6*'Chickasaw Travel Time'!$K$8+$F24*V$7*'Chickasaw Travel Time'!$K$9)/10^6</f>
        <v>-22.082043288327792</v>
      </c>
      <c r="D24" s="81">
        <f t="shared" si="0"/>
        <v>1810.727549642879</v>
      </c>
      <c r="E24" s="16">
        <f t="shared" si="6"/>
        <v>890.75796898870601</v>
      </c>
      <c r="F24" s="339">
        <f t="shared" si="7"/>
        <v>-46598.301894243043</v>
      </c>
      <c r="G24" s="340">
        <f>($F24*S$6*'Chickasaw Travel Time'!$K$8+$F24*S$7*'Chickasaw Travel Time'!$K$9)/10^6</f>
        <v>-2.5446284162039576E-2</v>
      </c>
      <c r="H24" s="341">
        <f>($F24*T$6*'Chickasaw Travel Time'!$K$8+$F24*T$7*'Chickasaw Travel Time'!$K$9)/10^6</f>
        <v>-1.1796844061424357E-4</v>
      </c>
      <c r="I24" s="342">
        <f>($F24*U$6*'Chickasaw Travel Time'!$K$8+$F24*U$7*'Chickasaw Travel Time'!$K$9)/10^6</f>
        <v>-4.8252067333580097E-4</v>
      </c>
      <c r="J24" s="343">
        <f t="shared" si="8"/>
        <v>480.93477066254798</v>
      </c>
      <c r="K24" s="81">
        <f t="shared" si="1"/>
        <v>6.0517810035106949</v>
      </c>
      <c r="L24" s="16">
        <f t="shared" si="2"/>
        <v>437.93576311957298</v>
      </c>
      <c r="M24" s="344">
        <f t="shared" si="9"/>
        <v>924.92231478563167</v>
      </c>
      <c r="N24" s="345">
        <f t="shared" si="10"/>
        <v>182.34530807520392</v>
      </c>
      <c r="O24" s="343">
        <f t="shared" si="3"/>
        <v>2735.6498644285107</v>
      </c>
      <c r="P24" s="16">
        <f t="shared" si="3"/>
        <v>1073.1032770639099</v>
      </c>
      <c r="R24" s="356">
        <v>2034</v>
      </c>
      <c r="S24" s="357">
        <v>18900</v>
      </c>
      <c r="T24" s="357">
        <v>51300</v>
      </c>
      <c r="U24" s="357">
        <v>907600</v>
      </c>
      <c r="V24" s="358">
        <v>69</v>
      </c>
      <c r="X24" s="162"/>
      <c r="Y24" s="162"/>
    </row>
    <row r="25" spans="2:30" ht="12.75" thickBot="1" x14ac:dyDescent="0.25">
      <c r="B25" s="15">
        <f t="shared" si="5"/>
        <v>2046</v>
      </c>
      <c r="C25" s="361">
        <f>($F25*V$6*'Chickasaw Travel Time'!$K$8+$F25*V$7*'Chickasaw Travel Time'!$K$9)/10^6</f>
        <v>-22.082043288327792</v>
      </c>
      <c r="D25" s="132">
        <f t="shared" si="0"/>
        <v>1854.8916362195346</v>
      </c>
      <c r="E25" s="14">
        <f t="shared" si="6"/>
        <v>885.90657583532209</v>
      </c>
      <c r="F25" s="362">
        <f t="shared" si="7"/>
        <v>-46598.301894243043</v>
      </c>
      <c r="G25" s="363">
        <f>($F25*S$6*'Chickasaw Travel Time'!$K$8+$F25*S$7*'Chickasaw Travel Time'!$K$9)/10^6</f>
        <v>-2.5446284162039576E-2</v>
      </c>
      <c r="H25" s="364">
        <f>($F25*T$6*'Chickasaw Travel Time'!$K$8+$F25*T$7*'Chickasaw Travel Time'!$K$9)/10^6</f>
        <v>-1.1796844061424357E-4</v>
      </c>
      <c r="I25" s="365">
        <f>($F25*U$6*'Chickasaw Travel Time'!$K$8+$F25*U$7*'Chickasaw Travel Time'!$K$9)/10^6</f>
        <v>-4.8252067333580097E-4</v>
      </c>
      <c r="J25" s="366">
        <f t="shared" si="8"/>
        <v>480.93477066254798</v>
      </c>
      <c r="K25" s="132">
        <f t="shared" si="1"/>
        <v>6.0517810035106949</v>
      </c>
      <c r="L25" s="14">
        <f t="shared" si="2"/>
        <v>437.93576311957298</v>
      </c>
      <c r="M25" s="367">
        <f>SUM(J25:L25)</f>
        <v>924.92231478563167</v>
      </c>
      <c r="N25" s="368">
        <f t="shared" si="10"/>
        <v>170.4161757712186</v>
      </c>
      <c r="O25" s="366">
        <f>M25+D25</f>
        <v>2779.813951005166</v>
      </c>
      <c r="P25" s="14">
        <f t="shared" ref="P25" si="12">N25+E25</f>
        <v>1056.3227516065408</v>
      </c>
      <c r="R25" s="356">
        <v>2035</v>
      </c>
      <c r="S25" s="357">
        <v>18900</v>
      </c>
      <c r="T25" s="357">
        <v>51300</v>
      </c>
      <c r="U25" s="357">
        <v>907600</v>
      </c>
      <c r="V25" s="358">
        <v>70</v>
      </c>
      <c r="X25" s="133" t="s">
        <v>3039</v>
      </c>
      <c r="Y25" s="133"/>
    </row>
    <row r="26" spans="2:30" ht="12.75" thickBot="1" x14ac:dyDescent="0.25">
      <c r="C26" s="369">
        <f>SUM(C11:C25)</f>
        <v>-331.23064932491678</v>
      </c>
      <c r="D26" s="370" t="s">
        <v>2809</v>
      </c>
      <c r="E26" s="371">
        <f>SUM(E11:E25)</f>
        <v>14621.33151826675</v>
      </c>
      <c r="F26" s="80"/>
      <c r="G26" s="372">
        <f>SUM(G11:G25)</f>
        <v>-0.38169426243059379</v>
      </c>
      <c r="H26" s="372">
        <f>SUM(H11:H25)</f>
        <v>-1.7695266092136539E-3</v>
      </c>
      <c r="I26" s="372">
        <f>SUM(I11:I25)</f>
        <v>-7.2378101000370168E-3</v>
      </c>
      <c r="M26" s="370" t="s">
        <v>2809</v>
      </c>
      <c r="N26" s="371">
        <f>SUM(N6:N25)</f>
        <v>6927.439408108823</v>
      </c>
      <c r="O26" s="371">
        <f>SUM(O6:O25)</f>
        <v>50314.756301457412</v>
      </c>
      <c r="P26" s="371">
        <f>SUM(P6:P25)</f>
        <v>27072.776918742475</v>
      </c>
      <c r="R26" s="356">
        <v>2036</v>
      </c>
      <c r="S26" s="357">
        <v>18900</v>
      </c>
      <c r="T26" s="357">
        <v>51300</v>
      </c>
      <c r="U26" s="357">
        <v>907600</v>
      </c>
      <c r="V26" s="358">
        <v>72</v>
      </c>
      <c r="X26" s="210" t="s">
        <v>3040</v>
      </c>
      <c r="Y26" s="379" t="s">
        <v>3041</v>
      </c>
    </row>
    <row r="27" spans="2:30" ht="12.75" thickBot="1" x14ac:dyDescent="0.25">
      <c r="G27" s="166">
        <f>G26*1000</f>
        <v>-381.69426243059377</v>
      </c>
      <c r="H27" s="166">
        <f>H26*1000</f>
        <v>-1.7695266092136539</v>
      </c>
      <c r="I27" s="166">
        <f>I26*1000</f>
        <v>-7.2378101000370165</v>
      </c>
      <c r="R27" s="356">
        <v>2037</v>
      </c>
      <c r="S27" s="357">
        <v>18900</v>
      </c>
      <c r="T27" s="357">
        <v>51300</v>
      </c>
      <c r="U27" s="357">
        <v>907600</v>
      </c>
      <c r="V27" s="358">
        <v>73</v>
      </c>
      <c r="X27" s="380" t="s">
        <v>3017</v>
      </c>
      <c r="Y27" s="381">
        <v>24.9</v>
      </c>
    </row>
    <row r="28" spans="2:30" x14ac:dyDescent="0.2">
      <c r="B28" s="42" t="s">
        <v>2828</v>
      </c>
      <c r="C28" s="42"/>
      <c r="D28" s="42"/>
      <c r="E28" s="42"/>
      <c r="R28" s="356">
        <v>2038</v>
      </c>
      <c r="S28" s="357">
        <v>18900</v>
      </c>
      <c r="T28" s="357">
        <v>51300</v>
      </c>
      <c r="U28" s="357">
        <v>907600</v>
      </c>
      <c r="V28" s="358">
        <v>74</v>
      </c>
      <c r="X28" s="162"/>
      <c r="Y28" s="162"/>
    </row>
    <row r="29" spans="2:30" ht="12" customHeight="1" thickBot="1" x14ac:dyDescent="0.25">
      <c r="B29" s="129" t="s">
        <v>2829</v>
      </c>
      <c r="C29" s="598" t="s">
        <v>3034</v>
      </c>
      <c r="D29" s="598"/>
      <c r="E29" s="598"/>
      <c r="F29" s="598"/>
      <c r="R29" s="356">
        <v>2039</v>
      </c>
      <c r="S29" s="357">
        <v>18900</v>
      </c>
      <c r="T29" s="357">
        <v>51300</v>
      </c>
      <c r="U29" s="357">
        <v>907600</v>
      </c>
      <c r="V29" s="358">
        <v>75</v>
      </c>
      <c r="X29" s="133" t="s">
        <v>3042</v>
      </c>
      <c r="Y29" s="162"/>
    </row>
    <row r="30" spans="2:30" ht="12.75" thickBot="1" x14ac:dyDescent="0.25">
      <c r="B30" s="178" t="s">
        <v>2842</v>
      </c>
      <c r="C30" s="533" t="s">
        <v>3035</v>
      </c>
      <c r="D30" s="533"/>
      <c r="E30" s="533"/>
      <c r="F30" s="533"/>
      <c r="G30" s="131"/>
      <c r="H30" s="131"/>
      <c r="I30" s="131"/>
      <c r="J30" s="131"/>
      <c r="K30" s="131"/>
      <c r="L30" s="131"/>
      <c r="M30" s="131"/>
      <c r="R30" s="356">
        <v>2040</v>
      </c>
      <c r="S30" s="357">
        <v>18900</v>
      </c>
      <c r="T30" s="357">
        <v>51300</v>
      </c>
      <c r="U30" s="357">
        <v>907600</v>
      </c>
      <c r="V30" s="358">
        <v>76</v>
      </c>
      <c r="X30" s="210" t="s">
        <v>3043</v>
      </c>
      <c r="Y30" s="379" t="s">
        <v>3044</v>
      </c>
    </row>
    <row r="31" spans="2:30" ht="12.75" thickBot="1" x14ac:dyDescent="0.25">
      <c r="B31" s="131"/>
      <c r="C31" s="533"/>
      <c r="D31" s="533"/>
      <c r="E31" s="533"/>
      <c r="F31" s="533"/>
      <c r="G31" s="131"/>
      <c r="H31" s="131"/>
      <c r="I31" s="131"/>
      <c r="J31" s="131"/>
      <c r="K31" s="131"/>
      <c r="L31" s="131"/>
      <c r="M31" s="131"/>
      <c r="R31" s="356">
        <v>2041</v>
      </c>
      <c r="S31" s="357">
        <v>18900</v>
      </c>
      <c r="T31" s="357">
        <v>51300</v>
      </c>
      <c r="U31" s="357">
        <v>907600</v>
      </c>
      <c r="V31" s="358">
        <v>78</v>
      </c>
      <c r="X31" s="380" t="s">
        <v>3045</v>
      </c>
      <c r="Y31" s="381">
        <f>Y21*Y27</f>
        <v>6.8475000000000001</v>
      </c>
    </row>
    <row r="32" spans="2:30" x14ac:dyDescent="0.2">
      <c r="B32" s="131"/>
      <c r="C32" s="533"/>
      <c r="D32" s="533"/>
      <c r="E32" s="533"/>
      <c r="F32" s="533"/>
      <c r="G32" s="131"/>
      <c r="H32" s="131"/>
      <c r="I32" s="131"/>
      <c r="J32" s="131"/>
      <c r="K32" s="131"/>
      <c r="L32" s="131"/>
      <c r="M32" s="131"/>
      <c r="R32" s="356">
        <v>2042</v>
      </c>
      <c r="S32" s="357">
        <v>18900</v>
      </c>
      <c r="T32" s="357">
        <v>51300</v>
      </c>
      <c r="U32" s="357">
        <v>907600</v>
      </c>
      <c r="V32" s="358">
        <v>79</v>
      </c>
      <c r="X32" s="162"/>
      <c r="Y32" s="162"/>
    </row>
    <row r="33" spans="1:27" x14ac:dyDescent="0.2">
      <c r="B33" s="131"/>
      <c r="C33" s="131"/>
      <c r="D33" s="131"/>
      <c r="E33" s="131"/>
      <c r="F33" s="131"/>
      <c r="R33" s="356">
        <v>2043</v>
      </c>
      <c r="S33" s="357">
        <v>18900</v>
      </c>
      <c r="T33" s="357">
        <v>51300</v>
      </c>
      <c r="U33" s="357">
        <v>907600</v>
      </c>
      <c r="V33" s="358">
        <v>80</v>
      </c>
    </row>
    <row r="34" spans="1:27" x14ac:dyDescent="0.2">
      <c r="B34" s="230"/>
      <c r="C34" s="230"/>
      <c r="D34" s="230"/>
      <c r="E34" s="230"/>
      <c r="F34" s="131"/>
      <c r="G34" s="131"/>
      <c r="H34" s="131"/>
      <c r="I34" s="131"/>
      <c r="J34" s="131"/>
      <c r="K34" s="131"/>
      <c r="L34" s="131"/>
      <c r="M34" s="131"/>
      <c r="R34" s="356">
        <v>2044</v>
      </c>
      <c r="S34" s="357">
        <v>18900</v>
      </c>
      <c r="T34" s="357">
        <v>51300</v>
      </c>
      <c r="U34" s="357">
        <v>907600</v>
      </c>
      <c r="V34" s="358">
        <v>81</v>
      </c>
      <c r="X34" s="17" t="s">
        <v>3046</v>
      </c>
      <c r="Z34" s="373"/>
      <c r="AA34" s="373"/>
    </row>
    <row r="35" spans="1:27" x14ac:dyDescent="0.2">
      <c r="A35" s="129"/>
      <c r="G35" s="131"/>
      <c r="H35" s="131"/>
      <c r="I35" s="131"/>
      <c r="J35" s="131"/>
      <c r="K35" s="131"/>
      <c r="L35" s="131"/>
      <c r="M35" s="131"/>
      <c r="R35" s="356">
        <v>2045</v>
      </c>
      <c r="S35" s="357">
        <v>18900</v>
      </c>
      <c r="T35" s="357">
        <v>51300</v>
      </c>
      <c r="U35" s="357">
        <v>907600</v>
      </c>
      <c r="V35" s="358">
        <v>82</v>
      </c>
      <c r="X35" s="17" t="s">
        <v>2827</v>
      </c>
      <c r="Y35" s="391">
        <f>'Mitchell Annualization'!D15</f>
        <v>54441.243542014468</v>
      </c>
      <c r="Z35" s="373"/>
      <c r="AA35" s="373"/>
    </row>
    <row r="36" spans="1:27" x14ac:dyDescent="0.2">
      <c r="A36" s="129"/>
      <c r="G36" s="229"/>
      <c r="H36" s="229"/>
      <c r="I36" s="131"/>
      <c r="Q36" s="229"/>
      <c r="R36" s="356">
        <v>2046</v>
      </c>
      <c r="S36" s="357">
        <v>18900</v>
      </c>
      <c r="T36" s="357">
        <v>51300</v>
      </c>
      <c r="U36" s="357">
        <v>907600</v>
      </c>
      <c r="V36" s="358">
        <v>84</v>
      </c>
      <c r="X36" s="17" t="s">
        <v>2826</v>
      </c>
      <c r="Y36" s="391">
        <f>'Mitchell Annualization'!C15</f>
        <v>61246.398984766282</v>
      </c>
    </row>
    <row r="37" spans="1:27" x14ac:dyDescent="0.2">
      <c r="Q37" s="229"/>
      <c r="R37" s="356">
        <v>2047</v>
      </c>
      <c r="S37" s="357">
        <v>18900</v>
      </c>
      <c r="T37" s="357">
        <v>51300</v>
      </c>
      <c r="U37" s="357">
        <v>907600</v>
      </c>
      <c r="V37" s="358">
        <v>85</v>
      </c>
      <c r="X37" s="17" t="s">
        <v>2907</v>
      </c>
      <c r="Y37" s="373">
        <f>Y35-Y36</f>
        <v>-6805.1554427518131</v>
      </c>
    </row>
    <row r="38" spans="1:27" x14ac:dyDescent="0.2">
      <c r="A38" s="129"/>
      <c r="B38" s="130"/>
      <c r="C38" s="130"/>
      <c r="D38" s="130"/>
      <c r="E38" s="130"/>
      <c r="F38" s="130"/>
      <c r="R38" s="356">
        <v>2048</v>
      </c>
      <c r="S38" s="357">
        <v>18900</v>
      </c>
      <c r="T38" s="357">
        <v>51300</v>
      </c>
      <c r="U38" s="357">
        <v>907600</v>
      </c>
      <c r="V38" s="358">
        <v>86</v>
      </c>
      <c r="X38" s="17" t="s">
        <v>3048</v>
      </c>
      <c r="Y38" s="373">
        <f>Y37*Y31</f>
        <v>-46598.301894243043</v>
      </c>
    </row>
    <row r="39" spans="1:27" x14ac:dyDescent="0.2">
      <c r="A39" s="129"/>
      <c r="B39" s="130"/>
      <c r="C39" s="130"/>
      <c r="D39" s="130"/>
      <c r="E39" s="130"/>
      <c r="F39" s="130"/>
      <c r="R39" s="356">
        <v>2049</v>
      </c>
      <c r="S39" s="357">
        <v>18900</v>
      </c>
      <c r="T39" s="357">
        <v>51300</v>
      </c>
      <c r="U39" s="357">
        <v>907600</v>
      </c>
      <c r="V39" s="358">
        <v>87</v>
      </c>
    </row>
    <row r="40" spans="1:27" ht="12.75" thickBot="1" x14ac:dyDescent="0.25">
      <c r="B40" s="130"/>
      <c r="C40" s="130"/>
      <c r="D40" s="130"/>
      <c r="E40" s="130"/>
      <c r="F40" s="130"/>
      <c r="G40" s="130"/>
      <c r="H40" s="130"/>
      <c r="I40" s="130"/>
      <c r="R40" s="356">
        <v>2050</v>
      </c>
      <c r="S40" s="357">
        <v>18900</v>
      </c>
      <c r="T40" s="357">
        <v>51300</v>
      </c>
      <c r="U40" s="357">
        <v>907600</v>
      </c>
      <c r="V40" s="358">
        <v>88</v>
      </c>
      <c r="X40" s="133" t="s">
        <v>3027</v>
      </c>
      <c r="Y40" s="162"/>
    </row>
    <row r="41" spans="1:27" ht="12.75" thickBot="1" x14ac:dyDescent="0.25">
      <c r="B41" s="130"/>
      <c r="C41" s="130"/>
      <c r="D41" s="130"/>
      <c r="E41" s="130"/>
      <c r="F41" s="130"/>
      <c r="G41" s="130"/>
      <c r="H41" s="130"/>
      <c r="I41" s="130"/>
      <c r="R41" s="356">
        <v>2051</v>
      </c>
      <c r="S41" s="357">
        <v>18900</v>
      </c>
      <c r="T41" s="357">
        <v>51300</v>
      </c>
      <c r="U41" s="357">
        <v>907600</v>
      </c>
      <c r="V41" s="358">
        <v>89</v>
      </c>
      <c r="X41" s="382" t="s">
        <v>3028</v>
      </c>
      <c r="Y41" s="383" t="s">
        <v>3029</v>
      </c>
    </row>
    <row r="42" spans="1:27" x14ac:dyDescent="0.2">
      <c r="B42" s="130"/>
      <c r="C42" s="130"/>
      <c r="D42" s="130"/>
      <c r="E42" s="130"/>
      <c r="F42" s="130"/>
      <c r="G42" s="130"/>
      <c r="H42" s="130"/>
      <c r="I42" s="130"/>
      <c r="R42" s="356">
        <v>2052</v>
      </c>
      <c r="S42" s="357">
        <v>18900</v>
      </c>
      <c r="T42" s="357">
        <v>51300</v>
      </c>
      <c r="U42" s="357">
        <v>907600</v>
      </c>
      <c r="V42" s="358">
        <v>90</v>
      </c>
      <c r="X42" s="384" t="s">
        <v>3030</v>
      </c>
      <c r="Y42" s="385">
        <f>C26</f>
        <v>-331.23064932491678</v>
      </c>
    </row>
    <row r="43" spans="1:27" x14ac:dyDescent="0.2">
      <c r="A43" s="129"/>
      <c r="B43" s="230"/>
      <c r="C43" s="230"/>
      <c r="F43" s="131"/>
      <c r="G43" s="130"/>
      <c r="H43" s="130"/>
      <c r="I43" s="130"/>
      <c r="R43" s="356">
        <v>2053</v>
      </c>
      <c r="S43" s="357">
        <v>18900</v>
      </c>
      <c r="T43" s="357">
        <v>51300</v>
      </c>
      <c r="U43" s="357">
        <v>907600</v>
      </c>
      <c r="V43" s="358">
        <v>91</v>
      </c>
      <c r="X43" s="386" t="s">
        <v>3031</v>
      </c>
      <c r="Y43" s="387">
        <f>G27</f>
        <v>-381.69426243059377</v>
      </c>
    </row>
    <row r="44" spans="1:27" x14ac:dyDescent="0.2">
      <c r="B44" s="230"/>
      <c r="C44" s="230"/>
      <c r="F44" s="131"/>
      <c r="G44" s="130"/>
      <c r="H44" s="130"/>
      <c r="I44" s="130"/>
      <c r="N44" s="374"/>
      <c r="O44" s="374"/>
      <c r="P44" s="374"/>
      <c r="R44" s="356">
        <v>2054</v>
      </c>
      <c r="S44" s="357">
        <f t="shared" ref="S44:V50" si="13">S43</f>
        <v>18900</v>
      </c>
      <c r="T44" s="357">
        <f t="shared" si="13"/>
        <v>51300</v>
      </c>
      <c r="U44" s="357">
        <f t="shared" si="13"/>
        <v>907600</v>
      </c>
      <c r="V44" s="358">
        <f t="shared" si="13"/>
        <v>91</v>
      </c>
      <c r="X44" s="386" t="s">
        <v>3032</v>
      </c>
      <c r="Y44" s="387">
        <f>H27</f>
        <v>-1.7695266092136539</v>
      </c>
    </row>
    <row r="45" spans="1:27" ht="12.75" thickBot="1" x14ac:dyDescent="0.25">
      <c r="B45" s="230"/>
      <c r="C45" s="230"/>
      <c r="F45" s="131"/>
      <c r="G45" s="131"/>
      <c r="H45" s="131"/>
      <c r="I45" s="131"/>
      <c r="N45" s="374"/>
      <c r="O45" s="374"/>
      <c r="P45" s="374"/>
      <c r="R45" s="356">
        <v>2055</v>
      </c>
      <c r="S45" s="357">
        <f t="shared" si="13"/>
        <v>18900</v>
      </c>
      <c r="T45" s="357">
        <f t="shared" si="13"/>
        <v>51300</v>
      </c>
      <c r="U45" s="357">
        <f t="shared" si="13"/>
        <v>907600</v>
      </c>
      <c r="V45" s="358">
        <f t="shared" si="13"/>
        <v>91</v>
      </c>
      <c r="X45" s="388" t="s">
        <v>3033</v>
      </c>
      <c r="Y45" s="389">
        <f>I27</f>
        <v>-7.2378101000370165</v>
      </c>
    </row>
    <row r="46" spans="1:27" x14ac:dyDescent="0.2">
      <c r="B46" s="230"/>
      <c r="C46" s="230"/>
      <c r="F46" s="131"/>
      <c r="G46" s="131"/>
      <c r="H46" s="131"/>
      <c r="I46" s="131"/>
      <c r="J46" s="80"/>
      <c r="L46" s="229"/>
      <c r="M46" s="229"/>
      <c r="N46" s="374"/>
      <c r="O46" s="374"/>
      <c r="P46" s="374"/>
      <c r="R46" s="356">
        <v>2056</v>
      </c>
      <c r="S46" s="357">
        <f t="shared" si="13"/>
        <v>18900</v>
      </c>
      <c r="T46" s="357">
        <f t="shared" si="13"/>
        <v>51300</v>
      </c>
      <c r="U46" s="357">
        <f t="shared" si="13"/>
        <v>907600</v>
      </c>
      <c r="V46" s="358">
        <f t="shared" si="13"/>
        <v>91</v>
      </c>
    </row>
    <row r="47" spans="1:27" x14ac:dyDescent="0.2">
      <c r="B47" s="230"/>
      <c r="C47" s="230"/>
      <c r="D47" s="230"/>
      <c r="E47" s="230"/>
      <c r="F47" s="131"/>
      <c r="G47" s="131"/>
      <c r="H47" s="131"/>
      <c r="I47" s="131"/>
      <c r="J47" s="80"/>
      <c r="L47" s="229"/>
      <c r="M47" s="229"/>
      <c r="R47" s="356">
        <v>2057</v>
      </c>
      <c r="S47" s="357">
        <f t="shared" si="13"/>
        <v>18900</v>
      </c>
      <c r="T47" s="357">
        <f t="shared" si="13"/>
        <v>51300</v>
      </c>
      <c r="U47" s="357">
        <f t="shared" si="13"/>
        <v>907600</v>
      </c>
      <c r="V47" s="358">
        <f t="shared" si="13"/>
        <v>91</v>
      </c>
    </row>
    <row r="48" spans="1:27" x14ac:dyDescent="0.2">
      <c r="A48" s="129"/>
      <c r="B48" s="230"/>
      <c r="C48" s="230"/>
      <c r="D48" s="230"/>
      <c r="E48" s="230"/>
      <c r="F48" s="131"/>
      <c r="G48" s="131"/>
      <c r="H48" s="131"/>
      <c r="I48" s="131"/>
      <c r="L48" s="229"/>
      <c r="M48" s="229"/>
      <c r="R48" s="356">
        <v>2058</v>
      </c>
      <c r="S48" s="357">
        <f t="shared" si="13"/>
        <v>18900</v>
      </c>
      <c r="T48" s="357">
        <f t="shared" si="13"/>
        <v>51300</v>
      </c>
      <c r="U48" s="357">
        <f t="shared" si="13"/>
        <v>907600</v>
      </c>
      <c r="V48" s="358">
        <f t="shared" si="13"/>
        <v>91</v>
      </c>
    </row>
    <row r="49" spans="1:22" x14ac:dyDescent="0.2">
      <c r="B49" s="230"/>
      <c r="C49" s="230"/>
      <c r="D49" s="230"/>
      <c r="E49" s="230"/>
      <c r="F49" s="131"/>
      <c r="G49" s="131"/>
      <c r="H49" s="131"/>
      <c r="I49" s="131"/>
      <c r="L49" s="229"/>
      <c r="M49" s="229"/>
      <c r="R49" s="356">
        <v>2059</v>
      </c>
      <c r="S49" s="357">
        <f t="shared" si="13"/>
        <v>18900</v>
      </c>
      <c r="T49" s="357">
        <f t="shared" si="13"/>
        <v>51300</v>
      </c>
      <c r="U49" s="357">
        <f t="shared" si="13"/>
        <v>907600</v>
      </c>
      <c r="V49" s="358">
        <f t="shared" si="13"/>
        <v>91</v>
      </c>
    </row>
    <row r="50" spans="1:22" ht="12.75" thickBot="1" x14ac:dyDescent="0.25">
      <c r="B50" s="230"/>
      <c r="C50" s="230"/>
      <c r="D50" s="230"/>
      <c r="E50" s="230"/>
      <c r="F50" s="131"/>
      <c r="G50" s="131"/>
      <c r="H50" s="131"/>
      <c r="I50" s="131"/>
      <c r="J50" s="229"/>
      <c r="K50" s="229"/>
      <c r="L50" s="229"/>
      <c r="M50" s="229"/>
      <c r="R50" s="375">
        <v>2060</v>
      </c>
      <c r="S50" s="376">
        <f t="shared" si="13"/>
        <v>18900</v>
      </c>
      <c r="T50" s="376">
        <f t="shared" si="13"/>
        <v>51300</v>
      </c>
      <c r="U50" s="376">
        <f t="shared" si="13"/>
        <v>907600</v>
      </c>
      <c r="V50" s="377">
        <f t="shared" si="13"/>
        <v>91</v>
      </c>
    </row>
    <row r="51" spans="1:22" ht="15" x14ac:dyDescent="0.25">
      <c r="B51" s="230"/>
      <c r="C51" s="230"/>
      <c r="D51" s="230"/>
      <c r="E51" s="230"/>
      <c r="F51" s="131"/>
      <c r="G51" s="131"/>
      <c r="H51" s="131"/>
      <c r="I51" s="131"/>
      <c r="K51" s="229"/>
      <c r="L51" s="229"/>
      <c r="M51" s="229"/>
      <c r="R51"/>
      <c r="S51"/>
      <c r="T51"/>
      <c r="U51"/>
      <c r="V51"/>
    </row>
    <row r="52" spans="1:22" x14ac:dyDescent="0.2">
      <c r="B52" s="230"/>
      <c r="C52" s="230"/>
      <c r="D52" s="230"/>
      <c r="E52" s="230"/>
      <c r="F52" s="131"/>
      <c r="G52" s="131"/>
      <c r="H52" s="131"/>
      <c r="I52" s="131"/>
      <c r="J52" s="131"/>
      <c r="L52" s="229"/>
      <c r="M52" s="229"/>
    </row>
    <row r="53" spans="1:22" x14ac:dyDescent="0.2">
      <c r="B53" s="230"/>
      <c r="C53" s="230"/>
      <c r="D53" s="230"/>
      <c r="E53" s="230"/>
      <c r="F53" s="131"/>
      <c r="G53" s="131"/>
      <c r="H53" s="131"/>
      <c r="I53" s="131"/>
      <c r="J53" s="131"/>
    </row>
    <row r="54" spans="1:22" x14ac:dyDescent="0.2">
      <c r="B54" s="230"/>
      <c r="C54" s="230"/>
      <c r="D54" s="230"/>
      <c r="E54" s="230"/>
      <c r="F54" s="131"/>
      <c r="G54" s="131"/>
      <c r="H54" s="131"/>
      <c r="I54" s="131"/>
      <c r="J54" s="131"/>
      <c r="K54" s="131"/>
    </row>
    <row r="55" spans="1:22" x14ac:dyDescent="0.2">
      <c r="G55" s="131"/>
      <c r="H55" s="131"/>
      <c r="I55" s="131"/>
      <c r="J55" s="131"/>
      <c r="K55" s="131"/>
    </row>
    <row r="56" spans="1:22" x14ac:dyDescent="0.2">
      <c r="A56" s="129"/>
      <c r="F56" s="229"/>
      <c r="G56" s="131"/>
      <c r="H56" s="131"/>
      <c r="I56" s="131"/>
      <c r="J56" s="131"/>
      <c r="K56" s="131"/>
    </row>
    <row r="57" spans="1:22" x14ac:dyDescent="0.2">
      <c r="B57" s="229"/>
      <c r="C57" s="229"/>
      <c r="D57" s="229"/>
      <c r="E57" s="229"/>
      <c r="F57" s="229"/>
      <c r="J57" s="131"/>
      <c r="K57" s="131"/>
    </row>
    <row r="58" spans="1:22" x14ac:dyDescent="0.2">
      <c r="I58" s="229"/>
      <c r="J58" s="131"/>
      <c r="K58" s="131"/>
    </row>
    <row r="59" spans="1:22" x14ac:dyDescent="0.2">
      <c r="B59" s="131"/>
      <c r="C59" s="131"/>
      <c r="D59" s="131"/>
      <c r="E59" s="131"/>
      <c r="F59" s="131"/>
      <c r="I59" s="229"/>
      <c r="J59" s="131"/>
      <c r="K59" s="131"/>
    </row>
    <row r="60" spans="1:22" x14ac:dyDescent="0.2">
      <c r="B60" s="131"/>
      <c r="C60" s="131"/>
      <c r="D60" s="131"/>
      <c r="E60" s="131"/>
      <c r="F60" s="131"/>
      <c r="J60" s="131"/>
      <c r="K60" s="131"/>
    </row>
    <row r="61" spans="1:22" x14ac:dyDescent="0.2">
      <c r="A61" s="129"/>
      <c r="G61" s="131"/>
      <c r="H61" s="131"/>
      <c r="I61" s="131"/>
      <c r="J61" s="131"/>
      <c r="K61" s="131"/>
    </row>
    <row r="62" spans="1:22" x14ac:dyDescent="0.2">
      <c r="G62" s="131"/>
      <c r="H62" s="131"/>
      <c r="J62" s="131"/>
      <c r="K62" s="131"/>
    </row>
    <row r="63" spans="1:22" x14ac:dyDescent="0.2">
      <c r="J63" s="131"/>
      <c r="K63" s="131"/>
    </row>
    <row r="64" spans="1:22" x14ac:dyDescent="0.2">
      <c r="A64" s="129"/>
      <c r="J64" s="131"/>
      <c r="K64" s="131"/>
    </row>
    <row r="65" spans="10:12" x14ac:dyDescent="0.2">
      <c r="J65" s="131"/>
      <c r="K65" s="131"/>
    </row>
    <row r="67" spans="10:12" x14ac:dyDescent="0.2">
      <c r="J67" s="229"/>
    </row>
    <row r="68" spans="10:12" x14ac:dyDescent="0.2">
      <c r="J68" s="229"/>
      <c r="L68" s="131"/>
    </row>
    <row r="70" spans="10:12" x14ac:dyDescent="0.2">
      <c r="J70" s="131"/>
      <c r="K70" s="131"/>
    </row>
  </sheetData>
  <mergeCells count="20">
    <mergeCell ref="C3:E3"/>
    <mergeCell ref="F3:N3"/>
    <mergeCell ref="O3:P3"/>
    <mergeCell ref="B4:B5"/>
    <mergeCell ref="C4:C5"/>
    <mergeCell ref="D4:D5"/>
    <mergeCell ref="E4:E5"/>
    <mergeCell ref="F4:F5"/>
    <mergeCell ref="G4:G5"/>
    <mergeCell ref="H4:H5"/>
    <mergeCell ref="O4:O5"/>
    <mergeCell ref="P4:P5"/>
    <mergeCell ref="L4:L5"/>
    <mergeCell ref="M4:M5"/>
    <mergeCell ref="N4:N5"/>
    <mergeCell ref="C29:F29"/>
    <mergeCell ref="C30:F32"/>
    <mergeCell ref="I4:I5"/>
    <mergeCell ref="J4:J5"/>
    <mergeCell ref="K4:K5"/>
  </mergeCells>
  <pageMargins left="0.25" right="0.25" top="0.75" bottom="0.75" header="0.3" footer="0.3"/>
  <pageSetup paperSize="3"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4570-3CFA-49FD-9FDC-F4753606FD11}">
  <sheetPr>
    <tabColor theme="5"/>
  </sheetPr>
  <dimension ref="A1:AS323"/>
  <sheetViews>
    <sheetView zoomScaleNormal="100" workbookViewId="0">
      <selection activeCell="AH22" sqref="AH22"/>
    </sheetView>
  </sheetViews>
  <sheetFormatPr defaultRowHeight="15" x14ac:dyDescent="0.25"/>
  <cols>
    <col min="1" max="1" width="9.28515625" bestFit="1" customWidth="1"/>
    <col min="26" max="27" width="9.28515625" bestFit="1" customWidth="1"/>
    <col min="29" max="29" width="9.28515625" bestFit="1" customWidth="1"/>
    <col min="30" max="30" width="10.42578125" bestFit="1" customWidth="1"/>
    <col min="31" max="31" width="9.28515625" bestFit="1" customWidth="1"/>
    <col min="34" max="34" width="11.5703125" customWidth="1"/>
    <col min="35" max="35" width="31.140625" bestFit="1" customWidth="1"/>
    <col min="36" max="45" width="9.85546875" customWidth="1"/>
    <col min="46" max="46" width="11.28515625" bestFit="1" customWidth="1"/>
  </cols>
  <sheetData>
    <row r="1" spans="1:45" ht="15.75" thickBot="1" x14ac:dyDescent="0.3">
      <c r="A1" s="245" t="s">
        <v>9</v>
      </c>
      <c r="B1" s="245" t="s">
        <v>10</v>
      </c>
      <c r="C1" s="245" t="s">
        <v>11</v>
      </c>
      <c r="D1" s="245" t="s">
        <v>12</v>
      </c>
      <c r="E1" s="245" t="s">
        <v>13</v>
      </c>
      <c r="F1" s="245" t="s">
        <v>14</v>
      </c>
      <c r="G1" s="245" t="s">
        <v>15</v>
      </c>
      <c r="H1" s="245" t="s">
        <v>16</v>
      </c>
      <c r="I1" s="245" t="s">
        <v>17</v>
      </c>
      <c r="J1" s="245" t="s">
        <v>18</v>
      </c>
      <c r="K1" s="245" t="s">
        <v>19</v>
      </c>
      <c r="L1" s="245" t="s">
        <v>20</v>
      </c>
      <c r="M1" s="245" t="s">
        <v>21</v>
      </c>
      <c r="N1" s="245" t="s">
        <v>22</v>
      </c>
      <c r="O1" s="245" t="s">
        <v>23</v>
      </c>
      <c r="P1" s="245" t="s">
        <v>24</v>
      </c>
      <c r="Q1" s="245" t="s">
        <v>25</v>
      </c>
      <c r="R1" s="245" t="s">
        <v>26</v>
      </c>
      <c r="S1" s="245" t="s">
        <v>27</v>
      </c>
      <c r="T1" s="245" t="s">
        <v>28</v>
      </c>
      <c r="U1" s="245" t="s">
        <v>29</v>
      </c>
      <c r="V1" s="245" t="s">
        <v>30</v>
      </c>
      <c r="W1" s="245" t="s">
        <v>31</v>
      </c>
      <c r="X1" s="245" t="s">
        <v>32</v>
      </c>
      <c r="Y1" s="245" t="s">
        <v>33</v>
      </c>
      <c r="Z1" s="245" t="s">
        <v>34</v>
      </c>
      <c r="AA1" s="245" t="s">
        <v>35</v>
      </c>
      <c r="AB1" s="245" t="s">
        <v>36</v>
      </c>
      <c r="AC1" s="245" t="s">
        <v>37</v>
      </c>
      <c r="AD1" s="245" t="s">
        <v>38</v>
      </c>
      <c r="AE1" s="246" t="s">
        <v>2797</v>
      </c>
    </row>
    <row r="2" spans="1:45" x14ac:dyDescent="0.25">
      <c r="A2" s="17">
        <v>1</v>
      </c>
      <c r="B2" s="17" t="s">
        <v>39</v>
      </c>
      <c r="C2" s="17" t="s">
        <v>39</v>
      </c>
      <c r="D2" s="17" t="s">
        <v>40</v>
      </c>
      <c r="E2" s="17" t="s">
        <v>41</v>
      </c>
      <c r="F2" s="17" t="s">
        <v>42</v>
      </c>
      <c r="G2" s="17" t="s">
        <v>43</v>
      </c>
      <c r="H2" s="17" t="s">
        <v>44</v>
      </c>
      <c r="I2" s="17" t="s">
        <v>45</v>
      </c>
      <c r="J2" s="17" t="s">
        <v>46</v>
      </c>
      <c r="K2" s="17" t="s">
        <v>47</v>
      </c>
      <c r="L2" s="17" t="s">
        <v>2</v>
      </c>
      <c r="M2" s="17"/>
      <c r="N2" s="17" t="s">
        <v>48</v>
      </c>
      <c r="O2" s="17" t="s">
        <v>49</v>
      </c>
      <c r="P2" s="17" t="s">
        <v>50</v>
      </c>
      <c r="Q2" s="17" t="s">
        <v>51</v>
      </c>
      <c r="R2" s="17" t="s">
        <v>52</v>
      </c>
      <c r="S2" s="17" t="s">
        <v>53</v>
      </c>
      <c r="T2" s="17" t="s">
        <v>54</v>
      </c>
      <c r="U2" s="17" t="s">
        <v>55</v>
      </c>
      <c r="V2" s="17" t="s">
        <v>56</v>
      </c>
      <c r="W2" s="17" t="s">
        <v>57</v>
      </c>
      <c r="X2" s="17" t="s">
        <v>58</v>
      </c>
      <c r="Y2" s="17" t="s">
        <v>59</v>
      </c>
      <c r="Z2" s="17">
        <v>40.952322158699999</v>
      </c>
      <c r="AA2" s="17">
        <v>-92.639362973700003</v>
      </c>
      <c r="AB2" s="17" t="s">
        <v>60</v>
      </c>
      <c r="AC2" s="17">
        <v>24</v>
      </c>
      <c r="AD2" s="17">
        <v>1.8032460541723941E-5</v>
      </c>
      <c r="AE2" s="17">
        <f>INT(LEFT(B2,4))</f>
        <v>2019</v>
      </c>
    </row>
    <row r="3" spans="1:45" x14ac:dyDescent="0.25">
      <c r="A3" s="17">
        <v>2</v>
      </c>
      <c r="B3" s="17" t="s">
        <v>61</v>
      </c>
      <c r="C3" s="17" t="s">
        <v>61</v>
      </c>
      <c r="D3" s="17" t="s">
        <v>62</v>
      </c>
      <c r="E3" s="17" t="s">
        <v>63</v>
      </c>
      <c r="F3" s="17" t="s">
        <v>64</v>
      </c>
      <c r="G3" s="17" t="s">
        <v>65</v>
      </c>
      <c r="H3" s="17" t="s">
        <v>66</v>
      </c>
      <c r="I3" s="17" t="s">
        <v>67</v>
      </c>
      <c r="J3" s="17" t="s">
        <v>68</v>
      </c>
      <c r="K3" s="17" t="s">
        <v>69</v>
      </c>
      <c r="L3" s="17" t="s">
        <v>2</v>
      </c>
      <c r="M3" s="17"/>
      <c r="N3" s="17" t="s">
        <v>48</v>
      </c>
      <c r="O3" s="17" t="s">
        <v>49</v>
      </c>
      <c r="P3" s="17" t="s">
        <v>50</v>
      </c>
      <c r="Q3" s="17" t="s">
        <v>51</v>
      </c>
      <c r="R3" s="17" t="s">
        <v>52</v>
      </c>
      <c r="S3" s="17" t="s">
        <v>53</v>
      </c>
      <c r="T3" s="17" t="s">
        <v>54</v>
      </c>
      <c r="U3" s="17" t="s">
        <v>55</v>
      </c>
      <c r="V3" s="17" t="s">
        <v>70</v>
      </c>
      <c r="W3" s="17" t="s">
        <v>71</v>
      </c>
      <c r="X3" s="17" t="s">
        <v>72</v>
      </c>
      <c r="Y3" s="17" t="s">
        <v>73</v>
      </c>
      <c r="Z3" s="17">
        <v>40.955339994699997</v>
      </c>
      <c r="AA3" s="17">
        <v>-92.639382197800003</v>
      </c>
      <c r="AB3" s="17" t="s">
        <v>60</v>
      </c>
      <c r="AC3" s="17">
        <v>24</v>
      </c>
      <c r="AD3" s="17">
        <v>2.5609006792106111E-5</v>
      </c>
      <c r="AE3" s="17">
        <f t="shared" ref="AE3:AE66" si="0">INT(LEFT(B3,4))</f>
        <v>2018</v>
      </c>
    </row>
    <row r="4" spans="1:45" x14ac:dyDescent="0.25">
      <c r="A4" s="17">
        <v>3</v>
      </c>
      <c r="B4" s="17" t="s">
        <v>74</v>
      </c>
      <c r="C4" s="17" t="s">
        <v>74</v>
      </c>
      <c r="D4" s="17" t="s">
        <v>75</v>
      </c>
      <c r="E4" s="17" t="s">
        <v>76</v>
      </c>
      <c r="F4" s="17" t="s">
        <v>77</v>
      </c>
      <c r="G4" s="17" t="s">
        <v>78</v>
      </c>
      <c r="H4" s="17" t="s">
        <v>79</v>
      </c>
      <c r="I4" s="17" t="s">
        <v>80</v>
      </c>
      <c r="J4" s="17" t="s">
        <v>81</v>
      </c>
      <c r="K4" s="17" t="s">
        <v>82</v>
      </c>
      <c r="L4" s="17" t="s">
        <v>2</v>
      </c>
      <c r="M4" s="17" t="s">
        <v>83</v>
      </c>
      <c r="N4" s="17" t="s">
        <v>48</v>
      </c>
      <c r="O4" s="17" t="s">
        <v>84</v>
      </c>
      <c r="P4" s="17" t="s">
        <v>50</v>
      </c>
      <c r="Q4" s="17" t="s">
        <v>51</v>
      </c>
      <c r="R4" s="17" t="s">
        <v>52</v>
      </c>
      <c r="S4" s="17" t="s">
        <v>85</v>
      </c>
      <c r="T4" s="17" t="s">
        <v>86</v>
      </c>
      <c r="U4" s="17" t="s">
        <v>55</v>
      </c>
      <c r="V4" s="17" t="s">
        <v>70</v>
      </c>
      <c r="W4" s="17" t="s">
        <v>87</v>
      </c>
      <c r="X4" s="17" t="s">
        <v>88</v>
      </c>
      <c r="Y4" s="17" t="s">
        <v>89</v>
      </c>
      <c r="Z4" s="17">
        <v>40.961262648000002</v>
      </c>
      <c r="AA4" s="17">
        <v>-92.637852654499994</v>
      </c>
      <c r="AB4" s="17" t="s">
        <v>90</v>
      </c>
      <c r="AC4" s="17">
        <v>23</v>
      </c>
      <c r="AD4" s="17">
        <v>1.852961294315991E-6</v>
      </c>
      <c r="AE4" s="17">
        <f t="shared" si="0"/>
        <v>2019</v>
      </c>
    </row>
    <row r="5" spans="1:45" x14ac:dyDescent="0.25">
      <c r="A5" s="17">
        <v>4</v>
      </c>
      <c r="B5" s="17" t="s">
        <v>91</v>
      </c>
      <c r="C5" s="17" t="s">
        <v>91</v>
      </c>
      <c r="D5" s="17" t="s">
        <v>92</v>
      </c>
      <c r="E5" s="17" t="s">
        <v>93</v>
      </c>
      <c r="F5" s="17" t="s">
        <v>94</v>
      </c>
      <c r="G5" s="17" t="s">
        <v>95</v>
      </c>
      <c r="H5" s="17" t="s">
        <v>96</v>
      </c>
      <c r="I5" s="17" t="s">
        <v>97</v>
      </c>
      <c r="J5" s="17" t="s">
        <v>98</v>
      </c>
      <c r="K5" s="17" t="s">
        <v>99</v>
      </c>
      <c r="L5" s="17" t="s">
        <v>2</v>
      </c>
      <c r="M5" s="17" t="s">
        <v>83</v>
      </c>
      <c r="N5" s="17" t="s">
        <v>48</v>
      </c>
      <c r="O5" s="17" t="s">
        <v>84</v>
      </c>
      <c r="P5" s="17" t="s">
        <v>50</v>
      </c>
      <c r="Q5" s="17" t="s">
        <v>51</v>
      </c>
      <c r="R5" s="17" t="s">
        <v>52</v>
      </c>
      <c r="S5" s="17" t="s">
        <v>85</v>
      </c>
      <c r="T5" s="17" t="s">
        <v>86</v>
      </c>
      <c r="U5" s="17" t="s">
        <v>55</v>
      </c>
      <c r="V5" s="17" t="s">
        <v>70</v>
      </c>
      <c r="W5" s="17" t="s">
        <v>100</v>
      </c>
      <c r="X5" s="17" t="s">
        <v>101</v>
      </c>
      <c r="Y5" s="17" t="s">
        <v>89</v>
      </c>
      <c r="Z5" s="17">
        <v>40.962145481</v>
      </c>
      <c r="AA5" s="17">
        <v>-92.637859712299999</v>
      </c>
      <c r="AB5" s="17" t="s">
        <v>60</v>
      </c>
      <c r="AC5" s="17">
        <v>24</v>
      </c>
      <c r="AD5" s="17">
        <v>8.8621442199614508E-6</v>
      </c>
      <c r="AE5" s="17">
        <f t="shared" si="0"/>
        <v>2020</v>
      </c>
    </row>
    <row r="6" spans="1:45" x14ac:dyDescent="0.25">
      <c r="A6" s="17">
        <v>5</v>
      </c>
      <c r="B6" s="17" t="s">
        <v>102</v>
      </c>
      <c r="C6" s="17" t="s">
        <v>102</v>
      </c>
      <c r="D6" s="17" t="s">
        <v>103</v>
      </c>
      <c r="E6" s="17" t="s">
        <v>104</v>
      </c>
      <c r="F6" s="17" t="s">
        <v>105</v>
      </c>
      <c r="G6" s="17" t="s">
        <v>106</v>
      </c>
      <c r="H6" s="17" t="s">
        <v>107</v>
      </c>
      <c r="I6" s="17" t="s">
        <v>108</v>
      </c>
      <c r="J6" s="17" t="s">
        <v>109</v>
      </c>
      <c r="K6" s="17" t="s">
        <v>47</v>
      </c>
      <c r="L6" s="17" t="s">
        <v>2</v>
      </c>
      <c r="M6" s="17" t="s">
        <v>83</v>
      </c>
      <c r="N6" s="17" t="s">
        <v>48</v>
      </c>
      <c r="O6" s="17" t="s">
        <v>84</v>
      </c>
      <c r="P6" s="17" t="s">
        <v>50</v>
      </c>
      <c r="Q6" s="17" t="s">
        <v>51</v>
      </c>
      <c r="R6" s="17" t="s">
        <v>52</v>
      </c>
      <c r="S6" s="17" t="s">
        <v>85</v>
      </c>
      <c r="T6" s="17" t="s">
        <v>86</v>
      </c>
      <c r="U6" s="17" t="s">
        <v>55</v>
      </c>
      <c r="V6" s="17" t="s">
        <v>56</v>
      </c>
      <c r="W6" s="17" t="s">
        <v>110</v>
      </c>
      <c r="X6" s="17" t="s">
        <v>59</v>
      </c>
      <c r="Y6" s="17" t="s">
        <v>111</v>
      </c>
      <c r="Z6" s="17">
        <v>40.963821065399998</v>
      </c>
      <c r="AA6" s="17">
        <v>-92.637874320700007</v>
      </c>
      <c r="AB6" s="17" t="s">
        <v>60</v>
      </c>
      <c r="AC6" s="17">
        <v>24</v>
      </c>
      <c r="AD6" s="17">
        <v>4.6261823287472526E-6</v>
      </c>
      <c r="AE6" s="17">
        <f t="shared" si="0"/>
        <v>2019</v>
      </c>
      <c r="AJ6" s="244"/>
      <c r="AK6" s="244"/>
      <c r="AL6" s="244"/>
      <c r="AM6" s="244"/>
      <c r="AN6" s="244"/>
      <c r="AO6" s="244"/>
      <c r="AP6" s="244"/>
      <c r="AQ6" s="244"/>
      <c r="AR6" s="244"/>
      <c r="AS6" s="244"/>
    </row>
    <row r="7" spans="1:45" x14ac:dyDescent="0.25">
      <c r="A7" s="17">
        <v>6</v>
      </c>
      <c r="B7" s="17" t="s">
        <v>112</v>
      </c>
      <c r="C7" s="17" t="s">
        <v>112</v>
      </c>
      <c r="D7" s="17" t="s">
        <v>113</v>
      </c>
      <c r="E7" s="17" t="s">
        <v>114</v>
      </c>
      <c r="F7" s="17" t="s">
        <v>115</v>
      </c>
      <c r="G7" s="17" t="s">
        <v>116</v>
      </c>
      <c r="H7" s="17" t="s">
        <v>117</v>
      </c>
      <c r="I7" s="17" t="s">
        <v>118</v>
      </c>
      <c r="J7" s="17" t="s">
        <v>119</v>
      </c>
      <c r="K7" s="17" t="s">
        <v>120</v>
      </c>
      <c r="L7" s="17" t="s">
        <v>2</v>
      </c>
      <c r="M7" s="17" t="s">
        <v>83</v>
      </c>
      <c r="N7" s="17" t="s">
        <v>48</v>
      </c>
      <c r="O7" s="17" t="s">
        <v>84</v>
      </c>
      <c r="P7" s="17" t="s">
        <v>50</v>
      </c>
      <c r="Q7" s="17" t="s">
        <v>51</v>
      </c>
      <c r="R7" s="17" t="s">
        <v>52</v>
      </c>
      <c r="S7" s="17" t="s">
        <v>121</v>
      </c>
      <c r="T7" s="17" t="s">
        <v>86</v>
      </c>
      <c r="U7" s="17" t="s">
        <v>122</v>
      </c>
      <c r="V7" s="17" t="s">
        <v>70</v>
      </c>
      <c r="W7" s="17" t="s">
        <v>123</v>
      </c>
      <c r="X7" s="17" t="s">
        <v>124</v>
      </c>
      <c r="Y7" s="17" t="s">
        <v>111</v>
      </c>
      <c r="Z7" s="17">
        <v>40.964118333199998</v>
      </c>
      <c r="AA7" s="17">
        <v>-92.637872695799999</v>
      </c>
      <c r="AB7" s="17" t="s">
        <v>60</v>
      </c>
      <c r="AC7" s="17">
        <v>24</v>
      </c>
      <c r="AD7" s="17">
        <v>2.8023628446218492E-6</v>
      </c>
      <c r="AE7" s="17">
        <f t="shared" si="0"/>
        <v>2016</v>
      </c>
    </row>
    <row r="8" spans="1:45" x14ac:dyDescent="0.25">
      <c r="A8" s="17">
        <v>7</v>
      </c>
      <c r="B8" s="17" t="s">
        <v>125</v>
      </c>
      <c r="C8" s="17" t="s">
        <v>125</v>
      </c>
      <c r="D8" s="17" t="s">
        <v>126</v>
      </c>
      <c r="E8" s="17" t="s">
        <v>127</v>
      </c>
      <c r="F8" s="17" t="s">
        <v>128</v>
      </c>
      <c r="G8" s="17" t="s">
        <v>129</v>
      </c>
      <c r="H8" s="17" t="s">
        <v>130</v>
      </c>
      <c r="I8" s="17" t="s">
        <v>131</v>
      </c>
      <c r="J8" s="17" t="s">
        <v>132</v>
      </c>
      <c r="K8" s="17" t="s">
        <v>69</v>
      </c>
      <c r="L8" s="17" t="s">
        <v>2</v>
      </c>
      <c r="M8" s="17" t="s">
        <v>83</v>
      </c>
      <c r="N8" s="17" t="s">
        <v>48</v>
      </c>
      <c r="O8" s="17" t="s">
        <v>84</v>
      </c>
      <c r="P8" s="17" t="s">
        <v>50</v>
      </c>
      <c r="Q8" s="17" t="s">
        <v>51</v>
      </c>
      <c r="R8" s="17" t="s">
        <v>52</v>
      </c>
      <c r="S8" s="17" t="s">
        <v>85</v>
      </c>
      <c r="T8" s="17" t="s">
        <v>86</v>
      </c>
      <c r="U8" s="17" t="s">
        <v>55</v>
      </c>
      <c r="V8" s="17" t="s">
        <v>56</v>
      </c>
      <c r="W8" s="17" t="s">
        <v>133</v>
      </c>
      <c r="X8" s="17" t="s">
        <v>134</v>
      </c>
      <c r="Y8" s="17" t="s">
        <v>135</v>
      </c>
      <c r="Z8" s="17">
        <v>40.964793941800004</v>
      </c>
      <c r="AA8" s="17">
        <v>-92.6378690027</v>
      </c>
      <c r="AB8" s="17" t="s">
        <v>60</v>
      </c>
      <c r="AC8" s="17">
        <v>24</v>
      </c>
      <c r="AD8" s="17">
        <v>1.342499574683898E-6</v>
      </c>
      <c r="AE8" s="17">
        <f t="shared" si="0"/>
        <v>2022</v>
      </c>
    </row>
    <row r="9" spans="1:45" x14ac:dyDescent="0.25">
      <c r="A9" s="17">
        <v>8</v>
      </c>
      <c r="B9" s="17" t="s">
        <v>136</v>
      </c>
      <c r="C9" s="17" t="s">
        <v>137</v>
      </c>
      <c r="D9" s="17" t="s">
        <v>138</v>
      </c>
      <c r="E9" s="17" t="s">
        <v>139</v>
      </c>
      <c r="F9" s="17" t="s">
        <v>140</v>
      </c>
      <c r="G9" s="17" t="s">
        <v>141</v>
      </c>
      <c r="H9" s="17" t="s">
        <v>142</v>
      </c>
      <c r="I9" s="17" t="s">
        <v>143</v>
      </c>
      <c r="J9" s="17" t="s">
        <v>144</v>
      </c>
      <c r="K9" s="17" t="s">
        <v>69</v>
      </c>
      <c r="L9" s="17" t="s">
        <v>2</v>
      </c>
      <c r="M9" s="17"/>
      <c r="N9" s="17" t="s">
        <v>145</v>
      </c>
      <c r="O9" s="17" t="s">
        <v>146</v>
      </c>
      <c r="P9" s="17" t="s">
        <v>147</v>
      </c>
      <c r="Q9" s="17" t="s">
        <v>51</v>
      </c>
      <c r="R9" s="17" t="s">
        <v>52</v>
      </c>
      <c r="S9" s="17" t="s">
        <v>148</v>
      </c>
      <c r="T9" s="17" t="s">
        <v>54</v>
      </c>
      <c r="U9" s="17" t="s">
        <v>55</v>
      </c>
      <c r="V9" s="17" t="s">
        <v>70</v>
      </c>
      <c r="W9" s="17" t="s">
        <v>149</v>
      </c>
      <c r="X9" s="17" t="s">
        <v>150</v>
      </c>
      <c r="Y9" s="17" t="s">
        <v>150</v>
      </c>
      <c r="Z9" s="17">
        <v>40.970188419000003</v>
      </c>
      <c r="AA9" s="17">
        <v>-92.637399764799994</v>
      </c>
      <c r="AB9" s="17" t="s">
        <v>90</v>
      </c>
      <c r="AC9" s="17">
        <v>23</v>
      </c>
      <c r="AD9" s="17">
        <v>7.1634142194197903E-5</v>
      </c>
      <c r="AE9" s="17">
        <f t="shared" si="0"/>
        <v>2014</v>
      </c>
    </row>
    <row r="10" spans="1:45" x14ac:dyDescent="0.25">
      <c r="A10" s="17">
        <v>9</v>
      </c>
      <c r="B10" s="17" t="s">
        <v>151</v>
      </c>
      <c r="C10" s="17" t="s">
        <v>151</v>
      </c>
      <c r="D10" s="17" t="s">
        <v>152</v>
      </c>
      <c r="E10" s="17" t="s">
        <v>153</v>
      </c>
      <c r="F10" s="17" t="s">
        <v>154</v>
      </c>
      <c r="G10" s="17" t="s">
        <v>155</v>
      </c>
      <c r="H10" s="17" t="s">
        <v>156</v>
      </c>
      <c r="I10" s="17" t="s">
        <v>157</v>
      </c>
      <c r="J10" s="17" t="s">
        <v>158</v>
      </c>
      <c r="K10" s="17" t="s">
        <v>69</v>
      </c>
      <c r="L10" s="17" t="s">
        <v>2</v>
      </c>
      <c r="M10" s="17"/>
      <c r="N10" s="17" t="s">
        <v>48</v>
      </c>
      <c r="O10" s="17" t="s">
        <v>49</v>
      </c>
      <c r="P10" s="17" t="s">
        <v>50</v>
      </c>
      <c r="Q10" s="17" t="s">
        <v>51</v>
      </c>
      <c r="R10" s="17" t="s">
        <v>52</v>
      </c>
      <c r="S10" s="17" t="s">
        <v>159</v>
      </c>
      <c r="T10" s="17" t="s">
        <v>54</v>
      </c>
      <c r="U10" s="17" t="s">
        <v>55</v>
      </c>
      <c r="V10" s="17" t="s">
        <v>56</v>
      </c>
      <c r="W10" s="17" t="s">
        <v>160</v>
      </c>
      <c r="X10" s="17" t="s">
        <v>72</v>
      </c>
      <c r="Y10" s="17" t="s">
        <v>161</v>
      </c>
      <c r="Z10" s="17">
        <v>40.972998496800002</v>
      </c>
      <c r="AA10" s="17">
        <v>-92.637241753500007</v>
      </c>
      <c r="AB10" s="17" t="s">
        <v>90</v>
      </c>
      <c r="AC10" s="17">
        <v>23</v>
      </c>
      <c r="AD10" s="17">
        <v>1.746102017869647E-5</v>
      </c>
      <c r="AE10" s="17">
        <f t="shared" si="0"/>
        <v>2016</v>
      </c>
    </row>
    <row r="11" spans="1:45" x14ac:dyDescent="0.25">
      <c r="A11" s="17">
        <v>10</v>
      </c>
      <c r="B11" s="17" t="s">
        <v>162</v>
      </c>
      <c r="C11" s="17" t="s">
        <v>162</v>
      </c>
      <c r="D11" s="17" t="s">
        <v>163</v>
      </c>
      <c r="E11" s="17" t="s">
        <v>164</v>
      </c>
      <c r="F11" s="17" t="s">
        <v>165</v>
      </c>
      <c r="G11" s="17" t="s">
        <v>166</v>
      </c>
      <c r="H11" s="17" t="s">
        <v>167</v>
      </c>
      <c r="I11" s="17" t="s">
        <v>168</v>
      </c>
      <c r="J11" s="17" t="s">
        <v>169</v>
      </c>
      <c r="K11" s="17" t="s">
        <v>120</v>
      </c>
      <c r="L11" s="17" t="s">
        <v>2</v>
      </c>
      <c r="M11" s="17"/>
      <c r="N11" s="17" t="s">
        <v>48</v>
      </c>
      <c r="O11" s="17" t="s">
        <v>49</v>
      </c>
      <c r="P11" s="17" t="s">
        <v>50</v>
      </c>
      <c r="Q11" s="17" t="s">
        <v>51</v>
      </c>
      <c r="R11" s="17" t="s">
        <v>52</v>
      </c>
      <c r="S11" s="17" t="s">
        <v>53</v>
      </c>
      <c r="T11" s="17" t="s">
        <v>54</v>
      </c>
      <c r="U11" s="17" t="s">
        <v>55</v>
      </c>
      <c r="V11" s="17" t="s">
        <v>70</v>
      </c>
      <c r="W11" s="17" t="s">
        <v>149</v>
      </c>
      <c r="X11" s="17" t="s">
        <v>150</v>
      </c>
      <c r="Y11" s="17" t="s">
        <v>150</v>
      </c>
      <c r="Z11" s="17">
        <v>40.975572791499999</v>
      </c>
      <c r="AA11" s="17">
        <v>-92.636585809500005</v>
      </c>
      <c r="AB11" s="17" t="s">
        <v>90</v>
      </c>
      <c r="AC11" s="17">
        <v>23</v>
      </c>
      <c r="AD11" s="17">
        <v>1.951161809802977E-5</v>
      </c>
      <c r="AE11" s="17">
        <f t="shared" si="0"/>
        <v>2018</v>
      </c>
    </row>
    <row r="12" spans="1:45" x14ac:dyDescent="0.25">
      <c r="A12" s="17">
        <v>11</v>
      </c>
      <c r="B12" s="17" t="s">
        <v>170</v>
      </c>
      <c r="C12" s="17" t="s">
        <v>171</v>
      </c>
      <c r="D12" s="17" t="s">
        <v>172</v>
      </c>
      <c r="E12" s="17" t="s">
        <v>173</v>
      </c>
      <c r="F12" s="17" t="s">
        <v>174</v>
      </c>
      <c r="G12" s="17" t="s">
        <v>175</v>
      </c>
      <c r="H12" s="17" t="s">
        <v>176</v>
      </c>
      <c r="I12" s="17" t="s">
        <v>177</v>
      </c>
      <c r="J12" s="17" t="s">
        <v>178</v>
      </c>
      <c r="K12" s="17" t="s">
        <v>99</v>
      </c>
      <c r="L12" s="17" t="s">
        <v>2</v>
      </c>
      <c r="M12" s="17"/>
      <c r="N12" s="17" t="s">
        <v>145</v>
      </c>
      <c r="O12" s="17" t="s">
        <v>146</v>
      </c>
      <c r="P12" s="17" t="s">
        <v>147</v>
      </c>
      <c r="Q12" s="17" t="s">
        <v>51</v>
      </c>
      <c r="R12" s="17" t="s">
        <v>52</v>
      </c>
      <c r="S12" s="17" t="s">
        <v>148</v>
      </c>
      <c r="T12" s="17" t="s">
        <v>54</v>
      </c>
      <c r="U12" s="17" t="s">
        <v>55</v>
      </c>
      <c r="V12" s="17" t="s">
        <v>56</v>
      </c>
      <c r="W12" s="17" t="s">
        <v>57</v>
      </c>
      <c r="X12" s="17" t="s">
        <v>72</v>
      </c>
      <c r="Y12" s="17" t="s">
        <v>179</v>
      </c>
      <c r="Z12" s="17">
        <v>40.9822499932</v>
      </c>
      <c r="AA12" s="17">
        <v>-92.634397582000005</v>
      </c>
      <c r="AB12" s="17" t="s">
        <v>90</v>
      </c>
      <c r="AC12" s="17">
        <v>23</v>
      </c>
      <c r="AD12" s="17">
        <v>1.093749444264818E-5</v>
      </c>
      <c r="AE12" s="17">
        <f t="shared" si="0"/>
        <v>2013</v>
      </c>
    </row>
    <row r="13" spans="1:45" x14ac:dyDescent="0.25">
      <c r="A13" s="17">
        <v>12</v>
      </c>
      <c r="B13" s="17" t="s">
        <v>180</v>
      </c>
      <c r="C13" s="17" t="s">
        <v>180</v>
      </c>
      <c r="D13" s="17" t="s">
        <v>181</v>
      </c>
      <c r="E13" s="17" t="s">
        <v>182</v>
      </c>
      <c r="F13" s="17" t="s">
        <v>183</v>
      </c>
      <c r="G13" s="17" t="s">
        <v>184</v>
      </c>
      <c r="H13" s="17" t="s">
        <v>185</v>
      </c>
      <c r="I13" s="17" t="s">
        <v>186</v>
      </c>
      <c r="J13" s="17" t="s">
        <v>187</v>
      </c>
      <c r="K13" s="17" t="s">
        <v>82</v>
      </c>
      <c r="L13" s="17" t="s">
        <v>2</v>
      </c>
      <c r="M13" s="17"/>
      <c r="N13" s="17" t="s">
        <v>48</v>
      </c>
      <c r="O13" s="17" t="s">
        <v>49</v>
      </c>
      <c r="P13" s="17" t="s">
        <v>50</v>
      </c>
      <c r="Q13" s="17" t="s">
        <v>51</v>
      </c>
      <c r="R13" s="17" t="s">
        <v>52</v>
      </c>
      <c r="S13" s="17" t="s">
        <v>188</v>
      </c>
      <c r="T13" s="17" t="s">
        <v>54</v>
      </c>
      <c r="U13" s="17" t="s">
        <v>55</v>
      </c>
      <c r="V13" s="17" t="s">
        <v>70</v>
      </c>
      <c r="W13" s="17" t="s">
        <v>189</v>
      </c>
      <c r="X13" s="17" t="s">
        <v>150</v>
      </c>
      <c r="Y13" s="17" t="s">
        <v>150</v>
      </c>
      <c r="Z13" s="17">
        <v>40.982727495399999</v>
      </c>
      <c r="AA13" s="17">
        <v>-92.634418719600006</v>
      </c>
      <c r="AB13" s="17" t="s">
        <v>90</v>
      </c>
      <c r="AC13" s="17">
        <v>23</v>
      </c>
      <c r="AD13" s="17">
        <v>2.0149791915689018E-6</v>
      </c>
      <c r="AE13" s="17">
        <f t="shared" si="0"/>
        <v>2022</v>
      </c>
    </row>
    <row r="14" spans="1:45" x14ac:dyDescent="0.25">
      <c r="A14" s="17">
        <v>13</v>
      </c>
      <c r="B14" s="17" t="s">
        <v>190</v>
      </c>
      <c r="C14" s="17" t="s">
        <v>191</v>
      </c>
      <c r="D14" s="17" t="s">
        <v>192</v>
      </c>
      <c r="E14" s="17" t="s">
        <v>193</v>
      </c>
      <c r="F14" s="17" t="s">
        <v>194</v>
      </c>
      <c r="G14" s="17" t="s">
        <v>195</v>
      </c>
      <c r="H14" s="17" t="s">
        <v>196</v>
      </c>
      <c r="I14" s="17" t="s">
        <v>197</v>
      </c>
      <c r="J14" s="17" t="s">
        <v>198</v>
      </c>
      <c r="K14" s="17" t="s">
        <v>82</v>
      </c>
      <c r="L14" s="17" t="s">
        <v>2</v>
      </c>
      <c r="M14" s="17"/>
      <c r="N14" s="17" t="s">
        <v>145</v>
      </c>
      <c r="O14" s="17" t="s">
        <v>146</v>
      </c>
      <c r="P14" s="17" t="s">
        <v>147</v>
      </c>
      <c r="Q14" s="17" t="s">
        <v>51</v>
      </c>
      <c r="R14" s="17" t="s">
        <v>52</v>
      </c>
      <c r="S14" s="17" t="s">
        <v>148</v>
      </c>
      <c r="T14" s="17" t="s">
        <v>54</v>
      </c>
      <c r="U14" s="17" t="s">
        <v>55</v>
      </c>
      <c r="V14" s="17" t="s">
        <v>70</v>
      </c>
      <c r="W14" s="17" t="s">
        <v>199</v>
      </c>
      <c r="X14" s="17" t="s">
        <v>150</v>
      </c>
      <c r="Y14" s="17" t="s">
        <v>150</v>
      </c>
      <c r="Z14" s="17">
        <v>40.983988779100002</v>
      </c>
      <c r="AA14" s="17">
        <v>-92.634459304399996</v>
      </c>
      <c r="AB14" s="17" t="s">
        <v>90</v>
      </c>
      <c r="AC14" s="17">
        <v>23</v>
      </c>
      <c r="AD14" s="17">
        <v>6.3077633538762424E-6</v>
      </c>
      <c r="AE14" s="17">
        <f t="shared" si="0"/>
        <v>2014</v>
      </c>
    </row>
    <row r="15" spans="1:45" x14ac:dyDescent="0.25">
      <c r="A15" s="17">
        <v>14</v>
      </c>
      <c r="B15" s="17" t="s">
        <v>200</v>
      </c>
      <c r="C15" s="17" t="s">
        <v>200</v>
      </c>
      <c r="D15" s="17" t="s">
        <v>201</v>
      </c>
      <c r="E15" s="17" t="s">
        <v>202</v>
      </c>
      <c r="F15" s="17" t="s">
        <v>203</v>
      </c>
      <c r="G15" s="17" t="s">
        <v>204</v>
      </c>
      <c r="H15" s="17" t="s">
        <v>205</v>
      </c>
      <c r="I15" s="17" t="s">
        <v>206</v>
      </c>
      <c r="J15" s="17" t="s">
        <v>207</v>
      </c>
      <c r="K15" s="17" t="s">
        <v>120</v>
      </c>
      <c r="L15" s="17" t="s">
        <v>2</v>
      </c>
      <c r="M15" s="17"/>
      <c r="N15" s="17" t="s">
        <v>48</v>
      </c>
      <c r="O15" s="17" t="s">
        <v>49</v>
      </c>
      <c r="P15" s="17" t="s">
        <v>50</v>
      </c>
      <c r="Q15" s="17" t="s">
        <v>51</v>
      </c>
      <c r="R15" s="17" t="s">
        <v>52</v>
      </c>
      <c r="S15" s="17" t="s">
        <v>53</v>
      </c>
      <c r="T15" s="17" t="s">
        <v>54</v>
      </c>
      <c r="U15" s="17" t="s">
        <v>55</v>
      </c>
      <c r="V15" s="17" t="s">
        <v>70</v>
      </c>
      <c r="W15" s="17" t="s">
        <v>87</v>
      </c>
      <c r="X15" s="17" t="s">
        <v>150</v>
      </c>
      <c r="Y15" s="17" t="s">
        <v>150</v>
      </c>
      <c r="Z15" s="17">
        <v>40.985421175200003</v>
      </c>
      <c r="AA15" s="17">
        <v>-92.634487058100007</v>
      </c>
      <c r="AB15" s="17" t="s">
        <v>90</v>
      </c>
      <c r="AC15" s="17">
        <v>23</v>
      </c>
      <c r="AD15" s="17">
        <v>2.570221084327705E-6</v>
      </c>
      <c r="AE15" s="17">
        <f t="shared" si="0"/>
        <v>2016</v>
      </c>
    </row>
    <row r="16" spans="1:45" x14ac:dyDescent="0.25">
      <c r="A16" s="17">
        <v>15</v>
      </c>
      <c r="B16" s="17" t="s">
        <v>208</v>
      </c>
      <c r="C16" s="17" t="s">
        <v>208</v>
      </c>
      <c r="D16" s="17" t="s">
        <v>209</v>
      </c>
      <c r="E16" s="17" t="s">
        <v>210</v>
      </c>
      <c r="F16" s="17" t="s">
        <v>211</v>
      </c>
      <c r="G16" s="17" t="s">
        <v>212</v>
      </c>
      <c r="H16" s="17" t="s">
        <v>213</v>
      </c>
      <c r="I16" s="17" t="s">
        <v>214</v>
      </c>
      <c r="J16" s="17" t="s">
        <v>215</v>
      </c>
      <c r="K16" s="17" t="s">
        <v>216</v>
      </c>
      <c r="L16" s="17" t="s">
        <v>2</v>
      </c>
      <c r="M16" s="17" t="s">
        <v>83</v>
      </c>
      <c r="N16" s="17" t="s">
        <v>48</v>
      </c>
      <c r="O16" s="17" t="s">
        <v>49</v>
      </c>
      <c r="P16" s="17" t="s">
        <v>50</v>
      </c>
      <c r="Q16" s="17" t="s">
        <v>51</v>
      </c>
      <c r="R16" s="17" t="s">
        <v>52</v>
      </c>
      <c r="S16" s="17" t="s">
        <v>53</v>
      </c>
      <c r="T16" s="17" t="s">
        <v>54</v>
      </c>
      <c r="U16" s="17" t="s">
        <v>55</v>
      </c>
      <c r="V16" s="17" t="s">
        <v>70</v>
      </c>
      <c r="W16" s="17" t="s">
        <v>149</v>
      </c>
      <c r="X16" s="17" t="s">
        <v>150</v>
      </c>
      <c r="Y16" s="17" t="s">
        <v>150</v>
      </c>
      <c r="Z16" s="17">
        <v>40.9873219925</v>
      </c>
      <c r="AA16" s="17">
        <v>-92.634512226300004</v>
      </c>
      <c r="AB16" s="17" t="s">
        <v>90</v>
      </c>
      <c r="AC16" s="17">
        <v>23</v>
      </c>
      <c r="AD16" s="17">
        <v>2.6009781163744311E-5</v>
      </c>
      <c r="AE16" s="17">
        <f t="shared" si="0"/>
        <v>2018</v>
      </c>
    </row>
    <row r="17" spans="1:31" x14ac:dyDescent="0.25">
      <c r="A17" s="17">
        <v>16</v>
      </c>
      <c r="B17" s="17" t="s">
        <v>217</v>
      </c>
      <c r="C17" s="17" t="s">
        <v>217</v>
      </c>
      <c r="D17" s="17" t="s">
        <v>218</v>
      </c>
      <c r="E17" s="17" t="s">
        <v>219</v>
      </c>
      <c r="F17" s="17" t="s">
        <v>220</v>
      </c>
      <c r="G17" s="17" t="s">
        <v>221</v>
      </c>
      <c r="H17" s="17" t="s">
        <v>222</v>
      </c>
      <c r="I17" s="17" t="s">
        <v>223</v>
      </c>
      <c r="J17" s="17" t="s">
        <v>224</v>
      </c>
      <c r="K17" s="17" t="s">
        <v>99</v>
      </c>
      <c r="L17" s="17" t="s">
        <v>2</v>
      </c>
      <c r="M17" s="17"/>
      <c r="N17" s="17" t="s">
        <v>48</v>
      </c>
      <c r="O17" s="17" t="s">
        <v>49</v>
      </c>
      <c r="P17" s="17" t="s">
        <v>50</v>
      </c>
      <c r="Q17" s="17" t="s">
        <v>51</v>
      </c>
      <c r="R17" s="17" t="s">
        <v>52</v>
      </c>
      <c r="S17" s="17" t="s">
        <v>53</v>
      </c>
      <c r="T17" s="17" t="s">
        <v>54</v>
      </c>
      <c r="U17" s="17" t="s">
        <v>55</v>
      </c>
      <c r="V17" s="17" t="s">
        <v>70</v>
      </c>
      <c r="W17" s="17" t="s">
        <v>57</v>
      </c>
      <c r="X17" s="17" t="s">
        <v>150</v>
      </c>
      <c r="Y17" s="17" t="s">
        <v>150</v>
      </c>
      <c r="Z17" s="17">
        <v>40.987349016700001</v>
      </c>
      <c r="AA17" s="17">
        <v>-92.634512077099998</v>
      </c>
      <c r="AB17" s="17" t="s">
        <v>90</v>
      </c>
      <c r="AC17" s="17">
        <v>23</v>
      </c>
      <c r="AD17" s="17">
        <v>2.6849670981075609E-5</v>
      </c>
      <c r="AE17" s="17">
        <f t="shared" si="0"/>
        <v>2019</v>
      </c>
    </row>
    <row r="18" spans="1:31" x14ac:dyDescent="0.25">
      <c r="A18" s="17">
        <v>17</v>
      </c>
      <c r="B18" s="17" t="s">
        <v>225</v>
      </c>
      <c r="C18" s="17" t="s">
        <v>226</v>
      </c>
      <c r="D18" s="17"/>
      <c r="E18" s="17" t="s">
        <v>227</v>
      </c>
      <c r="F18" s="17" t="s">
        <v>228</v>
      </c>
      <c r="G18" s="17" t="s">
        <v>229</v>
      </c>
      <c r="H18" s="17" t="s">
        <v>230</v>
      </c>
      <c r="I18" s="17" t="s">
        <v>231</v>
      </c>
      <c r="J18" s="17" t="s">
        <v>232</v>
      </c>
      <c r="K18" s="17" t="s">
        <v>82</v>
      </c>
      <c r="L18" s="17" t="s">
        <v>2</v>
      </c>
      <c r="M18" s="17"/>
      <c r="N18" s="17" t="s">
        <v>145</v>
      </c>
      <c r="O18" s="17" t="s">
        <v>146</v>
      </c>
      <c r="P18" s="17" t="s">
        <v>147</v>
      </c>
      <c r="Q18" s="17" t="s">
        <v>51</v>
      </c>
      <c r="R18" s="17" t="s">
        <v>52</v>
      </c>
      <c r="S18" s="17" t="s">
        <v>148</v>
      </c>
      <c r="T18" s="17" t="s">
        <v>54</v>
      </c>
      <c r="U18" s="17" t="s">
        <v>55</v>
      </c>
      <c r="V18" s="17" t="s">
        <v>70</v>
      </c>
      <c r="W18" s="17" t="s">
        <v>233</v>
      </c>
      <c r="X18" s="17" t="s">
        <v>150</v>
      </c>
      <c r="Y18" s="17" t="s">
        <v>150</v>
      </c>
      <c r="Z18" s="17">
        <v>40.987979658999997</v>
      </c>
      <c r="AA18" s="17">
        <v>-92.634532371299997</v>
      </c>
      <c r="AB18" s="17" t="s">
        <v>90</v>
      </c>
      <c r="AC18" s="17">
        <v>23</v>
      </c>
      <c r="AD18" s="17">
        <v>2.2686300326527559E-5</v>
      </c>
      <c r="AE18" s="17">
        <f t="shared" si="0"/>
        <v>2014</v>
      </c>
    </row>
    <row r="19" spans="1:31" x14ac:dyDescent="0.25">
      <c r="A19" s="17">
        <v>18</v>
      </c>
      <c r="B19" s="17" t="s">
        <v>234</v>
      </c>
      <c r="C19" s="17" t="s">
        <v>234</v>
      </c>
      <c r="D19" s="17" t="s">
        <v>235</v>
      </c>
      <c r="E19" s="17" t="s">
        <v>236</v>
      </c>
      <c r="F19" s="17" t="s">
        <v>237</v>
      </c>
      <c r="G19" s="17" t="s">
        <v>238</v>
      </c>
      <c r="H19" s="17" t="s">
        <v>239</v>
      </c>
      <c r="I19" s="17" t="s">
        <v>240</v>
      </c>
      <c r="J19" s="17" t="s">
        <v>241</v>
      </c>
      <c r="K19" s="17" t="s">
        <v>47</v>
      </c>
      <c r="L19" s="17" t="s">
        <v>2</v>
      </c>
      <c r="M19" s="17"/>
      <c r="N19" s="17" t="s">
        <v>48</v>
      </c>
      <c r="O19" s="17" t="s">
        <v>49</v>
      </c>
      <c r="P19" s="17" t="s">
        <v>50</v>
      </c>
      <c r="Q19" s="17" t="s">
        <v>51</v>
      </c>
      <c r="R19" s="17" t="s">
        <v>52</v>
      </c>
      <c r="S19" s="17" t="s">
        <v>53</v>
      </c>
      <c r="T19" s="17" t="s">
        <v>54</v>
      </c>
      <c r="U19" s="17" t="s">
        <v>55</v>
      </c>
      <c r="V19" s="17" t="s">
        <v>70</v>
      </c>
      <c r="W19" s="17" t="s">
        <v>149</v>
      </c>
      <c r="X19" s="17" t="s">
        <v>150</v>
      </c>
      <c r="Y19" s="17" t="s">
        <v>150</v>
      </c>
      <c r="Z19" s="17">
        <v>40.9883760126</v>
      </c>
      <c r="AA19" s="17">
        <v>-92.634530182899994</v>
      </c>
      <c r="AB19" s="17" t="s">
        <v>90</v>
      </c>
      <c r="AC19" s="17">
        <v>23</v>
      </c>
      <c r="AD19" s="17">
        <v>3.4512618930067338E-5</v>
      </c>
      <c r="AE19" s="17">
        <f t="shared" si="0"/>
        <v>2019</v>
      </c>
    </row>
    <row r="20" spans="1:31" x14ac:dyDescent="0.25">
      <c r="A20" s="17">
        <v>19</v>
      </c>
      <c r="B20" s="17" t="s">
        <v>242</v>
      </c>
      <c r="C20" s="17" t="s">
        <v>242</v>
      </c>
      <c r="D20" s="17" t="s">
        <v>243</v>
      </c>
      <c r="E20" s="17" t="s">
        <v>244</v>
      </c>
      <c r="F20" s="17" t="s">
        <v>245</v>
      </c>
      <c r="G20" s="17" t="s">
        <v>246</v>
      </c>
      <c r="H20" s="17" t="s">
        <v>247</v>
      </c>
      <c r="I20" s="17" t="s">
        <v>248</v>
      </c>
      <c r="J20" s="17" t="s">
        <v>249</v>
      </c>
      <c r="K20" s="17" t="s">
        <v>69</v>
      </c>
      <c r="L20" s="17" t="s">
        <v>2</v>
      </c>
      <c r="M20" s="17"/>
      <c r="N20" s="17" t="s">
        <v>48</v>
      </c>
      <c r="O20" s="17" t="s">
        <v>49</v>
      </c>
      <c r="P20" s="17" t="s">
        <v>50</v>
      </c>
      <c r="Q20" s="17" t="s">
        <v>51</v>
      </c>
      <c r="R20" s="17" t="s">
        <v>52</v>
      </c>
      <c r="S20" s="17" t="s">
        <v>53</v>
      </c>
      <c r="T20" s="17" t="s">
        <v>54</v>
      </c>
      <c r="U20" s="17" t="s">
        <v>55</v>
      </c>
      <c r="V20" s="17" t="s">
        <v>70</v>
      </c>
      <c r="W20" s="17" t="s">
        <v>250</v>
      </c>
      <c r="X20" s="17" t="s">
        <v>150</v>
      </c>
      <c r="Y20" s="17" t="s">
        <v>150</v>
      </c>
      <c r="Z20" s="17">
        <v>40.988907413600003</v>
      </c>
      <c r="AA20" s="17">
        <v>-92.634503472000006</v>
      </c>
      <c r="AB20" s="17" t="s">
        <v>90</v>
      </c>
      <c r="AC20" s="17">
        <v>23</v>
      </c>
      <c r="AD20" s="17">
        <v>2.6015793914716531E-5</v>
      </c>
      <c r="AE20" s="17">
        <f t="shared" si="0"/>
        <v>2019</v>
      </c>
    </row>
    <row r="21" spans="1:31" x14ac:dyDescent="0.25">
      <c r="A21" s="17">
        <v>20</v>
      </c>
      <c r="B21" s="17" t="s">
        <v>251</v>
      </c>
      <c r="C21" s="17" t="s">
        <v>251</v>
      </c>
      <c r="D21" s="17" t="s">
        <v>252</v>
      </c>
      <c r="E21" s="17" t="s">
        <v>253</v>
      </c>
      <c r="F21" s="17" t="s">
        <v>254</v>
      </c>
      <c r="G21" s="17" t="s">
        <v>255</v>
      </c>
      <c r="H21" s="17" t="s">
        <v>256</v>
      </c>
      <c r="I21" s="17" t="s">
        <v>257</v>
      </c>
      <c r="J21" s="17" t="s">
        <v>258</v>
      </c>
      <c r="K21" s="17" t="s">
        <v>259</v>
      </c>
      <c r="L21" s="17" t="s">
        <v>2</v>
      </c>
      <c r="M21" s="17"/>
      <c r="N21" s="17" t="s">
        <v>48</v>
      </c>
      <c r="O21" s="17" t="s">
        <v>49</v>
      </c>
      <c r="P21" s="17" t="s">
        <v>50</v>
      </c>
      <c r="Q21" s="17" t="s">
        <v>51</v>
      </c>
      <c r="R21" s="17" t="s">
        <v>52</v>
      </c>
      <c r="S21" s="17" t="s">
        <v>188</v>
      </c>
      <c r="T21" s="17" t="s">
        <v>54</v>
      </c>
      <c r="U21" s="17" t="s">
        <v>55</v>
      </c>
      <c r="V21" s="17" t="s">
        <v>70</v>
      </c>
      <c r="W21" s="17" t="s">
        <v>260</v>
      </c>
      <c r="X21" s="17" t="s">
        <v>150</v>
      </c>
      <c r="Y21" s="17" t="s">
        <v>150</v>
      </c>
      <c r="Z21" s="17">
        <v>40.988925429699997</v>
      </c>
      <c r="AA21" s="17">
        <v>-92.634503372500006</v>
      </c>
      <c r="AB21" s="17" t="s">
        <v>90</v>
      </c>
      <c r="AC21" s="17">
        <v>23</v>
      </c>
      <c r="AD21" s="17">
        <v>2.49229152037302E-5</v>
      </c>
      <c r="AE21" s="17">
        <f t="shared" si="0"/>
        <v>2022</v>
      </c>
    </row>
    <row r="22" spans="1:31" x14ac:dyDescent="0.25">
      <c r="A22" s="17">
        <v>21</v>
      </c>
      <c r="B22" s="17" t="s">
        <v>261</v>
      </c>
      <c r="C22" s="17" t="s">
        <v>262</v>
      </c>
      <c r="D22" s="17" t="s">
        <v>263</v>
      </c>
      <c r="E22" s="17" t="s">
        <v>264</v>
      </c>
      <c r="F22" s="17" t="s">
        <v>265</v>
      </c>
      <c r="G22" s="17" t="s">
        <v>266</v>
      </c>
      <c r="H22" s="17" t="s">
        <v>267</v>
      </c>
      <c r="I22" s="17" t="s">
        <v>268</v>
      </c>
      <c r="J22" s="17" t="s">
        <v>269</v>
      </c>
      <c r="K22" s="17" t="s">
        <v>47</v>
      </c>
      <c r="L22" s="17" t="s">
        <v>2</v>
      </c>
      <c r="M22" s="17" t="s">
        <v>83</v>
      </c>
      <c r="N22" s="17" t="s">
        <v>145</v>
      </c>
      <c r="O22" s="17" t="s">
        <v>146</v>
      </c>
      <c r="P22" s="17" t="s">
        <v>147</v>
      </c>
      <c r="Q22" s="17" t="s">
        <v>51</v>
      </c>
      <c r="R22" s="17" t="s">
        <v>52</v>
      </c>
      <c r="S22" s="17" t="s">
        <v>148</v>
      </c>
      <c r="T22" s="17" t="s">
        <v>54</v>
      </c>
      <c r="U22" s="17" t="s">
        <v>55</v>
      </c>
      <c r="V22" s="17" t="s">
        <v>70</v>
      </c>
      <c r="W22" s="17" t="s">
        <v>87</v>
      </c>
      <c r="X22" s="17" t="s">
        <v>150</v>
      </c>
      <c r="Y22" s="17" t="s">
        <v>150</v>
      </c>
      <c r="Z22" s="17">
        <v>40.989871090400001</v>
      </c>
      <c r="AA22" s="17">
        <v>-92.634438707800001</v>
      </c>
      <c r="AB22" s="17" t="s">
        <v>90</v>
      </c>
      <c r="AC22" s="17">
        <v>23</v>
      </c>
      <c r="AD22" s="17">
        <v>2.6895959178679729E-5</v>
      </c>
      <c r="AE22" s="17">
        <f t="shared" si="0"/>
        <v>2014</v>
      </c>
    </row>
    <row r="23" spans="1:31" x14ac:dyDescent="0.25">
      <c r="A23" s="17">
        <v>22</v>
      </c>
      <c r="B23" s="17" t="s">
        <v>270</v>
      </c>
      <c r="C23" s="17" t="s">
        <v>271</v>
      </c>
      <c r="D23" s="17" t="s">
        <v>272</v>
      </c>
      <c r="E23" s="17" t="s">
        <v>273</v>
      </c>
      <c r="F23" s="17" t="s">
        <v>274</v>
      </c>
      <c r="G23" s="17" t="s">
        <v>275</v>
      </c>
      <c r="H23" s="17" t="s">
        <v>196</v>
      </c>
      <c r="I23" s="17" t="s">
        <v>276</v>
      </c>
      <c r="J23" s="17" t="s">
        <v>277</v>
      </c>
      <c r="K23" s="17" t="s">
        <v>216</v>
      </c>
      <c r="L23" s="17" t="s">
        <v>2</v>
      </c>
      <c r="M23" s="17"/>
      <c r="N23" s="17" t="s">
        <v>145</v>
      </c>
      <c r="O23" s="17" t="s">
        <v>146</v>
      </c>
      <c r="P23" s="17" t="s">
        <v>147</v>
      </c>
      <c r="Q23" s="17" t="s">
        <v>51</v>
      </c>
      <c r="R23" s="17" t="s">
        <v>52</v>
      </c>
      <c r="S23" s="17" t="s">
        <v>148</v>
      </c>
      <c r="T23" s="17" t="s">
        <v>54</v>
      </c>
      <c r="U23" s="17" t="s">
        <v>55</v>
      </c>
      <c r="V23" s="17" t="s">
        <v>70</v>
      </c>
      <c r="W23" s="17" t="s">
        <v>87</v>
      </c>
      <c r="X23" s="17" t="s">
        <v>150</v>
      </c>
      <c r="Y23" s="17" t="s">
        <v>150</v>
      </c>
      <c r="Z23" s="17">
        <v>40.990249391699997</v>
      </c>
      <c r="AA23" s="17">
        <v>-92.634424729800003</v>
      </c>
      <c r="AB23" s="17" t="s">
        <v>90</v>
      </c>
      <c r="AC23" s="17">
        <v>23</v>
      </c>
      <c r="AD23" s="17">
        <v>1.5820697436154609E-5</v>
      </c>
      <c r="AE23" s="17">
        <f t="shared" si="0"/>
        <v>2014</v>
      </c>
    </row>
    <row r="24" spans="1:31" x14ac:dyDescent="0.25">
      <c r="A24" s="17">
        <v>23</v>
      </c>
      <c r="B24" s="17" t="s">
        <v>278</v>
      </c>
      <c r="C24" s="17" t="s">
        <v>279</v>
      </c>
      <c r="D24" s="17" t="s">
        <v>280</v>
      </c>
      <c r="E24" s="17" t="s">
        <v>281</v>
      </c>
      <c r="F24" s="17" t="s">
        <v>282</v>
      </c>
      <c r="G24" s="17" t="s">
        <v>283</v>
      </c>
      <c r="H24" s="17" t="s">
        <v>284</v>
      </c>
      <c r="I24" s="17" t="s">
        <v>285</v>
      </c>
      <c r="J24" s="17" t="s">
        <v>286</v>
      </c>
      <c r="K24" s="17" t="s">
        <v>216</v>
      </c>
      <c r="L24" s="17" t="s">
        <v>2</v>
      </c>
      <c r="M24" s="17"/>
      <c r="N24" s="17" t="s">
        <v>145</v>
      </c>
      <c r="O24" s="17" t="s">
        <v>146</v>
      </c>
      <c r="P24" s="17" t="s">
        <v>147</v>
      </c>
      <c r="Q24" s="17" t="s">
        <v>51</v>
      </c>
      <c r="R24" s="17" t="s">
        <v>52</v>
      </c>
      <c r="S24" s="17" t="s">
        <v>287</v>
      </c>
      <c r="T24" s="17" t="s">
        <v>54</v>
      </c>
      <c r="U24" s="17" t="s">
        <v>288</v>
      </c>
      <c r="V24" s="17" t="s">
        <v>289</v>
      </c>
      <c r="W24" s="17" t="s">
        <v>49</v>
      </c>
      <c r="X24" s="17" t="s">
        <v>150</v>
      </c>
      <c r="Y24" s="17" t="s">
        <v>150</v>
      </c>
      <c r="Z24" s="17">
        <v>40.991934126799997</v>
      </c>
      <c r="AA24" s="17">
        <v>-92.634486757299996</v>
      </c>
      <c r="AB24" s="17" t="s">
        <v>90</v>
      </c>
      <c r="AC24" s="17">
        <v>23</v>
      </c>
      <c r="AD24" s="17">
        <v>6.299440903379486E-6</v>
      </c>
      <c r="AE24" s="17">
        <f t="shared" si="0"/>
        <v>2014</v>
      </c>
    </row>
    <row r="25" spans="1:31" x14ac:dyDescent="0.25">
      <c r="A25" s="17">
        <v>24</v>
      </c>
      <c r="B25" s="17" t="s">
        <v>290</v>
      </c>
      <c r="C25" s="17" t="s">
        <v>290</v>
      </c>
      <c r="D25" s="17" t="s">
        <v>291</v>
      </c>
      <c r="E25" s="17" t="s">
        <v>292</v>
      </c>
      <c r="F25" s="17" t="s">
        <v>282</v>
      </c>
      <c r="G25" s="17" t="s">
        <v>283</v>
      </c>
      <c r="H25" s="17" t="s">
        <v>284</v>
      </c>
      <c r="I25" s="17" t="s">
        <v>285</v>
      </c>
      <c r="J25" s="17" t="s">
        <v>158</v>
      </c>
      <c r="K25" s="17" t="s">
        <v>259</v>
      </c>
      <c r="L25" s="17" t="s">
        <v>2</v>
      </c>
      <c r="M25" s="17"/>
      <c r="N25" s="17" t="s">
        <v>145</v>
      </c>
      <c r="O25" s="17" t="s">
        <v>146</v>
      </c>
      <c r="P25" s="17" t="s">
        <v>147</v>
      </c>
      <c r="Q25" s="17" t="s">
        <v>51</v>
      </c>
      <c r="R25" s="17" t="s">
        <v>52</v>
      </c>
      <c r="S25" s="17" t="s">
        <v>287</v>
      </c>
      <c r="T25" s="17" t="s">
        <v>54</v>
      </c>
      <c r="U25" s="17" t="s">
        <v>288</v>
      </c>
      <c r="V25" s="17" t="s">
        <v>70</v>
      </c>
      <c r="W25" s="17" t="s">
        <v>293</v>
      </c>
      <c r="X25" s="17" t="s">
        <v>150</v>
      </c>
      <c r="Y25" s="17" t="s">
        <v>150</v>
      </c>
      <c r="Z25" s="17">
        <v>40.991934126799997</v>
      </c>
      <c r="AA25" s="17">
        <v>-92.634486757299996</v>
      </c>
      <c r="AB25" s="17" t="s">
        <v>90</v>
      </c>
      <c r="AC25" s="17">
        <v>23</v>
      </c>
      <c r="AD25" s="17">
        <v>6.299440903379486E-6</v>
      </c>
      <c r="AE25" s="17">
        <f t="shared" si="0"/>
        <v>2015</v>
      </c>
    </row>
    <row r="26" spans="1:31" x14ac:dyDescent="0.25">
      <c r="A26" s="17">
        <v>25</v>
      </c>
      <c r="B26" s="17" t="s">
        <v>294</v>
      </c>
      <c r="C26" s="17" t="s">
        <v>294</v>
      </c>
      <c r="D26" s="17" t="s">
        <v>295</v>
      </c>
      <c r="E26" s="17" t="s">
        <v>296</v>
      </c>
      <c r="F26" s="17" t="s">
        <v>297</v>
      </c>
      <c r="G26" s="17" t="s">
        <v>298</v>
      </c>
      <c r="H26" s="17" t="s">
        <v>299</v>
      </c>
      <c r="I26" s="17" t="s">
        <v>300</v>
      </c>
      <c r="J26" s="17" t="s">
        <v>301</v>
      </c>
      <c r="K26" s="17" t="s">
        <v>259</v>
      </c>
      <c r="L26" s="17" t="s">
        <v>2</v>
      </c>
      <c r="M26" s="17"/>
      <c r="N26" s="17" t="s">
        <v>48</v>
      </c>
      <c r="O26" s="17" t="s">
        <v>49</v>
      </c>
      <c r="P26" s="17" t="s">
        <v>50</v>
      </c>
      <c r="Q26" s="17" t="s">
        <v>51</v>
      </c>
      <c r="R26" s="17" t="s">
        <v>52</v>
      </c>
      <c r="S26" s="17" t="s">
        <v>188</v>
      </c>
      <c r="T26" s="17" t="s">
        <v>54</v>
      </c>
      <c r="U26" s="17" t="s">
        <v>55</v>
      </c>
      <c r="V26" s="17" t="s">
        <v>70</v>
      </c>
      <c r="W26" s="17" t="s">
        <v>57</v>
      </c>
      <c r="X26" s="17" t="s">
        <v>150</v>
      </c>
      <c r="Y26" s="17" t="s">
        <v>150</v>
      </c>
      <c r="Z26" s="17">
        <v>40.995814546799998</v>
      </c>
      <c r="AA26" s="17">
        <v>-92.636664901000003</v>
      </c>
      <c r="AB26" s="17" t="s">
        <v>90</v>
      </c>
      <c r="AC26" s="17">
        <v>23</v>
      </c>
      <c r="AD26" s="17">
        <v>4.1782993289963437E-5</v>
      </c>
      <c r="AE26" s="17">
        <f t="shared" si="0"/>
        <v>2021</v>
      </c>
    </row>
    <row r="27" spans="1:31" x14ac:dyDescent="0.25">
      <c r="A27" s="17">
        <v>26</v>
      </c>
      <c r="B27" s="17" t="s">
        <v>302</v>
      </c>
      <c r="C27" s="17" t="s">
        <v>302</v>
      </c>
      <c r="D27" s="17" t="s">
        <v>303</v>
      </c>
      <c r="E27" s="17" t="s">
        <v>304</v>
      </c>
      <c r="F27" s="17" t="s">
        <v>305</v>
      </c>
      <c r="G27" s="17" t="s">
        <v>306</v>
      </c>
      <c r="H27" s="17" t="s">
        <v>307</v>
      </c>
      <c r="I27" s="17" t="s">
        <v>308</v>
      </c>
      <c r="J27" s="17" t="s">
        <v>309</v>
      </c>
      <c r="K27" s="17" t="s">
        <v>259</v>
      </c>
      <c r="L27" s="17" t="s">
        <v>2</v>
      </c>
      <c r="M27" s="17"/>
      <c r="N27" s="17" t="s">
        <v>48</v>
      </c>
      <c r="O27" s="17" t="s">
        <v>49</v>
      </c>
      <c r="P27" s="17" t="s">
        <v>50</v>
      </c>
      <c r="Q27" s="17" t="s">
        <v>51</v>
      </c>
      <c r="R27" s="17" t="s">
        <v>52</v>
      </c>
      <c r="S27" s="17" t="s">
        <v>53</v>
      </c>
      <c r="T27" s="17" t="s">
        <v>54</v>
      </c>
      <c r="U27" s="17" t="s">
        <v>55</v>
      </c>
      <c r="V27" s="17" t="s">
        <v>289</v>
      </c>
      <c r="W27" s="17" t="s">
        <v>199</v>
      </c>
      <c r="X27" s="17" t="s">
        <v>310</v>
      </c>
      <c r="Y27" s="17" t="s">
        <v>179</v>
      </c>
      <c r="Z27" s="17">
        <v>40.996744286999999</v>
      </c>
      <c r="AA27" s="17">
        <v>-92.637266174299995</v>
      </c>
      <c r="AB27" s="17" t="s">
        <v>90</v>
      </c>
      <c r="AC27" s="17">
        <v>23</v>
      </c>
      <c r="AD27" s="17">
        <v>5.8904461333244078E-5</v>
      </c>
      <c r="AE27" s="17">
        <f t="shared" si="0"/>
        <v>2016</v>
      </c>
    </row>
    <row r="28" spans="1:31" x14ac:dyDescent="0.25">
      <c r="A28" s="17">
        <v>27</v>
      </c>
      <c r="B28" s="17" t="s">
        <v>311</v>
      </c>
      <c r="C28" s="17" t="s">
        <v>311</v>
      </c>
      <c r="D28" s="17" t="s">
        <v>312</v>
      </c>
      <c r="E28" s="17" t="s">
        <v>313</v>
      </c>
      <c r="F28" s="17" t="s">
        <v>314</v>
      </c>
      <c r="G28" s="17" t="s">
        <v>315</v>
      </c>
      <c r="H28" s="17" t="s">
        <v>316</v>
      </c>
      <c r="I28" s="17" t="s">
        <v>317</v>
      </c>
      <c r="J28" s="17" t="s">
        <v>318</v>
      </c>
      <c r="K28" s="17" t="s">
        <v>259</v>
      </c>
      <c r="L28" s="17" t="s">
        <v>2</v>
      </c>
      <c r="M28" s="17"/>
      <c r="N28" s="17" t="s">
        <v>48</v>
      </c>
      <c r="O28" s="17" t="s">
        <v>49</v>
      </c>
      <c r="P28" s="17" t="s">
        <v>50</v>
      </c>
      <c r="Q28" s="17" t="s">
        <v>51</v>
      </c>
      <c r="R28" s="17" t="s">
        <v>52</v>
      </c>
      <c r="S28" s="17" t="s">
        <v>53</v>
      </c>
      <c r="T28" s="17" t="s">
        <v>54</v>
      </c>
      <c r="U28" s="17" t="s">
        <v>55</v>
      </c>
      <c r="V28" s="17" t="s">
        <v>70</v>
      </c>
      <c r="W28" s="17" t="s">
        <v>57</v>
      </c>
      <c r="X28" s="17" t="s">
        <v>150</v>
      </c>
      <c r="Y28" s="17" t="s">
        <v>150</v>
      </c>
      <c r="Z28" s="17">
        <v>40.997763880500003</v>
      </c>
      <c r="AA28" s="17">
        <v>-92.637795632899994</v>
      </c>
      <c r="AB28" s="17" t="s">
        <v>90</v>
      </c>
      <c r="AC28" s="17">
        <v>23</v>
      </c>
      <c r="AD28" s="17">
        <v>1.6936502408492699E-5</v>
      </c>
      <c r="AE28" s="17">
        <f t="shared" si="0"/>
        <v>2020</v>
      </c>
    </row>
    <row r="29" spans="1:31" x14ac:dyDescent="0.25">
      <c r="A29" s="17">
        <v>28</v>
      </c>
      <c r="B29" s="17" t="s">
        <v>319</v>
      </c>
      <c r="C29" s="17" t="s">
        <v>319</v>
      </c>
      <c r="D29" s="17" t="s">
        <v>320</v>
      </c>
      <c r="E29" s="17" t="s">
        <v>321</v>
      </c>
      <c r="F29" s="17" t="s">
        <v>322</v>
      </c>
      <c r="G29" s="17" t="s">
        <v>323</v>
      </c>
      <c r="H29" s="17" t="s">
        <v>324</v>
      </c>
      <c r="I29" s="17" t="s">
        <v>325</v>
      </c>
      <c r="J29" s="17" t="s">
        <v>326</v>
      </c>
      <c r="K29" s="17" t="s">
        <v>99</v>
      </c>
      <c r="L29" s="17" t="s">
        <v>2</v>
      </c>
      <c r="M29" s="17"/>
      <c r="N29" s="17" t="s">
        <v>48</v>
      </c>
      <c r="O29" s="17" t="s">
        <v>49</v>
      </c>
      <c r="P29" s="17" t="s">
        <v>50</v>
      </c>
      <c r="Q29" s="17" t="s">
        <v>51</v>
      </c>
      <c r="R29" s="17" t="s">
        <v>52</v>
      </c>
      <c r="S29" s="17" t="s">
        <v>188</v>
      </c>
      <c r="T29" s="17" t="s">
        <v>54</v>
      </c>
      <c r="U29" s="17" t="s">
        <v>55</v>
      </c>
      <c r="V29" s="17" t="s">
        <v>70</v>
      </c>
      <c r="W29" s="17" t="s">
        <v>149</v>
      </c>
      <c r="X29" s="17" t="s">
        <v>150</v>
      </c>
      <c r="Y29" s="17" t="s">
        <v>150</v>
      </c>
      <c r="Z29" s="17">
        <v>40.999864214799999</v>
      </c>
      <c r="AA29" s="17">
        <v>-92.638247858100002</v>
      </c>
      <c r="AB29" s="17" t="s">
        <v>90</v>
      </c>
      <c r="AC29" s="17">
        <v>23</v>
      </c>
      <c r="AD29" s="17">
        <v>4.8618185509779092E-6</v>
      </c>
      <c r="AE29" s="17">
        <f t="shared" si="0"/>
        <v>2022</v>
      </c>
    </row>
    <row r="30" spans="1:31" x14ac:dyDescent="0.25">
      <c r="A30" s="17">
        <v>29</v>
      </c>
      <c r="B30" s="17" t="s">
        <v>327</v>
      </c>
      <c r="C30" s="17" t="s">
        <v>327</v>
      </c>
      <c r="D30" s="17" t="s">
        <v>328</v>
      </c>
      <c r="E30" s="17" t="s">
        <v>329</v>
      </c>
      <c r="F30" s="17" t="s">
        <v>330</v>
      </c>
      <c r="G30" s="17" t="s">
        <v>331</v>
      </c>
      <c r="H30" s="17" t="s">
        <v>332</v>
      </c>
      <c r="I30" s="17" t="s">
        <v>333</v>
      </c>
      <c r="J30" s="17" t="s">
        <v>334</v>
      </c>
      <c r="K30" s="17" t="s">
        <v>69</v>
      </c>
      <c r="L30" s="17" t="s">
        <v>2</v>
      </c>
      <c r="M30" s="17" t="s">
        <v>83</v>
      </c>
      <c r="N30" s="17" t="s">
        <v>48</v>
      </c>
      <c r="O30" s="17" t="s">
        <v>49</v>
      </c>
      <c r="P30" s="17" t="s">
        <v>50</v>
      </c>
      <c r="Q30" s="17" t="s">
        <v>51</v>
      </c>
      <c r="R30" s="17" t="s">
        <v>52</v>
      </c>
      <c r="S30" s="17" t="s">
        <v>53</v>
      </c>
      <c r="T30" s="17" t="s">
        <v>54</v>
      </c>
      <c r="U30" s="17" t="s">
        <v>55</v>
      </c>
      <c r="V30" s="17" t="s">
        <v>70</v>
      </c>
      <c r="W30" s="17" t="s">
        <v>335</v>
      </c>
      <c r="X30" s="17" t="s">
        <v>150</v>
      </c>
      <c r="Y30" s="17" t="s">
        <v>150</v>
      </c>
      <c r="Z30" s="17">
        <v>41.002576833500001</v>
      </c>
      <c r="AA30" s="17">
        <v>-92.638613531999994</v>
      </c>
      <c r="AB30" s="17" t="s">
        <v>90</v>
      </c>
      <c r="AC30" s="17">
        <v>23</v>
      </c>
      <c r="AD30" s="17">
        <v>3.20067287324869E-6</v>
      </c>
      <c r="AE30" s="17">
        <f t="shared" si="0"/>
        <v>2018</v>
      </c>
    </row>
    <row r="31" spans="1:31" x14ac:dyDescent="0.25">
      <c r="A31" s="17">
        <v>30</v>
      </c>
      <c r="B31" s="17" t="s">
        <v>336</v>
      </c>
      <c r="C31" s="17" t="s">
        <v>336</v>
      </c>
      <c r="D31" s="17" t="s">
        <v>337</v>
      </c>
      <c r="E31" s="17" t="s">
        <v>338</v>
      </c>
      <c r="F31" s="17" t="s">
        <v>339</v>
      </c>
      <c r="G31" s="17" t="s">
        <v>340</v>
      </c>
      <c r="H31" s="17" t="s">
        <v>341</v>
      </c>
      <c r="I31" s="17" t="s">
        <v>342</v>
      </c>
      <c r="J31" s="17" t="s">
        <v>343</v>
      </c>
      <c r="K31" s="17" t="s">
        <v>82</v>
      </c>
      <c r="L31" s="17" t="s">
        <v>2</v>
      </c>
      <c r="M31" s="17"/>
      <c r="N31" s="17" t="s">
        <v>48</v>
      </c>
      <c r="O31" s="17" t="s">
        <v>49</v>
      </c>
      <c r="P31" s="17" t="s">
        <v>50</v>
      </c>
      <c r="Q31" s="17" t="s">
        <v>51</v>
      </c>
      <c r="R31" s="17" t="s">
        <v>52</v>
      </c>
      <c r="S31" s="17" t="s">
        <v>53</v>
      </c>
      <c r="T31" s="17" t="s">
        <v>54</v>
      </c>
      <c r="U31" s="17" t="s">
        <v>55</v>
      </c>
      <c r="V31" s="17" t="s">
        <v>344</v>
      </c>
      <c r="W31" s="17" t="s">
        <v>293</v>
      </c>
      <c r="X31" s="17" t="s">
        <v>72</v>
      </c>
      <c r="Y31" s="17" t="s">
        <v>179</v>
      </c>
      <c r="Z31" s="17">
        <v>41.002856195100001</v>
      </c>
      <c r="AA31" s="17">
        <v>-92.638647678599995</v>
      </c>
      <c r="AB31" s="17" t="s">
        <v>90</v>
      </c>
      <c r="AC31" s="17">
        <v>23</v>
      </c>
      <c r="AD31" s="17">
        <v>3.134112608817622E-6</v>
      </c>
      <c r="AE31" s="17">
        <f t="shared" si="0"/>
        <v>2017</v>
      </c>
    </row>
    <row r="32" spans="1:31" x14ac:dyDescent="0.25">
      <c r="A32" s="17">
        <v>31</v>
      </c>
      <c r="B32" s="17" t="s">
        <v>345</v>
      </c>
      <c r="C32" s="17" t="s">
        <v>345</v>
      </c>
      <c r="D32" s="17" t="s">
        <v>346</v>
      </c>
      <c r="E32" s="17" t="s">
        <v>347</v>
      </c>
      <c r="F32" s="17" t="s">
        <v>348</v>
      </c>
      <c r="G32" s="17" t="s">
        <v>349</v>
      </c>
      <c r="H32" s="17" t="s">
        <v>350</v>
      </c>
      <c r="I32" s="17" t="s">
        <v>351</v>
      </c>
      <c r="J32" s="17" t="s">
        <v>352</v>
      </c>
      <c r="K32" s="17" t="s">
        <v>120</v>
      </c>
      <c r="L32" s="17" t="s">
        <v>2</v>
      </c>
      <c r="M32" s="17"/>
      <c r="N32" s="17" t="s">
        <v>48</v>
      </c>
      <c r="O32" s="17" t="s">
        <v>49</v>
      </c>
      <c r="P32" s="17" t="s">
        <v>50</v>
      </c>
      <c r="Q32" s="17" t="s">
        <v>51</v>
      </c>
      <c r="R32" s="17" t="s">
        <v>52</v>
      </c>
      <c r="S32" s="17" t="s">
        <v>188</v>
      </c>
      <c r="T32" s="17" t="s">
        <v>54</v>
      </c>
      <c r="U32" s="17" t="s">
        <v>55</v>
      </c>
      <c r="V32" s="17" t="s">
        <v>70</v>
      </c>
      <c r="W32" s="17" t="s">
        <v>293</v>
      </c>
      <c r="X32" s="17" t="s">
        <v>150</v>
      </c>
      <c r="Y32" s="17" t="s">
        <v>150</v>
      </c>
      <c r="Z32" s="17">
        <v>41.003658321899998</v>
      </c>
      <c r="AA32" s="17">
        <v>-92.638774098400006</v>
      </c>
      <c r="AB32" s="17" t="s">
        <v>90</v>
      </c>
      <c r="AC32" s="17">
        <v>23</v>
      </c>
      <c r="AD32" s="17">
        <v>6.7556295547723903E-6</v>
      </c>
      <c r="AE32" s="17">
        <f t="shared" si="0"/>
        <v>2022</v>
      </c>
    </row>
    <row r="33" spans="1:31" x14ac:dyDescent="0.25">
      <c r="A33" s="17">
        <v>32</v>
      </c>
      <c r="B33" s="17" t="s">
        <v>353</v>
      </c>
      <c r="C33" s="17" t="s">
        <v>353</v>
      </c>
      <c r="D33" s="17" t="s">
        <v>354</v>
      </c>
      <c r="E33" s="17" t="s">
        <v>355</v>
      </c>
      <c r="F33" s="17" t="s">
        <v>356</v>
      </c>
      <c r="G33" s="17" t="s">
        <v>357</v>
      </c>
      <c r="H33" s="17" t="s">
        <v>358</v>
      </c>
      <c r="I33" s="17" t="s">
        <v>359</v>
      </c>
      <c r="J33" s="17" t="s">
        <v>360</v>
      </c>
      <c r="K33" s="17" t="s">
        <v>216</v>
      </c>
      <c r="L33" s="17" t="s">
        <v>2</v>
      </c>
      <c r="M33" s="17"/>
      <c r="N33" s="17" t="s">
        <v>48</v>
      </c>
      <c r="O33" s="17" t="s">
        <v>49</v>
      </c>
      <c r="P33" s="17" t="s">
        <v>50</v>
      </c>
      <c r="Q33" s="17" t="s">
        <v>51</v>
      </c>
      <c r="R33" s="17" t="s">
        <v>52</v>
      </c>
      <c r="S33" s="17" t="s">
        <v>361</v>
      </c>
      <c r="T33" s="17" t="s">
        <v>54</v>
      </c>
      <c r="U33" s="17" t="s">
        <v>55</v>
      </c>
      <c r="V33" s="17" t="s">
        <v>70</v>
      </c>
      <c r="W33" s="17" t="s">
        <v>362</v>
      </c>
      <c r="X33" s="17" t="s">
        <v>150</v>
      </c>
      <c r="Y33" s="17" t="s">
        <v>150</v>
      </c>
      <c r="Z33" s="17">
        <v>41.003802487999998</v>
      </c>
      <c r="AA33" s="17">
        <v>-92.638785202199998</v>
      </c>
      <c r="AB33" s="17" t="s">
        <v>90</v>
      </c>
      <c r="AC33" s="17">
        <v>23</v>
      </c>
      <c r="AD33" s="17">
        <v>2.963660131332092E-6</v>
      </c>
      <c r="AE33" s="17">
        <f t="shared" si="0"/>
        <v>2021</v>
      </c>
    </row>
    <row r="34" spans="1:31" x14ac:dyDescent="0.25">
      <c r="A34" s="17">
        <v>33</v>
      </c>
      <c r="B34" s="17" t="s">
        <v>363</v>
      </c>
      <c r="C34" s="17" t="s">
        <v>363</v>
      </c>
      <c r="D34" s="17" t="s">
        <v>364</v>
      </c>
      <c r="E34" s="17" t="s">
        <v>365</v>
      </c>
      <c r="F34" s="17" t="s">
        <v>366</v>
      </c>
      <c r="G34" s="17" t="s">
        <v>367</v>
      </c>
      <c r="H34" s="17" t="s">
        <v>368</v>
      </c>
      <c r="I34" s="17" t="s">
        <v>369</v>
      </c>
      <c r="J34" s="17" t="s">
        <v>370</v>
      </c>
      <c r="K34" s="17" t="s">
        <v>47</v>
      </c>
      <c r="L34" s="17" t="s">
        <v>2</v>
      </c>
      <c r="M34" s="17"/>
      <c r="N34" s="17" t="s">
        <v>48</v>
      </c>
      <c r="O34" s="17" t="s">
        <v>49</v>
      </c>
      <c r="P34" s="17" t="s">
        <v>50</v>
      </c>
      <c r="Q34" s="17" t="s">
        <v>51</v>
      </c>
      <c r="R34" s="17" t="s">
        <v>52</v>
      </c>
      <c r="S34" s="17" t="s">
        <v>53</v>
      </c>
      <c r="T34" s="17" t="s">
        <v>54</v>
      </c>
      <c r="U34" s="17" t="s">
        <v>55</v>
      </c>
      <c r="V34" s="17" t="s">
        <v>70</v>
      </c>
      <c r="W34" s="17" t="s">
        <v>87</v>
      </c>
      <c r="X34" s="17" t="s">
        <v>150</v>
      </c>
      <c r="Y34" s="17" t="s">
        <v>150</v>
      </c>
      <c r="Z34" s="17">
        <v>41.003847565500003</v>
      </c>
      <c r="AA34" s="17">
        <v>-92.638796847099997</v>
      </c>
      <c r="AB34" s="17" t="s">
        <v>90</v>
      </c>
      <c r="AC34" s="17">
        <v>23</v>
      </c>
      <c r="AD34" s="17">
        <v>2.0856770877691129E-6</v>
      </c>
      <c r="AE34" s="17">
        <f t="shared" si="0"/>
        <v>2020</v>
      </c>
    </row>
    <row r="35" spans="1:31" x14ac:dyDescent="0.25">
      <c r="A35" s="17">
        <v>34</v>
      </c>
      <c r="B35" s="17" t="s">
        <v>371</v>
      </c>
      <c r="C35" s="17" t="s">
        <v>371</v>
      </c>
      <c r="D35" s="17" t="s">
        <v>372</v>
      </c>
      <c r="E35" s="17" t="s">
        <v>373</v>
      </c>
      <c r="F35" s="17" t="s">
        <v>374</v>
      </c>
      <c r="G35" s="17" t="s">
        <v>375</v>
      </c>
      <c r="H35" s="17" t="s">
        <v>376</v>
      </c>
      <c r="I35" s="17" t="s">
        <v>377</v>
      </c>
      <c r="J35" s="17" t="s">
        <v>378</v>
      </c>
      <c r="K35" s="17" t="s">
        <v>47</v>
      </c>
      <c r="L35" s="17" t="s">
        <v>2</v>
      </c>
      <c r="M35" s="17"/>
      <c r="N35" s="17" t="s">
        <v>48</v>
      </c>
      <c r="O35" s="17" t="s">
        <v>49</v>
      </c>
      <c r="P35" s="17" t="s">
        <v>50</v>
      </c>
      <c r="Q35" s="17" t="s">
        <v>51</v>
      </c>
      <c r="R35" s="17" t="s">
        <v>52</v>
      </c>
      <c r="S35" s="17" t="s">
        <v>53</v>
      </c>
      <c r="T35" s="17" t="s">
        <v>54</v>
      </c>
      <c r="U35" s="17" t="s">
        <v>55</v>
      </c>
      <c r="V35" s="17" t="s">
        <v>70</v>
      </c>
      <c r="W35" s="17" t="s">
        <v>149</v>
      </c>
      <c r="X35" s="17" t="s">
        <v>150</v>
      </c>
      <c r="Y35" s="17" t="s">
        <v>150</v>
      </c>
      <c r="Z35" s="17">
        <v>41.003910659200002</v>
      </c>
      <c r="AA35" s="17">
        <v>-92.638808393700003</v>
      </c>
      <c r="AB35" s="17" t="s">
        <v>90</v>
      </c>
      <c r="AC35" s="17">
        <v>23</v>
      </c>
      <c r="AD35" s="17">
        <v>4.4500516998736427E-6</v>
      </c>
      <c r="AE35" s="17">
        <f t="shared" si="0"/>
        <v>2018</v>
      </c>
    </row>
    <row r="36" spans="1:31" x14ac:dyDescent="0.25">
      <c r="A36" s="17">
        <v>35</v>
      </c>
      <c r="B36" s="17" t="s">
        <v>379</v>
      </c>
      <c r="C36" s="17" t="s">
        <v>379</v>
      </c>
      <c r="D36" s="17" t="s">
        <v>380</v>
      </c>
      <c r="E36" s="17" t="s">
        <v>381</v>
      </c>
      <c r="F36" s="17" t="s">
        <v>382</v>
      </c>
      <c r="G36" s="17" t="s">
        <v>383</v>
      </c>
      <c r="H36" s="17" t="s">
        <v>384</v>
      </c>
      <c r="I36" s="17" t="s">
        <v>385</v>
      </c>
      <c r="J36" s="17" t="s">
        <v>386</v>
      </c>
      <c r="K36" s="17" t="s">
        <v>69</v>
      </c>
      <c r="L36" s="17" t="s">
        <v>2</v>
      </c>
      <c r="M36" s="17"/>
      <c r="N36" s="17" t="s">
        <v>48</v>
      </c>
      <c r="O36" s="17" t="s">
        <v>49</v>
      </c>
      <c r="P36" s="17" t="s">
        <v>50</v>
      </c>
      <c r="Q36" s="17" t="s">
        <v>51</v>
      </c>
      <c r="R36" s="17" t="s">
        <v>52</v>
      </c>
      <c r="S36" s="17" t="s">
        <v>53</v>
      </c>
      <c r="T36" s="17" t="s">
        <v>54</v>
      </c>
      <c r="U36" s="17" t="s">
        <v>55</v>
      </c>
      <c r="V36" s="17" t="s">
        <v>70</v>
      </c>
      <c r="W36" s="17" t="s">
        <v>87</v>
      </c>
      <c r="X36" s="17" t="s">
        <v>150</v>
      </c>
      <c r="Y36" s="17" t="s">
        <v>150</v>
      </c>
      <c r="Z36" s="17">
        <v>41.005127305000002</v>
      </c>
      <c r="AA36" s="17">
        <v>-92.638980119999999</v>
      </c>
      <c r="AB36" s="17" t="s">
        <v>90</v>
      </c>
      <c r="AC36" s="17">
        <v>23</v>
      </c>
      <c r="AD36" s="17">
        <v>3.6494438301127629E-7</v>
      </c>
      <c r="AE36" s="17">
        <f t="shared" si="0"/>
        <v>2020</v>
      </c>
    </row>
    <row r="37" spans="1:31" x14ac:dyDescent="0.25">
      <c r="A37" s="17">
        <v>36</v>
      </c>
      <c r="B37" s="17" t="s">
        <v>387</v>
      </c>
      <c r="C37" s="17" t="s">
        <v>387</v>
      </c>
      <c r="D37" s="17" t="s">
        <v>388</v>
      </c>
      <c r="E37" s="17" t="s">
        <v>389</v>
      </c>
      <c r="F37" s="17" t="s">
        <v>390</v>
      </c>
      <c r="G37" s="17" t="s">
        <v>391</v>
      </c>
      <c r="H37" s="17" t="s">
        <v>392</v>
      </c>
      <c r="I37" s="17" t="s">
        <v>393</v>
      </c>
      <c r="J37" s="17" t="s">
        <v>394</v>
      </c>
      <c r="K37" s="17" t="s">
        <v>259</v>
      </c>
      <c r="L37" s="17" t="s">
        <v>2</v>
      </c>
      <c r="M37" s="17"/>
      <c r="N37" s="17" t="s">
        <v>48</v>
      </c>
      <c r="O37" s="17" t="s">
        <v>49</v>
      </c>
      <c r="P37" s="17" t="s">
        <v>50</v>
      </c>
      <c r="Q37" s="17" t="s">
        <v>51</v>
      </c>
      <c r="R37" s="17" t="s">
        <v>52</v>
      </c>
      <c r="S37" s="17" t="s">
        <v>188</v>
      </c>
      <c r="T37" s="17" t="s">
        <v>54</v>
      </c>
      <c r="U37" s="17" t="s">
        <v>55</v>
      </c>
      <c r="V37" s="17" t="s">
        <v>70</v>
      </c>
      <c r="W37" s="17" t="s">
        <v>199</v>
      </c>
      <c r="X37" s="17" t="s">
        <v>150</v>
      </c>
      <c r="Y37" s="17" t="s">
        <v>150</v>
      </c>
      <c r="Z37" s="17">
        <v>41.009515936699998</v>
      </c>
      <c r="AA37" s="17">
        <v>-92.639503201599993</v>
      </c>
      <c r="AB37" s="17" t="s">
        <v>90</v>
      </c>
      <c r="AC37" s="17">
        <v>23</v>
      </c>
      <c r="AD37" s="17">
        <v>7.0635021577603174E-6</v>
      </c>
      <c r="AE37" s="17">
        <f t="shared" si="0"/>
        <v>2022</v>
      </c>
    </row>
    <row r="38" spans="1:31" x14ac:dyDescent="0.25">
      <c r="A38" s="17">
        <v>37</v>
      </c>
      <c r="B38" s="17" t="s">
        <v>395</v>
      </c>
      <c r="C38" s="17" t="s">
        <v>396</v>
      </c>
      <c r="D38" s="17" t="s">
        <v>397</v>
      </c>
      <c r="E38" s="17" t="s">
        <v>398</v>
      </c>
      <c r="F38" s="17" t="s">
        <v>399</v>
      </c>
      <c r="G38" s="17" t="s">
        <v>400</v>
      </c>
      <c r="H38" s="17" t="s">
        <v>401</v>
      </c>
      <c r="I38" s="17" t="s">
        <v>402</v>
      </c>
      <c r="J38" s="17" t="s">
        <v>403</v>
      </c>
      <c r="K38" s="17" t="s">
        <v>259</v>
      </c>
      <c r="L38" s="17" t="s">
        <v>2</v>
      </c>
      <c r="M38" s="17"/>
      <c r="N38" s="17" t="s">
        <v>145</v>
      </c>
      <c r="O38" s="17" t="s">
        <v>146</v>
      </c>
      <c r="P38" s="17" t="s">
        <v>147</v>
      </c>
      <c r="Q38" s="17" t="s">
        <v>51</v>
      </c>
      <c r="R38" s="17" t="s">
        <v>52</v>
      </c>
      <c r="S38" s="17" t="s">
        <v>148</v>
      </c>
      <c r="T38" s="17" t="s">
        <v>54</v>
      </c>
      <c r="U38" s="17" t="s">
        <v>55</v>
      </c>
      <c r="V38" s="17" t="s">
        <v>56</v>
      </c>
      <c r="W38" s="17" t="s">
        <v>87</v>
      </c>
      <c r="X38" s="17" t="s">
        <v>72</v>
      </c>
      <c r="Y38" s="17" t="s">
        <v>179</v>
      </c>
      <c r="Z38" s="17">
        <v>41.014794910900001</v>
      </c>
      <c r="AA38" s="17">
        <v>-92.639557676199999</v>
      </c>
      <c r="AB38" s="17" t="s">
        <v>90</v>
      </c>
      <c r="AC38" s="17">
        <v>23</v>
      </c>
      <c r="AD38" s="17">
        <v>2.2466295452616431E-5</v>
      </c>
      <c r="AE38" s="17">
        <f t="shared" si="0"/>
        <v>2014</v>
      </c>
    </row>
    <row r="39" spans="1:31" x14ac:dyDescent="0.25">
      <c r="A39" s="17">
        <v>38</v>
      </c>
      <c r="B39" s="17" t="s">
        <v>404</v>
      </c>
      <c r="C39" s="17" t="s">
        <v>404</v>
      </c>
      <c r="D39" s="17" t="s">
        <v>405</v>
      </c>
      <c r="E39" s="17" t="s">
        <v>406</v>
      </c>
      <c r="F39" s="17" t="s">
        <v>407</v>
      </c>
      <c r="G39" s="17" t="s">
        <v>408</v>
      </c>
      <c r="H39" s="17" t="s">
        <v>409</v>
      </c>
      <c r="I39" s="17" t="s">
        <v>410</v>
      </c>
      <c r="J39" s="17" t="s">
        <v>411</v>
      </c>
      <c r="K39" s="17" t="s">
        <v>47</v>
      </c>
      <c r="L39" s="17" t="s">
        <v>2</v>
      </c>
      <c r="M39" s="17"/>
      <c r="N39" s="17" t="s">
        <v>48</v>
      </c>
      <c r="O39" s="17" t="s">
        <v>49</v>
      </c>
      <c r="P39" s="17" t="s">
        <v>50</v>
      </c>
      <c r="Q39" s="17" t="s">
        <v>51</v>
      </c>
      <c r="R39" s="17" t="s">
        <v>52</v>
      </c>
      <c r="S39" s="17" t="s">
        <v>53</v>
      </c>
      <c r="T39" s="17" t="s">
        <v>54</v>
      </c>
      <c r="U39" s="17" t="s">
        <v>55</v>
      </c>
      <c r="V39" s="17" t="s">
        <v>70</v>
      </c>
      <c r="W39" s="17" t="s">
        <v>100</v>
      </c>
      <c r="X39" s="17" t="s">
        <v>412</v>
      </c>
      <c r="Y39" s="17" t="s">
        <v>89</v>
      </c>
      <c r="Z39" s="17">
        <v>41.016020113800003</v>
      </c>
      <c r="AA39" s="17">
        <v>-92.639586677599993</v>
      </c>
      <c r="AB39" s="17" t="s">
        <v>90</v>
      </c>
      <c r="AC39" s="17">
        <v>23</v>
      </c>
      <c r="AD39" s="17">
        <v>3.0124409113583392E-5</v>
      </c>
      <c r="AE39" s="17">
        <f t="shared" si="0"/>
        <v>2020</v>
      </c>
    </row>
    <row r="40" spans="1:31" x14ac:dyDescent="0.25">
      <c r="A40" s="17">
        <v>39</v>
      </c>
      <c r="B40" s="17" t="s">
        <v>413</v>
      </c>
      <c r="C40" s="17" t="s">
        <v>413</v>
      </c>
      <c r="D40" s="17" t="s">
        <v>414</v>
      </c>
      <c r="E40" s="17" t="s">
        <v>415</v>
      </c>
      <c r="F40" s="17" t="s">
        <v>416</v>
      </c>
      <c r="G40" s="17" t="s">
        <v>417</v>
      </c>
      <c r="H40" s="17" t="s">
        <v>418</v>
      </c>
      <c r="I40" s="17" t="s">
        <v>419</v>
      </c>
      <c r="J40" s="17" t="s">
        <v>420</v>
      </c>
      <c r="K40" s="17" t="s">
        <v>120</v>
      </c>
      <c r="L40" s="17" t="s">
        <v>2</v>
      </c>
      <c r="M40" s="17"/>
      <c r="N40" s="17" t="s">
        <v>48</v>
      </c>
      <c r="O40" s="17" t="s">
        <v>49</v>
      </c>
      <c r="P40" s="17" t="s">
        <v>50</v>
      </c>
      <c r="Q40" s="17" t="s">
        <v>51</v>
      </c>
      <c r="R40" s="17" t="s">
        <v>52</v>
      </c>
      <c r="S40" s="17" t="s">
        <v>53</v>
      </c>
      <c r="T40" s="17" t="s">
        <v>54</v>
      </c>
      <c r="U40" s="17" t="s">
        <v>55</v>
      </c>
      <c r="V40" s="17" t="s">
        <v>70</v>
      </c>
      <c r="W40" s="17" t="s">
        <v>199</v>
      </c>
      <c r="X40" s="17" t="s">
        <v>101</v>
      </c>
      <c r="Y40" s="17" t="s">
        <v>89</v>
      </c>
      <c r="Z40" s="17">
        <v>41.016056145999997</v>
      </c>
      <c r="AA40" s="17">
        <v>-92.639586481199999</v>
      </c>
      <c r="AB40" s="17" t="s">
        <v>90</v>
      </c>
      <c r="AC40" s="17">
        <v>23</v>
      </c>
      <c r="AD40" s="17">
        <v>2.9299865972947219E-5</v>
      </c>
      <c r="AE40" s="17">
        <f t="shared" si="0"/>
        <v>2019</v>
      </c>
    </row>
    <row r="41" spans="1:31" x14ac:dyDescent="0.25">
      <c r="A41" s="17">
        <v>40</v>
      </c>
      <c r="B41" s="17" t="s">
        <v>421</v>
      </c>
      <c r="C41" s="17" t="s">
        <v>422</v>
      </c>
      <c r="D41" s="17" t="s">
        <v>423</v>
      </c>
      <c r="E41" s="17" t="s">
        <v>424</v>
      </c>
      <c r="F41" s="17" t="s">
        <v>425</v>
      </c>
      <c r="G41" s="17" t="s">
        <v>426</v>
      </c>
      <c r="H41" s="17" t="s">
        <v>418</v>
      </c>
      <c r="I41" s="17" t="s">
        <v>427</v>
      </c>
      <c r="J41" s="17" t="s">
        <v>428</v>
      </c>
      <c r="K41" s="17" t="s">
        <v>259</v>
      </c>
      <c r="L41" s="17" t="s">
        <v>2</v>
      </c>
      <c r="M41" s="17"/>
      <c r="N41" s="17" t="s">
        <v>429</v>
      </c>
      <c r="O41" s="17" t="s">
        <v>430</v>
      </c>
      <c r="P41" s="17" t="s">
        <v>431</v>
      </c>
      <c r="Q41" s="17" t="s">
        <v>51</v>
      </c>
      <c r="R41" s="17" t="s">
        <v>52</v>
      </c>
      <c r="S41" s="17" t="s">
        <v>432</v>
      </c>
      <c r="T41" s="17" t="s">
        <v>429</v>
      </c>
      <c r="U41" s="17" t="s">
        <v>433</v>
      </c>
      <c r="V41" s="17" t="s">
        <v>70</v>
      </c>
      <c r="W41" s="17" t="s">
        <v>189</v>
      </c>
      <c r="X41" s="17" t="s">
        <v>434</v>
      </c>
      <c r="Y41" s="17" t="s">
        <v>89</v>
      </c>
      <c r="Z41" s="17">
        <v>41.016137219900003</v>
      </c>
      <c r="AA41" s="17">
        <v>-92.639586039299999</v>
      </c>
      <c r="AB41" s="17" t="s">
        <v>90</v>
      </c>
      <c r="AC41" s="17">
        <v>23</v>
      </c>
      <c r="AD41" s="17">
        <v>2.7445876160538959E-5</v>
      </c>
      <c r="AE41" s="17">
        <f t="shared" si="0"/>
        <v>2013</v>
      </c>
    </row>
    <row r="42" spans="1:31" x14ac:dyDescent="0.25">
      <c r="A42" s="17">
        <v>41</v>
      </c>
      <c r="B42" s="17" t="s">
        <v>435</v>
      </c>
      <c r="C42" s="17" t="s">
        <v>436</v>
      </c>
      <c r="D42" s="17" t="s">
        <v>437</v>
      </c>
      <c r="E42" s="17" t="s">
        <v>438</v>
      </c>
      <c r="F42" s="17" t="s">
        <v>425</v>
      </c>
      <c r="G42" s="17" t="s">
        <v>426</v>
      </c>
      <c r="H42" s="17" t="s">
        <v>418</v>
      </c>
      <c r="I42" s="17" t="s">
        <v>427</v>
      </c>
      <c r="J42" s="17" t="s">
        <v>439</v>
      </c>
      <c r="K42" s="17" t="s">
        <v>216</v>
      </c>
      <c r="L42" s="17" t="s">
        <v>2</v>
      </c>
      <c r="M42" s="17"/>
      <c r="N42" s="17" t="s">
        <v>429</v>
      </c>
      <c r="O42" s="17" t="s">
        <v>430</v>
      </c>
      <c r="P42" s="17" t="s">
        <v>440</v>
      </c>
      <c r="Q42" s="17" t="s">
        <v>51</v>
      </c>
      <c r="R42" s="17" t="s">
        <v>52</v>
      </c>
      <c r="S42" s="17" t="s">
        <v>432</v>
      </c>
      <c r="T42" s="17" t="s">
        <v>429</v>
      </c>
      <c r="U42" s="17" t="s">
        <v>433</v>
      </c>
      <c r="V42" s="17" t="s">
        <v>70</v>
      </c>
      <c r="W42" s="17" t="s">
        <v>441</v>
      </c>
      <c r="X42" s="17" t="s">
        <v>412</v>
      </c>
      <c r="Y42" s="17" t="s">
        <v>89</v>
      </c>
      <c r="Z42" s="17">
        <v>41.016137219900003</v>
      </c>
      <c r="AA42" s="17">
        <v>-92.639586039299999</v>
      </c>
      <c r="AB42" s="17" t="s">
        <v>90</v>
      </c>
      <c r="AC42" s="17">
        <v>23</v>
      </c>
      <c r="AD42" s="17">
        <v>2.7445876160538959E-5</v>
      </c>
      <c r="AE42" s="17">
        <f t="shared" si="0"/>
        <v>2014</v>
      </c>
    </row>
    <row r="43" spans="1:31" x14ac:dyDescent="0.25">
      <c r="A43" s="17">
        <v>42</v>
      </c>
      <c r="B43" s="17" t="s">
        <v>442</v>
      </c>
      <c r="C43" s="17" t="s">
        <v>442</v>
      </c>
      <c r="D43" s="17" t="s">
        <v>443</v>
      </c>
      <c r="E43" s="17" t="s">
        <v>444</v>
      </c>
      <c r="F43" s="17" t="s">
        <v>425</v>
      </c>
      <c r="G43" s="17" t="s">
        <v>426</v>
      </c>
      <c r="H43" s="17" t="s">
        <v>418</v>
      </c>
      <c r="I43" s="17" t="s">
        <v>427</v>
      </c>
      <c r="J43" s="17" t="s">
        <v>98</v>
      </c>
      <c r="K43" s="17" t="s">
        <v>120</v>
      </c>
      <c r="L43" s="17" t="s">
        <v>2</v>
      </c>
      <c r="M43" s="17"/>
      <c r="N43" s="17" t="s">
        <v>429</v>
      </c>
      <c r="O43" s="17" t="s">
        <v>430</v>
      </c>
      <c r="P43" s="17" t="s">
        <v>445</v>
      </c>
      <c r="Q43" s="17" t="s">
        <v>51</v>
      </c>
      <c r="R43" s="17" t="s">
        <v>52</v>
      </c>
      <c r="S43" s="17" t="s">
        <v>432</v>
      </c>
      <c r="T43" s="17" t="s">
        <v>429</v>
      </c>
      <c r="U43" s="17" t="s">
        <v>433</v>
      </c>
      <c r="V43" s="17" t="s">
        <v>70</v>
      </c>
      <c r="W43" s="17" t="s">
        <v>446</v>
      </c>
      <c r="X43" s="17" t="s">
        <v>134</v>
      </c>
      <c r="Y43" s="17" t="s">
        <v>89</v>
      </c>
      <c r="Z43" s="17">
        <v>41.016137219900003</v>
      </c>
      <c r="AA43" s="17">
        <v>-92.639586039299999</v>
      </c>
      <c r="AB43" s="17" t="s">
        <v>90</v>
      </c>
      <c r="AC43" s="17">
        <v>23</v>
      </c>
      <c r="AD43" s="17">
        <v>2.7445876160538959E-5</v>
      </c>
      <c r="AE43" s="17">
        <f t="shared" si="0"/>
        <v>2015</v>
      </c>
    </row>
    <row r="44" spans="1:31" x14ac:dyDescent="0.25">
      <c r="A44" s="17">
        <v>43</v>
      </c>
      <c r="B44" s="17" t="s">
        <v>447</v>
      </c>
      <c r="C44" s="17" t="s">
        <v>447</v>
      </c>
      <c r="D44" s="17" t="s">
        <v>448</v>
      </c>
      <c r="E44" s="17" t="s">
        <v>449</v>
      </c>
      <c r="F44" s="17" t="s">
        <v>425</v>
      </c>
      <c r="G44" s="17" t="s">
        <v>426</v>
      </c>
      <c r="H44" s="17" t="s">
        <v>418</v>
      </c>
      <c r="I44" s="17" t="s">
        <v>427</v>
      </c>
      <c r="J44" s="17" t="s">
        <v>450</v>
      </c>
      <c r="K44" s="17" t="s">
        <v>216</v>
      </c>
      <c r="L44" s="17" t="s">
        <v>2</v>
      </c>
      <c r="M44" s="17"/>
      <c r="N44" s="17" t="s">
        <v>429</v>
      </c>
      <c r="O44" s="17" t="s">
        <v>430</v>
      </c>
      <c r="P44" s="17" t="s">
        <v>440</v>
      </c>
      <c r="Q44" s="17" t="s">
        <v>51</v>
      </c>
      <c r="R44" s="17" t="s">
        <v>52</v>
      </c>
      <c r="S44" s="17" t="s">
        <v>432</v>
      </c>
      <c r="T44" s="17" t="s">
        <v>429</v>
      </c>
      <c r="U44" s="17" t="s">
        <v>433</v>
      </c>
      <c r="V44" s="17" t="s">
        <v>344</v>
      </c>
      <c r="W44" s="17" t="s">
        <v>446</v>
      </c>
      <c r="X44" s="17" t="s">
        <v>88</v>
      </c>
      <c r="Y44" s="17" t="s">
        <v>89</v>
      </c>
      <c r="Z44" s="17">
        <v>41.016137219900003</v>
      </c>
      <c r="AA44" s="17">
        <v>-92.639586039299999</v>
      </c>
      <c r="AB44" s="17" t="s">
        <v>90</v>
      </c>
      <c r="AC44" s="17">
        <v>23</v>
      </c>
      <c r="AD44" s="17">
        <v>2.7445876160538959E-5</v>
      </c>
      <c r="AE44" s="17">
        <f t="shared" si="0"/>
        <v>2015</v>
      </c>
    </row>
    <row r="45" spans="1:31" x14ac:dyDescent="0.25">
      <c r="A45" s="17">
        <v>44</v>
      </c>
      <c r="B45" s="17" t="s">
        <v>451</v>
      </c>
      <c r="C45" s="17" t="s">
        <v>451</v>
      </c>
      <c r="D45" s="17" t="s">
        <v>452</v>
      </c>
      <c r="E45" s="17" t="s">
        <v>453</v>
      </c>
      <c r="F45" s="17" t="s">
        <v>425</v>
      </c>
      <c r="G45" s="17" t="s">
        <v>426</v>
      </c>
      <c r="H45" s="17" t="s">
        <v>418</v>
      </c>
      <c r="I45" s="17" t="s">
        <v>427</v>
      </c>
      <c r="J45" s="17" t="s">
        <v>454</v>
      </c>
      <c r="K45" s="17" t="s">
        <v>216</v>
      </c>
      <c r="L45" s="17" t="s">
        <v>2</v>
      </c>
      <c r="M45" s="17"/>
      <c r="N45" s="17" t="s">
        <v>429</v>
      </c>
      <c r="O45" s="17" t="s">
        <v>430</v>
      </c>
      <c r="P45" s="17" t="s">
        <v>440</v>
      </c>
      <c r="Q45" s="17" t="s">
        <v>51</v>
      </c>
      <c r="R45" s="17" t="s">
        <v>52</v>
      </c>
      <c r="S45" s="17" t="s">
        <v>432</v>
      </c>
      <c r="T45" s="17" t="s">
        <v>429</v>
      </c>
      <c r="U45" s="17" t="s">
        <v>433</v>
      </c>
      <c r="V45" s="17" t="s">
        <v>56</v>
      </c>
      <c r="W45" s="17" t="s">
        <v>260</v>
      </c>
      <c r="X45" s="17" t="s">
        <v>88</v>
      </c>
      <c r="Y45" s="17" t="s">
        <v>89</v>
      </c>
      <c r="Z45" s="17">
        <v>41.016137219900003</v>
      </c>
      <c r="AA45" s="17">
        <v>-92.639586039299999</v>
      </c>
      <c r="AB45" s="17" t="s">
        <v>90</v>
      </c>
      <c r="AC45" s="17">
        <v>23</v>
      </c>
      <c r="AD45" s="17">
        <v>2.7445876160538959E-5</v>
      </c>
      <c r="AE45" s="17">
        <f t="shared" si="0"/>
        <v>2015</v>
      </c>
    </row>
    <row r="46" spans="1:31" x14ac:dyDescent="0.25">
      <c r="A46" s="17">
        <v>45</v>
      </c>
      <c r="B46" s="17" t="s">
        <v>455</v>
      </c>
      <c r="C46" s="17" t="s">
        <v>455</v>
      </c>
      <c r="D46" s="17" t="s">
        <v>456</v>
      </c>
      <c r="E46" s="17" t="s">
        <v>457</v>
      </c>
      <c r="F46" s="17" t="s">
        <v>425</v>
      </c>
      <c r="G46" s="17" t="s">
        <v>426</v>
      </c>
      <c r="H46" s="17" t="s">
        <v>418</v>
      </c>
      <c r="I46" s="17" t="s">
        <v>427</v>
      </c>
      <c r="J46" s="17" t="s">
        <v>458</v>
      </c>
      <c r="K46" s="17" t="s">
        <v>47</v>
      </c>
      <c r="L46" s="17" t="s">
        <v>2</v>
      </c>
      <c r="M46" s="17"/>
      <c r="N46" s="17" t="s">
        <v>429</v>
      </c>
      <c r="O46" s="17" t="s">
        <v>430</v>
      </c>
      <c r="P46" s="17" t="s">
        <v>431</v>
      </c>
      <c r="Q46" s="17" t="s">
        <v>51</v>
      </c>
      <c r="R46" s="17" t="s">
        <v>52</v>
      </c>
      <c r="S46" s="17" t="s">
        <v>432</v>
      </c>
      <c r="T46" s="17" t="s">
        <v>429</v>
      </c>
      <c r="U46" s="17" t="s">
        <v>433</v>
      </c>
      <c r="V46" s="17" t="s">
        <v>70</v>
      </c>
      <c r="W46" s="17" t="s">
        <v>199</v>
      </c>
      <c r="X46" s="17" t="s">
        <v>134</v>
      </c>
      <c r="Y46" s="17" t="s">
        <v>459</v>
      </c>
      <c r="Z46" s="17">
        <v>41.016137219900003</v>
      </c>
      <c r="AA46" s="17">
        <v>-92.639586039299999</v>
      </c>
      <c r="AB46" s="17" t="s">
        <v>90</v>
      </c>
      <c r="AC46" s="17">
        <v>23</v>
      </c>
      <c r="AD46" s="17">
        <v>2.7445876160538959E-5</v>
      </c>
      <c r="AE46" s="17">
        <f t="shared" si="0"/>
        <v>2015</v>
      </c>
    </row>
    <row r="47" spans="1:31" x14ac:dyDescent="0.25">
      <c r="A47" s="17">
        <v>46</v>
      </c>
      <c r="B47" s="17" t="s">
        <v>460</v>
      </c>
      <c r="C47" s="17" t="s">
        <v>460</v>
      </c>
      <c r="D47" s="17" t="s">
        <v>461</v>
      </c>
      <c r="E47" s="17" t="s">
        <v>462</v>
      </c>
      <c r="F47" s="17" t="s">
        <v>463</v>
      </c>
      <c r="G47" s="17" t="s">
        <v>426</v>
      </c>
      <c r="H47" s="17" t="s">
        <v>464</v>
      </c>
      <c r="I47" s="17" t="s">
        <v>465</v>
      </c>
      <c r="J47" s="17" t="s">
        <v>466</v>
      </c>
      <c r="K47" s="17" t="s">
        <v>216</v>
      </c>
      <c r="L47" s="17" t="s">
        <v>2</v>
      </c>
      <c r="M47" s="17"/>
      <c r="N47" s="17" t="s">
        <v>429</v>
      </c>
      <c r="O47" s="17" t="s">
        <v>430</v>
      </c>
      <c r="P47" s="17" t="s">
        <v>467</v>
      </c>
      <c r="Q47" s="17" t="s">
        <v>51</v>
      </c>
      <c r="R47" s="17" t="s">
        <v>52</v>
      </c>
      <c r="S47" s="17" t="s">
        <v>468</v>
      </c>
      <c r="T47" s="17" t="s">
        <v>429</v>
      </c>
      <c r="U47" s="17" t="s">
        <v>433</v>
      </c>
      <c r="V47" s="17" t="s">
        <v>469</v>
      </c>
      <c r="W47" s="17" t="s">
        <v>470</v>
      </c>
      <c r="X47" s="17" t="s">
        <v>88</v>
      </c>
      <c r="Y47" s="17" t="s">
        <v>89</v>
      </c>
      <c r="Z47" s="17">
        <v>41.016137218300003</v>
      </c>
      <c r="AA47" s="17">
        <v>-92.639586039299999</v>
      </c>
      <c r="AB47" s="17" t="s">
        <v>90</v>
      </c>
      <c r="AC47" s="17">
        <v>23</v>
      </c>
      <c r="AD47" s="17">
        <v>2.7445876160538959E-5</v>
      </c>
      <c r="AE47" s="17">
        <f t="shared" si="0"/>
        <v>2016</v>
      </c>
    </row>
    <row r="48" spans="1:31" x14ac:dyDescent="0.25">
      <c r="A48" s="17">
        <v>47</v>
      </c>
      <c r="B48" s="17" t="s">
        <v>471</v>
      </c>
      <c r="C48" s="17" t="s">
        <v>471</v>
      </c>
      <c r="D48" s="17" t="s">
        <v>472</v>
      </c>
      <c r="E48" s="17" t="s">
        <v>473</v>
      </c>
      <c r="F48" s="17" t="s">
        <v>463</v>
      </c>
      <c r="G48" s="17" t="s">
        <v>426</v>
      </c>
      <c r="H48" s="17" t="s">
        <v>464</v>
      </c>
      <c r="I48" s="17" t="s">
        <v>465</v>
      </c>
      <c r="J48" s="17" t="s">
        <v>474</v>
      </c>
      <c r="K48" s="17" t="s">
        <v>69</v>
      </c>
      <c r="L48" s="17" t="s">
        <v>2</v>
      </c>
      <c r="M48" s="17"/>
      <c r="N48" s="17" t="s">
        <v>429</v>
      </c>
      <c r="O48" s="17" t="s">
        <v>430</v>
      </c>
      <c r="P48" s="17" t="s">
        <v>467</v>
      </c>
      <c r="Q48" s="17" t="s">
        <v>51</v>
      </c>
      <c r="R48" s="17" t="s">
        <v>52</v>
      </c>
      <c r="S48" s="17" t="s">
        <v>475</v>
      </c>
      <c r="T48" s="17" t="s">
        <v>429</v>
      </c>
      <c r="U48" s="17" t="s">
        <v>433</v>
      </c>
      <c r="V48" s="17" t="s">
        <v>70</v>
      </c>
      <c r="W48" s="17" t="s">
        <v>87</v>
      </c>
      <c r="X48" s="17" t="s">
        <v>101</v>
      </c>
      <c r="Y48" s="17" t="s">
        <v>89</v>
      </c>
      <c r="Z48" s="17">
        <v>41.016137218300003</v>
      </c>
      <c r="AA48" s="17">
        <v>-92.639586039299999</v>
      </c>
      <c r="AB48" s="17" t="s">
        <v>90</v>
      </c>
      <c r="AC48" s="17">
        <v>23</v>
      </c>
      <c r="AD48" s="17">
        <v>2.7445876160538959E-5</v>
      </c>
      <c r="AE48" s="17">
        <f t="shared" si="0"/>
        <v>2016</v>
      </c>
    </row>
    <row r="49" spans="1:31" x14ac:dyDescent="0.25">
      <c r="A49" s="17">
        <v>48</v>
      </c>
      <c r="B49" s="17" t="s">
        <v>476</v>
      </c>
      <c r="C49" s="17" t="s">
        <v>476</v>
      </c>
      <c r="D49" s="17" t="s">
        <v>477</v>
      </c>
      <c r="E49" s="17" t="s">
        <v>478</v>
      </c>
      <c r="F49" s="17" t="s">
        <v>463</v>
      </c>
      <c r="G49" s="17" t="s">
        <v>426</v>
      </c>
      <c r="H49" s="17" t="s">
        <v>464</v>
      </c>
      <c r="I49" s="17" t="s">
        <v>465</v>
      </c>
      <c r="J49" s="17" t="s">
        <v>241</v>
      </c>
      <c r="K49" s="17" t="s">
        <v>120</v>
      </c>
      <c r="L49" s="17" t="s">
        <v>2</v>
      </c>
      <c r="M49" s="17"/>
      <c r="N49" s="17" t="s">
        <v>429</v>
      </c>
      <c r="O49" s="17" t="s">
        <v>430</v>
      </c>
      <c r="P49" s="17" t="s">
        <v>467</v>
      </c>
      <c r="Q49" s="17" t="s">
        <v>51</v>
      </c>
      <c r="R49" s="17" t="s">
        <v>52</v>
      </c>
      <c r="S49" s="17" t="s">
        <v>475</v>
      </c>
      <c r="T49" s="17" t="s">
        <v>429</v>
      </c>
      <c r="U49" s="17" t="s">
        <v>433</v>
      </c>
      <c r="V49" s="17" t="s">
        <v>56</v>
      </c>
      <c r="W49" s="17" t="s">
        <v>479</v>
      </c>
      <c r="X49" s="17" t="s">
        <v>412</v>
      </c>
      <c r="Y49" s="17" t="s">
        <v>89</v>
      </c>
      <c r="Z49" s="17">
        <v>41.016137218300003</v>
      </c>
      <c r="AA49" s="17">
        <v>-92.639586039299999</v>
      </c>
      <c r="AB49" s="17" t="s">
        <v>90</v>
      </c>
      <c r="AC49" s="17">
        <v>23</v>
      </c>
      <c r="AD49" s="17">
        <v>2.7445876160538959E-5</v>
      </c>
      <c r="AE49" s="17">
        <f t="shared" si="0"/>
        <v>2016</v>
      </c>
    </row>
    <row r="50" spans="1:31" x14ac:dyDescent="0.25">
      <c r="A50" s="17">
        <v>49</v>
      </c>
      <c r="B50" s="17" t="s">
        <v>480</v>
      </c>
      <c r="C50" s="17" t="s">
        <v>480</v>
      </c>
      <c r="D50" s="17" t="s">
        <v>481</v>
      </c>
      <c r="E50" s="17" t="s">
        <v>482</v>
      </c>
      <c r="F50" s="17" t="s">
        <v>463</v>
      </c>
      <c r="G50" s="17" t="s">
        <v>426</v>
      </c>
      <c r="H50" s="17" t="s">
        <v>464</v>
      </c>
      <c r="I50" s="17" t="s">
        <v>465</v>
      </c>
      <c r="J50" s="17" t="s">
        <v>483</v>
      </c>
      <c r="K50" s="17" t="s">
        <v>259</v>
      </c>
      <c r="L50" s="17" t="s">
        <v>2</v>
      </c>
      <c r="M50" s="17" t="s">
        <v>83</v>
      </c>
      <c r="N50" s="17" t="s">
        <v>429</v>
      </c>
      <c r="O50" s="17" t="s">
        <v>430</v>
      </c>
      <c r="P50" s="17" t="s">
        <v>467</v>
      </c>
      <c r="Q50" s="17" t="s">
        <v>51</v>
      </c>
      <c r="R50" s="17" t="s">
        <v>52</v>
      </c>
      <c r="S50" s="17" t="s">
        <v>475</v>
      </c>
      <c r="T50" s="17" t="s">
        <v>429</v>
      </c>
      <c r="U50" s="17" t="s">
        <v>433</v>
      </c>
      <c r="V50" s="17" t="s">
        <v>70</v>
      </c>
      <c r="W50" s="17" t="s">
        <v>57</v>
      </c>
      <c r="X50" s="17" t="s">
        <v>484</v>
      </c>
      <c r="Y50" s="17" t="s">
        <v>179</v>
      </c>
      <c r="Z50" s="17">
        <v>41.016137218300003</v>
      </c>
      <c r="AA50" s="17">
        <v>-92.639586039299999</v>
      </c>
      <c r="AB50" s="17" t="s">
        <v>90</v>
      </c>
      <c r="AC50" s="17">
        <v>23</v>
      </c>
      <c r="AD50" s="17">
        <v>2.7445876160538959E-5</v>
      </c>
      <c r="AE50" s="17">
        <f t="shared" si="0"/>
        <v>2017</v>
      </c>
    </row>
    <row r="51" spans="1:31" x14ac:dyDescent="0.25">
      <c r="A51" s="17">
        <v>50</v>
      </c>
      <c r="B51" s="17" t="s">
        <v>485</v>
      </c>
      <c r="C51" s="17" t="s">
        <v>485</v>
      </c>
      <c r="D51" s="17" t="s">
        <v>486</v>
      </c>
      <c r="E51" s="17" t="s">
        <v>487</v>
      </c>
      <c r="F51" s="17" t="s">
        <v>463</v>
      </c>
      <c r="G51" s="17" t="s">
        <v>426</v>
      </c>
      <c r="H51" s="17" t="s">
        <v>488</v>
      </c>
      <c r="I51" s="17" t="s">
        <v>465</v>
      </c>
      <c r="J51" s="17" t="s">
        <v>489</v>
      </c>
      <c r="K51" s="17" t="s">
        <v>216</v>
      </c>
      <c r="L51" s="17" t="s">
        <v>2</v>
      </c>
      <c r="M51" s="17"/>
      <c r="N51" s="17" t="s">
        <v>429</v>
      </c>
      <c r="O51" s="17" t="s">
        <v>430</v>
      </c>
      <c r="P51" s="17" t="s">
        <v>467</v>
      </c>
      <c r="Q51" s="17" t="s">
        <v>51</v>
      </c>
      <c r="R51" s="17" t="s">
        <v>52</v>
      </c>
      <c r="S51" s="17" t="s">
        <v>490</v>
      </c>
      <c r="T51" s="17" t="s">
        <v>429</v>
      </c>
      <c r="U51" s="17" t="s">
        <v>433</v>
      </c>
      <c r="V51" s="17" t="s">
        <v>70</v>
      </c>
      <c r="W51" s="17" t="s">
        <v>149</v>
      </c>
      <c r="X51" s="17" t="s">
        <v>150</v>
      </c>
      <c r="Y51" s="17" t="s">
        <v>150</v>
      </c>
      <c r="Z51" s="17">
        <v>41.016137218300003</v>
      </c>
      <c r="AA51" s="17">
        <v>-92.639586039299999</v>
      </c>
      <c r="AB51" s="17" t="s">
        <v>90</v>
      </c>
      <c r="AC51" s="17">
        <v>23</v>
      </c>
      <c r="AD51" s="17">
        <v>2.7445876160538959E-5</v>
      </c>
      <c r="AE51" s="17">
        <f t="shared" si="0"/>
        <v>2017</v>
      </c>
    </row>
    <row r="52" spans="1:31" x14ac:dyDescent="0.25">
      <c r="A52" s="17">
        <v>51</v>
      </c>
      <c r="B52" s="17" t="s">
        <v>491</v>
      </c>
      <c r="C52" s="17" t="s">
        <v>491</v>
      </c>
      <c r="D52" s="17" t="s">
        <v>492</v>
      </c>
      <c r="E52" s="17" t="s">
        <v>493</v>
      </c>
      <c r="F52" s="17" t="s">
        <v>463</v>
      </c>
      <c r="G52" s="17" t="s">
        <v>426</v>
      </c>
      <c r="H52" s="17" t="s">
        <v>494</v>
      </c>
      <c r="I52" s="17" t="s">
        <v>427</v>
      </c>
      <c r="J52" s="17" t="s">
        <v>232</v>
      </c>
      <c r="K52" s="17" t="s">
        <v>47</v>
      </c>
      <c r="L52" s="17" t="s">
        <v>2</v>
      </c>
      <c r="M52" s="17"/>
      <c r="N52" s="17" t="s">
        <v>429</v>
      </c>
      <c r="O52" s="17" t="s">
        <v>430</v>
      </c>
      <c r="P52" s="17" t="s">
        <v>467</v>
      </c>
      <c r="Q52" s="17" t="s">
        <v>51</v>
      </c>
      <c r="R52" s="17" t="s">
        <v>52</v>
      </c>
      <c r="S52" s="17" t="s">
        <v>495</v>
      </c>
      <c r="T52" s="17" t="s">
        <v>429</v>
      </c>
      <c r="U52" s="17" t="s">
        <v>433</v>
      </c>
      <c r="V52" s="17" t="s">
        <v>289</v>
      </c>
      <c r="W52" s="17" t="s">
        <v>496</v>
      </c>
      <c r="X52" s="17" t="s">
        <v>412</v>
      </c>
      <c r="Y52" s="17" t="s">
        <v>89</v>
      </c>
      <c r="Z52" s="17">
        <v>41.016137218300003</v>
      </c>
      <c r="AA52" s="17">
        <v>-92.639586039299999</v>
      </c>
      <c r="AB52" s="17" t="s">
        <v>90</v>
      </c>
      <c r="AC52" s="17">
        <v>23</v>
      </c>
      <c r="AD52" s="17">
        <v>2.7445876160538959E-5</v>
      </c>
      <c r="AE52" s="17">
        <f t="shared" si="0"/>
        <v>2020</v>
      </c>
    </row>
    <row r="53" spans="1:31" x14ac:dyDescent="0.25">
      <c r="A53" s="17">
        <v>52</v>
      </c>
      <c r="B53" s="17" t="s">
        <v>497</v>
      </c>
      <c r="C53" s="17" t="s">
        <v>497</v>
      </c>
      <c r="D53" s="17" t="s">
        <v>498</v>
      </c>
      <c r="E53" s="17" t="s">
        <v>499</v>
      </c>
      <c r="F53" s="17" t="s">
        <v>463</v>
      </c>
      <c r="G53" s="17" t="s">
        <v>426</v>
      </c>
      <c r="H53" s="17" t="s">
        <v>494</v>
      </c>
      <c r="I53" s="17" t="s">
        <v>427</v>
      </c>
      <c r="J53" s="17" t="s">
        <v>500</v>
      </c>
      <c r="K53" s="17" t="s">
        <v>120</v>
      </c>
      <c r="L53" s="17" t="s">
        <v>2</v>
      </c>
      <c r="M53" s="17"/>
      <c r="N53" s="17" t="s">
        <v>429</v>
      </c>
      <c r="O53" s="17" t="s">
        <v>430</v>
      </c>
      <c r="P53" s="17" t="s">
        <v>467</v>
      </c>
      <c r="Q53" s="17" t="s">
        <v>51</v>
      </c>
      <c r="R53" s="17" t="s">
        <v>52</v>
      </c>
      <c r="S53" s="17" t="s">
        <v>501</v>
      </c>
      <c r="T53" s="17" t="s">
        <v>429</v>
      </c>
      <c r="U53" s="17" t="s">
        <v>433</v>
      </c>
      <c r="V53" s="17" t="s">
        <v>70</v>
      </c>
      <c r="W53" s="17" t="s">
        <v>502</v>
      </c>
      <c r="X53" s="17" t="s">
        <v>88</v>
      </c>
      <c r="Y53" s="17" t="s">
        <v>89</v>
      </c>
      <c r="Z53" s="17">
        <v>41.016137218300003</v>
      </c>
      <c r="AA53" s="17">
        <v>-92.639586039299999</v>
      </c>
      <c r="AB53" s="17" t="s">
        <v>90</v>
      </c>
      <c r="AC53" s="17">
        <v>23</v>
      </c>
      <c r="AD53" s="17">
        <v>2.7445876160538959E-5</v>
      </c>
      <c r="AE53" s="17">
        <f t="shared" si="0"/>
        <v>2021</v>
      </c>
    </row>
    <row r="54" spans="1:31" x14ac:dyDescent="0.25">
      <c r="A54" s="17">
        <v>53</v>
      </c>
      <c r="B54" s="17" t="s">
        <v>503</v>
      </c>
      <c r="C54" s="17"/>
      <c r="D54" s="17" t="s">
        <v>504</v>
      </c>
      <c r="E54" s="17" t="s">
        <v>505</v>
      </c>
      <c r="F54" s="17" t="s">
        <v>425</v>
      </c>
      <c r="G54" s="17" t="s">
        <v>426</v>
      </c>
      <c r="H54" s="17" t="s">
        <v>418</v>
      </c>
      <c r="I54" s="17" t="s">
        <v>427</v>
      </c>
      <c r="J54" s="17" t="s">
        <v>506</v>
      </c>
      <c r="K54" s="17"/>
      <c r="L54" s="17" t="s">
        <v>507</v>
      </c>
      <c r="M54" s="17"/>
      <c r="N54" s="17"/>
      <c r="O54" s="17"/>
      <c r="P54" s="17"/>
      <c r="Q54" s="17"/>
      <c r="R54" s="17"/>
      <c r="S54" s="17"/>
      <c r="T54" s="17"/>
      <c r="U54" s="17"/>
      <c r="V54" s="17" t="s">
        <v>344</v>
      </c>
      <c r="W54" s="17"/>
      <c r="X54" s="17"/>
      <c r="Y54" s="17"/>
      <c r="Z54" s="17">
        <v>41.016137219900003</v>
      </c>
      <c r="AA54" s="17">
        <v>-92.639586039299999</v>
      </c>
      <c r="AB54" s="17" t="s">
        <v>90</v>
      </c>
      <c r="AC54" s="17">
        <v>23</v>
      </c>
      <c r="AD54" s="17">
        <v>2.7445876160538959E-5</v>
      </c>
      <c r="AE54" s="17">
        <f t="shared" si="0"/>
        <v>2014</v>
      </c>
    </row>
    <row r="55" spans="1:31" x14ac:dyDescent="0.25">
      <c r="A55" s="17">
        <v>54</v>
      </c>
      <c r="B55" s="17" t="s">
        <v>508</v>
      </c>
      <c r="C55" s="17"/>
      <c r="D55" s="17" t="s">
        <v>509</v>
      </c>
      <c r="E55" s="17" t="s">
        <v>510</v>
      </c>
      <c r="F55" s="17" t="s">
        <v>425</v>
      </c>
      <c r="G55" s="17" t="s">
        <v>426</v>
      </c>
      <c r="H55" s="17" t="s">
        <v>418</v>
      </c>
      <c r="I55" s="17" t="s">
        <v>427</v>
      </c>
      <c r="J55" s="17" t="s">
        <v>511</v>
      </c>
      <c r="K55" s="17"/>
      <c r="L55" s="17" t="s">
        <v>507</v>
      </c>
      <c r="M55" s="17"/>
      <c r="N55" s="17"/>
      <c r="O55" s="17"/>
      <c r="P55" s="17"/>
      <c r="Q55" s="17"/>
      <c r="R55" s="17"/>
      <c r="S55" s="17"/>
      <c r="T55" s="17"/>
      <c r="U55" s="17"/>
      <c r="V55" s="17" t="s">
        <v>70</v>
      </c>
      <c r="W55" s="17"/>
      <c r="X55" s="17"/>
      <c r="Y55" s="17"/>
      <c r="Z55" s="17">
        <v>41.016137219900003</v>
      </c>
      <c r="AA55" s="17">
        <v>-92.639586039299999</v>
      </c>
      <c r="AB55" s="17" t="s">
        <v>90</v>
      </c>
      <c r="AC55" s="17">
        <v>23</v>
      </c>
      <c r="AD55" s="17">
        <v>2.7445876160538959E-5</v>
      </c>
      <c r="AE55" s="17">
        <f t="shared" si="0"/>
        <v>2015</v>
      </c>
    </row>
    <row r="56" spans="1:31" x14ac:dyDescent="0.25">
      <c r="A56" s="17">
        <v>55</v>
      </c>
      <c r="B56" s="17" t="s">
        <v>512</v>
      </c>
      <c r="C56" s="17"/>
      <c r="D56" s="17" t="s">
        <v>513</v>
      </c>
      <c r="E56" s="17" t="s">
        <v>514</v>
      </c>
      <c r="F56" s="17" t="s">
        <v>515</v>
      </c>
      <c r="G56" s="17" t="s">
        <v>516</v>
      </c>
      <c r="H56" s="17" t="s">
        <v>517</v>
      </c>
      <c r="I56" s="17" t="s">
        <v>427</v>
      </c>
      <c r="J56" s="17" t="s">
        <v>518</v>
      </c>
      <c r="K56" s="17"/>
      <c r="L56" s="17" t="s">
        <v>507</v>
      </c>
      <c r="M56" s="17"/>
      <c r="N56" s="17"/>
      <c r="O56" s="17"/>
      <c r="P56" s="17"/>
      <c r="Q56" s="17"/>
      <c r="R56" s="17"/>
      <c r="S56" s="17"/>
      <c r="T56" s="17"/>
      <c r="U56" s="17"/>
      <c r="V56" s="17" t="s">
        <v>344</v>
      </c>
      <c r="W56" s="17"/>
      <c r="X56" s="17"/>
      <c r="Y56" s="17"/>
      <c r="Z56" s="17">
        <v>41.016137366999999</v>
      </c>
      <c r="AA56" s="17">
        <v>-92.639633611600004</v>
      </c>
      <c r="AB56" s="17" t="s">
        <v>90</v>
      </c>
      <c r="AC56" s="17">
        <v>23</v>
      </c>
      <c r="AD56" s="17">
        <v>7.5009082146479831E-5</v>
      </c>
      <c r="AE56" s="17">
        <f t="shared" si="0"/>
        <v>2019</v>
      </c>
    </row>
    <row r="57" spans="1:31" x14ac:dyDescent="0.25">
      <c r="A57" s="17">
        <v>56</v>
      </c>
      <c r="B57" s="17" t="s">
        <v>519</v>
      </c>
      <c r="C57" s="17"/>
      <c r="D57" s="17" t="s">
        <v>520</v>
      </c>
      <c r="E57" s="17" t="s">
        <v>521</v>
      </c>
      <c r="F57" s="17" t="s">
        <v>522</v>
      </c>
      <c r="G57" s="17" t="s">
        <v>523</v>
      </c>
      <c r="H57" s="17" t="s">
        <v>524</v>
      </c>
      <c r="I57" s="17" t="s">
        <v>525</v>
      </c>
      <c r="J57" s="17" t="s">
        <v>526</v>
      </c>
      <c r="K57" s="17"/>
      <c r="L57" s="17" t="s">
        <v>507</v>
      </c>
      <c r="M57" s="17"/>
      <c r="N57" s="17"/>
      <c r="O57" s="17"/>
      <c r="P57" s="17"/>
      <c r="Q57" s="17"/>
      <c r="R57" s="17"/>
      <c r="S57" s="17"/>
      <c r="T57" s="17"/>
      <c r="U57" s="17"/>
      <c r="V57" s="17" t="s">
        <v>469</v>
      </c>
      <c r="W57" s="17"/>
      <c r="X57" s="17"/>
      <c r="Y57" s="17"/>
      <c r="Z57" s="17">
        <v>41.016137627299997</v>
      </c>
      <c r="AA57" s="17">
        <v>-92.639716863000004</v>
      </c>
      <c r="AB57" s="17" t="s">
        <v>90</v>
      </c>
      <c r="AC57" s="17">
        <v>23</v>
      </c>
      <c r="AD57" s="17">
        <v>1.582429254474437E-4</v>
      </c>
      <c r="AE57" s="17">
        <f t="shared" si="0"/>
        <v>2018</v>
      </c>
    </row>
    <row r="58" spans="1:31" x14ac:dyDescent="0.25">
      <c r="A58" s="17">
        <v>57</v>
      </c>
      <c r="B58" s="17" t="s">
        <v>527</v>
      </c>
      <c r="C58" s="17" t="s">
        <v>527</v>
      </c>
      <c r="D58" s="17" t="s">
        <v>528</v>
      </c>
      <c r="E58" s="17" t="s">
        <v>529</v>
      </c>
      <c r="F58" s="17" t="s">
        <v>530</v>
      </c>
      <c r="G58" s="17" t="s">
        <v>531</v>
      </c>
      <c r="H58" s="17" t="s">
        <v>532</v>
      </c>
      <c r="I58" s="17" t="s">
        <v>533</v>
      </c>
      <c r="J58" s="17" t="s">
        <v>534</v>
      </c>
      <c r="K58" s="17" t="s">
        <v>216</v>
      </c>
      <c r="L58" s="17" t="s">
        <v>2</v>
      </c>
      <c r="M58" s="17"/>
      <c r="N58" s="17" t="s">
        <v>429</v>
      </c>
      <c r="O58" s="17" t="s">
        <v>430</v>
      </c>
      <c r="P58" s="17" t="s">
        <v>467</v>
      </c>
      <c r="Q58" s="17" t="s">
        <v>51</v>
      </c>
      <c r="R58" s="17" t="s">
        <v>52</v>
      </c>
      <c r="S58" s="17" t="s">
        <v>535</v>
      </c>
      <c r="T58" s="17" t="s">
        <v>429</v>
      </c>
      <c r="U58" s="17" t="s">
        <v>55</v>
      </c>
      <c r="V58" s="17" t="s">
        <v>70</v>
      </c>
      <c r="W58" s="17" t="s">
        <v>250</v>
      </c>
      <c r="X58" s="17" t="s">
        <v>88</v>
      </c>
      <c r="Y58" s="17" t="s">
        <v>89</v>
      </c>
      <c r="Z58" s="17">
        <v>41.016145556799998</v>
      </c>
      <c r="AA58" s="17">
        <v>-92.639371915200002</v>
      </c>
      <c r="AB58" s="17" t="s">
        <v>90</v>
      </c>
      <c r="AC58" s="17">
        <v>23</v>
      </c>
      <c r="AD58" s="17">
        <v>1.8679086729861809E-4</v>
      </c>
      <c r="AE58" s="17">
        <f t="shared" si="0"/>
        <v>2019</v>
      </c>
    </row>
    <row r="59" spans="1:31" x14ac:dyDescent="0.25">
      <c r="A59" s="17">
        <v>58</v>
      </c>
      <c r="B59" s="17" t="s">
        <v>536</v>
      </c>
      <c r="C59" s="17" t="s">
        <v>536</v>
      </c>
      <c r="D59" s="17" t="s">
        <v>537</v>
      </c>
      <c r="E59" s="17" t="s">
        <v>538</v>
      </c>
      <c r="F59" s="17" t="s">
        <v>539</v>
      </c>
      <c r="G59" s="17" t="s">
        <v>540</v>
      </c>
      <c r="H59" s="17" t="s">
        <v>541</v>
      </c>
      <c r="I59" s="17" t="s">
        <v>542</v>
      </c>
      <c r="J59" s="17" t="s">
        <v>543</v>
      </c>
      <c r="K59" s="17" t="s">
        <v>216</v>
      </c>
      <c r="L59" s="17" t="s">
        <v>544</v>
      </c>
      <c r="M59" s="17" t="s">
        <v>545</v>
      </c>
      <c r="N59" s="17" t="s">
        <v>48</v>
      </c>
      <c r="O59" s="17" t="s">
        <v>546</v>
      </c>
      <c r="P59" s="17" t="s">
        <v>467</v>
      </c>
      <c r="Q59" s="17" t="s">
        <v>51</v>
      </c>
      <c r="R59" s="17" t="s">
        <v>52</v>
      </c>
      <c r="S59" s="17" t="s">
        <v>547</v>
      </c>
      <c r="T59" s="17" t="s">
        <v>86</v>
      </c>
      <c r="U59" s="17" t="s">
        <v>55</v>
      </c>
      <c r="V59" s="17" t="s">
        <v>70</v>
      </c>
      <c r="W59" s="17" t="s">
        <v>548</v>
      </c>
      <c r="X59" s="17" t="s">
        <v>484</v>
      </c>
      <c r="Y59" s="17" t="s">
        <v>59</v>
      </c>
      <c r="Z59" s="17">
        <v>41.503681712499997</v>
      </c>
      <c r="AA59" s="17">
        <v>-94.3184445017</v>
      </c>
      <c r="AB59" s="17" t="s">
        <v>549</v>
      </c>
      <c r="AC59" s="17">
        <v>13</v>
      </c>
      <c r="AD59" s="17">
        <v>3.069720454549947E-6</v>
      </c>
      <c r="AE59" s="17">
        <f t="shared" si="0"/>
        <v>2022</v>
      </c>
    </row>
    <row r="60" spans="1:31" x14ac:dyDescent="0.25">
      <c r="A60" s="17">
        <v>59</v>
      </c>
      <c r="B60" s="17" t="s">
        <v>550</v>
      </c>
      <c r="C60" s="17" t="s">
        <v>550</v>
      </c>
      <c r="D60" s="17" t="s">
        <v>551</v>
      </c>
      <c r="E60" s="17" t="s">
        <v>552</v>
      </c>
      <c r="F60" s="17" t="s">
        <v>553</v>
      </c>
      <c r="G60" s="17" t="s">
        <v>554</v>
      </c>
      <c r="H60" s="17" t="s">
        <v>555</v>
      </c>
      <c r="I60" s="17" t="s">
        <v>556</v>
      </c>
      <c r="J60" s="17" t="s">
        <v>557</v>
      </c>
      <c r="K60" s="17" t="s">
        <v>47</v>
      </c>
      <c r="L60" s="17" t="s">
        <v>544</v>
      </c>
      <c r="M60" s="17"/>
      <c r="N60" s="17" t="s">
        <v>48</v>
      </c>
      <c r="O60" s="17" t="s">
        <v>558</v>
      </c>
      <c r="P60" s="17" t="s">
        <v>467</v>
      </c>
      <c r="Q60" s="17" t="s">
        <v>51</v>
      </c>
      <c r="R60" s="17" t="s">
        <v>52</v>
      </c>
      <c r="S60" s="17" t="s">
        <v>559</v>
      </c>
      <c r="T60" s="17" t="s">
        <v>54</v>
      </c>
      <c r="U60" s="17" t="s">
        <v>55</v>
      </c>
      <c r="V60" s="17" t="s">
        <v>70</v>
      </c>
      <c r="W60" s="17" t="s">
        <v>560</v>
      </c>
      <c r="X60" s="17" t="s">
        <v>150</v>
      </c>
      <c r="Y60" s="17" t="s">
        <v>150</v>
      </c>
      <c r="Z60" s="17">
        <v>41.503682621000003</v>
      </c>
      <c r="AA60" s="17">
        <v>-94.282523423000001</v>
      </c>
      <c r="AB60" s="17" t="s">
        <v>549</v>
      </c>
      <c r="AC60" s="17">
        <v>13</v>
      </c>
      <c r="AD60" s="17">
        <v>4.2035901019038778E-5</v>
      </c>
      <c r="AE60" s="17">
        <f t="shared" si="0"/>
        <v>2021</v>
      </c>
    </row>
    <row r="61" spans="1:31" x14ac:dyDescent="0.25">
      <c r="A61" s="17">
        <v>60</v>
      </c>
      <c r="B61" s="17" t="s">
        <v>561</v>
      </c>
      <c r="C61" s="17" t="s">
        <v>561</v>
      </c>
      <c r="D61" s="17" t="s">
        <v>562</v>
      </c>
      <c r="E61" s="17" t="s">
        <v>563</v>
      </c>
      <c r="F61" s="17" t="s">
        <v>564</v>
      </c>
      <c r="G61" s="17" t="s">
        <v>565</v>
      </c>
      <c r="H61" s="17" t="s">
        <v>566</v>
      </c>
      <c r="I61" s="17" t="s">
        <v>542</v>
      </c>
      <c r="J61" s="17" t="s">
        <v>567</v>
      </c>
      <c r="K61" s="17" t="s">
        <v>69</v>
      </c>
      <c r="L61" s="17" t="s">
        <v>544</v>
      </c>
      <c r="M61" s="17" t="s">
        <v>545</v>
      </c>
      <c r="N61" s="17" t="s">
        <v>48</v>
      </c>
      <c r="O61" s="17" t="s">
        <v>546</v>
      </c>
      <c r="P61" s="17" t="s">
        <v>467</v>
      </c>
      <c r="Q61" s="17" t="s">
        <v>51</v>
      </c>
      <c r="R61" s="17" t="s">
        <v>52</v>
      </c>
      <c r="S61" s="17" t="s">
        <v>568</v>
      </c>
      <c r="T61" s="17" t="s">
        <v>86</v>
      </c>
      <c r="U61" s="17" t="s">
        <v>569</v>
      </c>
      <c r="V61" s="17" t="s">
        <v>70</v>
      </c>
      <c r="W61" s="17" t="s">
        <v>335</v>
      </c>
      <c r="X61" s="17" t="s">
        <v>570</v>
      </c>
      <c r="Y61" s="17" t="s">
        <v>89</v>
      </c>
      <c r="Z61" s="17">
        <v>41.503682811200001</v>
      </c>
      <c r="AA61" s="17">
        <v>-94.318348670600002</v>
      </c>
      <c r="AB61" s="17" t="s">
        <v>549</v>
      </c>
      <c r="AC61" s="17">
        <v>13</v>
      </c>
      <c r="AD61" s="17">
        <v>3.8617261186760677E-6</v>
      </c>
      <c r="AE61" s="17">
        <f t="shared" si="0"/>
        <v>2020</v>
      </c>
    </row>
    <row r="62" spans="1:31" x14ac:dyDescent="0.25">
      <c r="A62" s="17">
        <v>61</v>
      </c>
      <c r="B62" s="17" t="s">
        <v>571</v>
      </c>
      <c r="C62" s="17" t="s">
        <v>571</v>
      </c>
      <c r="D62" s="17" t="s">
        <v>572</v>
      </c>
      <c r="E62" s="17" t="s">
        <v>573</v>
      </c>
      <c r="F62" s="17" t="s">
        <v>564</v>
      </c>
      <c r="G62" s="17" t="s">
        <v>565</v>
      </c>
      <c r="H62" s="17" t="s">
        <v>566</v>
      </c>
      <c r="I62" s="17" t="s">
        <v>542</v>
      </c>
      <c r="J62" s="17" t="s">
        <v>574</v>
      </c>
      <c r="K62" s="17" t="s">
        <v>216</v>
      </c>
      <c r="L62" s="17" t="s">
        <v>6</v>
      </c>
      <c r="M62" s="17" t="s">
        <v>545</v>
      </c>
      <c r="N62" s="17" t="s">
        <v>48</v>
      </c>
      <c r="O62" s="17" t="s">
        <v>546</v>
      </c>
      <c r="P62" s="17" t="s">
        <v>467</v>
      </c>
      <c r="Q62" s="17" t="s">
        <v>51</v>
      </c>
      <c r="R62" s="17" t="s">
        <v>52</v>
      </c>
      <c r="S62" s="17" t="s">
        <v>568</v>
      </c>
      <c r="T62" s="17" t="s">
        <v>86</v>
      </c>
      <c r="U62" s="17" t="s">
        <v>569</v>
      </c>
      <c r="V62" s="17" t="s">
        <v>70</v>
      </c>
      <c r="W62" s="17" t="s">
        <v>575</v>
      </c>
      <c r="X62" s="17" t="s">
        <v>570</v>
      </c>
      <c r="Y62" s="17" t="s">
        <v>89</v>
      </c>
      <c r="Z62" s="17">
        <v>41.503682811200001</v>
      </c>
      <c r="AA62" s="17">
        <v>-94.318348670600002</v>
      </c>
      <c r="AB62" s="17" t="s">
        <v>549</v>
      </c>
      <c r="AC62" s="17">
        <v>13</v>
      </c>
      <c r="AD62" s="17">
        <v>3.8617261186760677E-6</v>
      </c>
      <c r="AE62" s="17">
        <f t="shared" si="0"/>
        <v>2017</v>
      </c>
    </row>
    <row r="63" spans="1:31" x14ac:dyDescent="0.25">
      <c r="A63" s="17">
        <v>62</v>
      </c>
      <c r="B63" s="17" t="s">
        <v>576</v>
      </c>
      <c r="C63" s="17" t="s">
        <v>576</v>
      </c>
      <c r="D63" s="17" t="s">
        <v>577</v>
      </c>
      <c r="E63" s="17" t="s">
        <v>578</v>
      </c>
      <c r="F63" s="17" t="s">
        <v>564</v>
      </c>
      <c r="G63" s="17" t="s">
        <v>565</v>
      </c>
      <c r="H63" s="17" t="s">
        <v>566</v>
      </c>
      <c r="I63" s="17" t="s">
        <v>542</v>
      </c>
      <c r="J63" s="17" t="s">
        <v>579</v>
      </c>
      <c r="K63" s="17" t="s">
        <v>69</v>
      </c>
      <c r="L63" s="17" t="s">
        <v>6</v>
      </c>
      <c r="M63" s="17" t="s">
        <v>545</v>
      </c>
      <c r="N63" s="17" t="s">
        <v>48</v>
      </c>
      <c r="O63" s="17" t="s">
        <v>546</v>
      </c>
      <c r="P63" s="17" t="s">
        <v>467</v>
      </c>
      <c r="Q63" s="17" t="s">
        <v>51</v>
      </c>
      <c r="R63" s="17" t="s">
        <v>52</v>
      </c>
      <c r="S63" s="17" t="s">
        <v>568</v>
      </c>
      <c r="T63" s="17" t="s">
        <v>86</v>
      </c>
      <c r="U63" s="17" t="s">
        <v>569</v>
      </c>
      <c r="V63" s="17" t="s">
        <v>70</v>
      </c>
      <c r="W63" s="17" t="s">
        <v>87</v>
      </c>
      <c r="X63" s="17" t="s">
        <v>88</v>
      </c>
      <c r="Y63" s="17" t="s">
        <v>89</v>
      </c>
      <c r="Z63" s="17">
        <v>41.503682811200001</v>
      </c>
      <c r="AA63" s="17">
        <v>-94.318348670600002</v>
      </c>
      <c r="AB63" s="17" t="s">
        <v>549</v>
      </c>
      <c r="AC63" s="17">
        <v>13</v>
      </c>
      <c r="AD63" s="17">
        <v>3.8617261186760677E-6</v>
      </c>
      <c r="AE63" s="17">
        <f t="shared" si="0"/>
        <v>2019</v>
      </c>
    </row>
    <row r="64" spans="1:31" x14ac:dyDescent="0.25">
      <c r="A64" s="17">
        <v>63</v>
      </c>
      <c r="B64" s="17" t="s">
        <v>580</v>
      </c>
      <c r="C64" s="17" t="s">
        <v>580</v>
      </c>
      <c r="D64" s="17" t="s">
        <v>581</v>
      </c>
      <c r="E64" s="17" t="s">
        <v>582</v>
      </c>
      <c r="F64" s="17" t="s">
        <v>583</v>
      </c>
      <c r="G64" s="17" t="s">
        <v>584</v>
      </c>
      <c r="H64" s="17" t="s">
        <v>585</v>
      </c>
      <c r="I64" s="17" t="s">
        <v>586</v>
      </c>
      <c r="J64" s="17" t="s">
        <v>277</v>
      </c>
      <c r="K64" s="17" t="s">
        <v>120</v>
      </c>
      <c r="L64" s="17" t="s">
        <v>544</v>
      </c>
      <c r="M64" s="17" t="s">
        <v>545</v>
      </c>
      <c r="N64" s="17" t="s">
        <v>48</v>
      </c>
      <c r="O64" s="17" t="s">
        <v>558</v>
      </c>
      <c r="P64" s="17" t="s">
        <v>467</v>
      </c>
      <c r="Q64" s="17" t="s">
        <v>51</v>
      </c>
      <c r="R64" s="17" t="s">
        <v>52</v>
      </c>
      <c r="S64" s="17" t="s">
        <v>587</v>
      </c>
      <c r="T64" s="17" t="s">
        <v>54</v>
      </c>
      <c r="U64" s="17" t="s">
        <v>55</v>
      </c>
      <c r="V64" s="17" t="s">
        <v>56</v>
      </c>
      <c r="W64" s="17" t="s">
        <v>588</v>
      </c>
      <c r="X64" s="17" t="s">
        <v>589</v>
      </c>
      <c r="Y64" s="17" t="s">
        <v>179</v>
      </c>
      <c r="Z64" s="17">
        <v>41.5036894072</v>
      </c>
      <c r="AA64" s="17">
        <v>-94.2939780576</v>
      </c>
      <c r="AB64" s="17" t="s">
        <v>549</v>
      </c>
      <c r="AC64" s="17">
        <v>13</v>
      </c>
      <c r="AD64" s="17">
        <v>9.5638711110773688E-6</v>
      </c>
      <c r="AE64" s="17">
        <f t="shared" si="0"/>
        <v>2021</v>
      </c>
    </row>
    <row r="65" spans="1:31" x14ac:dyDescent="0.25">
      <c r="A65" s="17">
        <v>64</v>
      </c>
      <c r="B65" s="17" t="s">
        <v>590</v>
      </c>
      <c r="C65" s="17" t="s">
        <v>590</v>
      </c>
      <c r="D65" s="17" t="s">
        <v>591</v>
      </c>
      <c r="E65" s="17" t="s">
        <v>592</v>
      </c>
      <c r="F65" s="17" t="s">
        <v>593</v>
      </c>
      <c r="G65" s="17" t="s">
        <v>594</v>
      </c>
      <c r="H65" s="17" t="s">
        <v>595</v>
      </c>
      <c r="I65" s="17" t="s">
        <v>596</v>
      </c>
      <c r="J65" s="17" t="s">
        <v>597</v>
      </c>
      <c r="K65" s="17" t="s">
        <v>47</v>
      </c>
      <c r="L65" s="17" t="s">
        <v>544</v>
      </c>
      <c r="M65" s="17" t="s">
        <v>545</v>
      </c>
      <c r="N65" s="17" t="s">
        <v>48</v>
      </c>
      <c r="O65" s="17" t="s">
        <v>558</v>
      </c>
      <c r="P65" s="17" t="s">
        <v>467</v>
      </c>
      <c r="Q65" s="17" t="s">
        <v>51</v>
      </c>
      <c r="R65" s="17" t="s">
        <v>52</v>
      </c>
      <c r="S65" s="17" t="s">
        <v>559</v>
      </c>
      <c r="T65" s="17" t="s">
        <v>54</v>
      </c>
      <c r="U65" s="17" t="s">
        <v>55</v>
      </c>
      <c r="V65" s="17" t="s">
        <v>70</v>
      </c>
      <c r="W65" s="17" t="s">
        <v>100</v>
      </c>
      <c r="X65" s="17" t="s">
        <v>150</v>
      </c>
      <c r="Y65" s="17" t="s">
        <v>150</v>
      </c>
      <c r="Z65" s="17">
        <v>41.503690755100003</v>
      </c>
      <c r="AA65" s="17">
        <v>-94.293858267499999</v>
      </c>
      <c r="AB65" s="17" t="s">
        <v>549</v>
      </c>
      <c r="AC65" s="17">
        <v>13</v>
      </c>
      <c r="AD65" s="17">
        <v>8.4844933936395877E-6</v>
      </c>
      <c r="AE65" s="17">
        <f t="shared" si="0"/>
        <v>2018</v>
      </c>
    </row>
    <row r="66" spans="1:31" x14ac:dyDescent="0.25">
      <c r="A66" s="17">
        <v>65</v>
      </c>
      <c r="B66" s="17" t="s">
        <v>598</v>
      </c>
      <c r="C66" s="17" t="s">
        <v>598</v>
      </c>
      <c r="D66" s="17" t="s">
        <v>599</v>
      </c>
      <c r="E66" s="17" t="s">
        <v>600</v>
      </c>
      <c r="F66" s="17" t="s">
        <v>601</v>
      </c>
      <c r="G66" s="17" t="s">
        <v>602</v>
      </c>
      <c r="H66" s="17" t="s">
        <v>603</v>
      </c>
      <c r="I66" s="17" t="s">
        <v>604</v>
      </c>
      <c r="J66" s="17" t="s">
        <v>605</v>
      </c>
      <c r="K66" s="17" t="s">
        <v>69</v>
      </c>
      <c r="L66" s="17" t="s">
        <v>544</v>
      </c>
      <c r="M66" s="17" t="s">
        <v>545</v>
      </c>
      <c r="N66" s="17" t="s">
        <v>48</v>
      </c>
      <c r="O66" s="17" t="s">
        <v>606</v>
      </c>
      <c r="P66" s="17" t="s">
        <v>50</v>
      </c>
      <c r="Q66" s="17" t="s">
        <v>51</v>
      </c>
      <c r="R66" s="17" t="s">
        <v>52</v>
      </c>
      <c r="S66" s="17" t="s">
        <v>607</v>
      </c>
      <c r="T66" s="17" t="s">
        <v>54</v>
      </c>
      <c r="U66" s="17" t="s">
        <v>288</v>
      </c>
      <c r="V66" s="17" t="s">
        <v>70</v>
      </c>
      <c r="W66" s="17" t="s">
        <v>199</v>
      </c>
      <c r="X66" s="17" t="s">
        <v>570</v>
      </c>
      <c r="Y66" s="17" t="s">
        <v>89</v>
      </c>
      <c r="Z66" s="17">
        <v>41.503693961099998</v>
      </c>
      <c r="AA66" s="17">
        <v>-94.2991662206</v>
      </c>
      <c r="AB66" s="17" t="s">
        <v>549</v>
      </c>
      <c r="AC66" s="17">
        <v>13</v>
      </c>
      <c r="AD66" s="17">
        <v>6.4600919400141727E-6</v>
      </c>
      <c r="AE66" s="17">
        <f t="shared" si="0"/>
        <v>2018</v>
      </c>
    </row>
    <row r="67" spans="1:31" x14ac:dyDescent="0.25">
      <c r="A67" s="17">
        <v>66</v>
      </c>
      <c r="B67" s="17" t="s">
        <v>608</v>
      </c>
      <c r="C67" s="17" t="s">
        <v>608</v>
      </c>
      <c r="D67" s="17" t="s">
        <v>609</v>
      </c>
      <c r="E67" s="17" t="s">
        <v>610</v>
      </c>
      <c r="F67" s="17" t="s">
        <v>611</v>
      </c>
      <c r="G67" s="17" t="s">
        <v>612</v>
      </c>
      <c r="H67" s="17" t="s">
        <v>613</v>
      </c>
      <c r="I67" s="17" t="s">
        <v>614</v>
      </c>
      <c r="J67" s="17" t="s">
        <v>615</v>
      </c>
      <c r="K67" s="17" t="s">
        <v>69</v>
      </c>
      <c r="L67" s="17" t="s">
        <v>544</v>
      </c>
      <c r="M67" s="17" t="s">
        <v>545</v>
      </c>
      <c r="N67" s="17" t="s">
        <v>48</v>
      </c>
      <c r="O67" s="17" t="s">
        <v>84</v>
      </c>
      <c r="P67" s="17" t="s">
        <v>50</v>
      </c>
      <c r="Q67" s="17" t="s">
        <v>51</v>
      </c>
      <c r="R67" s="17" t="s">
        <v>52</v>
      </c>
      <c r="S67" s="17" t="s">
        <v>616</v>
      </c>
      <c r="T67" s="17" t="s">
        <v>86</v>
      </c>
      <c r="U67" s="17" t="s">
        <v>569</v>
      </c>
      <c r="V67" s="17" t="s">
        <v>70</v>
      </c>
      <c r="W67" s="17" t="s">
        <v>548</v>
      </c>
      <c r="X67" s="17" t="s">
        <v>88</v>
      </c>
      <c r="Y67" s="17" t="s">
        <v>89</v>
      </c>
      <c r="Z67" s="17">
        <v>41.503697751099999</v>
      </c>
      <c r="AA67" s="17">
        <v>-94.326448587200005</v>
      </c>
      <c r="AB67" s="17" t="s">
        <v>617</v>
      </c>
      <c r="AC67" s="17">
        <v>14</v>
      </c>
      <c r="AD67" s="17">
        <v>2.6225464613282831E-5</v>
      </c>
      <c r="AE67" s="17">
        <f t="shared" ref="AE67:AE130" si="1">INT(LEFT(B67,4))</f>
        <v>2016</v>
      </c>
    </row>
    <row r="68" spans="1:31" x14ac:dyDescent="0.25">
      <c r="A68" s="17">
        <v>67</v>
      </c>
      <c r="B68" s="17" t="s">
        <v>618</v>
      </c>
      <c r="C68" s="17" t="s">
        <v>618</v>
      </c>
      <c r="D68" s="17" t="s">
        <v>619</v>
      </c>
      <c r="E68" s="17" t="s">
        <v>620</v>
      </c>
      <c r="F68" s="17" t="s">
        <v>611</v>
      </c>
      <c r="G68" s="17" t="s">
        <v>612</v>
      </c>
      <c r="H68" s="17" t="s">
        <v>613</v>
      </c>
      <c r="I68" s="17" t="s">
        <v>614</v>
      </c>
      <c r="J68" s="17" t="s">
        <v>621</v>
      </c>
      <c r="K68" s="17" t="s">
        <v>82</v>
      </c>
      <c r="L68" s="17" t="s">
        <v>544</v>
      </c>
      <c r="M68" s="17" t="s">
        <v>545</v>
      </c>
      <c r="N68" s="17" t="s">
        <v>48</v>
      </c>
      <c r="O68" s="17" t="s">
        <v>84</v>
      </c>
      <c r="P68" s="17" t="s">
        <v>50</v>
      </c>
      <c r="Q68" s="17" t="s">
        <v>51</v>
      </c>
      <c r="R68" s="17" t="s">
        <v>52</v>
      </c>
      <c r="S68" s="17" t="s">
        <v>616</v>
      </c>
      <c r="T68" s="17" t="s">
        <v>86</v>
      </c>
      <c r="U68" s="17" t="s">
        <v>569</v>
      </c>
      <c r="V68" s="17" t="s">
        <v>70</v>
      </c>
      <c r="W68" s="17" t="s">
        <v>293</v>
      </c>
      <c r="X68" s="17" t="s">
        <v>622</v>
      </c>
      <c r="Y68" s="17" t="s">
        <v>89</v>
      </c>
      <c r="Z68" s="17">
        <v>41.503697751099999</v>
      </c>
      <c r="AA68" s="17">
        <v>-94.326448587200005</v>
      </c>
      <c r="AB68" s="17" t="s">
        <v>617</v>
      </c>
      <c r="AC68" s="17">
        <v>14</v>
      </c>
      <c r="AD68" s="17">
        <v>2.6225464613282831E-5</v>
      </c>
      <c r="AE68" s="17">
        <f t="shared" si="1"/>
        <v>2017</v>
      </c>
    </row>
    <row r="69" spans="1:31" x14ac:dyDescent="0.25">
      <c r="A69" s="17">
        <v>68</v>
      </c>
      <c r="B69" s="17" t="s">
        <v>623</v>
      </c>
      <c r="C69" s="17" t="s">
        <v>623</v>
      </c>
      <c r="D69" s="17" t="s">
        <v>624</v>
      </c>
      <c r="E69" s="17" t="s">
        <v>625</v>
      </c>
      <c r="F69" s="17" t="s">
        <v>626</v>
      </c>
      <c r="G69" s="17" t="s">
        <v>627</v>
      </c>
      <c r="H69" s="17" t="s">
        <v>628</v>
      </c>
      <c r="I69" s="17" t="s">
        <v>629</v>
      </c>
      <c r="J69" s="17" t="s">
        <v>630</v>
      </c>
      <c r="K69" s="17" t="s">
        <v>47</v>
      </c>
      <c r="L69" s="17" t="s">
        <v>544</v>
      </c>
      <c r="M69" s="17" t="s">
        <v>545</v>
      </c>
      <c r="N69" s="17" t="s">
        <v>48</v>
      </c>
      <c r="O69" s="17" t="s">
        <v>546</v>
      </c>
      <c r="P69" s="17" t="s">
        <v>467</v>
      </c>
      <c r="Q69" s="17" t="s">
        <v>51</v>
      </c>
      <c r="R69" s="17" t="s">
        <v>52</v>
      </c>
      <c r="S69" s="17" t="s">
        <v>631</v>
      </c>
      <c r="T69" s="17" t="s">
        <v>86</v>
      </c>
      <c r="U69" s="17" t="s">
        <v>55</v>
      </c>
      <c r="V69" s="17" t="s">
        <v>289</v>
      </c>
      <c r="W69" s="17" t="s">
        <v>632</v>
      </c>
      <c r="X69" s="17" t="s">
        <v>633</v>
      </c>
      <c r="Y69" s="17" t="s">
        <v>135</v>
      </c>
      <c r="Z69" s="17">
        <v>41.503708297899998</v>
      </c>
      <c r="AA69" s="17">
        <v>-94.327095812899998</v>
      </c>
      <c r="AB69" s="17" t="s">
        <v>617</v>
      </c>
      <c r="AC69" s="17">
        <v>14</v>
      </c>
      <c r="AD69" s="17">
        <v>1.655083665380278E-5</v>
      </c>
      <c r="AE69" s="17">
        <f t="shared" si="1"/>
        <v>2022</v>
      </c>
    </row>
    <row r="70" spans="1:31" x14ac:dyDescent="0.25">
      <c r="A70" s="17">
        <v>69</v>
      </c>
      <c r="B70" s="17" t="s">
        <v>634</v>
      </c>
      <c r="C70" s="17" t="s">
        <v>634</v>
      </c>
      <c r="D70" s="17" t="s">
        <v>635</v>
      </c>
      <c r="E70" s="17" t="s">
        <v>636</v>
      </c>
      <c r="F70" s="17" t="s">
        <v>637</v>
      </c>
      <c r="G70" s="17" t="s">
        <v>638</v>
      </c>
      <c r="H70" s="17" t="s">
        <v>639</v>
      </c>
      <c r="I70" s="17" t="s">
        <v>640</v>
      </c>
      <c r="J70" s="17" t="s">
        <v>641</v>
      </c>
      <c r="K70" s="17" t="s">
        <v>216</v>
      </c>
      <c r="L70" s="17" t="s">
        <v>544</v>
      </c>
      <c r="M70" s="17" t="s">
        <v>545</v>
      </c>
      <c r="N70" s="17" t="s">
        <v>48</v>
      </c>
      <c r="O70" s="17" t="s">
        <v>558</v>
      </c>
      <c r="P70" s="17" t="s">
        <v>467</v>
      </c>
      <c r="Q70" s="17" t="s">
        <v>51</v>
      </c>
      <c r="R70" s="17" t="s">
        <v>52</v>
      </c>
      <c r="S70" s="17" t="s">
        <v>559</v>
      </c>
      <c r="T70" s="17" t="s">
        <v>54</v>
      </c>
      <c r="U70" s="17" t="s">
        <v>55</v>
      </c>
      <c r="V70" s="17" t="s">
        <v>70</v>
      </c>
      <c r="W70" s="17" t="s">
        <v>642</v>
      </c>
      <c r="X70" s="17" t="s">
        <v>150</v>
      </c>
      <c r="Y70" s="17" t="s">
        <v>150</v>
      </c>
      <c r="Z70" s="17">
        <v>41.503709556799997</v>
      </c>
      <c r="AA70" s="17">
        <v>-94.276053834300001</v>
      </c>
      <c r="AB70" s="17" t="s">
        <v>549</v>
      </c>
      <c r="AC70" s="17">
        <v>13</v>
      </c>
      <c r="AD70" s="17">
        <v>7.4212975482924208E-6</v>
      </c>
      <c r="AE70" s="17">
        <f t="shared" si="1"/>
        <v>2018</v>
      </c>
    </row>
    <row r="71" spans="1:31" x14ac:dyDescent="0.25">
      <c r="A71" s="17">
        <v>70</v>
      </c>
      <c r="B71" s="17" t="s">
        <v>643</v>
      </c>
      <c r="C71" s="17" t="s">
        <v>644</v>
      </c>
      <c r="D71" s="17" t="s">
        <v>645</v>
      </c>
      <c r="E71" s="17" t="s">
        <v>646</v>
      </c>
      <c r="F71" s="17" t="s">
        <v>647</v>
      </c>
      <c r="G71" s="17" t="s">
        <v>648</v>
      </c>
      <c r="H71" s="17" t="s">
        <v>649</v>
      </c>
      <c r="I71" s="17" t="s">
        <v>650</v>
      </c>
      <c r="J71" s="17" t="s">
        <v>597</v>
      </c>
      <c r="K71" s="17" t="s">
        <v>120</v>
      </c>
      <c r="L71" s="17" t="s">
        <v>6</v>
      </c>
      <c r="M71" s="17"/>
      <c r="N71" s="17" t="s">
        <v>145</v>
      </c>
      <c r="O71" s="17" t="s">
        <v>146</v>
      </c>
      <c r="P71" s="17" t="s">
        <v>147</v>
      </c>
      <c r="Q71" s="17" t="s">
        <v>51</v>
      </c>
      <c r="R71" s="17" t="s">
        <v>52</v>
      </c>
      <c r="S71" s="17" t="s">
        <v>651</v>
      </c>
      <c r="T71" s="17" t="s">
        <v>54</v>
      </c>
      <c r="U71" s="17" t="s">
        <v>288</v>
      </c>
      <c r="V71" s="17" t="s">
        <v>70</v>
      </c>
      <c r="W71" s="17" t="s">
        <v>652</v>
      </c>
      <c r="X71" s="17" t="s">
        <v>633</v>
      </c>
      <c r="Y71" s="17" t="s">
        <v>161</v>
      </c>
      <c r="Z71" s="17">
        <v>41.503710518600002</v>
      </c>
      <c r="AA71" s="17">
        <v>-94.275155225199995</v>
      </c>
      <c r="AB71" s="17" t="s">
        <v>549</v>
      </c>
      <c r="AC71" s="17">
        <v>13</v>
      </c>
      <c r="AD71" s="17">
        <v>1.4746559398118529E-5</v>
      </c>
      <c r="AE71" s="17">
        <f t="shared" si="1"/>
        <v>2013</v>
      </c>
    </row>
    <row r="72" spans="1:31" x14ac:dyDescent="0.25">
      <c r="A72" s="17">
        <v>71</v>
      </c>
      <c r="B72" s="17" t="s">
        <v>653</v>
      </c>
      <c r="C72" s="17" t="s">
        <v>654</v>
      </c>
      <c r="D72" s="17" t="s">
        <v>655</v>
      </c>
      <c r="E72" s="17" t="s">
        <v>656</v>
      </c>
      <c r="F72" s="17" t="s">
        <v>647</v>
      </c>
      <c r="G72" s="17" t="s">
        <v>648</v>
      </c>
      <c r="H72" s="17" t="s">
        <v>649</v>
      </c>
      <c r="I72" s="17" t="s">
        <v>650</v>
      </c>
      <c r="J72" s="17" t="s">
        <v>657</v>
      </c>
      <c r="K72" s="17" t="s">
        <v>47</v>
      </c>
      <c r="L72" s="17" t="s">
        <v>6</v>
      </c>
      <c r="M72" s="17"/>
      <c r="N72" s="17" t="s">
        <v>145</v>
      </c>
      <c r="O72" s="17" t="s">
        <v>146</v>
      </c>
      <c r="P72" s="17" t="s">
        <v>147</v>
      </c>
      <c r="Q72" s="17" t="s">
        <v>51</v>
      </c>
      <c r="R72" s="17" t="s">
        <v>52</v>
      </c>
      <c r="S72" s="17" t="s">
        <v>651</v>
      </c>
      <c r="T72" s="17" t="s">
        <v>54</v>
      </c>
      <c r="U72" s="17" t="s">
        <v>288</v>
      </c>
      <c r="V72" s="17" t="s">
        <v>70</v>
      </c>
      <c r="W72" s="17" t="s">
        <v>658</v>
      </c>
      <c r="X72" s="17" t="s">
        <v>310</v>
      </c>
      <c r="Y72" s="17" t="s">
        <v>659</v>
      </c>
      <c r="Z72" s="17">
        <v>41.503710518600002</v>
      </c>
      <c r="AA72" s="17">
        <v>-94.275155225199995</v>
      </c>
      <c r="AB72" s="17" t="s">
        <v>549</v>
      </c>
      <c r="AC72" s="17">
        <v>13</v>
      </c>
      <c r="AD72" s="17">
        <v>1.4746559398118529E-5</v>
      </c>
      <c r="AE72" s="17">
        <f t="shared" si="1"/>
        <v>2014</v>
      </c>
    </row>
    <row r="73" spans="1:31" x14ac:dyDescent="0.25">
      <c r="A73" s="17">
        <v>72</v>
      </c>
      <c r="B73" s="17" t="s">
        <v>660</v>
      </c>
      <c r="C73" s="17" t="s">
        <v>660</v>
      </c>
      <c r="D73" s="17" t="s">
        <v>661</v>
      </c>
      <c r="E73" s="17" t="s">
        <v>662</v>
      </c>
      <c r="F73" s="17" t="s">
        <v>663</v>
      </c>
      <c r="G73" s="17" t="s">
        <v>648</v>
      </c>
      <c r="H73" s="17" t="s">
        <v>664</v>
      </c>
      <c r="I73" s="17" t="s">
        <v>665</v>
      </c>
      <c r="J73" s="17" t="s">
        <v>666</v>
      </c>
      <c r="K73" s="17" t="s">
        <v>216</v>
      </c>
      <c r="L73" s="17" t="s">
        <v>6</v>
      </c>
      <c r="M73" s="17"/>
      <c r="N73" s="17" t="s">
        <v>48</v>
      </c>
      <c r="O73" s="17" t="s">
        <v>667</v>
      </c>
      <c r="P73" s="17" t="s">
        <v>467</v>
      </c>
      <c r="Q73" s="17" t="s">
        <v>51</v>
      </c>
      <c r="R73" s="17" t="s">
        <v>52</v>
      </c>
      <c r="S73" s="17" t="s">
        <v>668</v>
      </c>
      <c r="T73" s="17" t="s">
        <v>54</v>
      </c>
      <c r="U73" s="17" t="s">
        <v>288</v>
      </c>
      <c r="V73" s="17" t="s">
        <v>344</v>
      </c>
      <c r="W73" s="17" t="s">
        <v>560</v>
      </c>
      <c r="X73" s="17" t="s">
        <v>58</v>
      </c>
      <c r="Y73" s="17" t="s">
        <v>135</v>
      </c>
      <c r="Z73" s="17">
        <v>41.503710517499997</v>
      </c>
      <c r="AA73" s="17">
        <v>-94.275155225199995</v>
      </c>
      <c r="AB73" s="17" t="s">
        <v>549</v>
      </c>
      <c r="AC73" s="17">
        <v>13</v>
      </c>
      <c r="AD73" s="17">
        <v>1.4746559398118529E-5</v>
      </c>
      <c r="AE73" s="17">
        <f t="shared" si="1"/>
        <v>2016</v>
      </c>
    </row>
    <row r="74" spans="1:31" x14ac:dyDescent="0.25">
      <c r="A74" s="17">
        <v>73</v>
      </c>
      <c r="B74" s="17" t="s">
        <v>669</v>
      </c>
      <c r="C74" s="17" t="s">
        <v>669</v>
      </c>
      <c r="D74" s="17" t="s">
        <v>670</v>
      </c>
      <c r="E74" s="17" t="s">
        <v>662</v>
      </c>
      <c r="F74" s="17" t="s">
        <v>663</v>
      </c>
      <c r="G74" s="17" t="s">
        <v>648</v>
      </c>
      <c r="H74" s="17" t="s">
        <v>664</v>
      </c>
      <c r="I74" s="17" t="s">
        <v>665</v>
      </c>
      <c r="J74" s="17" t="s">
        <v>671</v>
      </c>
      <c r="K74" s="17" t="s">
        <v>216</v>
      </c>
      <c r="L74" s="17" t="s">
        <v>6</v>
      </c>
      <c r="M74" s="17"/>
      <c r="N74" s="17" t="s">
        <v>48</v>
      </c>
      <c r="O74" s="17" t="s">
        <v>667</v>
      </c>
      <c r="P74" s="17" t="s">
        <v>467</v>
      </c>
      <c r="Q74" s="17" t="s">
        <v>51</v>
      </c>
      <c r="R74" s="17" t="s">
        <v>52</v>
      </c>
      <c r="S74" s="17" t="s">
        <v>668</v>
      </c>
      <c r="T74" s="17" t="s">
        <v>54</v>
      </c>
      <c r="U74" s="17" t="s">
        <v>288</v>
      </c>
      <c r="V74" s="17" t="s">
        <v>70</v>
      </c>
      <c r="W74" s="17" t="s">
        <v>293</v>
      </c>
      <c r="X74" s="17" t="s">
        <v>58</v>
      </c>
      <c r="Y74" s="17" t="s">
        <v>161</v>
      </c>
      <c r="Z74" s="17">
        <v>41.503710517499997</v>
      </c>
      <c r="AA74" s="17">
        <v>-94.275155225199995</v>
      </c>
      <c r="AB74" s="17" t="s">
        <v>549</v>
      </c>
      <c r="AC74" s="17">
        <v>13</v>
      </c>
      <c r="AD74" s="17">
        <v>1.4746559398118529E-5</v>
      </c>
      <c r="AE74" s="17">
        <f t="shared" si="1"/>
        <v>2016</v>
      </c>
    </row>
    <row r="75" spans="1:31" x14ac:dyDescent="0.25">
      <c r="A75" s="17">
        <v>74</v>
      </c>
      <c r="B75" s="17" t="s">
        <v>672</v>
      </c>
      <c r="C75" s="17" t="s">
        <v>672</v>
      </c>
      <c r="D75" s="17" t="s">
        <v>673</v>
      </c>
      <c r="E75" s="17" t="s">
        <v>674</v>
      </c>
      <c r="F75" s="17" t="s">
        <v>675</v>
      </c>
      <c r="G75" s="17" t="s">
        <v>676</v>
      </c>
      <c r="H75" s="17" t="s">
        <v>677</v>
      </c>
      <c r="I75" s="17" t="s">
        <v>678</v>
      </c>
      <c r="J75" s="17" t="s">
        <v>679</v>
      </c>
      <c r="K75" s="17" t="s">
        <v>69</v>
      </c>
      <c r="L75" s="17" t="s">
        <v>6</v>
      </c>
      <c r="M75" s="17"/>
      <c r="N75" s="17" t="s">
        <v>48</v>
      </c>
      <c r="O75" s="17" t="s">
        <v>189</v>
      </c>
      <c r="P75" s="17" t="s">
        <v>467</v>
      </c>
      <c r="Q75" s="17" t="s">
        <v>51</v>
      </c>
      <c r="R75" s="17" t="s">
        <v>52</v>
      </c>
      <c r="S75" s="17" t="s">
        <v>680</v>
      </c>
      <c r="T75" s="17" t="s">
        <v>54</v>
      </c>
      <c r="U75" s="17" t="s">
        <v>55</v>
      </c>
      <c r="V75" s="17" t="s">
        <v>344</v>
      </c>
      <c r="W75" s="17" t="s">
        <v>87</v>
      </c>
      <c r="X75" s="17" t="s">
        <v>150</v>
      </c>
      <c r="Y75" s="17" t="s">
        <v>150</v>
      </c>
      <c r="Z75" s="17">
        <v>41.503764042299998</v>
      </c>
      <c r="AA75" s="17">
        <v>-94.274389445500006</v>
      </c>
      <c r="AB75" s="17" t="s">
        <v>549</v>
      </c>
      <c r="AC75" s="17">
        <v>13</v>
      </c>
      <c r="AD75" s="17">
        <v>7.4427316094008716E-6</v>
      </c>
      <c r="AE75" s="17">
        <f t="shared" si="1"/>
        <v>2022</v>
      </c>
    </row>
    <row r="76" spans="1:31" x14ac:dyDescent="0.25">
      <c r="A76" s="17">
        <v>75</v>
      </c>
      <c r="B76" s="17" t="s">
        <v>681</v>
      </c>
      <c r="C76" s="17" t="s">
        <v>681</v>
      </c>
      <c r="D76" s="17" t="s">
        <v>682</v>
      </c>
      <c r="E76" s="17" t="s">
        <v>683</v>
      </c>
      <c r="F76" s="17" t="s">
        <v>684</v>
      </c>
      <c r="G76" s="17" t="s">
        <v>685</v>
      </c>
      <c r="H76" s="17" t="s">
        <v>686</v>
      </c>
      <c r="I76" s="17" t="s">
        <v>687</v>
      </c>
      <c r="J76" s="17" t="s">
        <v>688</v>
      </c>
      <c r="K76" s="17" t="s">
        <v>47</v>
      </c>
      <c r="L76" s="17" t="s">
        <v>6</v>
      </c>
      <c r="M76" s="17" t="s">
        <v>545</v>
      </c>
      <c r="N76" s="17" t="s">
        <v>48</v>
      </c>
      <c r="O76" s="17" t="s">
        <v>689</v>
      </c>
      <c r="P76" s="17" t="s">
        <v>50</v>
      </c>
      <c r="Q76" s="17" t="s">
        <v>51</v>
      </c>
      <c r="R76" s="17" t="s">
        <v>52</v>
      </c>
      <c r="S76" s="17" t="s">
        <v>690</v>
      </c>
      <c r="T76" s="17" t="s">
        <v>86</v>
      </c>
      <c r="U76" s="17" t="s">
        <v>55</v>
      </c>
      <c r="V76" s="17" t="s">
        <v>70</v>
      </c>
      <c r="W76" s="17" t="s">
        <v>691</v>
      </c>
      <c r="X76" s="17" t="s">
        <v>88</v>
      </c>
      <c r="Y76" s="17" t="s">
        <v>89</v>
      </c>
      <c r="Z76" s="17">
        <v>41.503890064899998</v>
      </c>
      <c r="AA76" s="17">
        <v>-94.318340893400006</v>
      </c>
      <c r="AB76" s="17" t="s">
        <v>617</v>
      </c>
      <c r="AC76" s="17">
        <v>14</v>
      </c>
      <c r="AD76" s="17">
        <v>1.7701630207169529E-4</v>
      </c>
      <c r="AE76" s="17">
        <f t="shared" si="1"/>
        <v>2021</v>
      </c>
    </row>
    <row r="77" spans="1:31" x14ac:dyDescent="0.25">
      <c r="A77" s="17">
        <v>76</v>
      </c>
      <c r="B77" s="17" t="s">
        <v>692</v>
      </c>
      <c r="C77" s="17" t="s">
        <v>693</v>
      </c>
      <c r="D77" s="17" t="s">
        <v>694</v>
      </c>
      <c r="E77" s="17" t="s">
        <v>695</v>
      </c>
      <c r="F77" s="17" t="s">
        <v>696</v>
      </c>
      <c r="G77" s="17" t="s">
        <v>697</v>
      </c>
      <c r="H77" s="17" t="s">
        <v>698</v>
      </c>
      <c r="I77" s="17" t="s">
        <v>699</v>
      </c>
      <c r="J77" s="17" t="s">
        <v>700</v>
      </c>
      <c r="K77" s="17" t="s">
        <v>259</v>
      </c>
      <c r="L77" s="17" t="s">
        <v>6</v>
      </c>
      <c r="M77" s="17"/>
      <c r="N77" s="17" t="s">
        <v>145</v>
      </c>
      <c r="O77" s="17" t="s">
        <v>146</v>
      </c>
      <c r="P77" s="17" t="s">
        <v>147</v>
      </c>
      <c r="Q77" s="17" t="s">
        <v>51</v>
      </c>
      <c r="R77" s="17" t="s">
        <v>52</v>
      </c>
      <c r="S77" s="17" t="s">
        <v>701</v>
      </c>
      <c r="T77" s="17" t="s">
        <v>54</v>
      </c>
      <c r="U77" s="17" t="s">
        <v>55</v>
      </c>
      <c r="V77" s="17" t="s">
        <v>70</v>
      </c>
      <c r="W77" s="17" t="s">
        <v>335</v>
      </c>
      <c r="X77" s="17" t="s">
        <v>702</v>
      </c>
      <c r="Y77" s="17" t="s">
        <v>179</v>
      </c>
      <c r="Z77" s="17">
        <v>41.503895690900002</v>
      </c>
      <c r="AA77" s="17">
        <v>-94.273888794000001</v>
      </c>
      <c r="AB77" s="17" t="s">
        <v>549</v>
      </c>
      <c r="AC77" s="17">
        <v>13</v>
      </c>
      <c r="AD77" s="17">
        <v>1.8488059039683261E-5</v>
      </c>
      <c r="AE77" s="17">
        <f t="shared" si="1"/>
        <v>2013</v>
      </c>
    </row>
    <row r="78" spans="1:31" x14ac:dyDescent="0.25">
      <c r="A78" s="17">
        <v>77</v>
      </c>
      <c r="B78" s="17" t="s">
        <v>703</v>
      </c>
      <c r="C78" s="17" t="s">
        <v>703</v>
      </c>
      <c r="D78" s="17" t="s">
        <v>704</v>
      </c>
      <c r="E78" s="17" t="s">
        <v>705</v>
      </c>
      <c r="F78" s="17" t="s">
        <v>706</v>
      </c>
      <c r="G78" s="17" t="s">
        <v>707</v>
      </c>
      <c r="H78" s="17" t="s">
        <v>708</v>
      </c>
      <c r="I78" s="17" t="s">
        <v>709</v>
      </c>
      <c r="J78" s="17" t="s">
        <v>710</v>
      </c>
      <c r="K78" s="17" t="s">
        <v>69</v>
      </c>
      <c r="L78" s="17" t="s">
        <v>6</v>
      </c>
      <c r="M78" s="17"/>
      <c r="N78" s="17" t="s">
        <v>48</v>
      </c>
      <c r="O78" s="17" t="s">
        <v>189</v>
      </c>
      <c r="P78" s="17" t="s">
        <v>467</v>
      </c>
      <c r="Q78" s="17" t="s">
        <v>51</v>
      </c>
      <c r="R78" s="17" t="s">
        <v>52</v>
      </c>
      <c r="S78" s="17" t="s">
        <v>711</v>
      </c>
      <c r="T78" s="17" t="s">
        <v>54</v>
      </c>
      <c r="U78" s="17" t="s">
        <v>55</v>
      </c>
      <c r="V78" s="17" t="s">
        <v>56</v>
      </c>
      <c r="W78" s="17" t="s">
        <v>100</v>
      </c>
      <c r="X78" s="17" t="s">
        <v>58</v>
      </c>
      <c r="Y78" s="17" t="s">
        <v>179</v>
      </c>
      <c r="Z78" s="17">
        <v>41.503904827699998</v>
      </c>
      <c r="AA78" s="17">
        <v>-94.273876991400002</v>
      </c>
      <c r="AB78" s="17" t="s">
        <v>549</v>
      </c>
      <c r="AC78" s="17">
        <v>13</v>
      </c>
      <c r="AD78" s="17">
        <v>1.294754721206089E-5</v>
      </c>
      <c r="AE78" s="17">
        <f t="shared" si="1"/>
        <v>2016</v>
      </c>
    </row>
    <row r="79" spans="1:31" x14ac:dyDescent="0.25">
      <c r="A79" s="17">
        <v>78</v>
      </c>
      <c r="B79" s="17" t="s">
        <v>712</v>
      </c>
      <c r="C79" s="17" t="s">
        <v>713</v>
      </c>
      <c r="D79" s="17" t="s">
        <v>714</v>
      </c>
      <c r="E79" s="17" t="s">
        <v>715</v>
      </c>
      <c r="F79" s="17" t="s">
        <v>716</v>
      </c>
      <c r="G79" s="17" t="s">
        <v>717</v>
      </c>
      <c r="H79" s="17" t="s">
        <v>718</v>
      </c>
      <c r="I79" s="17" t="s">
        <v>719</v>
      </c>
      <c r="J79" s="17" t="s">
        <v>720</v>
      </c>
      <c r="K79" s="17" t="s">
        <v>47</v>
      </c>
      <c r="L79" s="17" t="s">
        <v>6</v>
      </c>
      <c r="M79" s="17"/>
      <c r="N79" s="17" t="s">
        <v>145</v>
      </c>
      <c r="O79" s="17" t="s">
        <v>146</v>
      </c>
      <c r="P79" s="17" t="s">
        <v>147</v>
      </c>
      <c r="Q79" s="17" t="s">
        <v>51</v>
      </c>
      <c r="R79" s="17" t="s">
        <v>52</v>
      </c>
      <c r="S79" s="17" t="s">
        <v>701</v>
      </c>
      <c r="T79" s="17" t="s">
        <v>54</v>
      </c>
      <c r="U79" s="17" t="s">
        <v>55</v>
      </c>
      <c r="V79" s="17" t="s">
        <v>469</v>
      </c>
      <c r="W79" s="17" t="s">
        <v>548</v>
      </c>
      <c r="X79" s="17" t="s">
        <v>721</v>
      </c>
      <c r="Y79" s="17" t="s">
        <v>179</v>
      </c>
      <c r="Z79" s="17">
        <v>41.5040526274</v>
      </c>
      <c r="AA79" s="17">
        <v>-94.273544399000002</v>
      </c>
      <c r="AB79" s="17" t="s">
        <v>549</v>
      </c>
      <c r="AC79" s="17">
        <v>13</v>
      </c>
      <c r="AD79" s="17">
        <v>5.0317929513873878E-7</v>
      </c>
      <c r="AE79" s="17">
        <f t="shared" si="1"/>
        <v>2014</v>
      </c>
    </row>
    <row r="80" spans="1:31" x14ac:dyDescent="0.25">
      <c r="A80" s="17">
        <v>79</v>
      </c>
      <c r="B80" s="17" t="s">
        <v>722</v>
      </c>
      <c r="C80" s="17" t="s">
        <v>723</v>
      </c>
      <c r="D80" s="17" t="s">
        <v>724</v>
      </c>
      <c r="E80" s="17" t="s">
        <v>725</v>
      </c>
      <c r="F80" s="17" t="s">
        <v>726</v>
      </c>
      <c r="G80" s="17" t="s">
        <v>727</v>
      </c>
      <c r="H80" s="17" t="s">
        <v>728</v>
      </c>
      <c r="I80" s="17" t="s">
        <v>729</v>
      </c>
      <c r="J80" s="17" t="s">
        <v>657</v>
      </c>
      <c r="K80" s="17" t="s">
        <v>120</v>
      </c>
      <c r="L80" s="17" t="s">
        <v>6</v>
      </c>
      <c r="M80" s="17"/>
      <c r="N80" s="17" t="s">
        <v>145</v>
      </c>
      <c r="O80" s="17" t="s">
        <v>146</v>
      </c>
      <c r="P80" s="17" t="s">
        <v>147</v>
      </c>
      <c r="Q80" s="17" t="s">
        <v>51</v>
      </c>
      <c r="R80" s="17" t="s">
        <v>52</v>
      </c>
      <c r="S80" s="17" t="s">
        <v>701</v>
      </c>
      <c r="T80" s="17" t="s">
        <v>54</v>
      </c>
      <c r="U80" s="17" t="s">
        <v>55</v>
      </c>
      <c r="V80" s="17" t="s">
        <v>70</v>
      </c>
      <c r="W80" s="17" t="s">
        <v>730</v>
      </c>
      <c r="X80" s="17" t="s">
        <v>633</v>
      </c>
      <c r="Y80" s="17" t="s">
        <v>659</v>
      </c>
      <c r="Z80" s="17">
        <v>41.504181220900001</v>
      </c>
      <c r="AA80" s="17">
        <v>-94.273319264999998</v>
      </c>
      <c r="AB80" s="17" t="s">
        <v>549</v>
      </c>
      <c r="AC80" s="17">
        <v>13</v>
      </c>
      <c r="AD80" s="17">
        <v>7.4198634941949089E-6</v>
      </c>
      <c r="AE80" s="17">
        <f t="shared" si="1"/>
        <v>2013</v>
      </c>
    </row>
    <row r="81" spans="1:31" x14ac:dyDescent="0.25">
      <c r="A81" s="17">
        <v>80</v>
      </c>
      <c r="B81" s="17" t="s">
        <v>731</v>
      </c>
      <c r="C81" s="17" t="s">
        <v>731</v>
      </c>
      <c r="D81" s="17" t="s">
        <v>732</v>
      </c>
      <c r="E81" s="17" t="s">
        <v>733</v>
      </c>
      <c r="F81" s="17" t="s">
        <v>734</v>
      </c>
      <c r="G81" s="17" t="s">
        <v>735</v>
      </c>
      <c r="H81" s="17" t="s">
        <v>736</v>
      </c>
      <c r="I81" s="17" t="s">
        <v>737</v>
      </c>
      <c r="J81" s="17" t="s">
        <v>738</v>
      </c>
      <c r="K81" s="17" t="s">
        <v>47</v>
      </c>
      <c r="L81" s="17" t="s">
        <v>6</v>
      </c>
      <c r="M81" s="17" t="s">
        <v>545</v>
      </c>
      <c r="N81" s="17" t="s">
        <v>48</v>
      </c>
      <c r="O81" s="17" t="s">
        <v>189</v>
      </c>
      <c r="P81" s="17" t="s">
        <v>467</v>
      </c>
      <c r="Q81" s="17" t="s">
        <v>51</v>
      </c>
      <c r="R81" s="17" t="s">
        <v>52</v>
      </c>
      <c r="S81" s="17" t="s">
        <v>587</v>
      </c>
      <c r="T81" s="17" t="s">
        <v>54</v>
      </c>
      <c r="U81" s="17" t="s">
        <v>55</v>
      </c>
      <c r="V81" s="17" t="s">
        <v>70</v>
      </c>
      <c r="W81" s="17" t="s">
        <v>189</v>
      </c>
      <c r="X81" s="17" t="s">
        <v>739</v>
      </c>
      <c r="Y81" s="17" t="s">
        <v>59</v>
      </c>
      <c r="Z81" s="17">
        <v>41.5042637257</v>
      </c>
      <c r="AA81" s="17">
        <v>-94.273189081699996</v>
      </c>
      <c r="AB81" s="17" t="s">
        <v>549</v>
      </c>
      <c r="AC81" s="17">
        <v>13</v>
      </c>
      <c r="AD81" s="17">
        <v>5.0547187585053608E-6</v>
      </c>
      <c r="AE81" s="17">
        <f t="shared" si="1"/>
        <v>2022</v>
      </c>
    </row>
    <row r="82" spans="1:31" x14ac:dyDescent="0.25">
      <c r="A82" s="17">
        <v>81</v>
      </c>
      <c r="B82" s="17" t="s">
        <v>740</v>
      </c>
      <c r="C82" s="17" t="s">
        <v>741</v>
      </c>
      <c r="D82" s="17" t="s">
        <v>742</v>
      </c>
      <c r="E82" s="17" t="s">
        <v>743</v>
      </c>
      <c r="F82" s="17" t="s">
        <v>744</v>
      </c>
      <c r="G82" s="17" t="s">
        <v>745</v>
      </c>
      <c r="H82" s="17" t="s">
        <v>746</v>
      </c>
      <c r="I82" s="17" t="s">
        <v>747</v>
      </c>
      <c r="J82" s="17" t="s">
        <v>748</v>
      </c>
      <c r="K82" s="17" t="s">
        <v>259</v>
      </c>
      <c r="L82" s="17" t="s">
        <v>6</v>
      </c>
      <c r="M82" s="17" t="s">
        <v>545</v>
      </c>
      <c r="N82" s="17" t="s">
        <v>145</v>
      </c>
      <c r="O82" s="17" t="s">
        <v>146</v>
      </c>
      <c r="P82" s="17" t="s">
        <v>147</v>
      </c>
      <c r="Q82" s="17" t="s">
        <v>51</v>
      </c>
      <c r="R82" s="17" t="s">
        <v>52</v>
      </c>
      <c r="S82" s="17" t="s">
        <v>701</v>
      </c>
      <c r="T82" s="17" t="s">
        <v>54</v>
      </c>
      <c r="U82" s="17" t="s">
        <v>55</v>
      </c>
      <c r="V82" s="17" t="s">
        <v>56</v>
      </c>
      <c r="W82" s="17" t="s">
        <v>548</v>
      </c>
      <c r="X82" s="17" t="s">
        <v>58</v>
      </c>
      <c r="Y82" s="17" t="s">
        <v>161</v>
      </c>
      <c r="Z82" s="17">
        <v>41.504569887099997</v>
      </c>
      <c r="AA82" s="17">
        <v>-94.332037941600007</v>
      </c>
      <c r="AB82" s="17" t="s">
        <v>549</v>
      </c>
      <c r="AC82" s="17">
        <v>13</v>
      </c>
      <c r="AD82" s="17">
        <v>1.63047566876706E-5</v>
      </c>
      <c r="AE82" s="17">
        <f t="shared" si="1"/>
        <v>2014</v>
      </c>
    </row>
    <row r="83" spans="1:31" x14ac:dyDescent="0.25">
      <c r="A83" s="17">
        <v>82</v>
      </c>
      <c r="B83" s="17" t="s">
        <v>749</v>
      </c>
      <c r="C83" s="17" t="s">
        <v>749</v>
      </c>
      <c r="D83" s="17" t="s">
        <v>750</v>
      </c>
      <c r="E83" s="17" t="s">
        <v>751</v>
      </c>
      <c r="F83" s="17" t="s">
        <v>752</v>
      </c>
      <c r="G83" s="17" t="s">
        <v>753</v>
      </c>
      <c r="H83" s="17" t="s">
        <v>754</v>
      </c>
      <c r="I83" s="17" t="s">
        <v>755</v>
      </c>
      <c r="J83" s="17" t="s">
        <v>756</v>
      </c>
      <c r="K83" s="17" t="s">
        <v>69</v>
      </c>
      <c r="L83" s="17" t="s">
        <v>6</v>
      </c>
      <c r="M83" s="17" t="s">
        <v>545</v>
      </c>
      <c r="N83" s="17" t="s">
        <v>48</v>
      </c>
      <c r="O83" s="17" t="s">
        <v>189</v>
      </c>
      <c r="P83" s="17" t="s">
        <v>467</v>
      </c>
      <c r="Q83" s="17" t="s">
        <v>51</v>
      </c>
      <c r="R83" s="17" t="s">
        <v>52</v>
      </c>
      <c r="S83" s="17" t="s">
        <v>757</v>
      </c>
      <c r="T83" s="17" t="s">
        <v>54</v>
      </c>
      <c r="U83" s="17" t="s">
        <v>55</v>
      </c>
      <c r="V83" s="17" t="s">
        <v>70</v>
      </c>
      <c r="W83" s="17" t="s">
        <v>548</v>
      </c>
      <c r="X83" s="17" t="s">
        <v>150</v>
      </c>
      <c r="Y83" s="17" t="s">
        <v>150</v>
      </c>
      <c r="Z83" s="17">
        <v>41.504646983999997</v>
      </c>
      <c r="AA83" s="17">
        <v>-94.272741279100003</v>
      </c>
      <c r="AB83" s="17" t="s">
        <v>549</v>
      </c>
      <c r="AC83" s="17">
        <v>13</v>
      </c>
      <c r="AD83" s="17">
        <v>6.5064786089187663E-6</v>
      </c>
      <c r="AE83" s="17">
        <f t="shared" si="1"/>
        <v>2019</v>
      </c>
    </row>
    <row r="84" spans="1:31" x14ac:dyDescent="0.25">
      <c r="A84" s="17">
        <v>83</v>
      </c>
      <c r="B84" s="17" t="s">
        <v>758</v>
      </c>
      <c r="C84" s="17" t="s">
        <v>758</v>
      </c>
      <c r="D84" s="17" t="s">
        <v>759</v>
      </c>
      <c r="E84" s="17" t="s">
        <v>760</v>
      </c>
      <c r="F84" s="17" t="s">
        <v>761</v>
      </c>
      <c r="G84" s="17" t="s">
        <v>762</v>
      </c>
      <c r="H84" s="17" t="s">
        <v>763</v>
      </c>
      <c r="I84" s="17" t="s">
        <v>764</v>
      </c>
      <c r="J84" s="17" t="s">
        <v>765</v>
      </c>
      <c r="K84" s="17" t="s">
        <v>120</v>
      </c>
      <c r="L84" s="17" t="s">
        <v>6</v>
      </c>
      <c r="M84" s="17"/>
      <c r="N84" s="17" t="s">
        <v>48</v>
      </c>
      <c r="O84" s="17" t="s">
        <v>189</v>
      </c>
      <c r="P84" s="17" t="s">
        <v>467</v>
      </c>
      <c r="Q84" s="17" t="s">
        <v>51</v>
      </c>
      <c r="R84" s="17" t="s">
        <v>52</v>
      </c>
      <c r="S84" s="17" t="s">
        <v>587</v>
      </c>
      <c r="T84" s="17" t="s">
        <v>54</v>
      </c>
      <c r="U84" s="17" t="s">
        <v>55</v>
      </c>
      <c r="V84" s="17" t="s">
        <v>70</v>
      </c>
      <c r="W84" s="17" t="s">
        <v>87</v>
      </c>
      <c r="X84" s="17" t="s">
        <v>150</v>
      </c>
      <c r="Y84" s="17" t="s">
        <v>150</v>
      </c>
      <c r="Z84" s="17">
        <v>41.505449781300001</v>
      </c>
      <c r="AA84" s="17">
        <v>-94.271822404199995</v>
      </c>
      <c r="AB84" s="17" t="s">
        <v>549</v>
      </c>
      <c r="AC84" s="17">
        <v>13</v>
      </c>
      <c r="AD84" s="17">
        <v>1.5428485265487961E-5</v>
      </c>
      <c r="AE84" s="17">
        <f t="shared" si="1"/>
        <v>2022</v>
      </c>
    </row>
    <row r="85" spans="1:31" x14ac:dyDescent="0.25">
      <c r="A85" s="17">
        <v>84</v>
      </c>
      <c r="B85" s="17" t="s">
        <v>766</v>
      </c>
      <c r="C85" s="17" t="s">
        <v>766</v>
      </c>
      <c r="D85" s="17" t="s">
        <v>767</v>
      </c>
      <c r="E85" s="17" t="s">
        <v>768</v>
      </c>
      <c r="F85" s="17" t="s">
        <v>769</v>
      </c>
      <c r="G85" s="17" t="s">
        <v>770</v>
      </c>
      <c r="H85" s="17" t="s">
        <v>771</v>
      </c>
      <c r="I85" s="17" t="s">
        <v>772</v>
      </c>
      <c r="J85" s="17" t="s">
        <v>773</v>
      </c>
      <c r="K85" s="17" t="s">
        <v>69</v>
      </c>
      <c r="L85" s="17" t="s">
        <v>6</v>
      </c>
      <c r="M85" s="17" t="s">
        <v>545</v>
      </c>
      <c r="N85" s="17" t="s">
        <v>48</v>
      </c>
      <c r="O85" s="17" t="s">
        <v>189</v>
      </c>
      <c r="P85" s="17" t="s">
        <v>467</v>
      </c>
      <c r="Q85" s="17" t="s">
        <v>51</v>
      </c>
      <c r="R85" s="17" t="s">
        <v>52</v>
      </c>
      <c r="S85" s="17" t="s">
        <v>587</v>
      </c>
      <c r="T85" s="17" t="s">
        <v>54</v>
      </c>
      <c r="U85" s="17" t="s">
        <v>55</v>
      </c>
      <c r="V85" s="17" t="s">
        <v>70</v>
      </c>
      <c r="W85" s="17" t="s">
        <v>335</v>
      </c>
      <c r="X85" s="17" t="s">
        <v>58</v>
      </c>
      <c r="Y85" s="17" t="s">
        <v>659</v>
      </c>
      <c r="Z85" s="17">
        <v>41.507018142699998</v>
      </c>
      <c r="AA85" s="17">
        <v>-94.270091699999995</v>
      </c>
      <c r="AB85" s="17" t="s">
        <v>549</v>
      </c>
      <c r="AC85" s="17">
        <v>13</v>
      </c>
      <c r="AD85" s="17">
        <v>1.018967941208992E-5</v>
      </c>
      <c r="AE85" s="17">
        <f t="shared" si="1"/>
        <v>2022</v>
      </c>
    </row>
    <row r="86" spans="1:31" x14ac:dyDescent="0.25">
      <c r="A86" s="17">
        <v>85</v>
      </c>
      <c r="B86" s="17" t="s">
        <v>774</v>
      </c>
      <c r="C86" s="17" t="s">
        <v>774</v>
      </c>
      <c r="D86" s="17" t="s">
        <v>775</v>
      </c>
      <c r="E86" s="17" t="s">
        <v>776</v>
      </c>
      <c r="F86" s="17" t="s">
        <v>777</v>
      </c>
      <c r="G86" s="17" t="s">
        <v>778</v>
      </c>
      <c r="H86" s="17" t="s">
        <v>779</v>
      </c>
      <c r="I86" s="17" t="s">
        <v>780</v>
      </c>
      <c r="J86" s="17" t="s">
        <v>781</v>
      </c>
      <c r="K86" s="17" t="s">
        <v>69</v>
      </c>
      <c r="L86" s="17" t="s">
        <v>6</v>
      </c>
      <c r="M86" s="17"/>
      <c r="N86" s="17" t="s">
        <v>48</v>
      </c>
      <c r="O86" s="17" t="s">
        <v>189</v>
      </c>
      <c r="P86" s="17" t="s">
        <v>467</v>
      </c>
      <c r="Q86" s="17" t="s">
        <v>51</v>
      </c>
      <c r="R86" s="17" t="s">
        <v>52</v>
      </c>
      <c r="S86" s="17" t="s">
        <v>782</v>
      </c>
      <c r="T86" s="17" t="s">
        <v>54</v>
      </c>
      <c r="U86" s="17" t="s">
        <v>288</v>
      </c>
      <c r="V86" s="17" t="s">
        <v>56</v>
      </c>
      <c r="W86" s="17" t="s">
        <v>783</v>
      </c>
      <c r="X86" s="17" t="s">
        <v>88</v>
      </c>
      <c r="Y86" s="17" t="s">
        <v>89</v>
      </c>
      <c r="Z86" s="17">
        <v>41.507342774199998</v>
      </c>
      <c r="AA86" s="17">
        <v>-94.337582696799998</v>
      </c>
      <c r="AB86" s="17" t="s">
        <v>549</v>
      </c>
      <c r="AC86" s="17">
        <v>13</v>
      </c>
      <c r="AD86" s="17">
        <v>6.5591088894388096E-6</v>
      </c>
      <c r="AE86" s="17">
        <f t="shared" si="1"/>
        <v>2017</v>
      </c>
    </row>
    <row r="87" spans="1:31" x14ac:dyDescent="0.25">
      <c r="A87" s="17">
        <v>86</v>
      </c>
      <c r="B87" s="17" t="s">
        <v>784</v>
      </c>
      <c r="C87" s="17" t="s">
        <v>784</v>
      </c>
      <c r="D87" s="17" t="s">
        <v>785</v>
      </c>
      <c r="E87" s="17" t="s">
        <v>786</v>
      </c>
      <c r="F87" s="17" t="s">
        <v>787</v>
      </c>
      <c r="G87" s="17" t="s">
        <v>788</v>
      </c>
      <c r="H87" s="17" t="s">
        <v>789</v>
      </c>
      <c r="I87" s="17" t="s">
        <v>790</v>
      </c>
      <c r="J87" s="17" t="s">
        <v>791</v>
      </c>
      <c r="K87" s="17" t="s">
        <v>99</v>
      </c>
      <c r="L87" s="17" t="s">
        <v>6</v>
      </c>
      <c r="M87" s="17"/>
      <c r="N87" s="17" t="s">
        <v>48</v>
      </c>
      <c r="O87" s="17" t="s">
        <v>792</v>
      </c>
      <c r="P87" s="17" t="s">
        <v>50</v>
      </c>
      <c r="Q87" s="17" t="s">
        <v>51</v>
      </c>
      <c r="R87" s="17" t="s">
        <v>52</v>
      </c>
      <c r="S87" s="17" t="s">
        <v>793</v>
      </c>
      <c r="T87" s="17" t="s">
        <v>54</v>
      </c>
      <c r="U87" s="17" t="s">
        <v>55</v>
      </c>
      <c r="V87" s="17" t="s">
        <v>70</v>
      </c>
      <c r="W87" s="17" t="s">
        <v>250</v>
      </c>
      <c r="X87" s="17" t="s">
        <v>150</v>
      </c>
      <c r="Y87" s="17" t="s">
        <v>150</v>
      </c>
      <c r="Z87" s="17">
        <v>41.507369649799998</v>
      </c>
      <c r="AA87" s="17">
        <v>-94.337595232400005</v>
      </c>
      <c r="AB87" s="17" t="s">
        <v>549</v>
      </c>
      <c r="AC87" s="17">
        <v>13</v>
      </c>
      <c r="AD87" s="17">
        <v>1.15956153424934E-5</v>
      </c>
      <c r="AE87" s="17">
        <f t="shared" si="1"/>
        <v>2021</v>
      </c>
    </row>
    <row r="88" spans="1:31" x14ac:dyDescent="0.25">
      <c r="A88" s="17">
        <v>87</v>
      </c>
      <c r="B88" s="17" t="s">
        <v>794</v>
      </c>
      <c r="C88" s="17" t="s">
        <v>794</v>
      </c>
      <c r="D88" s="17" t="s">
        <v>795</v>
      </c>
      <c r="E88" s="17" t="s">
        <v>796</v>
      </c>
      <c r="F88" s="17" t="s">
        <v>797</v>
      </c>
      <c r="G88" s="17" t="s">
        <v>798</v>
      </c>
      <c r="H88" s="17" t="s">
        <v>799</v>
      </c>
      <c r="I88" s="17" t="s">
        <v>800</v>
      </c>
      <c r="J88" s="17" t="s">
        <v>801</v>
      </c>
      <c r="K88" s="17" t="s">
        <v>120</v>
      </c>
      <c r="L88" s="17" t="s">
        <v>6</v>
      </c>
      <c r="M88" s="17"/>
      <c r="N88" s="17" t="s">
        <v>48</v>
      </c>
      <c r="O88" s="17" t="s">
        <v>802</v>
      </c>
      <c r="P88" s="17" t="s">
        <v>467</v>
      </c>
      <c r="Q88" s="17" t="s">
        <v>51</v>
      </c>
      <c r="R88" s="17" t="s">
        <v>52</v>
      </c>
      <c r="S88" s="17" t="s">
        <v>803</v>
      </c>
      <c r="T88" s="17" t="s">
        <v>54</v>
      </c>
      <c r="U88" s="17" t="s">
        <v>55</v>
      </c>
      <c r="V88" s="17" t="s">
        <v>70</v>
      </c>
      <c r="W88" s="17" t="s">
        <v>189</v>
      </c>
      <c r="X88" s="17" t="s">
        <v>58</v>
      </c>
      <c r="Y88" s="17" t="s">
        <v>89</v>
      </c>
      <c r="Z88" s="17">
        <v>41.5124081023</v>
      </c>
      <c r="AA88" s="17">
        <v>-94.260754213699997</v>
      </c>
      <c r="AB88" s="17" t="s">
        <v>549</v>
      </c>
      <c r="AC88" s="17">
        <v>13</v>
      </c>
      <c r="AD88" s="17">
        <v>1.12836905274653E-4</v>
      </c>
      <c r="AE88" s="17">
        <f t="shared" si="1"/>
        <v>2019</v>
      </c>
    </row>
    <row r="89" spans="1:31" x14ac:dyDescent="0.25">
      <c r="A89" s="17">
        <v>88</v>
      </c>
      <c r="B89" s="17" t="s">
        <v>804</v>
      </c>
      <c r="C89" s="17" t="s">
        <v>804</v>
      </c>
      <c r="D89" s="17" t="s">
        <v>805</v>
      </c>
      <c r="E89" s="17" t="s">
        <v>806</v>
      </c>
      <c r="F89" s="17" t="s">
        <v>807</v>
      </c>
      <c r="G89" s="17" t="s">
        <v>808</v>
      </c>
      <c r="H89" s="17" t="s">
        <v>809</v>
      </c>
      <c r="I89" s="17" t="s">
        <v>810</v>
      </c>
      <c r="J89" s="17" t="s">
        <v>811</v>
      </c>
      <c r="K89" s="17" t="s">
        <v>120</v>
      </c>
      <c r="L89" s="17" t="s">
        <v>6</v>
      </c>
      <c r="M89" s="17"/>
      <c r="N89" s="17" t="s">
        <v>48</v>
      </c>
      <c r="O89" s="17" t="s">
        <v>189</v>
      </c>
      <c r="P89" s="17" t="s">
        <v>467</v>
      </c>
      <c r="Q89" s="17" t="s">
        <v>51</v>
      </c>
      <c r="R89" s="17" t="s">
        <v>52</v>
      </c>
      <c r="S89" s="17" t="s">
        <v>559</v>
      </c>
      <c r="T89" s="17" t="s">
        <v>54</v>
      </c>
      <c r="U89" s="17" t="s">
        <v>55</v>
      </c>
      <c r="V89" s="17" t="s">
        <v>70</v>
      </c>
      <c r="W89" s="17" t="s">
        <v>250</v>
      </c>
      <c r="X89" s="17" t="s">
        <v>150</v>
      </c>
      <c r="Y89" s="17" t="s">
        <v>150</v>
      </c>
      <c r="Z89" s="17">
        <v>41.512992280900001</v>
      </c>
      <c r="AA89" s="17">
        <v>-94.258404815099993</v>
      </c>
      <c r="AB89" s="17" t="s">
        <v>549</v>
      </c>
      <c r="AC89" s="17">
        <v>13</v>
      </c>
      <c r="AD89" s="17">
        <v>2.296526239885818E-5</v>
      </c>
      <c r="AE89" s="17">
        <f t="shared" si="1"/>
        <v>2020</v>
      </c>
    </row>
    <row r="90" spans="1:31" x14ac:dyDescent="0.25">
      <c r="A90" s="17">
        <v>89</v>
      </c>
      <c r="B90" s="17" t="s">
        <v>812</v>
      </c>
      <c r="C90" s="17" t="s">
        <v>812</v>
      </c>
      <c r="D90" s="17" t="s">
        <v>813</v>
      </c>
      <c r="E90" s="17" t="s">
        <v>814</v>
      </c>
      <c r="F90" s="17" t="s">
        <v>815</v>
      </c>
      <c r="G90" s="17" t="s">
        <v>816</v>
      </c>
      <c r="H90" s="17" t="s">
        <v>817</v>
      </c>
      <c r="I90" s="17" t="s">
        <v>818</v>
      </c>
      <c r="J90" s="17" t="s">
        <v>819</v>
      </c>
      <c r="K90" s="17" t="s">
        <v>69</v>
      </c>
      <c r="L90" s="17" t="s">
        <v>6</v>
      </c>
      <c r="M90" s="17" t="s">
        <v>820</v>
      </c>
      <c r="N90" s="17" t="s">
        <v>145</v>
      </c>
      <c r="O90" s="17" t="s">
        <v>146</v>
      </c>
      <c r="P90" s="17" t="s">
        <v>147</v>
      </c>
      <c r="Q90" s="17" t="s">
        <v>51</v>
      </c>
      <c r="R90" s="17" t="s">
        <v>52</v>
      </c>
      <c r="S90" s="17" t="s">
        <v>701</v>
      </c>
      <c r="T90" s="17" t="s">
        <v>54</v>
      </c>
      <c r="U90" s="17" t="s">
        <v>55</v>
      </c>
      <c r="V90" s="17" t="s">
        <v>344</v>
      </c>
      <c r="W90" s="17" t="s">
        <v>57</v>
      </c>
      <c r="X90" s="17" t="s">
        <v>484</v>
      </c>
      <c r="Y90" s="17" t="s">
        <v>821</v>
      </c>
      <c r="Z90" s="17">
        <v>41.5134516213</v>
      </c>
      <c r="AA90" s="17">
        <v>-94.256759987899997</v>
      </c>
      <c r="AB90" s="17" t="s">
        <v>549</v>
      </c>
      <c r="AC90" s="17">
        <v>13</v>
      </c>
      <c r="AD90" s="17">
        <v>8.4260713863567091E-6</v>
      </c>
      <c r="AE90" s="17">
        <f t="shared" si="1"/>
        <v>2015</v>
      </c>
    </row>
    <row r="91" spans="1:31" x14ac:dyDescent="0.25">
      <c r="A91" s="17">
        <v>90</v>
      </c>
      <c r="B91" s="17" t="s">
        <v>822</v>
      </c>
      <c r="C91" s="17" t="s">
        <v>822</v>
      </c>
      <c r="D91" s="17" t="s">
        <v>823</v>
      </c>
      <c r="E91" s="17" t="s">
        <v>824</v>
      </c>
      <c r="F91" s="17" t="s">
        <v>825</v>
      </c>
      <c r="G91" s="17" t="s">
        <v>826</v>
      </c>
      <c r="H91" s="17" t="s">
        <v>827</v>
      </c>
      <c r="I91" s="17" t="s">
        <v>828</v>
      </c>
      <c r="J91" s="17" t="s">
        <v>829</v>
      </c>
      <c r="K91" s="17" t="s">
        <v>120</v>
      </c>
      <c r="L91" s="17" t="s">
        <v>6</v>
      </c>
      <c r="M91" s="17"/>
      <c r="N91" s="17" t="s">
        <v>145</v>
      </c>
      <c r="O91" s="17" t="s">
        <v>146</v>
      </c>
      <c r="P91" s="17" t="s">
        <v>147</v>
      </c>
      <c r="Q91" s="17" t="s">
        <v>51</v>
      </c>
      <c r="R91" s="17" t="s">
        <v>52</v>
      </c>
      <c r="S91" s="17" t="s">
        <v>701</v>
      </c>
      <c r="T91" s="17" t="s">
        <v>54</v>
      </c>
      <c r="U91" s="17" t="s">
        <v>55</v>
      </c>
      <c r="V91" s="17" t="s">
        <v>70</v>
      </c>
      <c r="W91" s="17" t="s">
        <v>293</v>
      </c>
      <c r="X91" s="17" t="s">
        <v>150</v>
      </c>
      <c r="Y91" s="17" t="s">
        <v>150</v>
      </c>
      <c r="Z91" s="17">
        <v>41.513957009899997</v>
      </c>
      <c r="AA91" s="17">
        <v>-94.255020158099995</v>
      </c>
      <c r="AB91" s="17" t="s">
        <v>549</v>
      </c>
      <c r="AC91" s="17">
        <v>13</v>
      </c>
      <c r="AD91" s="17">
        <v>1.1800595580082081E-5</v>
      </c>
      <c r="AE91" s="17">
        <f t="shared" si="1"/>
        <v>2015</v>
      </c>
    </row>
    <row r="92" spans="1:31" x14ac:dyDescent="0.25">
      <c r="A92" s="17">
        <v>91</v>
      </c>
      <c r="B92" s="17" t="s">
        <v>830</v>
      </c>
      <c r="C92" s="17" t="s">
        <v>830</v>
      </c>
      <c r="D92" s="17" t="s">
        <v>831</v>
      </c>
      <c r="E92" s="17" t="s">
        <v>832</v>
      </c>
      <c r="F92" s="17" t="s">
        <v>833</v>
      </c>
      <c r="G92" s="17" t="s">
        <v>834</v>
      </c>
      <c r="H92" s="17" t="s">
        <v>835</v>
      </c>
      <c r="I92" s="17" t="s">
        <v>836</v>
      </c>
      <c r="J92" s="17" t="s">
        <v>837</v>
      </c>
      <c r="K92" s="17" t="s">
        <v>99</v>
      </c>
      <c r="L92" s="17" t="s">
        <v>6</v>
      </c>
      <c r="M92" s="17"/>
      <c r="N92" s="17" t="s">
        <v>48</v>
      </c>
      <c r="O92" s="17" t="s">
        <v>189</v>
      </c>
      <c r="P92" s="17" t="s">
        <v>467</v>
      </c>
      <c r="Q92" s="17" t="s">
        <v>51</v>
      </c>
      <c r="R92" s="17" t="s">
        <v>52</v>
      </c>
      <c r="S92" s="17" t="s">
        <v>838</v>
      </c>
      <c r="T92" s="17" t="s">
        <v>54</v>
      </c>
      <c r="U92" s="17" t="s">
        <v>55</v>
      </c>
      <c r="V92" s="17" t="s">
        <v>70</v>
      </c>
      <c r="W92" s="17" t="s">
        <v>560</v>
      </c>
      <c r="X92" s="17" t="s">
        <v>72</v>
      </c>
      <c r="Y92" s="17" t="s">
        <v>839</v>
      </c>
      <c r="Z92" s="17">
        <v>41.514031927300003</v>
      </c>
      <c r="AA92" s="17">
        <v>-94.254757965799996</v>
      </c>
      <c r="AB92" s="17" t="s">
        <v>549</v>
      </c>
      <c r="AC92" s="17">
        <v>13</v>
      </c>
      <c r="AD92" s="17">
        <v>1.1112899609532429E-5</v>
      </c>
      <c r="AE92" s="17">
        <f t="shared" si="1"/>
        <v>2019</v>
      </c>
    </row>
    <row r="93" spans="1:31" x14ac:dyDescent="0.25">
      <c r="A93" s="17">
        <v>92</v>
      </c>
      <c r="B93" s="17" t="s">
        <v>840</v>
      </c>
      <c r="C93" s="17" t="s">
        <v>840</v>
      </c>
      <c r="D93" s="17" t="s">
        <v>841</v>
      </c>
      <c r="E93" s="17" t="s">
        <v>842</v>
      </c>
      <c r="F93" s="17" t="s">
        <v>843</v>
      </c>
      <c r="G93" s="17" t="s">
        <v>844</v>
      </c>
      <c r="H93" s="17" t="s">
        <v>845</v>
      </c>
      <c r="I93" s="17" t="s">
        <v>846</v>
      </c>
      <c r="J93" s="17" t="s">
        <v>847</v>
      </c>
      <c r="K93" s="17" t="s">
        <v>69</v>
      </c>
      <c r="L93" s="17" t="s">
        <v>6</v>
      </c>
      <c r="M93" s="17"/>
      <c r="N93" s="17" t="s">
        <v>48</v>
      </c>
      <c r="O93" s="17" t="s">
        <v>189</v>
      </c>
      <c r="P93" s="17" t="s">
        <v>467</v>
      </c>
      <c r="Q93" s="17" t="s">
        <v>51</v>
      </c>
      <c r="R93" s="17" t="s">
        <v>52</v>
      </c>
      <c r="S93" s="17" t="s">
        <v>848</v>
      </c>
      <c r="T93" s="17" t="s">
        <v>54</v>
      </c>
      <c r="U93" s="17" t="s">
        <v>55</v>
      </c>
      <c r="V93" s="17" t="s">
        <v>70</v>
      </c>
      <c r="W93" s="17" t="s">
        <v>632</v>
      </c>
      <c r="X93" s="17" t="s">
        <v>633</v>
      </c>
      <c r="Y93" s="17" t="s">
        <v>89</v>
      </c>
      <c r="Z93" s="17">
        <v>41.514873481599999</v>
      </c>
      <c r="AA93" s="17">
        <v>-94.251922081299995</v>
      </c>
      <c r="AB93" s="17" t="s">
        <v>549</v>
      </c>
      <c r="AC93" s="17">
        <v>13</v>
      </c>
      <c r="AD93" s="17">
        <v>3.369859977579314E-5</v>
      </c>
      <c r="AE93" s="17">
        <f t="shared" si="1"/>
        <v>2021</v>
      </c>
    </row>
    <row r="94" spans="1:31" x14ac:dyDescent="0.25">
      <c r="A94" s="17">
        <v>93</v>
      </c>
      <c r="B94" s="17" t="s">
        <v>849</v>
      </c>
      <c r="C94" s="17" t="s">
        <v>849</v>
      </c>
      <c r="D94" s="17" t="s">
        <v>850</v>
      </c>
      <c r="E94" s="17" t="s">
        <v>851</v>
      </c>
      <c r="F94" s="17" t="s">
        <v>852</v>
      </c>
      <c r="G94" s="17" t="s">
        <v>853</v>
      </c>
      <c r="H94" s="17" t="s">
        <v>854</v>
      </c>
      <c r="I94" s="17" t="s">
        <v>855</v>
      </c>
      <c r="J94" s="17" t="s">
        <v>829</v>
      </c>
      <c r="K94" s="17" t="s">
        <v>216</v>
      </c>
      <c r="L94" s="17" t="s">
        <v>6</v>
      </c>
      <c r="M94" s="17"/>
      <c r="N94" s="17" t="s">
        <v>48</v>
      </c>
      <c r="O94" s="17" t="s">
        <v>189</v>
      </c>
      <c r="P94" s="17" t="s">
        <v>467</v>
      </c>
      <c r="Q94" s="17" t="s">
        <v>51</v>
      </c>
      <c r="R94" s="17" t="s">
        <v>52</v>
      </c>
      <c r="S94" s="17" t="s">
        <v>559</v>
      </c>
      <c r="T94" s="17" t="s">
        <v>54</v>
      </c>
      <c r="U94" s="17" t="s">
        <v>55</v>
      </c>
      <c r="V94" s="17" t="s">
        <v>70</v>
      </c>
      <c r="W94" s="17" t="s">
        <v>293</v>
      </c>
      <c r="X94" s="17" t="s">
        <v>412</v>
      </c>
      <c r="Y94" s="17" t="s">
        <v>179</v>
      </c>
      <c r="Z94" s="17">
        <v>41.515097171699999</v>
      </c>
      <c r="AA94" s="17">
        <v>-94.251231330600007</v>
      </c>
      <c r="AB94" s="17" t="s">
        <v>549</v>
      </c>
      <c r="AC94" s="17">
        <v>13</v>
      </c>
      <c r="AD94" s="17">
        <v>5.717541397358649E-5</v>
      </c>
      <c r="AE94" s="17">
        <f t="shared" si="1"/>
        <v>2020</v>
      </c>
    </row>
    <row r="95" spans="1:31" x14ac:dyDescent="0.25">
      <c r="A95" s="17">
        <v>94</v>
      </c>
      <c r="B95" s="17" t="s">
        <v>856</v>
      </c>
      <c r="C95" s="17" t="s">
        <v>857</v>
      </c>
      <c r="D95" s="17" t="s">
        <v>858</v>
      </c>
      <c r="E95" s="17" t="s">
        <v>859</v>
      </c>
      <c r="F95" s="17" t="s">
        <v>860</v>
      </c>
      <c r="G95" s="17" t="s">
        <v>861</v>
      </c>
      <c r="H95" s="17" t="s">
        <v>862</v>
      </c>
      <c r="I95" s="17" t="s">
        <v>863</v>
      </c>
      <c r="J95" s="17" t="s">
        <v>864</v>
      </c>
      <c r="K95" s="17" t="s">
        <v>120</v>
      </c>
      <c r="L95" s="17" t="s">
        <v>6</v>
      </c>
      <c r="M95" s="17"/>
      <c r="N95" s="17" t="s">
        <v>145</v>
      </c>
      <c r="O95" s="17" t="s">
        <v>146</v>
      </c>
      <c r="P95" s="17" t="s">
        <v>147</v>
      </c>
      <c r="Q95" s="17" t="s">
        <v>51</v>
      </c>
      <c r="R95" s="17" t="s">
        <v>52</v>
      </c>
      <c r="S95" s="17" t="s">
        <v>865</v>
      </c>
      <c r="T95" s="17" t="s">
        <v>54</v>
      </c>
      <c r="U95" s="17" t="s">
        <v>288</v>
      </c>
      <c r="V95" s="17" t="s">
        <v>70</v>
      </c>
      <c r="W95" s="17" t="s">
        <v>87</v>
      </c>
      <c r="X95" s="17" t="s">
        <v>150</v>
      </c>
      <c r="Y95" s="17" t="s">
        <v>150</v>
      </c>
      <c r="Z95" s="17">
        <v>41.515106830000001</v>
      </c>
      <c r="AA95" s="17">
        <v>-94.251171597500004</v>
      </c>
      <c r="AB95" s="17" t="s">
        <v>549</v>
      </c>
      <c r="AC95" s="17">
        <v>13</v>
      </c>
      <c r="AD95" s="17">
        <v>4.9899043235373877E-5</v>
      </c>
      <c r="AE95" s="17">
        <f t="shared" si="1"/>
        <v>2014</v>
      </c>
    </row>
    <row r="96" spans="1:31" x14ac:dyDescent="0.25">
      <c r="A96" s="17">
        <v>95</v>
      </c>
      <c r="B96" s="17" t="s">
        <v>866</v>
      </c>
      <c r="C96" s="17" t="s">
        <v>866</v>
      </c>
      <c r="D96" s="17" t="s">
        <v>867</v>
      </c>
      <c r="E96" s="17" t="s">
        <v>868</v>
      </c>
      <c r="F96" s="17" t="s">
        <v>869</v>
      </c>
      <c r="G96" s="17" t="s">
        <v>870</v>
      </c>
      <c r="H96" s="17" t="s">
        <v>871</v>
      </c>
      <c r="I96" s="17" t="s">
        <v>872</v>
      </c>
      <c r="J96" s="17" t="s">
        <v>873</v>
      </c>
      <c r="K96" s="17" t="s">
        <v>47</v>
      </c>
      <c r="L96" s="17" t="s">
        <v>6</v>
      </c>
      <c r="M96" s="17" t="s">
        <v>545</v>
      </c>
      <c r="N96" s="17" t="s">
        <v>48</v>
      </c>
      <c r="O96" s="17" t="s">
        <v>189</v>
      </c>
      <c r="P96" s="17" t="s">
        <v>467</v>
      </c>
      <c r="Q96" s="17" t="s">
        <v>51</v>
      </c>
      <c r="R96" s="17" t="s">
        <v>52</v>
      </c>
      <c r="S96" s="17" t="s">
        <v>874</v>
      </c>
      <c r="T96" s="17" t="s">
        <v>54</v>
      </c>
      <c r="U96" s="17" t="s">
        <v>288</v>
      </c>
      <c r="V96" s="17" t="s">
        <v>70</v>
      </c>
      <c r="W96" s="17" t="s">
        <v>875</v>
      </c>
      <c r="X96" s="17" t="s">
        <v>633</v>
      </c>
      <c r="Y96" s="17" t="s">
        <v>89</v>
      </c>
      <c r="Z96" s="17">
        <v>41.515115834100001</v>
      </c>
      <c r="AA96" s="17">
        <v>-94.251171771000003</v>
      </c>
      <c r="AB96" s="17" t="s">
        <v>549</v>
      </c>
      <c r="AC96" s="17">
        <v>13</v>
      </c>
      <c r="AD96" s="17">
        <v>5.8598521284552257E-5</v>
      </c>
      <c r="AE96" s="17">
        <f t="shared" si="1"/>
        <v>2018</v>
      </c>
    </row>
    <row r="97" spans="1:31" x14ac:dyDescent="0.25">
      <c r="A97" s="17">
        <v>96</v>
      </c>
      <c r="B97" s="17" t="s">
        <v>876</v>
      </c>
      <c r="C97" s="17" t="s">
        <v>876</v>
      </c>
      <c r="D97" s="17" t="s">
        <v>877</v>
      </c>
      <c r="E97" s="17" t="s">
        <v>878</v>
      </c>
      <c r="F97" s="17" t="s">
        <v>879</v>
      </c>
      <c r="G97" s="17" t="s">
        <v>880</v>
      </c>
      <c r="H97" s="17" t="s">
        <v>881</v>
      </c>
      <c r="I97" s="17" t="s">
        <v>882</v>
      </c>
      <c r="J97" s="17" t="s">
        <v>671</v>
      </c>
      <c r="K97" s="17" t="s">
        <v>69</v>
      </c>
      <c r="L97" s="17" t="s">
        <v>6</v>
      </c>
      <c r="M97" s="17"/>
      <c r="N97" s="17" t="s">
        <v>48</v>
      </c>
      <c r="O97" s="17" t="s">
        <v>189</v>
      </c>
      <c r="P97" s="17" t="s">
        <v>467</v>
      </c>
      <c r="Q97" s="17" t="s">
        <v>51</v>
      </c>
      <c r="R97" s="17" t="s">
        <v>52</v>
      </c>
      <c r="S97" s="17" t="s">
        <v>587</v>
      </c>
      <c r="T97" s="17" t="s">
        <v>54</v>
      </c>
      <c r="U97" s="17" t="s">
        <v>55</v>
      </c>
      <c r="V97" s="17" t="s">
        <v>70</v>
      </c>
      <c r="W97" s="17" t="s">
        <v>441</v>
      </c>
      <c r="X97" s="17" t="s">
        <v>101</v>
      </c>
      <c r="Y97" s="17" t="s">
        <v>89</v>
      </c>
      <c r="Z97" s="17">
        <v>41.515181608399999</v>
      </c>
      <c r="AA97" s="17">
        <v>-94.250921377200001</v>
      </c>
      <c r="AB97" s="17" t="s">
        <v>549</v>
      </c>
      <c r="AC97" s="17">
        <v>13</v>
      </c>
      <c r="AD97" s="17">
        <v>5.2395977516119789E-5</v>
      </c>
      <c r="AE97" s="17">
        <f t="shared" si="1"/>
        <v>2021</v>
      </c>
    </row>
    <row r="98" spans="1:31" x14ac:dyDescent="0.25">
      <c r="A98" s="17">
        <v>97</v>
      </c>
      <c r="B98" s="17" t="s">
        <v>883</v>
      </c>
      <c r="C98" s="17" t="s">
        <v>883</v>
      </c>
      <c r="D98" s="17" t="s">
        <v>884</v>
      </c>
      <c r="E98" s="17" t="s">
        <v>885</v>
      </c>
      <c r="F98" s="17" t="s">
        <v>886</v>
      </c>
      <c r="G98" s="17" t="s">
        <v>887</v>
      </c>
      <c r="H98" s="17" t="s">
        <v>888</v>
      </c>
      <c r="I98" s="17" t="s">
        <v>889</v>
      </c>
      <c r="J98" s="17" t="s">
        <v>890</v>
      </c>
      <c r="K98" s="17" t="s">
        <v>216</v>
      </c>
      <c r="L98" s="17" t="s">
        <v>6</v>
      </c>
      <c r="M98" s="17"/>
      <c r="N98" s="17" t="s">
        <v>48</v>
      </c>
      <c r="O98" s="17" t="s">
        <v>189</v>
      </c>
      <c r="P98" s="17" t="s">
        <v>467</v>
      </c>
      <c r="Q98" s="17" t="s">
        <v>51</v>
      </c>
      <c r="R98" s="17" t="s">
        <v>52</v>
      </c>
      <c r="S98" s="17" t="s">
        <v>559</v>
      </c>
      <c r="T98" s="17" t="s">
        <v>54</v>
      </c>
      <c r="U98" s="17" t="s">
        <v>55</v>
      </c>
      <c r="V98" s="17" t="s">
        <v>70</v>
      </c>
      <c r="W98" s="17" t="s">
        <v>199</v>
      </c>
      <c r="X98" s="17" t="s">
        <v>150</v>
      </c>
      <c r="Y98" s="17" t="s">
        <v>150</v>
      </c>
      <c r="Z98" s="17">
        <v>41.5157528099</v>
      </c>
      <c r="AA98" s="17">
        <v>-94.248919074400007</v>
      </c>
      <c r="AB98" s="17" t="s">
        <v>549</v>
      </c>
      <c r="AC98" s="17">
        <v>13</v>
      </c>
      <c r="AD98" s="17">
        <v>4.7636568514990397E-5</v>
      </c>
      <c r="AE98" s="17">
        <f t="shared" si="1"/>
        <v>2020</v>
      </c>
    </row>
    <row r="99" spans="1:31" x14ac:dyDescent="0.25">
      <c r="A99" s="17">
        <v>98</v>
      </c>
      <c r="B99" s="17" t="s">
        <v>891</v>
      </c>
      <c r="C99" s="17" t="s">
        <v>892</v>
      </c>
      <c r="D99" s="17" t="s">
        <v>893</v>
      </c>
      <c r="E99" s="17" t="s">
        <v>894</v>
      </c>
      <c r="F99" s="17" t="s">
        <v>895</v>
      </c>
      <c r="G99" s="17" t="s">
        <v>896</v>
      </c>
      <c r="H99" s="17" t="s">
        <v>897</v>
      </c>
      <c r="I99" s="17" t="s">
        <v>898</v>
      </c>
      <c r="J99" s="17" t="s">
        <v>899</v>
      </c>
      <c r="K99" s="17" t="s">
        <v>216</v>
      </c>
      <c r="L99" s="17" t="s">
        <v>6</v>
      </c>
      <c r="M99" s="17"/>
      <c r="N99" s="17" t="s">
        <v>145</v>
      </c>
      <c r="O99" s="17" t="s">
        <v>146</v>
      </c>
      <c r="P99" s="17" t="s">
        <v>147</v>
      </c>
      <c r="Q99" s="17" t="s">
        <v>51</v>
      </c>
      <c r="R99" s="17" t="s">
        <v>52</v>
      </c>
      <c r="S99" s="17" t="s">
        <v>701</v>
      </c>
      <c r="T99" s="17" t="s">
        <v>54</v>
      </c>
      <c r="U99" s="17" t="s">
        <v>55</v>
      </c>
      <c r="V99" s="17" t="s">
        <v>70</v>
      </c>
      <c r="W99" s="17" t="s">
        <v>149</v>
      </c>
      <c r="X99" s="17" t="s">
        <v>150</v>
      </c>
      <c r="Y99" s="17" t="s">
        <v>150</v>
      </c>
      <c r="Z99" s="17">
        <v>41.516046688400003</v>
      </c>
      <c r="AA99" s="17">
        <v>-94.362640566400003</v>
      </c>
      <c r="AB99" s="17" t="s">
        <v>549</v>
      </c>
      <c r="AC99" s="17">
        <v>13</v>
      </c>
      <c r="AD99" s="17">
        <v>6.8548704600501704E-7</v>
      </c>
      <c r="AE99" s="17">
        <f t="shared" si="1"/>
        <v>2013</v>
      </c>
    </row>
    <row r="100" spans="1:31" x14ac:dyDescent="0.25">
      <c r="A100" s="17">
        <v>99</v>
      </c>
      <c r="B100" s="17" t="s">
        <v>900</v>
      </c>
      <c r="C100" s="17" t="s">
        <v>900</v>
      </c>
      <c r="D100" s="17" t="s">
        <v>901</v>
      </c>
      <c r="E100" s="17" t="s">
        <v>902</v>
      </c>
      <c r="F100" s="17" t="s">
        <v>903</v>
      </c>
      <c r="G100" s="17" t="s">
        <v>904</v>
      </c>
      <c r="H100" s="17" t="s">
        <v>905</v>
      </c>
      <c r="I100" s="17" t="s">
        <v>906</v>
      </c>
      <c r="J100" s="17" t="s">
        <v>907</v>
      </c>
      <c r="K100" s="17" t="s">
        <v>216</v>
      </c>
      <c r="L100" s="17" t="s">
        <v>6</v>
      </c>
      <c r="M100" s="17" t="s">
        <v>820</v>
      </c>
      <c r="N100" s="17" t="s">
        <v>48</v>
      </c>
      <c r="O100" s="17" t="s">
        <v>189</v>
      </c>
      <c r="P100" s="17" t="s">
        <v>467</v>
      </c>
      <c r="Q100" s="17" t="s">
        <v>51</v>
      </c>
      <c r="R100" s="17" t="s">
        <v>52</v>
      </c>
      <c r="S100" s="17" t="s">
        <v>587</v>
      </c>
      <c r="T100" s="17" t="s">
        <v>54</v>
      </c>
      <c r="U100" s="17" t="s">
        <v>55</v>
      </c>
      <c r="V100" s="17" t="s">
        <v>70</v>
      </c>
      <c r="W100" s="17" t="s">
        <v>189</v>
      </c>
      <c r="X100" s="17" t="s">
        <v>150</v>
      </c>
      <c r="Y100" s="17" t="s">
        <v>150</v>
      </c>
      <c r="Z100" s="17">
        <v>41.5169893128</v>
      </c>
      <c r="AA100" s="17">
        <v>-94.244532672700004</v>
      </c>
      <c r="AB100" s="17" t="s">
        <v>549</v>
      </c>
      <c r="AC100" s="17">
        <v>13</v>
      </c>
      <c r="AD100" s="17">
        <v>2.3020011999731869E-5</v>
      </c>
      <c r="AE100" s="17">
        <f t="shared" si="1"/>
        <v>2022</v>
      </c>
    </row>
    <row r="101" spans="1:31" x14ac:dyDescent="0.25">
      <c r="A101" s="17">
        <v>100</v>
      </c>
      <c r="B101" s="17" t="s">
        <v>908</v>
      </c>
      <c r="C101" s="17" t="s">
        <v>909</v>
      </c>
      <c r="D101" s="17" t="s">
        <v>910</v>
      </c>
      <c r="E101" s="17" t="s">
        <v>911</v>
      </c>
      <c r="F101" s="17" t="s">
        <v>912</v>
      </c>
      <c r="G101" s="17" t="s">
        <v>913</v>
      </c>
      <c r="H101" s="17" t="s">
        <v>914</v>
      </c>
      <c r="I101" s="17" t="s">
        <v>915</v>
      </c>
      <c r="J101" s="17" t="s">
        <v>916</v>
      </c>
      <c r="K101" s="17" t="s">
        <v>82</v>
      </c>
      <c r="L101" s="17" t="s">
        <v>6</v>
      </c>
      <c r="M101" s="17"/>
      <c r="N101" s="17" t="s">
        <v>145</v>
      </c>
      <c r="O101" s="17" t="s">
        <v>146</v>
      </c>
      <c r="P101" s="17" t="s">
        <v>147</v>
      </c>
      <c r="Q101" s="17" t="s">
        <v>51</v>
      </c>
      <c r="R101" s="17" t="s">
        <v>52</v>
      </c>
      <c r="S101" s="17" t="s">
        <v>917</v>
      </c>
      <c r="T101" s="17" t="s">
        <v>54</v>
      </c>
      <c r="U101" s="17" t="s">
        <v>288</v>
      </c>
      <c r="V101" s="17" t="s">
        <v>469</v>
      </c>
      <c r="W101" s="17" t="s">
        <v>57</v>
      </c>
      <c r="X101" s="17" t="s">
        <v>633</v>
      </c>
      <c r="Y101" s="17" t="s">
        <v>179</v>
      </c>
      <c r="Z101" s="17">
        <v>41.517590283499999</v>
      </c>
      <c r="AA101" s="17">
        <v>-94.369180376700001</v>
      </c>
      <c r="AB101" s="17" t="s">
        <v>549</v>
      </c>
      <c r="AC101" s="17">
        <v>13</v>
      </c>
      <c r="AD101" s="17">
        <v>2.6422658637906901E-5</v>
      </c>
      <c r="AE101" s="17">
        <f t="shared" si="1"/>
        <v>2013</v>
      </c>
    </row>
    <row r="102" spans="1:31" x14ac:dyDescent="0.25">
      <c r="A102" s="17">
        <v>101</v>
      </c>
      <c r="B102" s="17" t="s">
        <v>918</v>
      </c>
      <c r="C102" s="17" t="s">
        <v>918</v>
      </c>
      <c r="D102" s="17" t="s">
        <v>919</v>
      </c>
      <c r="E102" s="17" t="s">
        <v>920</v>
      </c>
      <c r="F102" s="17" t="s">
        <v>921</v>
      </c>
      <c r="G102" s="17" t="s">
        <v>922</v>
      </c>
      <c r="H102" s="17" t="s">
        <v>923</v>
      </c>
      <c r="I102" s="17" t="s">
        <v>924</v>
      </c>
      <c r="J102" s="17" t="s">
        <v>925</v>
      </c>
      <c r="K102" s="17" t="s">
        <v>216</v>
      </c>
      <c r="L102" s="17" t="s">
        <v>6</v>
      </c>
      <c r="M102" s="17"/>
      <c r="N102" s="17" t="s">
        <v>48</v>
      </c>
      <c r="O102" s="17" t="s">
        <v>189</v>
      </c>
      <c r="P102" s="17" t="s">
        <v>467</v>
      </c>
      <c r="Q102" s="17" t="s">
        <v>51</v>
      </c>
      <c r="R102" s="17" t="s">
        <v>926</v>
      </c>
      <c r="S102" s="17" t="s">
        <v>927</v>
      </c>
      <c r="T102" s="17" t="s">
        <v>54</v>
      </c>
      <c r="U102" s="17" t="s">
        <v>288</v>
      </c>
      <c r="V102" s="17" t="s">
        <v>344</v>
      </c>
      <c r="W102" s="17" t="s">
        <v>87</v>
      </c>
      <c r="X102" s="17" t="s">
        <v>58</v>
      </c>
      <c r="Y102" s="17" t="s">
        <v>179</v>
      </c>
      <c r="Z102" s="17">
        <v>41.517592422500002</v>
      </c>
      <c r="AA102" s="17">
        <v>-94.369000658600001</v>
      </c>
      <c r="AB102" s="17" t="s">
        <v>549</v>
      </c>
      <c r="AC102" s="17">
        <v>13</v>
      </c>
      <c r="AD102" s="17">
        <v>1.0461577083707361E-5</v>
      </c>
      <c r="AE102" s="17">
        <f t="shared" si="1"/>
        <v>2017</v>
      </c>
    </row>
    <row r="103" spans="1:31" x14ac:dyDescent="0.25">
      <c r="A103" s="17">
        <v>102</v>
      </c>
      <c r="B103" s="17" t="s">
        <v>928</v>
      </c>
      <c r="C103" s="17" t="s">
        <v>929</v>
      </c>
      <c r="D103" s="17"/>
      <c r="E103" s="17" t="s">
        <v>930</v>
      </c>
      <c r="F103" s="17" t="s">
        <v>931</v>
      </c>
      <c r="G103" s="17" t="s">
        <v>932</v>
      </c>
      <c r="H103" s="17" t="s">
        <v>933</v>
      </c>
      <c r="I103" s="17" t="s">
        <v>934</v>
      </c>
      <c r="J103" s="17" t="s">
        <v>935</v>
      </c>
      <c r="K103" s="17" t="s">
        <v>47</v>
      </c>
      <c r="L103" s="17" t="s">
        <v>6</v>
      </c>
      <c r="M103" s="17"/>
      <c r="N103" s="17" t="s">
        <v>145</v>
      </c>
      <c r="O103" s="17" t="s">
        <v>146</v>
      </c>
      <c r="P103" s="17" t="s">
        <v>147</v>
      </c>
      <c r="Q103" s="17" t="s">
        <v>51</v>
      </c>
      <c r="R103" s="17" t="s">
        <v>52</v>
      </c>
      <c r="S103" s="17" t="s">
        <v>701</v>
      </c>
      <c r="T103" s="17" t="s">
        <v>54</v>
      </c>
      <c r="U103" s="17" t="s">
        <v>55</v>
      </c>
      <c r="V103" s="17" t="s">
        <v>56</v>
      </c>
      <c r="W103" s="17" t="s">
        <v>250</v>
      </c>
      <c r="X103" s="17" t="s">
        <v>633</v>
      </c>
      <c r="Y103" s="17" t="s">
        <v>161</v>
      </c>
      <c r="Z103" s="17">
        <v>41.5176731293</v>
      </c>
      <c r="AA103" s="17">
        <v>-94.242100977000007</v>
      </c>
      <c r="AB103" s="17" t="s">
        <v>549</v>
      </c>
      <c r="AC103" s="17">
        <v>13</v>
      </c>
      <c r="AD103" s="17">
        <v>7.772148435544666E-6</v>
      </c>
      <c r="AE103" s="17">
        <f t="shared" si="1"/>
        <v>2013</v>
      </c>
    </row>
    <row r="104" spans="1:31" x14ac:dyDescent="0.25">
      <c r="A104" s="17">
        <v>103</v>
      </c>
      <c r="B104" s="17" t="s">
        <v>936</v>
      </c>
      <c r="C104" s="17" t="s">
        <v>936</v>
      </c>
      <c r="D104" s="17" t="s">
        <v>937</v>
      </c>
      <c r="E104" s="17" t="s">
        <v>938</v>
      </c>
      <c r="F104" s="17" t="s">
        <v>939</v>
      </c>
      <c r="G104" s="17" t="s">
        <v>940</v>
      </c>
      <c r="H104" s="17" t="s">
        <v>941</v>
      </c>
      <c r="I104" s="17" t="s">
        <v>942</v>
      </c>
      <c r="J104" s="17" t="s">
        <v>943</v>
      </c>
      <c r="K104" s="17" t="s">
        <v>120</v>
      </c>
      <c r="L104" s="17" t="s">
        <v>6</v>
      </c>
      <c r="M104" s="17"/>
      <c r="N104" s="17" t="s">
        <v>48</v>
      </c>
      <c r="O104" s="17" t="s">
        <v>189</v>
      </c>
      <c r="P104" s="17" t="s">
        <v>467</v>
      </c>
      <c r="Q104" s="17" t="s">
        <v>51</v>
      </c>
      <c r="R104" s="17" t="s">
        <v>52</v>
      </c>
      <c r="S104" s="17" t="s">
        <v>587</v>
      </c>
      <c r="T104" s="17" t="s">
        <v>54</v>
      </c>
      <c r="U104" s="17" t="s">
        <v>55</v>
      </c>
      <c r="V104" s="17" t="s">
        <v>70</v>
      </c>
      <c r="W104" s="17" t="s">
        <v>250</v>
      </c>
      <c r="X104" s="17" t="s">
        <v>150</v>
      </c>
      <c r="Y104" s="17" t="s">
        <v>150</v>
      </c>
      <c r="Z104" s="17">
        <v>41.517780413499999</v>
      </c>
      <c r="AA104" s="17">
        <v>-94.371365517399994</v>
      </c>
      <c r="AB104" s="17" t="s">
        <v>549</v>
      </c>
      <c r="AC104" s="17">
        <v>13</v>
      </c>
      <c r="AD104" s="17">
        <v>3.535200550043865E-6</v>
      </c>
      <c r="AE104" s="17">
        <f t="shared" si="1"/>
        <v>2021</v>
      </c>
    </row>
    <row r="105" spans="1:31" x14ac:dyDescent="0.25">
      <c r="A105" s="17">
        <v>104</v>
      </c>
      <c r="B105" s="17" t="s">
        <v>944</v>
      </c>
      <c r="C105" s="17" t="s">
        <v>944</v>
      </c>
      <c r="D105" s="17" t="s">
        <v>945</v>
      </c>
      <c r="E105" s="17" t="s">
        <v>946</v>
      </c>
      <c r="F105" s="17" t="s">
        <v>947</v>
      </c>
      <c r="G105" s="17" t="s">
        <v>948</v>
      </c>
      <c r="H105" s="17" t="s">
        <v>949</v>
      </c>
      <c r="I105" s="17" t="s">
        <v>950</v>
      </c>
      <c r="J105" s="17" t="s">
        <v>951</v>
      </c>
      <c r="K105" s="17" t="s">
        <v>120</v>
      </c>
      <c r="L105" s="17" t="s">
        <v>6</v>
      </c>
      <c r="M105" s="17"/>
      <c r="N105" s="17" t="s">
        <v>48</v>
      </c>
      <c r="O105" s="17" t="s">
        <v>189</v>
      </c>
      <c r="P105" s="17" t="s">
        <v>467</v>
      </c>
      <c r="Q105" s="17" t="s">
        <v>51</v>
      </c>
      <c r="R105" s="17" t="s">
        <v>52</v>
      </c>
      <c r="S105" s="17" t="s">
        <v>559</v>
      </c>
      <c r="T105" s="17" t="s">
        <v>54</v>
      </c>
      <c r="U105" s="17" t="s">
        <v>55</v>
      </c>
      <c r="V105" s="17" t="s">
        <v>70</v>
      </c>
      <c r="W105" s="17" t="s">
        <v>952</v>
      </c>
      <c r="X105" s="17" t="s">
        <v>134</v>
      </c>
      <c r="Y105" s="17" t="s">
        <v>89</v>
      </c>
      <c r="Z105" s="17">
        <v>41.517804074899999</v>
      </c>
      <c r="AA105" s="17">
        <v>-94.367866615699995</v>
      </c>
      <c r="AB105" s="17" t="s">
        <v>549</v>
      </c>
      <c r="AC105" s="17">
        <v>13</v>
      </c>
      <c r="AD105" s="17">
        <v>2.2051178619396241E-5</v>
      </c>
      <c r="AE105" s="17">
        <f t="shared" si="1"/>
        <v>2019</v>
      </c>
    </row>
    <row r="106" spans="1:31" x14ac:dyDescent="0.25">
      <c r="A106" s="17">
        <v>105</v>
      </c>
      <c r="B106" s="17" t="s">
        <v>953</v>
      </c>
      <c r="C106" s="17" t="s">
        <v>953</v>
      </c>
      <c r="D106" s="17" t="s">
        <v>954</v>
      </c>
      <c r="E106" s="17" t="s">
        <v>955</v>
      </c>
      <c r="F106" s="17" t="s">
        <v>956</v>
      </c>
      <c r="G106" s="17" t="s">
        <v>957</v>
      </c>
      <c r="H106" s="17" t="s">
        <v>958</v>
      </c>
      <c r="I106" s="17" t="s">
        <v>959</v>
      </c>
      <c r="J106" s="17" t="s">
        <v>688</v>
      </c>
      <c r="K106" s="17" t="s">
        <v>99</v>
      </c>
      <c r="L106" s="17" t="s">
        <v>6</v>
      </c>
      <c r="M106" s="17"/>
      <c r="N106" s="17" t="s">
        <v>145</v>
      </c>
      <c r="O106" s="17" t="s">
        <v>146</v>
      </c>
      <c r="P106" s="17" t="s">
        <v>147</v>
      </c>
      <c r="Q106" s="17" t="s">
        <v>51</v>
      </c>
      <c r="R106" s="17" t="s">
        <v>960</v>
      </c>
      <c r="S106" s="17" t="s">
        <v>961</v>
      </c>
      <c r="T106" s="17" t="s">
        <v>54</v>
      </c>
      <c r="U106" s="17" t="s">
        <v>288</v>
      </c>
      <c r="V106" s="17" t="s">
        <v>289</v>
      </c>
      <c r="W106" s="17" t="s">
        <v>87</v>
      </c>
      <c r="X106" s="17" t="s">
        <v>72</v>
      </c>
      <c r="Y106" s="17" t="s">
        <v>659</v>
      </c>
      <c r="Z106" s="17">
        <v>41.518063694600002</v>
      </c>
      <c r="AA106" s="17">
        <v>-94.365726893300007</v>
      </c>
      <c r="AB106" s="17" t="s">
        <v>549</v>
      </c>
      <c r="AC106" s="17">
        <v>13</v>
      </c>
      <c r="AD106" s="17">
        <v>2.7802852355706959E-6</v>
      </c>
      <c r="AE106" s="17">
        <f t="shared" si="1"/>
        <v>2015</v>
      </c>
    </row>
    <row r="107" spans="1:31" x14ac:dyDescent="0.25">
      <c r="A107" s="17">
        <v>106</v>
      </c>
      <c r="B107" s="17" t="s">
        <v>962</v>
      </c>
      <c r="C107" s="17" t="s">
        <v>963</v>
      </c>
      <c r="D107" s="17" t="s">
        <v>964</v>
      </c>
      <c r="E107" s="17" t="s">
        <v>965</v>
      </c>
      <c r="F107" s="17" t="s">
        <v>966</v>
      </c>
      <c r="G107" s="17" t="s">
        <v>967</v>
      </c>
      <c r="H107" s="17" t="s">
        <v>968</v>
      </c>
      <c r="I107" s="17" t="s">
        <v>969</v>
      </c>
      <c r="J107" s="17" t="s">
        <v>970</v>
      </c>
      <c r="K107" s="17" t="s">
        <v>82</v>
      </c>
      <c r="L107" s="17" t="s">
        <v>6</v>
      </c>
      <c r="M107" s="17"/>
      <c r="N107" s="17" t="s">
        <v>145</v>
      </c>
      <c r="O107" s="17" t="s">
        <v>146</v>
      </c>
      <c r="P107" s="17" t="s">
        <v>147</v>
      </c>
      <c r="Q107" s="17" t="s">
        <v>51</v>
      </c>
      <c r="R107" s="17" t="s">
        <v>52</v>
      </c>
      <c r="S107" s="17" t="s">
        <v>701</v>
      </c>
      <c r="T107" s="17" t="s">
        <v>54</v>
      </c>
      <c r="U107" s="17" t="s">
        <v>55</v>
      </c>
      <c r="V107" s="17" t="s">
        <v>56</v>
      </c>
      <c r="W107" s="17" t="s">
        <v>149</v>
      </c>
      <c r="X107" s="17" t="s">
        <v>971</v>
      </c>
      <c r="Y107" s="17" t="s">
        <v>161</v>
      </c>
      <c r="Z107" s="17">
        <v>41.5181030257</v>
      </c>
      <c r="AA107" s="17">
        <v>-94.366207092699995</v>
      </c>
      <c r="AB107" s="17" t="s">
        <v>549</v>
      </c>
      <c r="AC107" s="17">
        <v>13</v>
      </c>
      <c r="AD107" s="17">
        <v>1.8271728204776981E-5</v>
      </c>
      <c r="AE107" s="17">
        <f t="shared" si="1"/>
        <v>2013</v>
      </c>
    </row>
    <row r="108" spans="1:31" x14ac:dyDescent="0.25">
      <c r="A108" s="17">
        <v>107</v>
      </c>
      <c r="B108" s="17" t="s">
        <v>972</v>
      </c>
      <c r="C108" s="17" t="s">
        <v>972</v>
      </c>
      <c r="D108" s="17" t="s">
        <v>973</v>
      </c>
      <c r="E108" s="17" t="s">
        <v>974</v>
      </c>
      <c r="F108" s="17" t="s">
        <v>975</v>
      </c>
      <c r="G108" s="17" t="s">
        <v>976</v>
      </c>
      <c r="H108" s="17" t="s">
        <v>977</v>
      </c>
      <c r="I108" s="17" t="s">
        <v>978</v>
      </c>
      <c r="J108" s="17" t="s">
        <v>979</v>
      </c>
      <c r="K108" s="17" t="s">
        <v>259</v>
      </c>
      <c r="L108" s="17" t="s">
        <v>6</v>
      </c>
      <c r="M108" s="17"/>
      <c r="N108" s="17" t="s">
        <v>48</v>
      </c>
      <c r="O108" s="17" t="s">
        <v>189</v>
      </c>
      <c r="P108" s="17" t="s">
        <v>467</v>
      </c>
      <c r="Q108" s="17" t="s">
        <v>51</v>
      </c>
      <c r="R108" s="17" t="s">
        <v>52</v>
      </c>
      <c r="S108" s="17" t="s">
        <v>980</v>
      </c>
      <c r="T108" s="17" t="s">
        <v>54</v>
      </c>
      <c r="U108" s="17" t="s">
        <v>288</v>
      </c>
      <c r="V108" s="17" t="s">
        <v>70</v>
      </c>
      <c r="W108" s="17" t="s">
        <v>199</v>
      </c>
      <c r="X108" s="17" t="s">
        <v>72</v>
      </c>
      <c r="Y108" s="17" t="s">
        <v>179</v>
      </c>
      <c r="Z108" s="17">
        <v>41.518105947499997</v>
      </c>
      <c r="AA108" s="17">
        <v>-94.375782614499997</v>
      </c>
      <c r="AB108" s="17" t="s">
        <v>549</v>
      </c>
      <c r="AC108" s="17">
        <v>13</v>
      </c>
      <c r="AD108" s="17">
        <v>4.8693581472607853E-5</v>
      </c>
      <c r="AE108" s="17">
        <f t="shared" si="1"/>
        <v>2018</v>
      </c>
    </row>
    <row r="109" spans="1:31" x14ac:dyDescent="0.25">
      <c r="A109" s="17">
        <v>108</v>
      </c>
      <c r="B109" s="17" t="s">
        <v>981</v>
      </c>
      <c r="C109" s="17" t="s">
        <v>982</v>
      </c>
      <c r="D109" s="17"/>
      <c r="E109" s="17" t="s">
        <v>983</v>
      </c>
      <c r="F109" s="17" t="s">
        <v>984</v>
      </c>
      <c r="G109" s="17" t="s">
        <v>985</v>
      </c>
      <c r="H109" s="17" t="s">
        <v>986</v>
      </c>
      <c r="I109" s="17" t="s">
        <v>987</v>
      </c>
      <c r="J109" s="17" t="s">
        <v>988</v>
      </c>
      <c r="K109" s="17" t="s">
        <v>69</v>
      </c>
      <c r="L109" s="17" t="s">
        <v>6</v>
      </c>
      <c r="M109" s="17"/>
      <c r="N109" s="17" t="s">
        <v>145</v>
      </c>
      <c r="O109" s="17" t="s">
        <v>146</v>
      </c>
      <c r="P109" s="17" t="s">
        <v>147</v>
      </c>
      <c r="Q109" s="17" t="s">
        <v>51</v>
      </c>
      <c r="R109" s="17" t="s">
        <v>52</v>
      </c>
      <c r="S109" s="17" t="s">
        <v>989</v>
      </c>
      <c r="T109" s="17" t="s">
        <v>54</v>
      </c>
      <c r="U109" s="17" t="s">
        <v>288</v>
      </c>
      <c r="V109" s="17" t="s">
        <v>70</v>
      </c>
      <c r="W109" s="17" t="s">
        <v>446</v>
      </c>
      <c r="X109" s="17" t="s">
        <v>101</v>
      </c>
      <c r="Y109" s="17" t="s">
        <v>89</v>
      </c>
      <c r="Z109" s="17">
        <v>41.518114953100003</v>
      </c>
      <c r="AA109" s="17">
        <v>-94.375782805300005</v>
      </c>
      <c r="AB109" s="17" t="s">
        <v>549</v>
      </c>
      <c r="AC109" s="17">
        <v>13</v>
      </c>
      <c r="AD109" s="17">
        <v>3.9693517365996413E-5</v>
      </c>
      <c r="AE109" s="17">
        <f t="shared" si="1"/>
        <v>2013</v>
      </c>
    </row>
    <row r="110" spans="1:31" x14ac:dyDescent="0.25">
      <c r="A110" s="17">
        <v>109</v>
      </c>
      <c r="B110" s="17" t="s">
        <v>990</v>
      </c>
      <c r="C110" s="17" t="s">
        <v>990</v>
      </c>
      <c r="D110" s="17" t="s">
        <v>991</v>
      </c>
      <c r="E110" s="17" t="s">
        <v>992</v>
      </c>
      <c r="F110" s="17" t="s">
        <v>993</v>
      </c>
      <c r="G110" s="17" t="s">
        <v>994</v>
      </c>
      <c r="H110" s="17" t="s">
        <v>995</v>
      </c>
      <c r="I110" s="17" t="s">
        <v>996</v>
      </c>
      <c r="J110" s="17" t="s">
        <v>997</v>
      </c>
      <c r="K110" s="17" t="s">
        <v>259</v>
      </c>
      <c r="L110" s="17" t="s">
        <v>6</v>
      </c>
      <c r="M110" s="17" t="s">
        <v>998</v>
      </c>
      <c r="N110" s="17" t="s">
        <v>48</v>
      </c>
      <c r="O110" s="17" t="s">
        <v>189</v>
      </c>
      <c r="P110" s="17" t="s">
        <v>467</v>
      </c>
      <c r="Q110" s="17" t="s">
        <v>51</v>
      </c>
      <c r="R110" s="17" t="s">
        <v>52</v>
      </c>
      <c r="S110" s="17" t="s">
        <v>559</v>
      </c>
      <c r="T110" s="17" t="s">
        <v>54</v>
      </c>
      <c r="U110" s="17" t="s">
        <v>55</v>
      </c>
      <c r="V110" s="17" t="s">
        <v>344</v>
      </c>
      <c r="W110" s="17" t="s">
        <v>999</v>
      </c>
      <c r="X110" s="17" t="s">
        <v>134</v>
      </c>
      <c r="Y110" s="17" t="s">
        <v>179</v>
      </c>
      <c r="Z110" s="17">
        <v>41.518116718100003</v>
      </c>
      <c r="AA110" s="17">
        <v>-94.380145129200002</v>
      </c>
      <c r="AB110" s="17" t="s">
        <v>549</v>
      </c>
      <c r="AC110" s="17">
        <v>13</v>
      </c>
      <c r="AD110" s="17">
        <v>4.1862888759202511E-5</v>
      </c>
      <c r="AE110" s="17">
        <f t="shared" si="1"/>
        <v>2017</v>
      </c>
    </row>
    <row r="111" spans="1:31" x14ac:dyDescent="0.25">
      <c r="A111" s="17">
        <v>110</v>
      </c>
      <c r="B111" s="17" t="s">
        <v>1000</v>
      </c>
      <c r="C111" s="17" t="s">
        <v>1000</v>
      </c>
      <c r="D111" s="17" t="s">
        <v>1001</v>
      </c>
      <c r="E111" s="17" t="s">
        <v>1002</v>
      </c>
      <c r="F111" s="17" t="s">
        <v>1003</v>
      </c>
      <c r="G111" s="17" t="s">
        <v>1004</v>
      </c>
      <c r="H111" s="17" t="s">
        <v>1005</v>
      </c>
      <c r="I111" s="17" t="s">
        <v>1006</v>
      </c>
      <c r="J111" s="17" t="s">
        <v>1007</v>
      </c>
      <c r="K111" s="17" t="s">
        <v>120</v>
      </c>
      <c r="L111" s="17" t="s">
        <v>6</v>
      </c>
      <c r="M111" s="17" t="s">
        <v>998</v>
      </c>
      <c r="N111" s="17" t="s">
        <v>48</v>
      </c>
      <c r="O111" s="17" t="s">
        <v>1008</v>
      </c>
      <c r="P111" s="17" t="s">
        <v>50</v>
      </c>
      <c r="Q111" s="17" t="s">
        <v>51</v>
      </c>
      <c r="R111" s="17" t="s">
        <v>52</v>
      </c>
      <c r="S111" s="17" t="s">
        <v>1009</v>
      </c>
      <c r="T111" s="17" t="s">
        <v>54</v>
      </c>
      <c r="U111" s="17" t="s">
        <v>288</v>
      </c>
      <c r="V111" s="17" t="s">
        <v>70</v>
      </c>
      <c r="W111" s="17" t="s">
        <v>57</v>
      </c>
      <c r="X111" s="17" t="s">
        <v>59</v>
      </c>
      <c r="Y111" s="17" t="s">
        <v>1010</v>
      </c>
      <c r="Z111" s="17">
        <v>41.518163137999998</v>
      </c>
      <c r="AA111" s="17">
        <v>-94.394958717999998</v>
      </c>
      <c r="AB111" s="17" t="s">
        <v>549</v>
      </c>
      <c r="AC111" s="17">
        <v>13</v>
      </c>
      <c r="AD111" s="17">
        <v>5.6993958361627944E-6</v>
      </c>
      <c r="AE111" s="17">
        <f t="shared" si="1"/>
        <v>2017</v>
      </c>
    </row>
    <row r="112" spans="1:31" x14ac:dyDescent="0.25">
      <c r="A112" s="17">
        <v>111</v>
      </c>
      <c r="B112" s="17" t="s">
        <v>1011</v>
      </c>
      <c r="C112" s="17" t="s">
        <v>1011</v>
      </c>
      <c r="D112" s="17" t="s">
        <v>1012</v>
      </c>
      <c r="E112" s="17" t="s">
        <v>1013</v>
      </c>
      <c r="F112" s="17" t="s">
        <v>1014</v>
      </c>
      <c r="G112" s="17" t="s">
        <v>1015</v>
      </c>
      <c r="H112" s="17" t="s">
        <v>1016</v>
      </c>
      <c r="I112" s="17" t="s">
        <v>1017</v>
      </c>
      <c r="J112" s="17" t="s">
        <v>1018</v>
      </c>
      <c r="K112" s="17" t="s">
        <v>99</v>
      </c>
      <c r="L112" s="17" t="s">
        <v>6</v>
      </c>
      <c r="M112" s="17" t="s">
        <v>998</v>
      </c>
      <c r="N112" s="17" t="s">
        <v>48</v>
      </c>
      <c r="O112" s="17" t="s">
        <v>189</v>
      </c>
      <c r="P112" s="17" t="s">
        <v>467</v>
      </c>
      <c r="Q112" s="17" t="s">
        <v>51</v>
      </c>
      <c r="R112" s="17" t="s">
        <v>52</v>
      </c>
      <c r="S112" s="17" t="s">
        <v>1019</v>
      </c>
      <c r="T112" s="17" t="s">
        <v>54</v>
      </c>
      <c r="U112" s="17" t="s">
        <v>288</v>
      </c>
      <c r="V112" s="17" t="s">
        <v>56</v>
      </c>
      <c r="W112" s="17" t="s">
        <v>100</v>
      </c>
      <c r="X112" s="17" t="s">
        <v>58</v>
      </c>
      <c r="Y112" s="17" t="s">
        <v>179</v>
      </c>
      <c r="Z112" s="17">
        <v>41.518196173100002</v>
      </c>
      <c r="AA112" s="17">
        <v>-94.414373995899993</v>
      </c>
      <c r="AB112" s="17" t="s">
        <v>549</v>
      </c>
      <c r="AC112" s="17">
        <v>13</v>
      </c>
      <c r="AD112" s="17">
        <v>1.6500114284747299E-5</v>
      </c>
      <c r="AE112" s="17">
        <f t="shared" si="1"/>
        <v>2017</v>
      </c>
    </row>
    <row r="113" spans="1:31" x14ac:dyDescent="0.25">
      <c r="A113" s="17">
        <v>112</v>
      </c>
      <c r="B113" s="17" t="s">
        <v>1020</v>
      </c>
      <c r="C113" s="17" t="s">
        <v>1021</v>
      </c>
      <c r="D113" s="17" t="s">
        <v>1022</v>
      </c>
      <c r="E113" s="17" t="s">
        <v>1023</v>
      </c>
      <c r="F113" s="17" t="s">
        <v>1024</v>
      </c>
      <c r="G113" s="17" t="s">
        <v>1025</v>
      </c>
      <c r="H113" s="17" t="s">
        <v>1026</v>
      </c>
      <c r="I113" s="17" t="s">
        <v>1027</v>
      </c>
      <c r="J113" s="17" t="s">
        <v>756</v>
      </c>
      <c r="K113" s="17" t="s">
        <v>82</v>
      </c>
      <c r="L113" s="17" t="s">
        <v>6</v>
      </c>
      <c r="M113" s="17" t="s">
        <v>998</v>
      </c>
      <c r="N113" s="17" t="s">
        <v>145</v>
      </c>
      <c r="O113" s="17" t="s">
        <v>146</v>
      </c>
      <c r="P113" s="17" t="s">
        <v>147</v>
      </c>
      <c r="Q113" s="17" t="s">
        <v>51</v>
      </c>
      <c r="R113" s="17" t="s">
        <v>52</v>
      </c>
      <c r="S113" s="17" t="s">
        <v>1028</v>
      </c>
      <c r="T113" s="17" t="s">
        <v>54</v>
      </c>
      <c r="U113" s="17" t="s">
        <v>122</v>
      </c>
      <c r="V113" s="17" t="s">
        <v>70</v>
      </c>
      <c r="W113" s="17" t="s">
        <v>87</v>
      </c>
      <c r="X113" s="17" t="s">
        <v>1029</v>
      </c>
      <c r="Y113" s="17" t="s">
        <v>89</v>
      </c>
      <c r="Z113" s="17">
        <v>41.5182137141</v>
      </c>
      <c r="AA113" s="17">
        <v>-94.407806981099995</v>
      </c>
      <c r="AB113" s="17" t="s">
        <v>549</v>
      </c>
      <c r="AC113" s="17">
        <v>13</v>
      </c>
      <c r="AD113" s="17">
        <v>2.7974107930714869E-5</v>
      </c>
      <c r="AE113" s="17">
        <f t="shared" si="1"/>
        <v>2014</v>
      </c>
    </row>
    <row r="114" spans="1:31" x14ac:dyDescent="0.25">
      <c r="A114" s="17">
        <v>113</v>
      </c>
      <c r="B114" s="17" t="s">
        <v>1030</v>
      </c>
      <c r="C114" s="17" t="s">
        <v>1030</v>
      </c>
      <c r="D114" s="17" t="s">
        <v>1031</v>
      </c>
      <c r="E114" s="17" t="s">
        <v>1032</v>
      </c>
      <c r="F114" s="17" t="s">
        <v>1033</v>
      </c>
      <c r="G114" s="17" t="s">
        <v>1034</v>
      </c>
      <c r="H114" s="17" t="s">
        <v>1035</v>
      </c>
      <c r="I114" s="17" t="s">
        <v>1036</v>
      </c>
      <c r="J114" s="17" t="s">
        <v>1037</v>
      </c>
      <c r="K114" s="17" t="s">
        <v>216</v>
      </c>
      <c r="L114" s="17" t="s">
        <v>6</v>
      </c>
      <c r="M114" s="17" t="s">
        <v>998</v>
      </c>
      <c r="N114" s="17" t="s">
        <v>48</v>
      </c>
      <c r="O114" s="17" t="s">
        <v>189</v>
      </c>
      <c r="P114" s="17" t="s">
        <v>467</v>
      </c>
      <c r="Q114" s="17" t="s">
        <v>51</v>
      </c>
      <c r="R114" s="17" t="s">
        <v>52</v>
      </c>
      <c r="S114" s="17" t="s">
        <v>1038</v>
      </c>
      <c r="T114" s="17" t="s">
        <v>86</v>
      </c>
      <c r="U114" s="17" t="s">
        <v>122</v>
      </c>
      <c r="V114" s="17" t="s">
        <v>70</v>
      </c>
      <c r="W114" s="17" t="s">
        <v>149</v>
      </c>
      <c r="X114" s="17" t="s">
        <v>88</v>
      </c>
      <c r="Y114" s="17" t="s">
        <v>89</v>
      </c>
      <c r="Z114" s="17">
        <v>41.518226552500003</v>
      </c>
      <c r="AA114" s="17">
        <v>-94.404547528099997</v>
      </c>
      <c r="AB114" s="17" t="s">
        <v>549</v>
      </c>
      <c r="AC114" s="17">
        <v>13</v>
      </c>
      <c r="AD114" s="17">
        <v>3.7800825952777903E-5</v>
      </c>
      <c r="AE114" s="17">
        <f t="shared" si="1"/>
        <v>2018</v>
      </c>
    </row>
    <row r="115" spans="1:31" x14ac:dyDescent="0.25">
      <c r="A115" s="17">
        <v>114</v>
      </c>
      <c r="B115" s="17" t="s">
        <v>1039</v>
      </c>
      <c r="C115" s="17" t="s">
        <v>1039</v>
      </c>
      <c r="D115" s="17" t="s">
        <v>1040</v>
      </c>
      <c r="E115" s="17" t="s">
        <v>1041</v>
      </c>
      <c r="F115" s="17" t="s">
        <v>1042</v>
      </c>
      <c r="G115" s="17" t="s">
        <v>1043</v>
      </c>
      <c r="H115" s="17" t="s">
        <v>1044</v>
      </c>
      <c r="I115" s="17" t="s">
        <v>1045</v>
      </c>
      <c r="J115" s="17" t="s">
        <v>1046</v>
      </c>
      <c r="K115" s="17" t="s">
        <v>82</v>
      </c>
      <c r="L115" s="17" t="s">
        <v>6</v>
      </c>
      <c r="M115" s="17"/>
      <c r="N115" s="17" t="s">
        <v>48</v>
      </c>
      <c r="O115" s="17" t="s">
        <v>189</v>
      </c>
      <c r="P115" s="17" t="s">
        <v>467</v>
      </c>
      <c r="Q115" s="17" t="s">
        <v>51</v>
      </c>
      <c r="R115" s="17" t="s">
        <v>52</v>
      </c>
      <c r="S115" s="17" t="s">
        <v>1047</v>
      </c>
      <c r="T115" s="17" t="s">
        <v>54</v>
      </c>
      <c r="U115" s="17" t="s">
        <v>55</v>
      </c>
      <c r="V115" s="17" t="s">
        <v>70</v>
      </c>
      <c r="W115" s="17" t="s">
        <v>149</v>
      </c>
      <c r="X115" s="17" t="s">
        <v>310</v>
      </c>
      <c r="Y115" s="17" t="s">
        <v>1048</v>
      </c>
      <c r="Z115" s="17">
        <v>41.518247174999999</v>
      </c>
      <c r="AA115" s="17">
        <v>-94.447907161399996</v>
      </c>
      <c r="AB115" s="17" t="s">
        <v>549</v>
      </c>
      <c r="AC115" s="17">
        <v>13</v>
      </c>
      <c r="AD115" s="17">
        <v>9.8482024092427201E-5</v>
      </c>
      <c r="AE115" s="17">
        <f t="shared" si="1"/>
        <v>2016</v>
      </c>
    </row>
    <row r="116" spans="1:31" x14ac:dyDescent="0.25">
      <c r="A116" s="17">
        <v>115</v>
      </c>
      <c r="B116" s="17" t="s">
        <v>1049</v>
      </c>
      <c r="C116" s="17" t="s">
        <v>1049</v>
      </c>
      <c r="D116" s="17" t="s">
        <v>1050</v>
      </c>
      <c r="E116" s="17" t="s">
        <v>1051</v>
      </c>
      <c r="F116" s="17" t="s">
        <v>1052</v>
      </c>
      <c r="G116" s="17" t="s">
        <v>1053</v>
      </c>
      <c r="H116" s="17" t="s">
        <v>1054</v>
      </c>
      <c r="I116" s="17" t="s">
        <v>1055</v>
      </c>
      <c r="J116" s="17" t="s">
        <v>1056</v>
      </c>
      <c r="K116" s="17" t="s">
        <v>47</v>
      </c>
      <c r="L116" s="17" t="s">
        <v>6</v>
      </c>
      <c r="M116" s="17"/>
      <c r="N116" s="17" t="s">
        <v>1057</v>
      </c>
      <c r="O116" s="17" t="s">
        <v>1058</v>
      </c>
      <c r="P116" s="17" t="s">
        <v>50</v>
      </c>
      <c r="Q116" s="17" t="s">
        <v>51</v>
      </c>
      <c r="R116" s="17" t="s">
        <v>52</v>
      </c>
      <c r="S116" s="17" t="s">
        <v>1059</v>
      </c>
      <c r="T116" s="17" t="s">
        <v>1057</v>
      </c>
      <c r="U116" s="17" t="s">
        <v>1060</v>
      </c>
      <c r="V116" s="17" t="s">
        <v>56</v>
      </c>
      <c r="W116" s="17" t="s">
        <v>652</v>
      </c>
      <c r="X116" s="17" t="s">
        <v>1061</v>
      </c>
      <c r="Y116" s="17" t="s">
        <v>89</v>
      </c>
      <c r="Z116" s="17">
        <v>41.5182477922</v>
      </c>
      <c r="AA116" s="17">
        <v>-94.452856683500002</v>
      </c>
      <c r="AB116" s="17" t="s">
        <v>549</v>
      </c>
      <c r="AC116" s="17">
        <v>13</v>
      </c>
      <c r="AD116" s="17">
        <v>1.0367168653582099E-4</v>
      </c>
      <c r="AE116" s="17">
        <f t="shared" si="1"/>
        <v>2017</v>
      </c>
    </row>
    <row r="117" spans="1:31" x14ac:dyDescent="0.25">
      <c r="A117" s="17">
        <v>116</v>
      </c>
      <c r="B117" s="17" t="s">
        <v>1062</v>
      </c>
      <c r="C117" s="17" t="s">
        <v>1062</v>
      </c>
      <c r="D117" s="17" t="s">
        <v>1063</v>
      </c>
      <c r="E117" s="17" t="s">
        <v>1064</v>
      </c>
      <c r="F117" s="17" t="s">
        <v>1065</v>
      </c>
      <c r="G117" s="17" t="s">
        <v>1066</v>
      </c>
      <c r="H117" s="17" t="s">
        <v>1067</v>
      </c>
      <c r="I117" s="17" t="s">
        <v>1068</v>
      </c>
      <c r="J117" s="17" t="s">
        <v>1069</v>
      </c>
      <c r="K117" s="17" t="s">
        <v>47</v>
      </c>
      <c r="L117" s="17" t="s">
        <v>6</v>
      </c>
      <c r="M117" s="17" t="s">
        <v>998</v>
      </c>
      <c r="N117" s="17" t="s">
        <v>48</v>
      </c>
      <c r="O117" s="17" t="s">
        <v>189</v>
      </c>
      <c r="P117" s="17" t="s">
        <v>467</v>
      </c>
      <c r="Q117" s="17" t="s">
        <v>51</v>
      </c>
      <c r="R117" s="17" t="s">
        <v>52</v>
      </c>
      <c r="S117" s="17" t="s">
        <v>587</v>
      </c>
      <c r="T117" s="17" t="s">
        <v>54</v>
      </c>
      <c r="U117" s="17" t="s">
        <v>55</v>
      </c>
      <c r="V117" s="17" t="s">
        <v>344</v>
      </c>
      <c r="W117" s="17" t="s">
        <v>470</v>
      </c>
      <c r="X117" s="17" t="s">
        <v>150</v>
      </c>
      <c r="Y117" s="17" t="s">
        <v>150</v>
      </c>
      <c r="Z117" s="17">
        <v>41.5182540355</v>
      </c>
      <c r="AA117" s="17">
        <v>-94.428636574799995</v>
      </c>
      <c r="AB117" s="17" t="s">
        <v>549</v>
      </c>
      <c r="AC117" s="17">
        <v>13</v>
      </c>
      <c r="AD117" s="17">
        <v>8.7538708062964951E-5</v>
      </c>
      <c r="AE117" s="17">
        <f t="shared" si="1"/>
        <v>2021</v>
      </c>
    </row>
    <row r="118" spans="1:31" x14ac:dyDescent="0.25">
      <c r="A118" s="17">
        <v>117</v>
      </c>
      <c r="B118" s="17" t="s">
        <v>1070</v>
      </c>
      <c r="C118" s="17" t="s">
        <v>1070</v>
      </c>
      <c r="D118" s="17" t="s">
        <v>1071</v>
      </c>
      <c r="E118" s="17" t="s">
        <v>1072</v>
      </c>
      <c r="F118" s="17" t="s">
        <v>1073</v>
      </c>
      <c r="G118" s="17" t="s">
        <v>1074</v>
      </c>
      <c r="H118" s="17" t="s">
        <v>1075</v>
      </c>
      <c r="I118" s="17" t="s">
        <v>1076</v>
      </c>
      <c r="J118" s="17" t="s">
        <v>1077</v>
      </c>
      <c r="K118" s="17" t="s">
        <v>216</v>
      </c>
      <c r="L118" s="17" t="s">
        <v>6</v>
      </c>
      <c r="M118" s="17" t="s">
        <v>998</v>
      </c>
      <c r="N118" s="17" t="s">
        <v>48</v>
      </c>
      <c r="O118" s="17" t="s">
        <v>189</v>
      </c>
      <c r="P118" s="17" t="s">
        <v>467</v>
      </c>
      <c r="Q118" s="17" t="s">
        <v>51</v>
      </c>
      <c r="R118" s="17" t="s">
        <v>52</v>
      </c>
      <c r="S118" s="17" t="s">
        <v>559</v>
      </c>
      <c r="T118" s="17" t="s">
        <v>54</v>
      </c>
      <c r="U118" s="17" t="s">
        <v>55</v>
      </c>
      <c r="V118" s="17" t="s">
        <v>56</v>
      </c>
      <c r="W118" s="17" t="s">
        <v>100</v>
      </c>
      <c r="X118" s="17" t="s">
        <v>1078</v>
      </c>
      <c r="Y118" s="17" t="s">
        <v>179</v>
      </c>
      <c r="Z118" s="17">
        <v>41.518267681300003</v>
      </c>
      <c r="AA118" s="17">
        <v>-94.446277755400004</v>
      </c>
      <c r="AB118" s="17" t="s">
        <v>549</v>
      </c>
      <c r="AC118" s="17">
        <v>13</v>
      </c>
      <c r="AD118" s="17">
        <v>1.174826731976916E-4</v>
      </c>
      <c r="AE118" s="17">
        <f t="shared" si="1"/>
        <v>2017</v>
      </c>
    </row>
    <row r="119" spans="1:31" x14ac:dyDescent="0.25">
      <c r="A119" s="17">
        <v>118</v>
      </c>
      <c r="B119" s="17" t="s">
        <v>1079</v>
      </c>
      <c r="C119" s="17" t="s">
        <v>1079</v>
      </c>
      <c r="D119" s="17" t="s">
        <v>1080</v>
      </c>
      <c r="E119" s="17" t="s">
        <v>1081</v>
      </c>
      <c r="F119" s="17" t="s">
        <v>1082</v>
      </c>
      <c r="G119" s="17" t="s">
        <v>1083</v>
      </c>
      <c r="H119" s="17" t="s">
        <v>1084</v>
      </c>
      <c r="I119" s="17" t="s">
        <v>1085</v>
      </c>
      <c r="J119" s="17" t="s">
        <v>1086</v>
      </c>
      <c r="K119" s="17" t="s">
        <v>120</v>
      </c>
      <c r="L119" s="17" t="s">
        <v>6</v>
      </c>
      <c r="M119" s="17" t="s">
        <v>998</v>
      </c>
      <c r="N119" s="17" t="s">
        <v>48</v>
      </c>
      <c r="O119" s="17" t="s">
        <v>189</v>
      </c>
      <c r="P119" s="17" t="s">
        <v>467</v>
      </c>
      <c r="Q119" s="17" t="s">
        <v>51</v>
      </c>
      <c r="R119" s="17" t="s">
        <v>52</v>
      </c>
      <c r="S119" s="17" t="s">
        <v>559</v>
      </c>
      <c r="T119" s="17" t="s">
        <v>54</v>
      </c>
      <c r="U119" s="17" t="s">
        <v>55</v>
      </c>
      <c r="V119" s="17" t="s">
        <v>56</v>
      </c>
      <c r="W119" s="17" t="s">
        <v>1087</v>
      </c>
      <c r="X119" s="17" t="s">
        <v>310</v>
      </c>
      <c r="Y119" s="17" t="s">
        <v>161</v>
      </c>
      <c r="Z119" s="17">
        <v>41.518280732000001</v>
      </c>
      <c r="AA119" s="17">
        <v>-94.438775878599998</v>
      </c>
      <c r="AB119" s="17" t="s">
        <v>549</v>
      </c>
      <c r="AC119" s="17">
        <v>13</v>
      </c>
      <c r="AD119" s="17">
        <v>1.2360298854975491E-4</v>
      </c>
      <c r="AE119" s="17">
        <f t="shared" si="1"/>
        <v>2017</v>
      </c>
    </row>
    <row r="120" spans="1:31" x14ac:dyDescent="0.25">
      <c r="A120" s="17">
        <v>119</v>
      </c>
      <c r="B120" s="17" t="s">
        <v>1088</v>
      </c>
      <c r="C120" s="17" t="s">
        <v>1088</v>
      </c>
      <c r="D120" s="17" t="s">
        <v>1089</v>
      </c>
      <c r="E120" s="17" t="s">
        <v>1090</v>
      </c>
      <c r="F120" s="17" t="s">
        <v>1091</v>
      </c>
      <c r="G120" s="17" t="s">
        <v>1092</v>
      </c>
      <c r="H120" s="17" t="s">
        <v>1093</v>
      </c>
      <c r="I120" s="17" t="s">
        <v>1094</v>
      </c>
      <c r="J120" s="17" t="s">
        <v>1095</v>
      </c>
      <c r="K120" s="17" t="s">
        <v>120</v>
      </c>
      <c r="L120" s="17" t="s">
        <v>6</v>
      </c>
      <c r="M120" s="17" t="s">
        <v>998</v>
      </c>
      <c r="N120" s="17" t="s">
        <v>48</v>
      </c>
      <c r="O120" s="17" t="s">
        <v>1096</v>
      </c>
      <c r="P120" s="17" t="s">
        <v>50</v>
      </c>
      <c r="Q120" s="17" t="s">
        <v>51</v>
      </c>
      <c r="R120" s="17" t="s">
        <v>52</v>
      </c>
      <c r="S120" s="17" t="s">
        <v>1097</v>
      </c>
      <c r="T120" s="17" t="s">
        <v>54</v>
      </c>
      <c r="U120" s="17" t="s">
        <v>55</v>
      </c>
      <c r="V120" s="17" t="s">
        <v>70</v>
      </c>
      <c r="W120" s="17" t="s">
        <v>560</v>
      </c>
      <c r="X120" s="17" t="s">
        <v>310</v>
      </c>
      <c r="Y120" s="17" t="s">
        <v>179</v>
      </c>
      <c r="Z120" s="17">
        <v>41.518504542499997</v>
      </c>
      <c r="AA120" s="17">
        <v>-94.414200945800005</v>
      </c>
      <c r="AB120" s="17" t="s">
        <v>549</v>
      </c>
      <c r="AC120" s="17">
        <v>13</v>
      </c>
      <c r="AD120" s="17">
        <v>3.2470910884054108E-4</v>
      </c>
      <c r="AE120" s="17">
        <f t="shared" si="1"/>
        <v>2022</v>
      </c>
    </row>
    <row r="121" spans="1:31" x14ac:dyDescent="0.25">
      <c r="A121" s="17">
        <v>120</v>
      </c>
      <c r="B121" s="17" t="s">
        <v>1098</v>
      </c>
      <c r="C121" s="17" t="s">
        <v>1098</v>
      </c>
      <c r="D121" s="17" t="s">
        <v>1099</v>
      </c>
      <c r="E121" s="17" t="s">
        <v>1100</v>
      </c>
      <c r="F121" s="17" t="s">
        <v>1101</v>
      </c>
      <c r="G121" s="17" t="s">
        <v>1102</v>
      </c>
      <c r="H121" s="17" t="s">
        <v>1103</v>
      </c>
      <c r="I121" s="17" t="s">
        <v>1104</v>
      </c>
      <c r="J121" s="17" t="s">
        <v>1105</v>
      </c>
      <c r="K121" s="17" t="s">
        <v>47</v>
      </c>
      <c r="L121" s="17" t="s">
        <v>4</v>
      </c>
      <c r="M121" s="17"/>
      <c r="N121" s="17" t="s">
        <v>48</v>
      </c>
      <c r="O121" s="17" t="s">
        <v>1106</v>
      </c>
      <c r="P121" s="17" t="s">
        <v>50</v>
      </c>
      <c r="Q121" s="17" t="s">
        <v>51</v>
      </c>
      <c r="R121" s="17" t="s">
        <v>52</v>
      </c>
      <c r="S121" s="17" t="s">
        <v>1107</v>
      </c>
      <c r="T121" s="17" t="s">
        <v>54</v>
      </c>
      <c r="U121" s="17" t="s">
        <v>55</v>
      </c>
      <c r="V121" s="17" t="s">
        <v>469</v>
      </c>
      <c r="W121" s="17" t="s">
        <v>250</v>
      </c>
      <c r="X121" s="17" t="s">
        <v>310</v>
      </c>
      <c r="Y121" s="17" t="s">
        <v>161</v>
      </c>
      <c r="Z121" s="17">
        <v>42.398165823200003</v>
      </c>
      <c r="AA121" s="17">
        <v>-94.394883133600004</v>
      </c>
      <c r="AB121" s="17" t="s">
        <v>1108</v>
      </c>
      <c r="AC121" s="17">
        <v>26</v>
      </c>
      <c r="AD121" s="17">
        <v>4.6840514592785578E-5</v>
      </c>
      <c r="AE121" s="17">
        <f t="shared" si="1"/>
        <v>2022</v>
      </c>
    </row>
    <row r="122" spans="1:31" x14ac:dyDescent="0.25">
      <c r="A122" s="17">
        <v>121</v>
      </c>
      <c r="B122" s="17" t="s">
        <v>1109</v>
      </c>
      <c r="C122" s="17" t="s">
        <v>1109</v>
      </c>
      <c r="D122" s="17" t="s">
        <v>1110</v>
      </c>
      <c r="E122" s="17" t="s">
        <v>1111</v>
      </c>
      <c r="F122" s="17" t="s">
        <v>1112</v>
      </c>
      <c r="G122" s="17" t="s">
        <v>1113</v>
      </c>
      <c r="H122" s="17" t="s">
        <v>1114</v>
      </c>
      <c r="I122" s="17" t="s">
        <v>1104</v>
      </c>
      <c r="J122" s="17" t="s">
        <v>916</v>
      </c>
      <c r="K122" s="17" t="s">
        <v>216</v>
      </c>
      <c r="L122" s="17" t="s">
        <v>4</v>
      </c>
      <c r="M122" s="17"/>
      <c r="N122" s="17" t="s">
        <v>48</v>
      </c>
      <c r="O122" s="17" t="s">
        <v>1106</v>
      </c>
      <c r="P122" s="17" t="s">
        <v>50</v>
      </c>
      <c r="Q122" s="17" t="s">
        <v>51</v>
      </c>
      <c r="R122" s="17" t="s">
        <v>52</v>
      </c>
      <c r="S122" s="17" t="s">
        <v>1115</v>
      </c>
      <c r="T122" s="17" t="s">
        <v>54</v>
      </c>
      <c r="U122" s="17" t="s">
        <v>55</v>
      </c>
      <c r="V122" s="17" t="s">
        <v>70</v>
      </c>
      <c r="W122" s="17" t="s">
        <v>189</v>
      </c>
      <c r="X122" s="17" t="s">
        <v>58</v>
      </c>
      <c r="Y122" s="17" t="s">
        <v>89</v>
      </c>
      <c r="Z122" s="17">
        <v>42.398166858000003</v>
      </c>
      <c r="AA122" s="17">
        <v>-94.394798103499994</v>
      </c>
      <c r="AB122" s="17" t="s">
        <v>1108</v>
      </c>
      <c r="AC122" s="17">
        <v>26</v>
      </c>
      <c r="AD122" s="17">
        <v>4.6417236970362827E-5</v>
      </c>
      <c r="AE122" s="17">
        <f t="shared" si="1"/>
        <v>2018</v>
      </c>
    </row>
    <row r="123" spans="1:31" x14ac:dyDescent="0.25">
      <c r="A123" s="17">
        <v>122</v>
      </c>
      <c r="B123" s="17" t="s">
        <v>1116</v>
      </c>
      <c r="C123" s="17" t="s">
        <v>1117</v>
      </c>
      <c r="D123" s="17" t="s">
        <v>1118</v>
      </c>
      <c r="E123" s="17" t="s">
        <v>1119</v>
      </c>
      <c r="F123" s="17" t="s">
        <v>1120</v>
      </c>
      <c r="G123" s="17" t="s">
        <v>1121</v>
      </c>
      <c r="H123" s="17" t="s">
        <v>1122</v>
      </c>
      <c r="I123" s="17" t="s">
        <v>1123</v>
      </c>
      <c r="J123" s="17" t="s">
        <v>1124</v>
      </c>
      <c r="K123" s="17" t="s">
        <v>99</v>
      </c>
      <c r="L123" s="17" t="s">
        <v>4</v>
      </c>
      <c r="M123" s="17"/>
      <c r="N123" s="17" t="s">
        <v>145</v>
      </c>
      <c r="O123" s="17" t="s">
        <v>146</v>
      </c>
      <c r="P123" s="17" t="s">
        <v>147</v>
      </c>
      <c r="Q123" s="17" t="s">
        <v>51</v>
      </c>
      <c r="R123" s="17" t="s">
        <v>52</v>
      </c>
      <c r="S123" s="17" t="s">
        <v>1125</v>
      </c>
      <c r="T123" s="17" t="s">
        <v>54</v>
      </c>
      <c r="U123" s="17" t="s">
        <v>55</v>
      </c>
      <c r="V123" s="17" t="s">
        <v>344</v>
      </c>
      <c r="W123" s="17" t="s">
        <v>250</v>
      </c>
      <c r="X123" s="17" t="s">
        <v>971</v>
      </c>
      <c r="Y123" s="17" t="s">
        <v>179</v>
      </c>
      <c r="Z123" s="17">
        <v>42.398173361399998</v>
      </c>
      <c r="AA123" s="17">
        <v>-94.394263628399997</v>
      </c>
      <c r="AB123" s="17" t="s">
        <v>1108</v>
      </c>
      <c r="AC123" s="17">
        <v>26</v>
      </c>
      <c r="AD123" s="17">
        <v>4.3759308690726991E-5</v>
      </c>
      <c r="AE123" s="17">
        <f t="shared" si="1"/>
        <v>2014</v>
      </c>
    </row>
    <row r="124" spans="1:31" x14ac:dyDescent="0.25">
      <c r="A124" s="17">
        <v>123</v>
      </c>
      <c r="B124" s="17" t="s">
        <v>1126</v>
      </c>
      <c r="C124" s="17"/>
      <c r="D124" s="17" t="s">
        <v>1127</v>
      </c>
      <c r="E124" s="17" t="s">
        <v>1128</v>
      </c>
      <c r="F124" s="17" t="s">
        <v>1129</v>
      </c>
      <c r="G124" s="17" t="s">
        <v>1130</v>
      </c>
      <c r="H124" s="17" t="s">
        <v>1131</v>
      </c>
      <c r="I124" s="17" t="s">
        <v>1132</v>
      </c>
      <c r="J124" s="17" t="s">
        <v>997</v>
      </c>
      <c r="K124" s="17"/>
      <c r="L124" s="17" t="s">
        <v>1133</v>
      </c>
      <c r="M124" s="17"/>
      <c r="N124" s="17"/>
      <c r="O124" s="17"/>
      <c r="P124" s="17"/>
      <c r="Q124" s="17"/>
      <c r="R124" s="17"/>
      <c r="S124" s="17"/>
      <c r="T124" s="17"/>
      <c r="U124" s="17"/>
      <c r="V124" s="17" t="s">
        <v>70</v>
      </c>
      <c r="W124" s="17"/>
      <c r="X124" s="17"/>
      <c r="Y124" s="17"/>
      <c r="Z124" s="17">
        <v>42.398182286800001</v>
      </c>
      <c r="AA124" s="17">
        <v>-94.397228532499994</v>
      </c>
      <c r="AB124" s="17" t="s">
        <v>1108</v>
      </c>
      <c r="AC124" s="17">
        <v>26</v>
      </c>
      <c r="AD124" s="17">
        <v>4.3707976416858561E-5</v>
      </c>
      <c r="AE124" s="17">
        <f t="shared" si="1"/>
        <v>2013</v>
      </c>
    </row>
    <row r="125" spans="1:31" x14ac:dyDescent="0.25">
      <c r="A125" s="17">
        <v>124</v>
      </c>
      <c r="B125" s="17" t="s">
        <v>1134</v>
      </c>
      <c r="C125" s="17" t="s">
        <v>1134</v>
      </c>
      <c r="D125" s="17" t="s">
        <v>1135</v>
      </c>
      <c r="E125" s="17" t="s">
        <v>1136</v>
      </c>
      <c r="F125" s="17" t="s">
        <v>1137</v>
      </c>
      <c r="G125" s="17" t="s">
        <v>1138</v>
      </c>
      <c r="H125" s="17" t="s">
        <v>1139</v>
      </c>
      <c r="I125" s="17" t="s">
        <v>1140</v>
      </c>
      <c r="J125" s="17" t="s">
        <v>1141</v>
      </c>
      <c r="K125" s="17" t="s">
        <v>259</v>
      </c>
      <c r="L125" s="17" t="s">
        <v>4</v>
      </c>
      <c r="M125" s="17"/>
      <c r="N125" s="17" t="s">
        <v>48</v>
      </c>
      <c r="O125" s="17" t="s">
        <v>1106</v>
      </c>
      <c r="P125" s="17" t="s">
        <v>50</v>
      </c>
      <c r="Q125" s="17" t="s">
        <v>51</v>
      </c>
      <c r="R125" s="17" t="s">
        <v>52</v>
      </c>
      <c r="S125" s="17" t="s">
        <v>1142</v>
      </c>
      <c r="T125" s="17" t="s">
        <v>54</v>
      </c>
      <c r="U125" s="17" t="s">
        <v>55</v>
      </c>
      <c r="V125" s="17" t="s">
        <v>56</v>
      </c>
      <c r="W125" s="17" t="s">
        <v>548</v>
      </c>
      <c r="X125" s="17" t="s">
        <v>134</v>
      </c>
      <c r="Y125" s="17" t="s">
        <v>89</v>
      </c>
      <c r="Z125" s="17">
        <v>42.398194026799999</v>
      </c>
      <c r="AA125" s="17">
        <v>-94.394045378100003</v>
      </c>
      <c r="AB125" s="17" t="s">
        <v>1108</v>
      </c>
      <c r="AC125" s="17">
        <v>26</v>
      </c>
      <c r="AD125" s="17">
        <v>2.4663889134994049E-5</v>
      </c>
      <c r="AE125" s="17">
        <f t="shared" si="1"/>
        <v>2019</v>
      </c>
    </row>
    <row r="126" spans="1:31" x14ac:dyDescent="0.25">
      <c r="A126" s="17">
        <v>125</v>
      </c>
      <c r="B126" s="17" t="s">
        <v>1143</v>
      </c>
      <c r="C126" s="17" t="s">
        <v>1143</v>
      </c>
      <c r="D126" s="17" t="s">
        <v>1144</v>
      </c>
      <c r="E126" s="17" t="s">
        <v>1145</v>
      </c>
      <c r="F126" s="17" t="s">
        <v>1146</v>
      </c>
      <c r="G126" s="17" t="s">
        <v>1147</v>
      </c>
      <c r="H126" s="17" t="s">
        <v>1148</v>
      </c>
      <c r="I126" s="17" t="s">
        <v>1149</v>
      </c>
      <c r="J126" s="17" t="s">
        <v>1124</v>
      </c>
      <c r="K126" s="17" t="s">
        <v>99</v>
      </c>
      <c r="L126" s="17" t="s">
        <v>4</v>
      </c>
      <c r="M126" s="17"/>
      <c r="N126" s="17" t="s">
        <v>145</v>
      </c>
      <c r="O126" s="17" t="s">
        <v>146</v>
      </c>
      <c r="P126" s="17" t="s">
        <v>147</v>
      </c>
      <c r="Q126" s="17" t="s">
        <v>51</v>
      </c>
      <c r="R126" s="17" t="s">
        <v>52</v>
      </c>
      <c r="S126" s="17" t="s">
        <v>1125</v>
      </c>
      <c r="T126" s="17" t="s">
        <v>54</v>
      </c>
      <c r="U126" s="17" t="s">
        <v>55</v>
      </c>
      <c r="V126" s="17" t="s">
        <v>70</v>
      </c>
      <c r="W126" s="17" t="s">
        <v>1150</v>
      </c>
      <c r="X126" s="17" t="s">
        <v>72</v>
      </c>
      <c r="Y126" s="17" t="s">
        <v>659</v>
      </c>
      <c r="Z126" s="17">
        <v>42.3984722541</v>
      </c>
      <c r="AA126" s="17">
        <v>-94.392642080399995</v>
      </c>
      <c r="AB126" s="17" t="s">
        <v>1108</v>
      </c>
      <c r="AC126" s="17">
        <v>26</v>
      </c>
      <c r="AD126" s="17">
        <v>1.07405942085844E-5</v>
      </c>
      <c r="AE126" s="17">
        <f t="shared" si="1"/>
        <v>2015</v>
      </c>
    </row>
    <row r="127" spans="1:31" x14ac:dyDescent="0.25">
      <c r="A127" s="17">
        <v>126</v>
      </c>
      <c r="B127" s="17" t="s">
        <v>1151</v>
      </c>
      <c r="C127" s="17" t="s">
        <v>1151</v>
      </c>
      <c r="D127" s="17" t="s">
        <v>1152</v>
      </c>
      <c r="E127" s="17" t="s">
        <v>1153</v>
      </c>
      <c r="F127" s="17" t="s">
        <v>1154</v>
      </c>
      <c r="G127" s="17" t="s">
        <v>1155</v>
      </c>
      <c r="H127" s="17" t="s">
        <v>1156</v>
      </c>
      <c r="I127" s="17" t="s">
        <v>1157</v>
      </c>
      <c r="J127" s="17" t="s">
        <v>1158</v>
      </c>
      <c r="K127" s="17" t="s">
        <v>216</v>
      </c>
      <c r="L127" s="17" t="s">
        <v>4</v>
      </c>
      <c r="M127" s="17" t="s">
        <v>1159</v>
      </c>
      <c r="N127" s="17" t="s">
        <v>48</v>
      </c>
      <c r="O127" s="17" t="s">
        <v>84</v>
      </c>
      <c r="P127" s="17" t="s">
        <v>50</v>
      </c>
      <c r="Q127" s="17" t="s">
        <v>51</v>
      </c>
      <c r="R127" s="17" t="s">
        <v>52</v>
      </c>
      <c r="S127" s="17" t="s">
        <v>1160</v>
      </c>
      <c r="T127" s="17" t="s">
        <v>54</v>
      </c>
      <c r="U127" s="17" t="s">
        <v>55</v>
      </c>
      <c r="V127" s="17" t="s">
        <v>344</v>
      </c>
      <c r="W127" s="17" t="s">
        <v>1161</v>
      </c>
      <c r="X127" s="17" t="s">
        <v>88</v>
      </c>
      <c r="Y127" s="17" t="s">
        <v>89</v>
      </c>
      <c r="Z127" s="17">
        <v>42.404895201800002</v>
      </c>
      <c r="AA127" s="17">
        <v>-94.378335741300006</v>
      </c>
      <c r="AB127" s="17" t="s">
        <v>1108</v>
      </c>
      <c r="AC127" s="17">
        <v>26</v>
      </c>
      <c r="AD127" s="17">
        <v>9.1233205197820133E-5</v>
      </c>
      <c r="AE127" s="17">
        <f t="shared" si="1"/>
        <v>2022</v>
      </c>
    </row>
    <row r="128" spans="1:31" x14ac:dyDescent="0.25">
      <c r="A128" s="17">
        <v>127</v>
      </c>
      <c r="B128" s="17" t="s">
        <v>1162</v>
      </c>
      <c r="C128" s="17" t="s">
        <v>1162</v>
      </c>
      <c r="D128" s="17" t="s">
        <v>1163</v>
      </c>
      <c r="E128" s="17" t="s">
        <v>1164</v>
      </c>
      <c r="F128" s="17" t="s">
        <v>1165</v>
      </c>
      <c r="G128" s="17" t="s">
        <v>1166</v>
      </c>
      <c r="H128" s="17" t="s">
        <v>1167</v>
      </c>
      <c r="I128" s="17" t="s">
        <v>1168</v>
      </c>
      <c r="J128" s="17" t="s">
        <v>1169</v>
      </c>
      <c r="K128" s="17" t="s">
        <v>82</v>
      </c>
      <c r="L128" s="17" t="s">
        <v>4</v>
      </c>
      <c r="M128" s="17"/>
      <c r="N128" s="17" t="s">
        <v>48</v>
      </c>
      <c r="O128" s="17" t="s">
        <v>84</v>
      </c>
      <c r="P128" s="17" t="s">
        <v>50</v>
      </c>
      <c r="Q128" s="17" t="s">
        <v>51</v>
      </c>
      <c r="R128" s="17" t="s">
        <v>52</v>
      </c>
      <c r="S128" s="17" t="s">
        <v>1170</v>
      </c>
      <c r="T128" s="17" t="s">
        <v>54</v>
      </c>
      <c r="U128" s="17" t="s">
        <v>55</v>
      </c>
      <c r="V128" s="17" t="s">
        <v>289</v>
      </c>
      <c r="W128" s="17" t="s">
        <v>1171</v>
      </c>
      <c r="X128" s="17" t="s">
        <v>88</v>
      </c>
      <c r="Y128" s="17" t="s">
        <v>89</v>
      </c>
      <c r="Z128" s="17">
        <v>42.404931215399998</v>
      </c>
      <c r="AA128" s="17">
        <v>-94.378336529799995</v>
      </c>
      <c r="AB128" s="17" t="s">
        <v>1108</v>
      </c>
      <c r="AC128" s="17">
        <v>26</v>
      </c>
      <c r="AD128" s="17">
        <v>5.8172151602485297E-5</v>
      </c>
      <c r="AE128" s="17">
        <f t="shared" si="1"/>
        <v>2018</v>
      </c>
    </row>
    <row r="129" spans="1:31" x14ac:dyDescent="0.25">
      <c r="A129" s="17">
        <v>128</v>
      </c>
      <c r="B129" s="17" t="s">
        <v>1172</v>
      </c>
      <c r="C129" s="17" t="s">
        <v>1172</v>
      </c>
      <c r="D129" s="17" t="s">
        <v>1173</v>
      </c>
      <c r="E129" s="17" t="s">
        <v>1174</v>
      </c>
      <c r="F129" s="17" t="s">
        <v>1175</v>
      </c>
      <c r="G129" s="17" t="s">
        <v>1176</v>
      </c>
      <c r="H129" s="17" t="s">
        <v>1177</v>
      </c>
      <c r="I129" s="17" t="s">
        <v>1178</v>
      </c>
      <c r="J129" s="17" t="s">
        <v>1179</v>
      </c>
      <c r="K129" s="17" t="s">
        <v>69</v>
      </c>
      <c r="L129" s="17" t="s">
        <v>4</v>
      </c>
      <c r="M129" s="17"/>
      <c r="N129" s="17" t="s">
        <v>48</v>
      </c>
      <c r="O129" s="17" t="s">
        <v>84</v>
      </c>
      <c r="P129" s="17" t="s">
        <v>50</v>
      </c>
      <c r="Q129" s="17" t="s">
        <v>51</v>
      </c>
      <c r="R129" s="17" t="s">
        <v>52</v>
      </c>
      <c r="S129" s="17" t="s">
        <v>1180</v>
      </c>
      <c r="T129" s="17" t="s">
        <v>54</v>
      </c>
      <c r="U129" s="17" t="s">
        <v>288</v>
      </c>
      <c r="V129" s="17" t="s">
        <v>56</v>
      </c>
      <c r="W129" s="17" t="s">
        <v>1181</v>
      </c>
      <c r="X129" s="17" t="s">
        <v>412</v>
      </c>
      <c r="Y129" s="17" t="s">
        <v>89</v>
      </c>
      <c r="Z129" s="17">
        <v>42.404994239399997</v>
      </c>
      <c r="AA129" s="17">
        <v>-94.378337909600006</v>
      </c>
      <c r="AB129" s="17" t="s">
        <v>1108</v>
      </c>
      <c r="AC129" s="17">
        <v>26</v>
      </c>
      <c r="AD129" s="17">
        <v>3.1448444436763932E-7</v>
      </c>
      <c r="AE129" s="17">
        <f t="shared" si="1"/>
        <v>2016</v>
      </c>
    </row>
    <row r="130" spans="1:31" x14ac:dyDescent="0.25">
      <c r="A130" s="17">
        <v>129</v>
      </c>
      <c r="B130" s="17" t="s">
        <v>1182</v>
      </c>
      <c r="C130" s="17" t="s">
        <v>1182</v>
      </c>
      <c r="D130" s="17" t="s">
        <v>1183</v>
      </c>
      <c r="E130" s="17" t="s">
        <v>1184</v>
      </c>
      <c r="F130" s="17" t="s">
        <v>1175</v>
      </c>
      <c r="G130" s="17" t="s">
        <v>1176</v>
      </c>
      <c r="H130" s="17" t="s">
        <v>1177</v>
      </c>
      <c r="I130" s="17" t="s">
        <v>1178</v>
      </c>
      <c r="J130" s="17" t="s">
        <v>1185</v>
      </c>
      <c r="K130" s="17" t="s">
        <v>82</v>
      </c>
      <c r="L130" s="17" t="s">
        <v>4</v>
      </c>
      <c r="M130" s="17"/>
      <c r="N130" s="17" t="s">
        <v>48</v>
      </c>
      <c r="O130" s="17" t="s">
        <v>84</v>
      </c>
      <c r="P130" s="17" t="s">
        <v>50</v>
      </c>
      <c r="Q130" s="17" t="s">
        <v>51</v>
      </c>
      <c r="R130" s="17" t="s">
        <v>52</v>
      </c>
      <c r="S130" s="17" t="s">
        <v>1180</v>
      </c>
      <c r="T130" s="17" t="s">
        <v>54</v>
      </c>
      <c r="U130" s="17" t="s">
        <v>288</v>
      </c>
      <c r="V130" s="17" t="s">
        <v>289</v>
      </c>
      <c r="W130" s="17" t="s">
        <v>1181</v>
      </c>
      <c r="X130" s="17" t="s">
        <v>412</v>
      </c>
      <c r="Y130" s="17" t="s">
        <v>89</v>
      </c>
      <c r="Z130" s="17">
        <v>42.404994239399997</v>
      </c>
      <c r="AA130" s="17">
        <v>-94.378337909600006</v>
      </c>
      <c r="AB130" s="17" t="s">
        <v>1108</v>
      </c>
      <c r="AC130" s="17">
        <v>26</v>
      </c>
      <c r="AD130" s="17">
        <v>3.1448444436763932E-7</v>
      </c>
      <c r="AE130" s="17">
        <f t="shared" si="1"/>
        <v>2017</v>
      </c>
    </row>
    <row r="131" spans="1:31" x14ac:dyDescent="0.25">
      <c r="A131" s="17">
        <v>130</v>
      </c>
      <c r="B131" s="17" t="s">
        <v>1186</v>
      </c>
      <c r="C131" s="17" t="s">
        <v>1186</v>
      </c>
      <c r="D131" s="17" t="s">
        <v>1187</v>
      </c>
      <c r="E131" s="17" t="s">
        <v>1188</v>
      </c>
      <c r="F131" s="17" t="s">
        <v>1189</v>
      </c>
      <c r="G131" s="17" t="s">
        <v>1190</v>
      </c>
      <c r="H131" s="17" t="s">
        <v>1191</v>
      </c>
      <c r="I131" s="17" t="s">
        <v>1192</v>
      </c>
      <c r="J131" s="17" t="s">
        <v>1193</v>
      </c>
      <c r="K131" s="17" t="s">
        <v>259</v>
      </c>
      <c r="L131" s="17" t="s">
        <v>4</v>
      </c>
      <c r="M131" s="17"/>
      <c r="N131" s="17" t="s">
        <v>48</v>
      </c>
      <c r="O131" s="17" t="s">
        <v>1106</v>
      </c>
      <c r="P131" s="17" t="s">
        <v>50</v>
      </c>
      <c r="Q131" s="17" t="s">
        <v>51</v>
      </c>
      <c r="R131" s="17" t="s">
        <v>52</v>
      </c>
      <c r="S131" s="17" t="s">
        <v>1107</v>
      </c>
      <c r="T131" s="17" t="s">
        <v>54</v>
      </c>
      <c r="U131" s="17" t="s">
        <v>55</v>
      </c>
      <c r="V131" s="17" t="s">
        <v>344</v>
      </c>
      <c r="W131" s="17" t="s">
        <v>250</v>
      </c>
      <c r="X131" s="17" t="s">
        <v>72</v>
      </c>
      <c r="Y131" s="17" t="s">
        <v>179</v>
      </c>
      <c r="Z131" s="17">
        <v>42.408478721000002</v>
      </c>
      <c r="AA131" s="17">
        <v>-94.370891849700001</v>
      </c>
      <c r="AB131" s="17" t="s">
        <v>1108</v>
      </c>
      <c r="AC131" s="17">
        <v>26</v>
      </c>
      <c r="AD131" s="17">
        <v>4.7084104866201963E-5</v>
      </c>
      <c r="AE131" s="17">
        <f t="shared" ref="AE131:AE194" si="2">INT(LEFT(B131,4))</f>
        <v>2022</v>
      </c>
    </row>
    <row r="132" spans="1:31" x14ac:dyDescent="0.25">
      <c r="A132" s="17">
        <v>131</v>
      </c>
      <c r="B132" s="17" t="s">
        <v>1194</v>
      </c>
      <c r="C132" s="17" t="s">
        <v>1194</v>
      </c>
      <c r="D132" s="17" t="s">
        <v>1195</v>
      </c>
      <c r="E132" s="17" t="s">
        <v>1196</v>
      </c>
      <c r="F132" s="17" t="s">
        <v>1197</v>
      </c>
      <c r="G132" s="17" t="s">
        <v>1198</v>
      </c>
      <c r="H132" s="17" t="s">
        <v>1199</v>
      </c>
      <c r="I132" s="17" t="s">
        <v>1200</v>
      </c>
      <c r="J132" s="17" t="s">
        <v>1201</v>
      </c>
      <c r="K132" s="17" t="s">
        <v>47</v>
      </c>
      <c r="L132" s="17" t="s">
        <v>4</v>
      </c>
      <c r="M132" s="17"/>
      <c r="N132" s="17" t="s">
        <v>48</v>
      </c>
      <c r="O132" s="17" t="s">
        <v>1106</v>
      </c>
      <c r="P132" s="17" t="s">
        <v>50</v>
      </c>
      <c r="Q132" s="17" t="s">
        <v>51</v>
      </c>
      <c r="R132" s="17" t="s">
        <v>52</v>
      </c>
      <c r="S132" s="17" t="s">
        <v>1107</v>
      </c>
      <c r="T132" s="17" t="s">
        <v>54</v>
      </c>
      <c r="U132" s="17" t="s">
        <v>55</v>
      </c>
      <c r="V132" s="17" t="s">
        <v>70</v>
      </c>
      <c r="W132" s="17" t="s">
        <v>189</v>
      </c>
      <c r="X132" s="17" t="s">
        <v>72</v>
      </c>
      <c r="Y132" s="17" t="s">
        <v>179</v>
      </c>
      <c r="Z132" s="17">
        <v>42.411332127599998</v>
      </c>
      <c r="AA132" s="17">
        <v>-94.364974727000003</v>
      </c>
      <c r="AB132" s="17" t="s">
        <v>1108</v>
      </c>
      <c r="AC132" s="17">
        <v>26</v>
      </c>
      <c r="AD132" s="17">
        <v>5.3303756202739782E-7</v>
      </c>
      <c r="AE132" s="17">
        <f t="shared" si="2"/>
        <v>2022</v>
      </c>
    </row>
    <row r="133" spans="1:31" x14ac:dyDescent="0.25">
      <c r="A133" s="17">
        <v>132</v>
      </c>
      <c r="B133" s="17" t="s">
        <v>1202</v>
      </c>
      <c r="C133" s="17" t="s">
        <v>1203</v>
      </c>
      <c r="D133" s="17" t="s">
        <v>1204</v>
      </c>
      <c r="E133" s="17" t="s">
        <v>1205</v>
      </c>
      <c r="F133" s="17" t="s">
        <v>1206</v>
      </c>
      <c r="G133" s="17" t="s">
        <v>1207</v>
      </c>
      <c r="H133" s="17" t="s">
        <v>1208</v>
      </c>
      <c r="I133" s="17" t="s">
        <v>1209</v>
      </c>
      <c r="J133" s="17" t="s">
        <v>1210</v>
      </c>
      <c r="K133" s="17" t="s">
        <v>47</v>
      </c>
      <c r="L133" s="17" t="s">
        <v>4</v>
      </c>
      <c r="M133" s="17" t="s">
        <v>1159</v>
      </c>
      <c r="N133" s="17" t="s">
        <v>145</v>
      </c>
      <c r="O133" s="17" t="s">
        <v>146</v>
      </c>
      <c r="P133" s="17" t="s">
        <v>147</v>
      </c>
      <c r="Q133" s="17" t="s">
        <v>51</v>
      </c>
      <c r="R133" s="17" t="s">
        <v>52</v>
      </c>
      <c r="S133" s="17" t="s">
        <v>1125</v>
      </c>
      <c r="T133" s="17" t="s">
        <v>54</v>
      </c>
      <c r="U133" s="17" t="s">
        <v>55</v>
      </c>
      <c r="V133" s="17" t="s">
        <v>70</v>
      </c>
      <c r="W133" s="17" t="s">
        <v>199</v>
      </c>
      <c r="X133" s="17" t="s">
        <v>58</v>
      </c>
      <c r="Y133" s="17" t="s">
        <v>161</v>
      </c>
      <c r="Z133" s="17">
        <v>42.414040892000003</v>
      </c>
      <c r="AA133" s="17">
        <v>-94.359078253099995</v>
      </c>
      <c r="AB133" s="17" t="s">
        <v>1108</v>
      </c>
      <c r="AC133" s="17">
        <v>26</v>
      </c>
      <c r="AD133" s="17">
        <v>4.6470456485036959E-5</v>
      </c>
      <c r="AE133" s="17">
        <f t="shared" si="2"/>
        <v>2013</v>
      </c>
    </row>
    <row r="134" spans="1:31" x14ac:dyDescent="0.25">
      <c r="A134" s="17">
        <v>133</v>
      </c>
      <c r="B134" s="17" t="s">
        <v>1211</v>
      </c>
      <c r="C134" s="17" t="s">
        <v>1212</v>
      </c>
      <c r="D134" s="17" t="s">
        <v>1213</v>
      </c>
      <c r="E134" s="17" t="s">
        <v>1214</v>
      </c>
      <c r="F134" s="17" t="s">
        <v>1215</v>
      </c>
      <c r="G134" s="17" t="s">
        <v>1216</v>
      </c>
      <c r="H134" s="17" t="s">
        <v>1217</v>
      </c>
      <c r="I134" s="17" t="s">
        <v>1218</v>
      </c>
      <c r="J134" s="17" t="s">
        <v>916</v>
      </c>
      <c r="K134" s="17" t="s">
        <v>120</v>
      </c>
      <c r="L134" s="17" t="s">
        <v>4</v>
      </c>
      <c r="M134" s="17"/>
      <c r="N134" s="17" t="s">
        <v>145</v>
      </c>
      <c r="O134" s="17" t="s">
        <v>146</v>
      </c>
      <c r="P134" s="17" t="s">
        <v>147</v>
      </c>
      <c r="Q134" s="17" t="s">
        <v>51</v>
      </c>
      <c r="R134" s="17" t="s">
        <v>52</v>
      </c>
      <c r="S134" s="17" t="s">
        <v>1125</v>
      </c>
      <c r="T134" s="17" t="s">
        <v>54</v>
      </c>
      <c r="U134" s="17" t="s">
        <v>55</v>
      </c>
      <c r="V134" s="17" t="s">
        <v>56</v>
      </c>
      <c r="W134" s="17" t="s">
        <v>362</v>
      </c>
      <c r="X134" s="17" t="s">
        <v>72</v>
      </c>
      <c r="Y134" s="17" t="s">
        <v>161</v>
      </c>
      <c r="Z134" s="17">
        <v>42.416324434800003</v>
      </c>
      <c r="AA134" s="17">
        <v>-94.354083676499997</v>
      </c>
      <c r="AB134" s="17" t="s">
        <v>1108</v>
      </c>
      <c r="AC134" s="17">
        <v>26</v>
      </c>
      <c r="AD134" s="17">
        <v>7.7799852902374505E-5</v>
      </c>
      <c r="AE134" s="17">
        <f t="shared" si="2"/>
        <v>2014</v>
      </c>
    </row>
    <row r="135" spans="1:31" x14ac:dyDescent="0.25">
      <c r="A135" s="17">
        <v>134</v>
      </c>
      <c r="B135" s="17" t="s">
        <v>1219</v>
      </c>
      <c r="C135" s="17" t="s">
        <v>1219</v>
      </c>
      <c r="D135" s="17" t="s">
        <v>1220</v>
      </c>
      <c r="E135" s="17" t="s">
        <v>1221</v>
      </c>
      <c r="F135" s="17" t="s">
        <v>1222</v>
      </c>
      <c r="G135" s="17" t="s">
        <v>1223</v>
      </c>
      <c r="H135" s="17" t="s">
        <v>1224</v>
      </c>
      <c r="I135" s="17" t="s">
        <v>1225</v>
      </c>
      <c r="J135" s="17" t="s">
        <v>1226</v>
      </c>
      <c r="K135" s="17" t="s">
        <v>82</v>
      </c>
      <c r="L135" s="17" t="s">
        <v>4</v>
      </c>
      <c r="M135" s="17"/>
      <c r="N135" s="17" t="s">
        <v>48</v>
      </c>
      <c r="O135" s="17" t="s">
        <v>1106</v>
      </c>
      <c r="P135" s="17" t="s">
        <v>50</v>
      </c>
      <c r="Q135" s="17" t="s">
        <v>51</v>
      </c>
      <c r="R135" s="17" t="s">
        <v>52</v>
      </c>
      <c r="S135" s="17" t="s">
        <v>1142</v>
      </c>
      <c r="T135" s="17" t="s">
        <v>54</v>
      </c>
      <c r="U135" s="17" t="s">
        <v>55</v>
      </c>
      <c r="V135" s="17" t="s">
        <v>70</v>
      </c>
      <c r="W135" s="17" t="s">
        <v>362</v>
      </c>
      <c r="X135" s="17" t="s">
        <v>1227</v>
      </c>
      <c r="Y135" s="17" t="s">
        <v>89</v>
      </c>
      <c r="Z135" s="17">
        <v>42.420404997200002</v>
      </c>
      <c r="AA135" s="17">
        <v>-94.344824485900006</v>
      </c>
      <c r="AB135" s="17" t="s">
        <v>1108</v>
      </c>
      <c r="AC135" s="17">
        <v>26</v>
      </c>
      <c r="AD135" s="17">
        <v>3.2328628440807052E-6</v>
      </c>
      <c r="AE135" s="17">
        <f t="shared" si="2"/>
        <v>2017</v>
      </c>
    </row>
    <row r="136" spans="1:31" x14ac:dyDescent="0.25">
      <c r="A136" s="17">
        <v>135</v>
      </c>
      <c r="B136" s="17" t="s">
        <v>1228</v>
      </c>
      <c r="C136" s="17" t="s">
        <v>1228</v>
      </c>
      <c r="D136" s="17" t="s">
        <v>1229</v>
      </c>
      <c r="E136" s="17" t="s">
        <v>1230</v>
      </c>
      <c r="F136" s="17" t="s">
        <v>1231</v>
      </c>
      <c r="G136" s="17" t="s">
        <v>1232</v>
      </c>
      <c r="H136" s="17" t="s">
        <v>1233</v>
      </c>
      <c r="I136" s="17" t="s">
        <v>1234</v>
      </c>
      <c r="J136" s="17" t="s">
        <v>1235</v>
      </c>
      <c r="K136" s="17" t="s">
        <v>216</v>
      </c>
      <c r="L136" s="17" t="s">
        <v>4</v>
      </c>
      <c r="M136" s="17"/>
      <c r="N136" s="17" t="s">
        <v>48</v>
      </c>
      <c r="O136" s="17" t="s">
        <v>1236</v>
      </c>
      <c r="P136" s="17" t="s">
        <v>50</v>
      </c>
      <c r="Q136" s="17" t="s">
        <v>51</v>
      </c>
      <c r="R136" s="17" t="s">
        <v>52</v>
      </c>
      <c r="S136" s="17" t="s">
        <v>1237</v>
      </c>
      <c r="T136" s="17" t="s">
        <v>54</v>
      </c>
      <c r="U136" s="17" t="s">
        <v>288</v>
      </c>
      <c r="V136" s="17" t="s">
        <v>70</v>
      </c>
      <c r="W136" s="17" t="s">
        <v>100</v>
      </c>
      <c r="X136" s="17" t="s">
        <v>150</v>
      </c>
      <c r="Y136" s="17" t="s">
        <v>150</v>
      </c>
      <c r="Z136" s="17">
        <v>42.4229462789</v>
      </c>
      <c r="AA136" s="17">
        <v>-94.339299547600007</v>
      </c>
      <c r="AB136" s="17" t="s">
        <v>1108</v>
      </c>
      <c r="AC136" s="17">
        <v>26</v>
      </c>
      <c r="AD136" s="17">
        <v>1.8094638038289621E-5</v>
      </c>
      <c r="AE136" s="17">
        <f t="shared" si="2"/>
        <v>2016</v>
      </c>
    </row>
    <row r="137" spans="1:31" x14ac:dyDescent="0.25">
      <c r="A137" s="17">
        <v>136</v>
      </c>
      <c r="B137" s="17" t="s">
        <v>1238</v>
      </c>
      <c r="C137" s="17" t="s">
        <v>1239</v>
      </c>
      <c r="D137" s="17" t="s">
        <v>1240</v>
      </c>
      <c r="E137" s="17" t="s">
        <v>1241</v>
      </c>
      <c r="F137" s="17" t="s">
        <v>1242</v>
      </c>
      <c r="G137" s="17" t="s">
        <v>1243</v>
      </c>
      <c r="H137" s="17" t="s">
        <v>1244</v>
      </c>
      <c r="I137" s="17" t="s">
        <v>1245</v>
      </c>
      <c r="J137" s="17" t="s">
        <v>1246</v>
      </c>
      <c r="K137" s="17" t="s">
        <v>69</v>
      </c>
      <c r="L137" s="17" t="s">
        <v>4</v>
      </c>
      <c r="M137" s="17"/>
      <c r="N137" s="17" t="s">
        <v>145</v>
      </c>
      <c r="O137" s="17" t="s">
        <v>146</v>
      </c>
      <c r="P137" s="17" t="s">
        <v>147</v>
      </c>
      <c r="Q137" s="17" t="s">
        <v>51</v>
      </c>
      <c r="R137" s="17" t="s">
        <v>52</v>
      </c>
      <c r="S137" s="17" t="s">
        <v>1125</v>
      </c>
      <c r="T137" s="17" t="s">
        <v>54</v>
      </c>
      <c r="U137" s="17" t="s">
        <v>55</v>
      </c>
      <c r="V137" s="17" t="s">
        <v>70</v>
      </c>
      <c r="W137" s="17" t="s">
        <v>1247</v>
      </c>
      <c r="X137" s="17" t="s">
        <v>150</v>
      </c>
      <c r="Y137" s="17" t="s">
        <v>150</v>
      </c>
      <c r="Z137" s="17">
        <v>42.424249256300001</v>
      </c>
      <c r="AA137" s="17">
        <v>-94.336458587799996</v>
      </c>
      <c r="AB137" s="17" t="s">
        <v>1108</v>
      </c>
      <c r="AC137" s="17">
        <v>26</v>
      </c>
      <c r="AD137" s="17">
        <v>1.196299210803259E-5</v>
      </c>
      <c r="AE137" s="17">
        <f t="shared" si="2"/>
        <v>2013</v>
      </c>
    </row>
    <row r="138" spans="1:31" x14ac:dyDescent="0.25">
      <c r="A138" s="17">
        <v>137</v>
      </c>
      <c r="B138" s="17" t="s">
        <v>1248</v>
      </c>
      <c r="C138" s="17" t="s">
        <v>1248</v>
      </c>
      <c r="D138" s="17" t="s">
        <v>1249</v>
      </c>
      <c r="E138" s="17" t="s">
        <v>1250</v>
      </c>
      <c r="F138" s="17" t="s">
        <v>1251</v>
      </c>
      <c r="G138" s="17" t="s">
        <v>1252</v>
      </c>
      <c r="H138" s="17" t="s">
        <v>1253</v>
      </c>
      <c r="I138" s="17" t="s">
        <v>1254</v>
      </c>
      <c r="J138" s="17" t="s">
        <v>1255</v>
      </c>
      <c r="K138" s="17" t="s">
        <v>120</v>
      </c>
      <c r="L138" s="17" t="s">
        <v>4</v>
      </c>
      <c r="M138" s="17" t="s">
        <v>1159</v>
      </c>
      <c r="N138" s="17" t="s">
        <v>48</v>
      </c>
      <c r="O138" s="17" t="s">
        <v>1106</v>
      </c>
      <c r="P138" s="17" t="s">
        <v>50</v>
      </c>
      <c r="Q138" s="17" t="s">
        <v>51</v>
      </c>
      <c r="R138" s="17" t="s">
        <v>52</v>
      </c>
      <c r="S138" s="17" t="s">
        <v>1107</v>
      </c>
      <c r="T138" s="17" t="s">
        <v>54</v>
      </c>
      <c r="U138" s="17" t="s">
        <v>55</v>
      </c>
      <c r="V138" s="17" t="s">
        <v>70</v>
      </c>
      <c r="W138" s="17" t="s">
        <v>87</v>
      </c>
      <c r="X138" s="17" t="s">
        <v>150</v>
      </c>
      <c r="Y138" s="17" t="s">
        <v>150</v>
      </c>
      <c r="Z138" s="17">
        <v>42.425967783099999</v>
      </c>
      <c r="AA138" s="17">
        <v>-94.332726788399995</v>
      </c>
      <c r="AB138" s="17" t="s">
        <v>1108</v>
      </c>
      <c r="AC138" s="17">
        <v>26</v>
      </c>
      <c r="AD138" s="17">
        <v>1.0168688672919299E-5</v>
      </c>
      <c r="AE138" s="17">
        <f t="shared" si="2"/>
        <v>2021</v>
      </c>
    </row>
    <row r="139" spans="1:31" x14ac:dyDescent="0.25">
      <c r="A139" s="17">
        <v>138</v>
      </c>
      <c r="B139" s="17" t="s">
        <v>1256</v>
      </c>
      <c r="C139" s="17" t="s">
        <v>1256</v>
      </c>
      <c r="D139" s="17" t="s">
        <v>1257</v>
      </c>
      <c r="E139" s="17" t="s">
        <v>1258</v>
      </c>
      <c r="F139" s="17" t="s">
        <v>1259</v>
      </c>
      <c r="G139" s="17" t="s">
        <v>1260</v>
      </c>
      <c r="H139" s="17" t="s">
        <v>1261</v>
      </c>
      <c r="I139" s="17" t="s">
        <v>1262</v>
      </c>
      <c r="J139" s="17" t="s">
        <v>1263</v>
      </c>
      <c r="K139" s="17" t="s">
        <v>216</v>
      </c>
      <c r="L139" s="17" t="s">
        <v>4</v>
      </c>
      <c r="M139" s="17"/>
      <c r="N139" s="17" t="s">
        <v>48</v>
      </c>
      <c r="O139" s="17" t="s">
        <v>1106</v>
      </c>
      <c r="P139" s="17" t="s">
        <v>50</v>
      </c>
      <c r="Q139" s="17" t="s">
        <v>51</v>
      </c>
      <c r="R139" s="17" t="s">
        <v>52</v>
      </c>
      <c r="S139" s="17" t="s">
        <v>1142</v>
      </c>
      <c r="T139" s="17" t="s">
        <v>54</v>
      </c>
      <c r="U139" s="17" t="s">
        <v>55</v>
      </c>
      <c r="V139" s="17" t="s">
        <v>70</v>
      </c>
      <c r="W139" s="17" t="s">
        <v>1264</v>
      </c>
      <c r="X139" s="17" t="s">
        <v>150</v>
      </c>
      <c r="Y139" s="17" t="s">
        <v>150</v>
      </c>
      <c r="Z139" s="17">
        <v>42.428545632899997</v>
      </c>
      <c r="AA139" s="17">
        <v>-94.327104396600006</v>
      </c>
      <c r="AB139" s="17" t="s">
        <v>1108</v>
      </c>
      <c r="AC139" s="17">
        <v>26</v>
      </c>
      <c r="AD139" s="17">
        <v>2.8064520798317479E-6</v>
      </c>
      <c r="AE139" s="17">
        <f t="shared" si="2"/>
        <v>2019</v>
      </c>
    </row>
    <row r="140" spans="1:31" x14ac:dyDescent="0.25">
      <c r="A140" s="17">
        <v>139</v>
      </c>
      <c r="B140" s="17" t="s">
        <v>1265</v>
      </c>
      <c r="C140" s="17" t="s">
        <v>1266</v>
      </c>
      <c r="D140" s="17" t="s">
        <v>1267</v>
      </c>
      <c r="E140" s="17" t="s">
        <v>1268</v>
      </c>
      <c r="F140" s="17" t="s">
        <v>1269</v>
      </c>
      <c r="G140" s="17" t="s">
        <v>1270</v>
      </c>
      <c r="H140" s="17" t="s">
        <v>1271</v>
      </c>
      <c r="I140" s="17" t="s">
        <v>1272</v>
      </c>
      <c r="J140" s="17" t="s">
        <v>1273</v>
      </c>
      <c r="K140" s="17" t="s">
        <v>99</v>
      </c>
      <c r="L140" s="17" t="s">
        <v>4</v>
      </c>
      <c r="M140" s="17"/>
      <c r="N140" s="17" t="s">
        <v>145</v>
      </c>
      <c r="O140" s="17" t="s">
        <v>146</v>
      </c>
      <c r="P140" s="17" t="s">
        <v>147</v>
      </c>
      <c r="Q140" s="17" t="s">
        <v>51</v>
      </c>
      <c r="R140" s="17" t="s">
        <v>52</v>
      </c>
      <c r="S140" s="17" t="s">
        <v>1125</v>
      </c>
      <c r="T140" s="17" t="s">
        <v>54</v>
      </c>
      <c r="U140" s="17" t="s">
        <v>55</v>
      </c>
      <c r="V140" s="17" t="s">
        <v>70</v>
      </c>
      <c r="W140" s="17" t="s">
        <v>100</v>
      </c>
      <c r="X140" s="17" t="s">
        <v>72</v>
      </c>
      <c r="Y140" s="17" t="s">
        <v>1274</v>
      </c>
      <c r="Z140" s="17">
        <v>42.431982252700003</v>
      </c>
      <c r="AA140" s="17">
        <v>-94.319615253400002</v>
      </c>
      <c r="AB140" s="17" t="s">
        <v>1108</v>
      </c>
      <c r="AC140" s="17">
        <v>26</v>
      </c>
      <c r="AD140" s="17">
        <v>1.1275236467378981E-5</v>
      </c>
      <c r="AE140" s="17">
        <f t="shared" si="2"/>
        <v>2013</v>
      </c>
    </row>
    <row r="141" spans="1:31" x14ac:dyDescent="0.25">
      <c r="A141" s="17">
        <v>140</v>
      </c>
      <c r="B141" s="17" t="s">
        <v>1275</v>
      </c>
      <c r="C141" s="17" t="s">
        <v>1275</v>
      </c>
      <c r="D141" s="17" t="s">
        <v>1276</v>
      </c>
      <c r="E141" s="17" t="s">
        <v>1277</v>
      </c>
      <c r="F141" s="17" t="s">
        <v>1278</v>
      </c>
      <c r="G141" s="17" t="s">
        <v>1279</v>
      </c>
      <c r="H141" s="17" t="s">
        <v>1280</v>
      </c>
      <c r="I141" s="17" t="s">
        <v>1281</v>
      </c>
      <c r="J141" s="17" t="s">
        <v>1282</v>
      </c>
      <c r="K141" s="17" t="s">
        <v>120</v>
      </c>
      <c r="L141" s="17" t="s">
        <v>4</v>
      </c>
      <c r="M141" s="17"/>
      <c r="N141" s="17" t="s">
        <v>48</v>
      </c>
      <c r="O141" s="17" t="s">
        <v>1106</v>
      </c>
      <c r="P141" s="17" t="s">
        <v>50</v>
      </c>
      <c r="Q141" s="17" t="s">
        <v>51</v>
      </c>
      <c r="R141" s="17" t="s">
        <v>52</v>
      </c>
      <c r="S141" s="17" t="s">
        <v>1142</v>
      </c>
      <c r="T141" s="17" t="s">
        <v>54</v>
      </c>
      <c r="U141" s="17" t="s">
        <v>55</v>
      </c>
      <c r="V141" s="17" t="s">
        <v>70</v>
      </c>
      <c r="W141" s="17" t="s">
        <v>335</v>
      </c>
      <c r="X141" s="17" t="s">
        <v>150</v>
      </c>
      <c r="Y141" s="17" t="s">
        <v>150</v>
      </c>
      <c r="Z141" s="17">
        <v>42.433792789199998</v>
      </c>
      <c r="AA141" s="17">
        <v>-94.315665630400005</v>
      </c>
      <c r="AB141" s="17" t="s">
        <v>1108</v>
      </c>
      <c r="AC141" s="17">
        <v>26</v>
      </c>
      <c r="AD141" s="17">
        <v>1.412886333240796E-5</v>
      </c>
      <c r="AE141" s="17">
        <f t="shared" si="2"/>
        <v>2019</v>
      </c>
    </row>
    <row r="142" spans="1:31" x14ac:dyDescent="0.25">
      <c r="A142" s="17">
        <v>141</v>
      </c>
      <c r="B142" s="17" t="s">
        <v>1283</v>
      </c>
      <c r="C142" s="17" t="s">
        <v>1284</v>
      </c>
      <c r="D142" s="17" t="s">
        <v>1285</v>
      </c>
      <c r="E142" s="17" t="s">
        <v>1286</v>
      </c>
      <c r="F142" s="17" t="s">
        <v>1287</v>
      </c>
      <c r="G142" s="17" t="s">
        <v>1288</v>
      </c>
      <c r="H142" s="17" t="s">
        <v>1289</v>
      </c>
      <c r="I142" s="17" t="s">
        <v>1290</v>
      </c>
      <c r="J142" s="17" t="s">
        <v>1291</v>
      </c>
      <c r="K142" s="17" t="s">
        <v>216</v>
      </c>
      <c r="L142" s="17" t="s">
        <v>4</v>
      </c>
      <c r="M142" s="17"/>
      <c r="N142" s="17" t="s">
        <v>145</v>
      </c>
      <c r="O142" s="17" t="s">
        <v>146</v>
      </c>
      <c r="P142" s="17" t="s">
        <v>147</v>
      </c>
      <c r="Q142" s="17" t="s">
        <v>51</v>
      </c>
      <c r="R142" s="17" t="s">
        <v>52</v>
      </c>
      <c r="S142" s="17" t="s">
        <v>1125</v>
      </c>
      <c r="T142" s="17" t="s">
        <v>54</v>
      </c>
      <c r="U142" s="17" t="s">
        <v>55</v>
      </c>
      <c r="V142" s="17" t="s">
        <v>70</v>
      </c>
      <c r="W142" s="17" t="s">
        <v>293</v>
      </c>
      <c r="X142" s="17" t="s">
        <v>971</v>
      </c>
      <c r="Y142" s="17" t="s">
        <v>161</v>
      </c>
      <c r="Z142" s="17">
        <v>42.4342266994</v>
      </c>
      <c r="AA142" s="17">
        <v>-94.314738585000001</v>
      </c>
      <c r="AB142" s="17" t="s">
        <v>1108</v>
      </c>
      <c r="AC142" s="17">
        <v>26</v>
      </c>
      <c r="AD142" s="17">
        <v>6.6690174152599563E-6</v>
      </c>
      <c r="AE142" s="17">
        <f t="shared" si="2"/>
        <v>2013</v>
      </c>
    </row>
    <row r="143" spans="1:31" x14ac:dyDescent="0.25">
      <c r="A143" s="17">
        <v>142</v>
      </c>
      <c r="B143" s="17" t="s">
        <v>1292</v>
      </c>
      <c r="C143" s="17" t="s">
        <v>1292</v>
      </c>
      <c r="D143" s="17" t="s">
        <v>1293</v>
      </c>
      <c r="E143" s="17" t="s">
        <v>1294</v>
      </c>
      <c r="F143" s="17" t="s">
        <v>1295</v>
      </c>
      <c r="G143" s="17" t="s">
        <v>1296</v>
      </c>
      <c r="H143" s="17" t="s">
        <v>1297</v>
      </c>
      <c r="I143" s="17" t="s">
        <v>1298</v>
      </c>
      <c r="J143" s="17" t="s">
        <v>1299</v>
      </c>
      <c r="K143" s="17" t="s">
        <v>47</v>
      </c>
      <c r="L143" s="17" t="s">
        <v>4</v>
      </c>
      <c r="M143" s="17" t="s">
        <v>1159</v>
      </c>
      <c r="N143" s="17" t="s">
        <v>48</v>
      </c>
      <c r="O143" s="17" t="s">
        <v>49</v>
      </c>
      <c r="P143" s="17" t="s">
        <v>50</v>
      </c>
      <c r="Q143" s="17" t="s">
        <v>51</v>
      </c>
      <c r="R143" s="17" t="s">
        <v>52</v>
      </c>
      <c r="S143" s="17" t="s">
        <v>1300</v>
      </c>
      <c r="T143" s="17" t="s">
        <v>86</v>
      </c>
      <c r="U143" s="17" t="s">
        <v>55</v>
      </c>
      <c r="V143" s="17" t="s">
        <v>56</v>
      </c>
      <c r="W143" s="17" t="s">
        <v>133</v>
      </c>
      <c r="X143" s="17" t="s">
        <v>622</v>
      </c>
      <c r="Y143" s="17" t="s">
        <v>89</v>
      </c>
      <c r="Z143" s="17">
        <v>42.440894687799997</v>
      </c>
      <c r="AA143" s="17">
        <v>-94.300202415699999</v>
      </c>
      <c r="AB143" s="17" t="s">
        <v>1108</v>
      </c>
      <c r="AC143" s="17">
        <v>26</v>
      </c>
      <c r="AD143" s="17">
        <v>1.8040513801254648E-5</v>
      </c>
      <c r="AE143" s="17">
        <f t="shared" si="2"/>
        <v>2018</v>
      </c>
    </row>
    <row r="144" spans="1:31" x14ac:dyDescent="0.25">
      <c r="A144" s="17">
        <v>143</v>
      </c>
      <c r="B144" s="17" t="s">
        <v>1301</v>
      </c>
      <c r="C144" s="17" t="s">
        <v>1301</v>
      </c>
      <c r="D144" s="17" t="s">
        <v>1302</v>
      </c>
      <c r="E144" s="17" t="s">
        <v>1303</v>
      </c>
      <c r="F144" s="17" t="s">
        <v>1304</v>
      </c>
      <c r="G144" s="17" t="s">
        <v>1305</v>
      </c>
      <c r="H144" s="17" t="s">
        <v>1306</v>
      </c>
      <c r="I144" s="17" t="s">
        <v>1307</v>
      </c>
      <c r="J144" s="17" t="s">
        <v>1273</v>
      </c>
      <c r="K144" s="17" t="s">
        <v>216</v>
      </c>
      <c r="L144" s="17" t="s">
        <v>4</v>
      </c>
      <c r="M144" s="17" t="s">
        <v>1159</v>
      </c>
      <c r="N144" s="17" t="s">
        <v>48</v>
      </c>
      <c r="O144" s="17" t="s">
        <v>1308</v>
      </c>
      <c r="P144" s="17" t="s">
        <v>50</v>
      </c>
      <c r="Q144" s="17" t="s">
        <v>51</v>
      </c>
      <c r="R144" s="17" t="s">
        <v>52</v>
      </c>
      <c r="S144" s="17" t="s">
        <v>547</v>
      </c>
      <c r="T144" s="17" t="s">
        <v>86</v>
      </c>
      <c r="U144" s="17" t="s">
        <v>55</v>
      </c>
      <c r="V144" s="17" t="s">
        <v>70</v>
      </c>
      <c r="W144" s="17" t="s">
        <v>1309</v>
      </c>
      <c r="X144" s="17" t="s">
        <v>484</v>
      </c>
      <c r="Y144" s="17" t="s">
        <v>89</v>
      </c>
      <c r="Z144" s="17">
        <v>42.441098633300001</v>
      </c>
      <c r="AA144" s="17">
        <v>-94.292522286999997</v>
      </c>
      <c r="AB144" s="17" t="s">
        <v>1310</v>
      </c>
      <c r="AC144" s="17">
        <v>29</v>
      </c>
      <c r="AD144" s="17">
        <v>4.341095728438268E-4</v>
      </c>
      <c r="AE144" s="17">
        <f t="shared" si="2"/>
        <v>2020</v>
      </c>
    </row>
    <row r="145" spans="1:31" x14ac:dyDescent="0.25">
      <c r="A145" s="17">
        <v>144</v>
      </c>
      <c r="B145" s="17" t="s">
        <v>1311</v>
      </c>
      <c r="C145" s="17" t="s">
        <v>1312</v>
      </c>
      <c r="D145" s="17"/>
      <c r="E145" s="17" t="s">
        <v>1313</v>
      </c>
      <c r="F145" s="17" t="s">
        <v>1314</v>
      </c>
      <c r="G145" s="17" t="s">
        <v>1315</v>
      </c>
      <c r="H145" s="17" t="s">
        <v>1316</v>
      </c>
      <c r="I145" s="17" t="s">
        <v>1317</v>
      </c>
      <c r="J145" s="17" t="s">
        <v>489</v>
      </c>
      <c r="K145" s="17" t="s">
        <v>82</v>
      </c>
      <c r="L145" s="17" t="s">
        <v>4</v>
      </c>
      <c r="M145" s="17" t="s">
        <v>1318</v>
      </c>
      <c r="N145" s="17" t="s">
        <v>48</v>
      </c>
      <c r="O145" s="17" t="s">
        <v>146</v>
      </c>
      <c r="P145" s="17" t="s">
        <v>147</v>
      </c>
      <c r="Q145" s="17" t="s">
        <v>51</v>
      </c>
      <c r="R145" s="17" t="s">
        <v>52</v>
      </c>
      <c r="S145" s="17" t="s">
        <v>1319</v>
      </c>
      <c r="T145" s="17" t="s">
        <v>86</v>
      </c>
      <c r="U145" s="17" t="s">
        <v>569</v>
      </c>
      <c r="V145" s="17" t="s">
        <v>70</v>
      </c>
      <c r="W145" s="17" t="s">
        <v>87</v>
      </c>
      <c r="X145" s="17" t="s">
        <v>1320</v>
      </c>
      <c r="Y145" s="17" t="s">
        <v>1321</v>
      </c>
      <c r="Z145" s="17">
        <v>42.441522492600001</v>
      </c>
      <c r="AA145" s="17">
        <v>-94.292470206000004</v>
      </c>
      <c r="AB145" s="17" t="s">
        <v>1310</v>
      </c>
      <c r="AC145" s="17">
        <v>29</v>
      </c>
      <c r="AD145" s="17">
        <v>1.0585837356862771E-5</v>
      </c>
      <c r="AE145" s="17">
        <f t="shared" si="2"/>
        <v>2013</v>
      </c>
    </row>
    <row r="146" spans="1:31" x14ac:dyDescent="0.25">
      <c r="A146" s="17">
        <v>145</v>
      </c>
      <c r="B146" s="17" t="s">
        <v>1322</v>
      </c>
      <c r="C146" s="17" t="s">
        <v>1322</v>
      </c>
      <c r="D146" s="17" t="s">
        <v>1323</v>
      </c>
      <c r="E146" s="17" t="s">
        <v>1324</v>
      </c>
      <c r="F146" s="17" t="s">
        <v>1325</v>
      </c>
      <c r="G146" s="17" t="s">
        <v>1326</v>
      </c>
      <c r="H146" s="17" t="s">
        <v>1327</v>
      </c>
      <c r="I146" s="17" t="s">
        <v>1328</v>
      </c>
      <c r="J146" s="17" t="s">
        <v>1329</v>
      </c>
      <c r="K146" s="17" t="s">
        <v>99</v>
      </c>
      <c r="L146" s="17" t="s">
        <v>4</v>
      </c>
      <c r="M146" s="17" t="s">
        <v>1159</v>
      </c>
      <c r="N146" s="17" t="s">
        <v>48</v>
      </c>
      <c r="O146" s="17" t="s">
        <v>802</v>
      </c>
      <c r="P146" s="17" t="s">
        <v>467</v>
      </c>
      <c r="Q146" s="17" t="s">
        <v>51</v>
      </c>
      <c r="R146" s="17" t="s">
        <v>52</v>
      </c>
      <c r="S146" s="17" t="s">
        <v>1330</v>
      </c>
      <c r="T146" s="17" t="s">
        <v>86</v>
      </c>
      <c r="U146" s="17" t="s">
        <v>569</v>
      </c>
      <c r="V146" s="17" t="s">
        <v>70</v>
      </c>
      <c r="W146" s="17" t="s">
        <v>1331</v>
      </c>
      <c r="X146" s="17" t="s">
        <v>58</v>
      </c>
      <c r="Y146" s="17" t="s">
        <v>839</v>
      </c>
      <c r="Z146" s="17">
        <v>42.441550811399999</v>
      </c>
      <c r="AA146" s="17">
        <v>-94.290756388099993</v>
      </c>
      <c r="AB146" s="17" t="s">
        <v>1310</v>
      </c>
      <c r="AC146" s="17">
        <v>29</v>
      </c>
      <c r="AD146" s="17">
        <v>6.9426058111666853E-6</v>
      </c>
      <c r="AE146" s="17">
        <f t="shared" si="2"/>
        <v>2020</v>
      </c>
    </row>
    <row r="147" spans="1:31" x14ac:dyDescent="0.25">
      <c r="A147" s="17">
        <v>146</v>
      </c>
      <c r="B147" s="17" t="s">
        <v>1332</v>
      </c>
      <c r="C147" s="17" t="s">
        <v>1332</v>
      </c>
      <c r="D147" s="17" t="s">
        <v>1333</v>
      </c>
      <c r="E147" s="17" t="s">
        <v>1334</v>
      </c>
      <c r="F147" s="17" t="s">
        <v>1335</v>
      </c>
      <c r="G147" s="17" t="s">
        <v>1336</v>
      </c>
      <c r="H147" s="17" t="s">
        <v>1337</v>
      </c>
      <c r="I147" s="17" t="s">
        <v>1338</v>
      </c>
      <c r="J147" s="17" t="s">
        <v>1339</v>
      </c>
      <c r="K147" s="17" t="s">
        <v>120</v>
      </c>
      <c r="L147" s="17" t="s">
        <v>4</v>
      </c>
      <c r="M147" s="17" t="s">
        <v>1159</v>
      </c>
      <c r="N147" s="17" t="s">
        <v>48</v>
      </c>
      <c r="O147" s="17" t="s">
        <v>1236</v>
      </c>
      <c r="P147" s="17" t="s">
        <v>50</v>
      </c>
      <c r="Q147" s="17" t="s">
        <v>51</v>
      </c>
      <c r="R147" s="17" t="s">
        <v>52</v>
      </c>
      <c r="S147" s="17" t="s">
        <v>1340</v>
      </c>
      <c r="T147" s="17" t="s">
        <v>86</v>
      </c>
      <c r="U147" s="17" t="s">
        <v>55</v>
      </c>
      <c r="V147" s="17" t="s">
        <v>70</v>
      </c>
      <c r="W147" s="17" t="s">
        <v>362</v>
      </c>
      <c r="X147" s="17" t="s">
        <v>101</v>
      </c>
      <c r="Y147" s="17" t="s">
        <v>89</v>
      </c>
      <c r="Z147" s="17">
        <v>42.443028905799999</v>
      </c>
      <c r="AA147" s="17">
        <v>-94.295443687599999</v>
      </c>
      <c r="AB147" s="17" t="s">
        <v>1108</v>
      </c>
      <c r="AC147" s="17">
        <v>26</v>
      </c>
      <c r="AD147" s="17">
        <v>2.8224943007218608E-4</v>
      </c>
      <c r="AE147" s="17">
        <f t="shared" si="2"/>
        <v>2018</v>
      </c>
    </row>
    <row r="148" spans="1:31" x14ac:dyDescent="0.25">
      <c r="A148" s="17">
        <v>147</v>
      </c>
      <c r="B148" s="17" t="s">
        <v>1341</v>
      </c>
      <c r="C148" s="17" t="s">
        <v>1342</v>
      </c>
      <c r="D148" s="17" t="s">
        <v>1343</v>
      </c>
      <c r="E148" s="17" t="s">
        <v>1344</v>
      </c>
      <c r="F148" s="17" t="s">
        <v>1345</v>
      </c>
      <c r="G148" s="17" t="s">
        <v>1346</v>
      </c>
      <c r="H148" s="17" t="s">
        <v>1347</v>
      </c>
      <c r="I148" s="17" t="s">
        <v>1348</v>
      </c>
      <c r="J148" s="17" t="s">
        <v>483</v>
      </c>
      <c r="K148" s="17" t="s">
        <v>216</v>
      </c>
      <c r="L148" s="17" t="s">
        <v>4</v>
      </c>
      <c r="M148" s="17" t="s">
        <v>1159</v>
      </c>
      <c r="N148" s="17" t="s">
        <v>145</v>
      </c>
      <c r="O148" s="17" t="s">
        <v>146</v>
      </c>
      <c r="P148" s="17" t="s">
        <v>147</v>
      </c>
      <c r="Q148" s="17" t="s">
        <v>51</v>
      </c>
      <c r="R148" s="17" t="s">
        <v>52</v>
      </c>
      <c r="S148" s="17" t="s">
        <v>1349</v>
      </c>
      <c r="T148" s="17" t="s">
        <v>54</v>
      </c>
      <c r="U148" s="17" t="s">
        <v>122</v>
      </c>
      <c r="V148" s="17" t="s">
        <v>70</v>
      </c>
      <c r="W148" s="17" t="s">
        <v>441</v>
      </c>
      <c r="X148" s="17" t="s">
        <v>434</v>
      </c>
      <c r="Y148" s="17" t="s">
        <v>89</v>
      </c>
      <c r="Z148" s="17">
        <v>42.443224239099997</v>
      </c>
      <c r="AA148" s="17">
        <v>-94.295690896099998</v>
      </c>
      <c r="AB148" s="17" t="s">
        <v>1108</v>
      </c>
      <c r="AC148" s="17">
        <v>26</v>
      </c>
      <c r="AD148" s="17">
        <v>5.7044867381642009E-6</v>
      </c>
      <c r="AE148" s="17">
        <f t="shared" si="2"/>
        <v>2014</v>
      </c>
    </row>
    <row r="149" spans="1:31" x14ac:dyDescent="0.25">
      <c r="A149" s="17">
        <v>148</v>
      </c>
      <c r="B149" s="17" t="s">
        <v>1350</v>
      </c>
      <c r="C149" s="17" t="s">
        <v>1350</v>
      </c>
      <c r="D149" s="17" t="s">
        <v>1351</v>
      </c>
      <c r="E149" s="17" t="s">
        <v>1352</v>
      </c>
      <c r="F149" s="17" t="s">
        <v>1345</v>
      </c>
      <c r="G149" s="17" t="s">
        <v>1346</v>
      </c>
      <c r="H149" s="17" t="s">
        <v>1347</v>
      </c>
      <c r="I149" s="17" t="s">
        <v>1348</v>
      </c>
      <c r="J149" s="17" t="s">
        <v>1353</v>
      </c>
      <c r="K149" s="17" t="s">
        <v>216</v>
      </c>
      <c r="L149" s="17" t="s">
        <v>4</v>
      </c>
      <c r="M149" s="17" t="s">
        <v>1159</v>
      </c>
      <c r="N149" s="17" t="s">
        <v>145</v>
      </c>
      <c r="O149" s="17" t="s">
        <v>146</v>
      </c>
      <c r="P149" s="17" t="s">
        <v>147</v>
      </c>
      <c r="Q149" s="17" t="s">
        <v>51</v>
      </c>
      <c r="R149" s="17" t="s">
        <v>52</v>
      </c>
      <c r="S149" s="17" t="s">
        <v>1349</v>
      </c>
      <c r="T149" s="17" t="s">
        <v>54</v>
      </c>
      <c r="U149" s="17" t="s">
        <v>122</v>
      </c>
      <c r="V149" s="17" t="s">
        <v>70</v>
      </c>
      <c r="W149" s="17" t="s">
        <v>1354</v>
      </c>
      <c r="X149" s="17" t="s">
        <v>72</v>
      </c>
      <c r="Y149" s="17" t="s">
        <v>179</v>
      </c>
      <c r="Z149" s="17">
        <v>42.443224239099997</v>
      </c>
      <c r="AA149" s="17">
        <v>-94.295690896099998</v>
      </c>
      <c r="AB149" s="17" t="s">
        <v>1108</v>
      </c>
      <c r="AC149" s="17">
        <v>26</v>
      </c>
      <c r="AD149" s="17">
        <v>5.7044867381642009E-6</v>
      </c>
      <c r="AE149" s="17">
        <f t="shared" si="2"/>
        <v>2015</v>
      </c>
    </row>
    <row r="150" spans="1:31" x14ac:dyDescent="0.25">
      <c r="A150" s="17">
        <v>149</v>
      </c>
      <c r="B150" s="17" t="s">
        <v>1355</v>
      </c>
      <c r="C150" s="17" t="s">
        <v>1355</v>
      </c>
      <c r="D150" s="17" t="s">
        <v>1356</v>
      </c>
      <c r="E150" s="17" t="s">
        <v>1357</v>
      </c>
      <c r="F150" s="17" t="s">
        <v>1358</v>
      </c>
      <c r="G150" s="17" t="s">
        <v>1359</v>
      </c>
      <c r="H150" s="17" t="s">
        <v>1360</v>
      </c>
      <c r="I150" s="17" t="s">
        <v>1361</v>
      </c>
      <c r="J150" s="17" t="s">
        <v>1362</v>
      </c>
      <c r="K150" s="17" t="s">
        <v>259</v>
      </c>
      <c r="L150" s="17" t="s">
        <v>4</v>
      </c>
      <c r="M150" s="17"/>
      <c r="N150" s="17" t="s">
        <v>48</v>
      </c>
      <c r="O150" s="17" t="s">
        <v>1363</v>
      </c>
      <c r="P150" s="17" t="s">
        <v>50</v>
      </c>
      <c r="Q150" s="17" t="s">
        <v>51</v>
      </c>
      <c r="R150" s="17" t="s">
        <v>52</v>
      </c>
      <c r="S150" s="17" t="s">
        <v>1364</v>
      </c>
      <c r="T150" s="17" t="s">
        <v>86</v>
      </c>
      <c r="U150" s="17" t="s">
        <v>55</v>
      </c>
      <c r="V150" s="17" t="s">
        <v>70</v>
      </c>
      <c r="W150" s="17" t="s">
        <v>260</v>
      </c>
      <c r="X150" s="17" t="s">
        <v>58</v>
      </c>
      <c r="Y150" s="17" t="s">
        <v>73</v>
      </c>
      <c r="Z150" s="17">
        <v>42.4458010954</v>
      </c>
      <c r="AA150" s="17">
        <v>-94.290795012900006</v>
      </c>
      <c r="AB150" s="17" t="s">
        <v>1310</v>
      </c>
      <c r="AC150" s="17">
        <v>29</v>
      </c>
      <c r="AD150" s="17">
        <v>3.6035250254174977E-5</v>
      </c>
      <c r="AE150" s="17">
        <f t="shared" si="2"/>
        <v>2019</v>
      </c>
    </row>
    <row r="151" spans="1:31" x14ac:dyDescent="0.25">
      <c r="A151" s="17">
        <v>150</v>
      </c>
      <c r="B151" s="17" t="s">
        <v>1365</v>
      </c>
      <c r="C151" s="17" t="s">
        <v>1366</v>
      </c>
      <c r="D151" s="17" t="s">
        <v>1367</v>
      </c>
      <c r="E151" s="17" t="s">
        <v>1368</v>
      </c>
      <c r="F151" s="17" t="s">
        <v>1369</v>
      </c>
      <c r="G151" s="17" t="s">
        <v>1370</v>
      </c>
      <c r="H151" s="17" t="s">
        <v>1371</v>
      </c>
      <c r="I151" s="17" t="s">
        <v>1372</v>
      </c>
      <c r="J151" s="17" t="s">
        <v>605</v>
      </c>
      <c r="K151" s="17" t="s">
        <v>47</v>
      </c>
      <c r="L151" s="17" t="s">
        <v>4</v>
      </c>
      <c r="M151" s="17" t="s">
        <v>1159</v>
      </c>
      <c r="N151" s="17" t="s">
        <v>145</v>
      </c>
      <c r="O151" s="17" t="s">
        <v>146</v>
      </c>
      <c r="P151" s="17" t="s">
        <v>147</v>
      </c>
      <c r="Q151" s="17" t="s">
        <v>51</v>
      </c>
      <c r="R151" s="17" t="s">
        <v>52</v>
      </c>
      <c r="S151" s="17" t="s">
        <v>1300</v>
      </c>
      <c r="T151" s="17" t="s">
        <v>54</v>
      </c>
      <c r="U151" s="17" t="s">
        <v>55</v>
      </c>
      <c r="V151" s="17" t="s">
        <v>70</v>
      </c>
      <c r="W151" s="17" t="s">
        <v>189</v>
      </c>
      <c r="X151" s="17" t="s">
        <v>971</v>
      </c>
      <c r="Y151" s="17" t="s">
        <v>1373</v>
      </c>
      <c r="Z151" s="17">
        <v>42.445922727400003</v>
      </c>
      <c r="AA151" s="17">
        <v>-94.291989161999993</v>
      </c>
      <c r="AB151" s="17" t="s">
        <v>1374</v>
      </c>
      <c r="AC151" s="17">
        <v>28</v>
      </c>
      <c r="AD151" s="17">
        <v>1.843052915086525E-5</v>
      </c>
      <c r="AE151" s="17">
        <f t="shared" si="2"/>
        <v>2014</v>
      </c>
    </row>
    <row r="152" spans="1:31" x14ac:dyDescent="0.25">
      <c r="A152" s="17">
        <v>151</v>
      </c>
      <c r="B152" s="17" t="s">
        <v>1375</v>
      </c>
      <c r="C152" s="17" t="s">
        <v>1376</v>
      </c>
      <c r="D152" s="17" t="s">
        <v>1377</v>
      </c>
      <c r="E152" s="17" t="s">
        <v>173</v>
      </c>
      <c r="F152" s="17" t="s">
        <v>1378</v>
      </c>
      <c r="G152" s="17" t="s">
        <v>1379</v>
      </c>
      <c r="H152" s="17" t="s">
        <v>1380</v>
      </c>
      <c r="I152" s="17" t="s">
        <v>1381</v>
      </c>
      <c r="J152" s="17" t="s">
        <v>1382</v>
      </c>
      <c r="K152" s="17" t="s">
        <v>99</v>
      </c>
      <c r="L152" s="17" t="s">
        <v>4</v>
      </c>
      <c r="M152" s="17" t="s">
        <v>1159</v>
      </c>
      <c r="N152" s="17" t="s">
        <v>145</v>
      </c>
      <c r="O152" s="17" t="s">
        <v>146</v>
      </c>
      <c r="P152" s="17" t="s">
        <v>147</v>
      </c>
      <c r="Q152" s="17" t="s">
        <v>51</v>
      </c>
      <c r="R152" s="17" t="s">
        <v>52</v>
      </c>
      <c r="S152" s="17" t="s">
        <v>1300</v>
      </c>
      <c r="T152" s="17" t="s">
        <v>86</v>
      </c>
      <c r="U152" s="17" t="s">
        <v>55</v>
      </c>
      <c r="V152" s="17" t="s">
        <v>344</v>
      </c>
      <c r="W152" s="17" t="s">
        <v>100</v>
      </c>
      <c r="X152" s="17" t="s">
        <v>1383</v>
      </c>
      <c r="Y152" s="17" t="s">
        <v>1373</v>
      </c>
      <c r="Z152" s="17">
        <v>42.446154258900002</v>
      </c>
      <c r="AA152" s="17">
        <v>-94.291422411900001</v>
      </c>
      <c r="AB152" s="17" t="s">
        <v>1374</v>
      </c>
      <c r="AC152" s="17">
        <v>28</v>
      </c>
      <c r="AD152" s="17">
        <v>5.8036995730468096E-6</v>
      </c>
      <c r="AE152" s="17">
        <f t="shared" si="2"/>
        <v>2013</v>
      </c>
    </row>
    <row r="153" spans="1:31" x14ac:dyDescent="0.25">
      <c r="A153" s="17">
        <v>152</v>
      </c>
      <c r="B153" s="17" t="s">
        <v>1384</v>
      </c>
      <c r="C153" s="17" t="s">
        <v>1384</v>
      </c>
      <c r="D153" s="17" t="s">
        <v>1385</v>
      </c>
      <c r="E153" s="17" t="s">
        <v>1386</v>
      </c>
      <c r="F153" s="17" t="s">
        <v>1387</v>
      </c>
      <c r="G153" s="17" t="s">
        <v>1388</v>
      </c>
      <c r="H153" s="17" t="s">
        <v>1389</v>
      </c>
      <c r="I153" s="17" t="s">
        <v>1390</v>
      </c>
      <c r="J153" s="17" t="s">
        <v>916</v>
      </c>
      <c r="K153" s="17" t="s">
        <v>47</v>
      </c>
      <c r="L153" s="17" t="s">
        <v>4</v>
      </c>
      <c r="M153" s="17"/>
      <c r="N153" s="17" t="s">
        <v>48</v>
      </c>
      <c r="O153" s="17" t="s">
        <v>49</v>
      </c>
      <c r="P153" s="17" t="s">
        <v>50</v>
      </c>
      <c r="Q153" s="17" t="s">
        <v>51</v>
      </c>
      <c r="R153" s="17" t="s">
        <v>52</v>
      </c>
      <c r="S153" s="17" t="s">
        <v>1300</v>
      </c>
      <c r="T153" s="17" t="s">
        <v>86</v>
      </c>
      <c r="U153" s="17" t="s">
        <v>55</v>
      </c>
      <c r="V153" s="17" t="s">
        <v>70</v>
      </c>
      <c r="W153" s="17" t="s">
        <v>293</v>
      </c>
      <c r="X153" s="17" t="s">
        <v>1227</v>
      </c>
      <c r="Y153" s="17" t="s">
        <v>1391</v>
      </c>
      <c r="Z153" s="17">
        <v>42.4462092387</v>
      </c>
      <c r="AA153" s="17">
        <v>-94.291338422999999</v>
      </c>
      <c r="AB153" s="17" t="s">
        <v>1374</v>
      </c>
      <c r="AC153" s="17">
        <v>28</v>
      </c>
      <c r="AD153" s="17">
        <v>2.744464549048248E-5</v>
      </c>
      <c r="AE153" s="17">
        <f t="shared" si="2"/>
        <v>2018</v>
      </c>
    </row>
    <row r="154" spans="1:31" x14ac:dyDescent="0.25">
      <c r="A154" s="17">
        <v>153</v>
      </c>
      <c r="B154" s="17" t="s">
        <v>1392</v>
      </c>
      <c r="C154" s="17" t="s">
        <v>1392</v>
      </c>
      <c r="D154" s="17" t="s">
        <v>1393</v>
      </c>
      <c r="E154" s="17" t="s">
        <v>1394</v>
      </c>
      <c r="F154" s="17" t="s">
        <v>1395</v>
      </c>
      <c r="G154" s="17" t="s">
        <v>1396</v>
      </c>
      <c r="H154" s="17" t="s">
        <v>1397</v>
      </c>
      <c r="I154" s="17" t="s">
        <v>1398</v>
      </c>
      <c r="J154" s="17" t="s">
        <v>988</v>
      </c>
      <c r="K154" s="17" t="s">
        <v>82</v>
      </c>
      <c r="L154" s="17" t="s">
        <v>4</v>
      </c>
      <c r="M154" s="17" t="s">
        <v>1159</v>
      </c>
      <c r="N154" s="17" t="s">
        <v>48</v>
      </c>
      <c r="O154" s="17" t="s">
        <v>1363</v>
      </c>
      <c r="P154" s="17" t="s">
        <v>50</v>
      </c>
      <c r="Q154" s="17" t="s">
        <v>51</v>
      </c>
      <c r="R154" s="17" t="s">
        <v>926</v>
      </c>
      <c r="S154" s="17" t="s">
        <v>1399</v>
      </c>
      <c r="T154" s="17" t="s">
        <v>86</v>
      </c>
      <c r="U154" s="17" t="s">
        <v>122</v>
      </c>
      <c r="V154" s="17" t="s">
        <v>70</v>
      </c>
      <c r="W154" s="17" t="s">
        <v>87</v>
      </c>
      <c r="X154" s="17" t="s">
        <v>101</v>
      </c>
      <c r="Y154" s="17" t="s">
        <v>89</v>
      </c>
      <c r="Z154" s="17">
        <v>42.4463956118</v>
      </c>
      <c r="AA154" s="17">
        <v>-94.290782900500005</v>
      </c>
      <c r="AB154" s="17" t="s">
        <v>1108</v>
      </c>
      <c r="AC154" s="17">
        <v>26</v>
      </c>
      <c r="AD154" s="17">
        <v>4.4891519149884012E-5</v>
      </c>
      <c r="AE154" s="17">
        <f t="shared" si="2"/>
        <v>2016</v>
      </c>
    </row>
    <row r="155" spans="1:31" x14ac:dyDescent="0.25">
      <c r="A155" s="17">
        <v>154</v>
      </c>
      <c r="B155" s="17" t="s">
        <v>1400</v>
      </c>
      <c r="C155" s="17" t="s">
        <v>1400</v>
      </c>
      <c r="D155" s="17" t="s">
        <v>1401</v>
      </c>
      <c r="E155" s="17" t="s">
        <v>1402</v>
      </c>
      <c r="F155" s="17" t="s">
        <v>1395</v>
      </c>
      <c r="G155" s="17" t="s">
        <v>1396</v>
      </c>
      <c r="H155" s="17" t="s">
        <v>1403</v>
      </c>
      <c r="I155" s="17" t="s">
        <v>1404</v>
      </c>
      <c r="J155" s="17" t="s">
        <v>1405</v>
      </c>
      <c r="K155" s="17" t="s">
        <v>259</v>
      </c>
      <c r="L155" s="17" t="s">
        <v>4</v>
      </c>
      <c r="M155" s="17"/>
      <c r="N155" s="17" t="s">
        <v>48</v>
      </c>
      <c r="O155" s="17" t="s">
        <v>1363</v>
      </c>
      <c r="P155" s="17" t="s">
        <v>50</v>
      </c>
      <c r="Q155" s="17" t="s">
        <v>51</v>
      </c>
      <c r="R155" s="17" t="s">
        <v>926</v>
      </c>
      <c r="S155" s="17" t="s">
        <v>1406</v>
      </c>
      <c r="T155" s="17" t="s">
        <v>86</v>
      </c>
      <c r="U155" s="17" t="s">
        <v>122</v>
      </c>
      <c r="V155" s="17" t="s">
        <v>56</v>
      </c>
      <c r="W155" s="17" t="s">
        <v>1407</v>
      </c>
      <c r="X155" s="17" t="s">
        <v>971</v>
      </c>
      <c r="Y155" s="17" t="s">
        <v>89</v>
      </c>
      <c r="Z155" s="17">
        <v>42.4463956118</v>
      </c>
      <c r="AA155" s="17">
        <v>-94.290782900500005</v>
      </c>
      <c r="AB155" s="17" t="s">
        <v>1108</v>
      </c>
      <c r="AC155" s="17">
        <v>26</v>
      </c>
      <c r="AD155" s="17">
        <v>4.4891519149884012E-5</v>
      </c>
      <c r="AE155" s="17">
        <f t="shared" si="2"/>
        <v>2018</v>
      </c>
    </row>
    <row r="156" spans="1:31" x14ac:dyDescent="0.25">
      <c r="A156" s="17">
        <v>155</v>
      </c>
      <c r="B156" s="17" t="s">
        <v>1408</v>
      </c>
      <c r="C156" s="17" t="s">
        <v>1408</v>
      </c>
      <c r="D156" s="17" t="s">
        <v>1409</v>
      </c>
      <c r="E156" s="17" t="s">
        <v>1410</v>
      </c>
      <c r="F156" s="17" t="s">
        <v>1411</v>
      </c>
      <c r="G156" s="17" t="s">
        <v>1412</v>
      </c>
      <c r="H156" s="17" t="s">
        <v>1413</v>
      </c>
      <c r="I156" s="17" t="s">
        <v>1414</v>
      </c>
      <c r="J156" s="17" t="s">
        <v>1415</v>
      </c>
      <c r="K156" s="17" t="s">
        <v>47</v>
      </c>
      <c r="L156" s="17" t="s">
        <v>4</v>
      </c>
      <c r="M156" s="17" t="s">
        <v>1159</v>
      </c>
      <c r="N156" s="17" t="s">
        <v>48</v>
      </c>
      <c r="O156" s="17" t="s">
        <v>49</v>
      </c>
      <c r="P156" s="17" t="s">
        <v>50</v>
      </c>
      <c r="Q156" s="17" t="s">
        <v>51</v>
      </c>
      <c r="R156" s="17" t="s">
        <v>52</v>
      </c>
      <c r="S156" s="17" t="s">
        <v>1300</v>
      </c>
      <c r="T156" s="17" t="s">
        <v>86</v>
      </c>
      <c r="U156" s="17" t="s">
        <v>55</v>
      </c>
      <c r="V156" s="17" t="s">
        <v>56</v>
      </c>
      <c r="W156" s="17" t="s">
        <v>1416</v>
      </c>
      <c r="X156" s="17" t="s">
        <v>434</v>
      </c>
      <c r="Y156" s="17" t="s">
        <v>89</v>
      </c>
      <c r="Z156" s="17">
        <v>42.446719911199999</v>
      </c>
      <c r="AA156" s="17">
        <v>-94.289974848300005</v>
      </c>
      <c r="AB156" s="17" t="s">
        <v>1108</v>
      </c>
      <c r="AC156" s="17">
        <v>26</v>
      </c>
      <c r="AD156" s="17">
        <v>2.7440515667661459E-5</v>
      </c>
      <c r="AE156" s="17">
        <f t="shared" si="2"/>
        <v>2021</v>
      </c>
    </row>
    <row r="157" spans="1:31" x14ac:dyDescent="0.25">
      <c r="A157" s="17">
        <v>156</v>
      </c>
      <c r="B157" s="17" t="s">
        <v>1417</v>
      </c>
      <c r="C157" s="17" t="s">
        <v>1417</v>
      </c>
      <c r="D157" s="17" t="s">
        <v>1418</v>
      </c>
      <c r="E157" s="17" t="s">
        <v>1419</v>
      </c>
      <c r="F157" s="17" t="s">
        <v>1420</v>
      </c>
      <c r="G157" s="17" t="s">
        <v>1421</v>
      </c>
      <c r="H157" s="17" t="s">
        <v>1422</v>
      </c>
      <c r="I157" s="17" t="s">
        <v>1423</v>
      </c>
      <c r="J157" s="17" t="s">
        <v>1424</v>
      </c>
      <c r="K157" s="17" t="s">
        <v>120</v>
      </c>
      <c r="L157" s="17" t="s">
        <v>4</v>
      </c>
      <c r="M157" s="17"/>
      <c r="N157" s="17" t="s">
        <v>48</v>
      </c>
      <c r="O157" s="17" t="s">
        <v>49</v>
      </c>
      <c r="P157" s="17" t="s">
        <v>50</v>
      </c>
      <c r="Q157" s="17" t="s">
        <v>51</v>
      </c>
      <c r="R157" s="17" t="s">
        <v>52</v>
      </c>
      <c r="S157" s="17" t="s">
        <v>1300</v>
      </c>
      <c r="T157" s="17" t="s">
        <v>86</v>
      </c>
      <c r="U157" s="17" t="s">
        <v>55</v>
      </c>
      <c r="V157" s="17" t="s">
        <v>70</v>
      </c>
      <c r="W157" s="17" t="s">
        <v>1247</v>
      </c>
      <c r="X157" s="17" t="s">
        <v>310</v>
      </c>
      <c r="Y157" s="17" t="s">
        <v>73</v>
      </c>
      <c r="Z157" s="17">
        <v>42.447024282999998</v>
      </c>
      <c r="AA157" s="17">
        <v>-94.289336618099995</v>
      </c>
      <c r="AB157" s="17" t="s">
        <v>1108</v>
      </c>
      <c r="AC157" s="17">
        <v>26</v>
      </c>
      <c r="AD157" s="17">
        <v>5.5200634716894142E-5</v>
      </c>
      <c r="AE157" s="17">
        <f t="shared" si="2"/>
        <v>2018</v>
      </c>
    </row>
    <row r="158" spans="1:31" x14ac:dyDescent="0.25">
      <c r="A158" s="17">
        <v>157</v>
      </c>
      <c r="B158" s="17" t="s">
        <v>1425</v>
      </c>
      <c r="C158" s="17" t="s">
        <v>1426</v>
      </c>
      <c r="D158" s="17" t="s">
        <v>1427</v>
      </c>
      <c r="E158" s="17" t="s">
        <v>1428</v>
      </c>
      <c r="F158" s="17" t="s">
        <v>1429</v>
      </c>
      <c r="G158" s="17" t="s">
        <v>1430</v>
      </c>
      <c r="H158" s="17" t="s">
        <v>1431</v>
      </c>
      <c r="I158" s="17" t="s">
        <v>1432</v>
      </c>
      <c r="J158" s="17" t="s">
        <v>916</v>
      </c>
      <c r="K158" s="17" t="s">
        <v>120</v>
      </c>
      <c r="L158" s="17" t="s">
        <v>4</v>
      </c>
      <c r="M158" s="17"/>
      <c r="N158" s="17" t="s">
        <v>145</v>
      </c>
      <c r="O158" s="17" t="s">
        <v>146</v>
      </c>
      <c r="P158" s="17" t="s">
        <v>147</v>
      </c>
      <c r="Q158" s="17" t="s">
        <v>51</v>
      </c>
      <c r="R158" s="17" t="s">
        <v>52</v>
      </c>
      <c r="S158" s="17" t="s">
        <v>1433</v>
      </c>
      <c r="T158" s="17" t="s">
        <v>54</v>
      </c>
      <c r="U158" s="17" t="s">
        <v>288</v>
      </c>
      <c r="V158" s="17" t="s">
        <v>344</v>
      </c>
      <c r="W158" s="17" t="s">
        <v>362</v>
      </c>
      <c r="X158" s="17" t="s">
        <v>434</v>
      </c>
      <c r="Y158" s="17" t="s">
        <v>89</v>
      </c>
      <c r="Z158" s="17">
        <v>42.449663636099999</v>
      </c>
      <c r="AA158" s="17">
        <v>-94.286873545500001</v>
      </c>
      <c r="AB158" s="17" t="s">
        <v>1108</v>
      </c>
      <c r="AC158" s="17">
        <v>26</v>
      </c>
      <c r="AD158" s="17">
        <v>3.6512399969925871E-5</v>
      </c>
      <c r="AE158" s="17">
        <f t="shared" si="2"/>
        <v>2014</v>
      </c>
    </row>
    <row r="159" spans="1:31" x14ac:dyDescent="0.25">
      <c r="A159" s="17">
        <v>158</v>
      </c>
      <c r="B159" s="17" t="s">
        <v>1434</v>
      </c>
      <c r="C159" s="17" t="s">
        <v>1434</v>
      </c>
      <c r="D159" s="17" t="s">
        <v>1435</v>
      </c>
      <c r="E159" s="17" t="s">
        <v>1436</v>
      </c>
      <c r="F159" s="17" t="s">
        <v>1437</v>
      </c>
      <c r="G159" s="17" t="s">
        <v>1438</v>
      </c>
      <c r="H159" s="17" t="s">
        <v>1439</v>
      </c>
      <c r="I159" s="17" t="s">
        <v>1440</v>
      </c>
      <c r="J159" s="17" t="s">
        <v>1441</v>
      </c>
      <c r="K159" s="17" t="s">
        <v>47</v>
      </c>
      <c r="L159" s="17" t="s">
        <v>4</v>
      </c>
      <c r="M159" s="17"/>
      <c r="N159" s="17" t="s">
        <v>429</v>
      </c>
      <c r="O159" s="17" t="s">
        <v>1442</v>
      </c>
      <c r="P159" s="17" t="s">
        <v>467</v>
      </c>
      <c r="Q159" s="17" t="s">
        <v>1443</v>
      </c>
      <c r="R159" s="17" t="s">
        <v>52</v>
      </c>
      <c r="S159" s="17" t="s">
        <v>1444</v>
      </c>
      <c r="T159" s="17" t="s">
        <v>429</v>
      </c>
      <c r="U159" s="17" t="s">
        <v>55</v>
      </c>
      <c r="V159" s="17" t="s">
        <v>289</v>
      </c>
      <c r="W159" s="17" t="s">
        <v>1161</v>
      </c>
      <c r="X159" s="17" t="s">
        <v>412</v>
      </c>
      <c r="Y159" s="17" t="s">
        <v>89</v>
      </c>
      <c r="Z159" s="17">
        <v>42.4510534781</v>
      </c>
      <c r="AA159" s="17">
        <v>-94.286610143900006</v>
      </c>
      <c r="AB159" s="17" t="s">
        <v>1108</v>
      </c>
      <c r="AC159" s="17">
        <v>26</v>
      </c>
      <c r="AD159" s="17">
        <v>2.7890894960022798E-7</v>
      </c>
      <c r="AE159" s="17">
        <f t="shared" si="2"/>
        <v>2021</v>
      </c>
    </row>
    <row r="160" spans="1:31" x14ac:dyDescent="0.25">
      <c r="A160" s="17">
        <v>159</v>
      </c>
      <c r="B160" s="17" t="s">
        <v>1445</v>
      </c>
      <c r="C160" s="17" t="s">
        <v>1445</v>
      </c>
      <c r="D160" s="17" t="s">
        <v>1446</v>
      </c>
      <c r="E160" s="17" t="s">
        <v>1447</v>
      </c>
      <c r="F160" s="17" t="s">
        <v>1448</v>
      </c>
      <c r="G160" s="17" t="s">
        <v>1449</v>
      </c>
      <c r="H160" s="17" t="s">
        <v>1450</v>
      </c>
      <c r="I160" s="17" t="s">
        <v>1451</v>
      </c>
      <c r="J160" s="17" t="s">
        <v>1452</v>
      </c>
      <c r="K160" s="17" t="s">
        <v>69</v>
      </c>
      <c r="L160" s="17" t="s">
        <v>4</v>
      </c>
      <c r="M160" s="17" t="s">
        <v>1159</v>
      </c>
      <c r="N160" s="17" t="s">
        <v>429</v>
      </c>
      <c r="O160" s="17" t="s">
        <v>1442</v>
      </c>
      <c r="P160" s="17" t="s">
        <v>467</v>
      </c>
      <c r="Q160" s="17" t="s">
        <v>1443</v>
      </c>
      <c r="R160" s="17" t="s">
        <v>52</v>
      </c>
      <c r="S160" s="17" t="s">
        <v>1453</v>
      </c>
      <c r="T160" s="17" t="s">
        <v>429</v>
      </c>
      <c r="U160" s="17" t="s">
        <v>55</v>
      </c>
      <c r="V160" s="17" t="s">
        <v>70</v>
      </c>
      <c r="W160" s="17" t="s">
        <v>260</v>
      </c>
      <c r="X160" s="17" t="s">
        <v>1383</v>
      </c>
      <c r="Y160" s="17" t="s">
        <v>1454</v>
      </c>
      <c r="Z160" s="17">
        <v>42.451068618900003</v>
      </c>
      <c r="AA160" s="17">
        <v>-94.286865828700002</v>
      </c>
      <c r="AB160" s="17" t="s">
        <v>1108</v>
      </c>
      <c r="AC160" s="17">
        <v>26</v>
      </c>
      <c r="AD160" s="17">
        <v>2.5641007340084822E-4</v>
      </c>
      <c r="AE160" s="17">
        <f t="shared" si="2"/>
        <v>2022</v>
      </c>
    </row>
    <row r="161" spans="1:31" x14ac:dyDescent="0.25">
      <c r="A161" s="17">
        <v>160</v>
      </c>
      <c r="B161" s="17" t="s">
        <v>1455</v>
      </c>
      <c r="C161" s="17" t="s">
        <v>1455</v>
      </c>
      <c r="D161" s="17" t="s">
        <v>1456</v>
      </c>
      <c r="E161" s="17" t="s">
        <v>1457</v>
      </c>
      <c r="F161" s="17" t="s">
        <v>1458</v>
      </c>
      <c r="G161" s="17" t="s">
        <v>1459</v>
      </c>
      <c r="H161" s="17" t="s">
        <v>1460</v>
      </c>
      <c r="I161" s="17" t="s">
        <v>1461</v>
      </c>
      <c r="J161" s="17" t="s">
        <v>1462</v>
      </c>
      <c r="K161" s="17" t="s">
        <v>259</v>
      </c>
      <c r="L161" s="17" t="s">
        <v>4</v>
      </c>
      <c r="M161" s="17" t="s">
        <v>1159</v>
      </c>
      <c r="N161" s="17" t="s">
        <v>48</v>
      </c>
      <c r="O161" s="17" t="s">
        <v>1463</v>
      </c>
      <c r="P161" s="17" t="s">
        <v>50</v>
      </c>
      <c r="Q161" s="17" t="s">
        <v>51</v>
      </c>
      <c r="R161" s="17" t="s">
        <v>52</v>
      </c>
      <c r="S161" s="17" t="s">
        <v>1464</v>
      </c>
      <c r="T161" s="17" t="s">
        <v>54</v>
      </c>
      <c r="U161" s="17" t="s">
        <v>55</v>
      </c>
      <c r="V161" s="17" t="s">
        <v>70</v>
      </c>
      <c r="W161" s="17" t="s">
        <v>87</v>
      </c>
      <c r="X161" s="17" t="s">
        <v>134</v>
      </c>
      <c r="Y161" s="17" t="s">
        <v>1465</v>
      </c>
      <c r="Z161" s="17">
        <v>42.451088264299997</v>
      </c>
      <c r="AA161" s="17">
        <v>-94.286720302399999</v>
      </c>
      <c r="AB161" s="17" t="s">
        <v>1108</v>
      </c>
      <c r="AC161" s="17">
        <v>26</v>
      </c>
      <c r="AD161" s="17">
        <v>1.124040882365862E-4</v>
      </c>
      <c r="AE161" s="17">
        <f t="shared" si="2"/>
        <v>2017</v>
      </c>
    </row>
    <row r="162" spans="1:31" x14ac:dyDescent="0.25">
      <c r="A162" s="17">
        <v>161</v>
      </c>
      <c r="B162" s="17" t="s">
        <v>1466</v>
      </c>
      <c r="C162" s="17" t="s">
        <v>1466</v>
      </c>
      <c r="D162" s="17" t="s">
        <v>1467</v>
      </c>
      <c r="E162" s="17" t="s">
        <v>1468</v>
      </c>
      <c r="F162" s="17" t="s">
        <v>1469</v>
      </c>
      <c r="G162" s="17" t="s">
        <v>1470</v>
      </c>
      <c r="H162" s="17" t="s">
        <v>1471</v>
      </c>
      <c r="I162" s="17" t="s">
        <v>1472</v>
      </c>
      <c r="J162" s="17" t="s">
        <v>1473</v>
      </c>
      <c r="K162" s="17" t="s">
        <v>82</v>
      </c>
      <c r="L162" s="17" t="s">
        <v>4</v>
      </c>
      <c r="M162" s="17"/>
      <c r="N162" s="17" t="s">
        <v>48</v>
      </c>
      <c r="O162" s="17" t="s">
        <v>1463</v>
      </c>
      <c r="P162" s="17" t="s">
        <v>50</v>
      </c>
      <c r="Q162" s="17" t="s">
        <v>51</v>
      </c>
      <c r="R162" s="17" t="s">
        <v>52</v>
      </c>
      <c r="S162" s="17" t="s">
        <v>1464</v>
      </c>
      <c r="T162" s="17" t="s">
        <v>54</v>
      </c>
      <c r="U162" s="17" t="s">
        <v>55</v>
      </c>
      <c r="V162" s="17" t="s">
        <v>70</v>
      </c>
      <c r="W162" s="17" t="s">
        <v>652</v>
      </c>
      <c r="X162" s="17" t="s">
        <v>88</v>
      </c>
      <c r="Y162" s="17" t="s">
        <v>89</v>
      </c>
      <c r="Z162" s="17">
        <v>42.4512055852</v>
      </c>
      <c r="AA162" s="17">
        <v>-94.286698382699996</v>
      </c>
      <c r="AB162" s="17" t="s">
        <v>1108</v>
      </c>
      <c r="AC162" s="17">
        <v>26</v>
      </c>
      <c r="AD162" s="17">
        <v>9.789635034080144E-5</v>
      </c>
      <c r="AE162" s="17">
        <f t="shared" si="2"/>
        <v>2019</v>
      </c>
    </row>
    <row r="163" spans="1:31" x14ac:dyDescent="0.25">
      <c r="A163" s="17">
        <v>162</v>
      </c>
      <c r="B163" s="17" t="s">
        <v>1474</v>
      </c>
      <c r="C163" s="17" t="s">
        <v>1475</v>
      </c>
      <c r="D163" s="17" t="s">
        <v>1476</v>
      </c>
      <c r="E163" s="17" t="s">
        <v>743</v>
      </c>
      <c r="F163" s="17" t="s">
        <v>1477</v>
      </c>
      <c r="G163" s="17" t="s">
        <v>1478</v>
      </c>
      <c r="H163" s="17" t="s">
        <v>1479</v>
      </c>
      <c r="I163" s="17" t="s">
        <v>1480</v>
      </c>
      <c r="J163" s="17" t="s">
        <v>1481</v>
      </c>
      <c r="K163" s="17" t="s">
        <v>259</v>
      </c>
      <c r="L163" s="17" t="s">
        <v>4</v>
      </c>
      <c r="M163" s="17"/>
      <c r="N163" s="17" t="s">
        <v>145</v>
      </c>
      <c r="O163" s="17" t="s">
        <v>146</v>
      </c>
      <c r="P163" s="17" t="s">
        <v>147</v>
      </c>
      <c r="Q163" s="17" t="s">
        <v>51</v>
      </c>
      <c r="R163" s="17" t="s">
        <v>52</v>
      </c>
      <c r="S163" s="17" t="s">
        <v>1482</v>
      </c>
      <c r="T163" s="17" t="s">
        <v>54</v>
      </c>
      <c r="U163" s="17" t="s">
        <v>55</v>
      </c>
      <c r="V163" s="17" t="s">
        <v>56</v>
      </c>
      <c r="W163" s="17" t="s">
        <v>293</v>
      </c>
      <c r="X163" s="17" t="s">
        <v>633</v>
      </c>
      <c r="Y163" s="17" t="s">
        <v>1274</v>
      </c>
      <c r="Z163" s="17">
        <v>42.451385932900003</v>
      </c>
      <c r="AA163" s="17">
        <v>-94.286677753099994</v>
      </c>
      <c r="AB163" s="17" t="s">
        <v>1108</v>
      </c>
      <c r="AC163" s="17">
        <v>26</v>
      </c>
      <c r="AD163" s="17">
        <v>8.8633289884886132E-5</v>
      </c>
      <c r="AE163" s="17">
        <f t="shared" si="2"/>
        <v>2014</v>
      </c>
    </row>
    <row r="164" spans="1:31" x14ac:dyDescent="0.25">
      <c r="A164" s="17">
        <v>163</v>
      </c>
      <c r="B164" s="17" t="s">
        <v>1483</v>
      </c>
      <c r="C164" s="17" t="s">
        <v>1483</v>
      </c>
      <c r="D164" s="17" t="s">
        <v>1484</v>
      </c>
      <c r="E164" s="17" t="s">
        <v>1485</v>
      </c>
      <c r="F164" s="17" t="s">
        <v>1486</v>
      </c>
      <c r="G164" s="17" t="s">
        <v>1487</v>
      </c>
      <c r="H164" s="17" t="s">
        <v>1488</v>
      </c>
      <c r="I164" s="17" t="s">
        <v>1489</v>
      </c>
      <c r="J164" s="17" t="s">
        <v>1490</v>
      </c>
      <c r="K164" s="17" t="s">
        <v>69</v>
      </c>
      <c r="L164" s="17" t="s">
        <v>4</v>
      </c>
      <c r="M164" s="17"/>
      <c r="N164" s="17" t="s">
        <v>48</v>
      </c>
      <c r="O164" s="17" t="s">
        <v>1463</v>
      </c>
      <c r="P164" s="17" t="s">
        <v>50</v>
      </c>
      <c r="Q164" s="17" t="s">
        <v>51</v>
      </c>
      <c r="R164" s="17" t="s">
        <v>52</v>
      </c>
      <c r="S164" s="17" t="s">
        <v>1491</v>
      </c>
      <c r="T164" s="17" t="s">
        <v>54</v>
      </c>
      <c r="U164" s="17" t="s">
        <v>122</v>
      </c>
      <c r="V164" s="17" t="s">
        <v>70</v>
      </c>
      <c r="W164" s="17" t="s">
        <v>362</v>
      </c>
      <c r="X164" s="17" t="s">
        <v>434</v>
      </c>
      <c r="Y164" s="17" t="s">
        <v>89</v>
      </c>
      <c r="Z164" s="17">
        <v>42.451953573200001</v>
      </c>
      <c r="AA164" s="17">
        <v>-94.286652890900001</v>
      </c>
      <c r="AB164" s="17" t="s">
        <v>1108</v>
      </c>
      <c r="AC164" s="17">
        <v>26</v>
      </c>
      <c r="AD164" s="17">
        <v>9.9469297712144494E-5</v>
      </c>
      <c r="AE164" s="17">
        <f t="shared" si="2"/>
        <v>2016</v>
      </c>
    </row>
    <row r="165" spans="1:31" x14ac:dyDescent="0.25">
      <c r="A165" s="17">
        <v>164</v>
      </c>
      <c r="B165" s="17" t="s">
        <v>1492</v>
      </c>
      <c r="C165" s="17" t="s">
        <v>1493</v>
      </c>
      <c r="D165" s="17" t="s">
        <v>1494</v>
      </c>
      <c r="E165" s="17" t="s">
        <v>1495</v>
      </c>
      <c r="F165" s="17" t="s">
        <v>1496</v>
      </c>
      <c r="G165" s="17" t="s">
        <v>1497</v>
      </c>
      <c r="H165" s="17" t="s">
        <v>1498</v>
      </c>
      <c r="I165" s="17" t="s">
        <v>1499</v>
      </c>
      <c r="J165" s="17" t="s">
        <v>811</v>
      </c>
      <c r="K165" s="17" t="s">
        <v>120</v>
      </c>
      <c r="L165" s="17" t="s">
        <v>4</v>
      </c>
      <c r="M165" s="17"/>
      <c r="N165" s="17" t="s">
        <v>429</v>
      </c>
      <c r="O165" s="17" t="s">
        <v>1442</v>
      </c>
      <c r="P165" s="17" t="s">
        <v>431</v>
      </c>
      <c r="Q165" s="17" t="s">
        <v>51</v>
      </c>
      <c r="R165" s="17" t="s">
        <v>52</v>
      </c>
      <c r="S165" s="17" t="s">
        <v>1500</v>
      </c>
      <c r="T165" s="17" t="s">
        <v>429</v>
      </c>
      <c r="U165" s="17" t="s">
        <v>433</v>
      </c>
      <c r="V165" s="17" t="s">
        <v>70</v>
      </c>
      <c r="W165" s="17" t="s">
        <v>446</v>
      </c>
      <c r="X165" s="17" t="s">
        <v>58</v>
      </c>
      <c r="Y165" s="17" t="s">
        <v>1373</v>
      </c>
      <c r="Z165" s="17">
        <v>42.452602521700001</v>
      </c>
      <c r="AA165" s="17">
        <v>-94.286605370800004</v>
      </c>
      <c r="AB165" s="17" t="s">
        <v>1108</v>
      </c>
      <c r="AC165" s="17">
        <v>26</v>
      </c>
      <c r="AD165" s="17">
        <v>9.2798400538896878E-5</v>
      </c>
      <c r="AE165" s="17">
        <f t="shared" si="2"/>
        <v>2014</v>
      </c>
    </row>
    <row r="166" spans="1:31" x14ac:dyDescent="0.25">
      <c r="A166" s="17">
        <v>165</v>
      </c>
      <c r="B166" s="17" t="s">
        <v>1501</v>
      </c>
      <c r="C166" s="17" t="s">
        <v>1501</v>
      </c>
      <c r="D166" s="17" t="s">
        <v>1502</v>
      </c>
      <c r="E166" s="17" t="s">
        <v>1503</v>
      </c>
      <c r="F166" s="17" t="s">
        <v>1504</v>
      </c>
      <c r="G166" s="17" t="s">
        <v>1505</v>
      </c>
      <c r="H166" s="17" t="s">
        <v>1506</v>
      </c>
      <c r="I166" s="17" t="s">
        <v>1507</v>
      </c>
      <c r="J166" s="17" t="s">
        <v>1508</v>
      </c>
      <c r="K166" s="17" t="s">
        <v>47</v>
      </c>
      <c r="L166" s="17" t="s">
        <v>4</v>
      </c>
      <c r="M166" s="17"/>
      <c r="N166" s="17" t="s">
        <v>48</v>
      </c>
      <c r="O166" s="17" t="s">
        <v>1463</v>
      </c>
      <c r="P166" s="17" t="s">
        <v>50</v>
      </c>
      <c r="Q166" s="17" t="s">
        <v>51</v>
      </c>
      <c r="R166" s="17" t="s">
        <v>52</v>
      </c>
      <c r="S166" s="17" t="s">
        <v>1464</v>
      </c>
      <c r="T166" s="17" t="s">
        <v>54</v>
      </c>
      <c r="U166" s="17" t="s">
        <v>55</v>
      </c>
      <c r="V166" s="17" t="s">
        <v>70</v>
      </c>
      <c r="W166" s="17" t="s">
        <v>199</v>
      </c>
      <c r="X166" s="17" t="s">
        <v>134</v>
      </c>
      <c r="Y166" s="17" t="s">
        <v>1509</v>
      </c>
      <c r="Z166" s="17">
        <v>42.453197172899998</v>
      </c>
      <c r="AA166" s="17">
        <v>-94.286581060700001</v>
      </c>
      <c r="AB166" s="17" t="s">
        <v>1108</v>
      </c>
      <c r="AC166" s="17">
        <v>26</v>
      </c>
      <c r="AD166" s="17">
        <v>1.058816636855959E-4</v>
      </c>
      <c r="AE166" s="17">
        <f t="shared" si="2"/>
        <v>2020</v>
      </c>
    </row>
    <row r="167" spans="1:31" x14ac:dyDescent="0.25">
      <c r="A167" s="17">
        <v>166</v>
      </c>
      <c r="B167" s="17" t="s">
        <v>1510</v>
      </c>
      <c r="C167" s="17" t="s">
        <v>1510</v>
      </c>
      <c r="D167" s="17" t="s">
        <v>1511</v>
      </c>
      <c r="E167" s="17" t="s">
        <v>1512</v>
      </c>
      <c r="F167" s="17" t="s">
        <v>1513</v>
      </c>
      <c r="G167" s="17" t="s">
        <v>1514</v>
      </c>
      <c r="H167" s="17" t="s">
        <v>1515</v>
      </c>
      <c r="I167" s="17" t="s">
        <v>1516</v>
      </c>
      <c r="J167" s="17" t="s">
        <v>916</v>
      </c>
      <c r="K167" s="17" t="s">
        <v>69</v>
      </c>
      <c r="L167" s="17" t="s">
        <v>4</v>
      </c>
      <c r="M167" s="17"/>
      <c r="N167" s="17" t="s">
        <v>48</v>
      </c>
      <c r="O167" s="17" t="s">
        <v>1463</v>
      </c>
      <c r="P167" s="17" t="s">
        <v>50</v>
      </c>
      <c r="Q167" s="17" t="s">
        <v>51</v>
      </c>
      <c r="R167" s="17" t="s">
        <v>52</v>
      </c>
      <c r="S167" s="17" t="s">
        <v>1464</v>
      </c>
      <c r="T167" s="17" t="s">
        <v>54</v>
      </c>
      <c r="U167" s="17" t="s">
        <v>55</v>
      </c>
      <c r="V167" s="17" t="s">
        <v>70</v>
      </c>
      <c r="W167" s="17" t="s">
        <v>1517</v>
      </c>
      <c r="X167" s="17" t="s">
        <v>58</v>
      </c>
      <c r="Y167" s="17" t="s">
        <v>659</v>
      </c>
      <c r="Z167" s="17">
        <v>42.455883271200001</v>
      </c>
      <c r="AA167" s="17">
        <v>-94.286368495299996</v>
      </c>
      <c r="AB167" s="17" t="s">
        <v>1108</v>
      </c>
      <c r="AC167" s="17">
        <v>26</v>
      </c>
      <c r="AD167" s="17">
        <v>6.2427609008749833E-5</v>
      </c>
      <c r="AE167" s="17">
        <f t="shared" si="2"/>
        <v>2020</v>
      </c>
    </row>
    <row r="168" spans="1:31" x14ac:dyDescent="0.25">
      <c r="A168" s="17">
        <v>167</v>
      </c>
      <c r="B168" s="17" t="s">
        <v>1518</v>
      </c>
      <c r="C168" s="17" t="s">
        <v>1519</v>
      </c>
      <c r="D168" s="17" t="s">
        <v>1520</v>
      </c>
      <c r="E168" s="17" t="s">
        <v>1521</v>
      </c>
      <c r="F168" s="17" t="s">
        <v>1522</v>
      </c>
      <c r="G168" s="17" t="s">
        <v>1523</v>
      </c>
      <c r="H168" s="17" t="s">
        <v>1524</v>
      </c>
      <c r="I168" s="17" t="s">
        <v>1525</v>
      </c>
      <c r="J168" s="17" t="s">
        <v>1526</v>
      </c>
      <c r="K168" s="17" t="s">
        <v>259</v>
      </c>
      <c r="L168" s="17" t="s">
        <v>4</v>
      </c>
      <c r="M168" s="17" t="s">
        <v>1159</v>
      </c>
      <c r="N168" s="17" t="s">
        <v>145</v>
      </c>
      <c r="O168" s="17" t="s">
        <v>146</v>
      </c>
      <c r="P168" s="17" t="s">
        <v>147</v>
      </c>
      <c r="Q168" s="17" t="s">
        <v>51</v>
      </c>
      <c r="R168" s="17" t="s">
        <v>52</v>
      </c>
      <c r="S168" s="17" t="s">
        <v>1527</v>
      </c>
      <c r="T168" s="17" t="s">
        <v>54</v>
      </c>
      <c r="U168" s="17" t="s">
        <v>288</v>
      </c>
      <c r="V168" s="17" t="s">
        <v>70</v>
      </c>
      <c r="W168" s="17" t="s">
        <v>560</v>
      </c>
      <c r="X168" s="17" t="s">
        <v>412</v>
      </c>
      <c r="Y168" s="17" t="s">
        <v>179</v>
      </c>
      <c r="Z168" s="17">
        <v>42.456099496999997</v>
      </c>
      <c r="AA168" s="17">
        <v>-94.286360759700003</v>
      </c>
      <c r="AB168" s="17" t="s">
        <v>1108</v>
      </c>
      <c r="AC168" s="17">
        <v>26</v>
      </c>
      <c r="AD168" s="17">
        <v>8.9490595017084851E-5</v>
      </c>
      <c r="AE168" s="17">
        <f t="shared" si="2"/>
        <v>2014</v>
      </c>
    </row>
    <row r="169" spans="1:31" x14ac:dyDescent="0.25">
      <c r="A169" s="17">
        <v>168</v>
      </c>
      <c r="B169" s="17" t="s">
        <v>1528</v>
      </c>
      <c r="C169" s="17" t="s">
        <v>1528</v>
      </c>
      <c r="D169" s="17" t="s">
        <v>1529</v>
      </c>
      <c r="E169" s="17" t="s">
        <v>1530</v>
      </c>
      <c r="F169" s="17" t="s">
        <v>1531</v>
      </c>
      <c r="G169" s="17" t="s">
        <v>1532</v>
      </c>
      <c r="H169" s="17" t="s">
        <v>1533</v>
      </c>
      <c r="I169" s="17" t="s">
        <v>1534</v>
      </c>
      <c r="J169" s="17" t="s">
        <v>1535</v>
      </c>
      <c r="K169" s="17" t="s">
        <v>82</v>
      </c>
      <c r="L169" s="17" t="s">
        <v>4</v>
      </c>
      <c r="M169" s="17"/>
      <c r="N169" s="17" t="s">
        <v>48</v>
      </c>
      <c r="O169" s="17" t="s">
        <v>1463</v>
      </c>
      <c r="P169" s="17" t="s">
        <v>50</v>
      </c>
      <c r="Q169" s="17" t="s">
        <v>51</v>
      </c>
      <c r="R169" s="17" t="s">
        <v>52</v>
      </c>
      <c r="S169" s="17" t="s">
        <v>1536</v>
      </c>
      <c r="T169" s="17" t="s">
        <v>54</v>
      </c>
      <c r="U169" s="17" t="s">
        <v>288</v>
      </c>
      <c r="V169" s="17" t="s">
        <v>70</v>
      </c>
      <c r="W169" s="17" t="s">
        <v>1537</v>
      </c>
      <c r="X169" s="17" t="s">
        <v>101</v>
      </c>
      <c r="Y169" s="17" t="s">
        <v>89</v>
      </c>
      <c r="Z169" s="17">
        <v>42.456099495899998</v>
      </c>
      <c r="AA169" s="17">
        <v>-94.286360759600001</v>
      </c>
      <c r="AB169" s="17" t="s">
        <v>1108</v>
      </c>
      <c r="AC169" s="17">
        <v>26</v>
      </c>
      <c r="AD169" s="17">
        <v>8.9490595017084851E-5</v>
      </c>
      <c r="AE169" s="17">
        <f t="shared" si="2"/>
        <v>2016</v>
      </c>
    </row>
    <row r="170" spans="1:31" x14ac:dyDescent="0.25">
      <c r="A170" s="17">
        <v>169</v>
      </c>
      <c r="B170" s="17" t="s">
        <v>1538</v>
      </c>
      <c r="C170" s="17" t="s">
        <v>1538</v>
      </c>
      <c r="D170" s="17" t="s">
        <v>1539</v>
      </c>
      <c r="E170" s="17" t="s">
        <v>1540</v>
      </c>
      <c r="F170" s="17" t="s">
        <v>1531</v>
      </c>
      <c r="G170" s="17" t="s">
        <v>1532</v>
      </c>
      <c r="H170" s="17" t="s">
        <v>1541</v>
      </c>
      <c r="I170" s="17" t="s">
        <v>1525</v>
      </c>
      <c r="J170" s="17" t="s">
        <v>1542</v>
      </c>
      <c r="K170" s="17" t="s">
        <v>69</v>
      </c>
      <c r="L170" s="17" t="s">
        <v>4</v>
      </c>
      <c r="M170" s="17"/>
      <c r="N170" s="17" t="s">
        <v>48</v>
      </c>
      <c r="O170" s="17" t="s">
        <v>1463</v>
      </c>
      <c r="P170" s="17" t="s">
        <v>50</v>
      </c>
      <c r="Q170" s="17" t="s">
        <v>51</v>
      </c>
      <c r="R170" s="17" t="s">
        <v>52</v>
      </c>
      <c r="S170" s="17" t="s">
        <v>1543</v>
      </c>
      <c r="T170" s="17" t="s">
        <v>54</v>
      </c>
      <c r="U170" s="17" t="s">
        <v>288</v>
      </c>
      <c r="V170" s="17" t="s">
        <v>56</v>
      </c>
      <c r="W170" s="17" t="s">
        <v>293</v>
      </c>
      <c r="X170" s="17" t="s">
        <v>101</v>
      </c>
      <c r="Y170" s="17" t="s">
        <v>89</v>
      </c>
      <c r="Z170" s="17">
        <v>42.456099495899998</v>
      </c>
      <c r="AA170" s="17">
        <v>-94.286360759600001</v>
      </c>
      <c r="AB170" s="17" t="s">
        <v>1108</v>
      </c>
      <c r="AC170" s="17">
        <v>26</v>
      </c>
      <c r="AD170" s="17">
        <v>8.9490595017084851E-5</v>
      </c>
      <c r="AE170" s="17">
        <f t="shared" si="2"/>
        <v>2021</v>
      </c>
    </row>
    <row r="171" spans="1:31" x14ac:dyDescent="0.25">
      <c r="A171" s="17">
        <v>170</v>
      </c>
      <c r="B171" s="17" t="s">
        <v>1544</v>
      </c>
      <c r="C171" s="17" t="s">
        <v>1544</v>
      </c>
      <c r="D171" s="17" t="s">
        <v>1545</v>
      </c>
      <c r="E171" s="17" t="s">
        <v>1546</v>
      </c>
      <c r="F171" s="17" t="s">
        <v>1547</v>
      </c>
      <c r="G171" s="17" t="s">
        <v>1548</v>
      </c>
      <c r="H171" s="17" t="s">
        <v>1549</v>
      </c>
      <c r="I171" s="17" t="s">
        <v>1525</v>
      </c>
      <c r="J171" s="17" t="s">
        <v>1550</v>
      </c>
      <c r="K171" s="17" t="s">
        <v>120</v>
      </c>
      <c r="L171" s="17" t="s">
        <v>4</v>
      </c>
      <c r="M171" s="17"/>
      <c r="N171" s="17" t="s">
        <v>145</v>
      </c>
      <c r="O171" s="17" t="s">
        <v>146</v>
      </c>
      <c r="P171" s="17" t="s">
        <v>147</v>
      </c>
      <c r="Q171" s="17" t="s">
        <v>51</v>
      </c>
      <c r="R171" s="17" t="s">
        <v>52</v>
      </c>
      <c r="S171" s="17" t="s">
        <v>1551</v>
      </c>
      <c r="T171" s="17" t="s">
        <v>54</v>
      </c>
      <c r="U171" s="17" t="s">
        <v>55</v>
      </c>
      <c r="V171" s="17" t="s">
        <v>70</v>
      </c>
      <c r="W171" s="17" t="s">
        <v>652</v>
      </c>
      <c r="X171" s="17" t="s">
        <v>58</v>
      </c>
      <c r="Y171" s="17" t="s">
        <v>1552</v>
      </c>
      <c r="Z171" s="17">
        <v>42.456126221399998</v>
      </c>
      <c r="AA171" s="17">
        <v>-94.283977615799998</v>
      </c>
      <c r="AB171" s="17" t="s">
        <v>1108</v>
      </c>
      <c r="AC171" s="17">
        <v>26</v>
      </c>
      <c r="AD171" s="17">
        <v>7.6271470181143818E-5</v>
      </c>
      <c r="AE171" s="17">
        <f t="shared" si="2"/>
        <v>2015</v>
      </c>
    </row>
    <row r="172" spans="1:31" x14ac:dyDescent="0.25">
      <c r="A172" s="17">
        <v>171</v>
      </c>
      <c r="B172" s="17" t="s">
        <v>1553</v>
      </c>
      <c r="C172" s="17" t="s">
        <v>1553</v>
      </c>
      <c r="D172" s="17" t="s">
        <v>1554</v>
      </c>
      <c r="E172" s="17" t="s">
        <v>1555</v>
      </c>
      <c r="F172" s="17" t="s">
        <v>1556</v>
      </c>
      <c r="G172" s="17" t="s">
        <v>1557</v>
      </c>
      <c r="H172" s="17" t="s">
        <v>1558</v>
      </c>
      <c r="I172" s="17" t="s">
        <v>1559</v>
      </c>
      <c r="J172" s="17" t="s">
        <v>1560</v>
      </c>
      <c r="K172" s="17" t="s">
        <v>120</v>
      </c>
      <c r="L172" s="17" t="s">
        <v>4</v>
      </c>
      <c r="M172" s="17"/>
      <c r="N172" s="17" t="s">
        <v>48</v>
      </c>
      <c r="O172" s="17" t="s">
        <v>667</v>
      </c>
      <c r="P172" s="17" t="s">
        <v>467</v>
      </c>
      <c r="Q172" s="17" t="s">
        <v>51</v>
      </c>
      <c r="R172" s="17" t="s">
        <v>52</v>
      </c>
      <c r="S172" s="17" t="s">
        <v>1561</v>
      </c>
      <c r="T172" s="17" t="s">
        <v>54</v>
      </c>
      <c r="U172" s="17" t="s">
        <v>55</v>
      </c>
      <c r="V172" s="17" t="s">
        <v>70</v>
      </c>
      <c r="W172" s="17" t="s">
        <v>446</v>
      </c>
      <c r="X172" s="17" t="s">
        <v>72</v>
      </c>
      <c r="Y172" s="17" t="s">
        <v>839</v>
      </c>
      <c r="Z172" s="17">
        <v>42.456143261100003</v>
      </c>
      <c r="AA172" s="17">
        <v>-94.274382387000003</v>
      </c>
      <c r="AB172" s="17" t="s">
        <v>1108</v>
      </c>
      <c r="AC172" s="17">
        <v>26</v>
      </c>
      <c r="AD172" s="17">
        <v>4.1721791401211019E-5</v>
      </c>
      <c r="AE172" s="17">
        <f t="shared" si="2"/>
        <v>2019</v>
      </c>
    </row>
    <row r="173" spans="1:31" x14ac:dyDescent="0.25">
      <c r="A173" s="17">
        <v>172</v>
      </c>
      <c r="B173" s="17" t="s">
        <v>1562</v>
      </c>
      <c r="C173" s="17" t="s">
        <v>1562</v>
      </c>
      <c r="D173" s="17" t="s">
        <v>1563</v>
      </c>
      <c r="E173" s="17" t="s">
        <v>1564</v>
      </c>
      <c r="F173" s="17" t="s">
        <v>1565</v>
      </c>
      <c r="G173" s="17" t="s">
        <v>1566</v>
      </c>
      <c r="H173" s="17" t="s">
        <v>1567</v>
      </c>
      <c r="I173" s="17" t="s">
        <v>1559</v>
      </c>
      <c r="J173" s="17" t="s">
        <v>1568</v>
      </c>
      <c r="K173" s="17" t="s">
        <v>99</v>
      </c>
      <c r="L173" s="17" t="s">
        <v>4</v>
      </c>
      <c r="M173" s="17"/>
      <c r="N173" s="17" t="s">
        <v>48</v>
      </c>
      <c r="O173" s="17" t="s">
        <v>667</v>
      </c>
      <c r="P173" s="17" t="s">
        <v>467</v>
      </c>
      <c r="Q173" s="17" t="s">
        <v>51</v>
      </c>
      <c r="R173" s="17" t="s">
        <v>52</v>
      </c>
      <c r="S173" s="17" t="s">
        <v>1569</v>
      </c>
      <c r="T173" s="17" t="s">
        <v>54</v>
      </c>
      <c r="U173" s="17" t="s">
        <v>55</v>
      </c>
      <c r="V173" s="17" t="s">
        <v>70</v>
      </c>
      <c r="W173" s="17" t="s">
        <v>293</v>
      </c>
      <c r="X173" s="17" t="s">
        <v>150</v>
      </c>
      <c r="Y173" s="17" t="s">
        <v>150</v>
      </c>
      <c r="Z173" s="17">
        <v>42.456146100200002</v>
      </c>
      <c r="AA173" s="17">
        <v>-94.274127049000001</v>
      </c>
      <c r="AB173" s="17" t="s">
        <v>1108</v>
      </c>
      <c r="AC173" s="17">
        <v>26</v>
      </c>
      <c r="AD173" s="17">
        <v>4.3187907400467223E-5</v>
      </c>
      <c r="AE173" s="17">
        <f t="shared" si="2"/>
        <v>2022</v>
      </c>
    </row>
    <row r="174" spans="1:31" x14ac:dyDescent="0.25">
      <c r="A174" s="17">
        <v>173</v>
      </c>
      <c r="B174" s="17" t="s">
        <v>1570</v>
      </c>
      <c r="C174" s="17" t="s">
        <v>1570</v>
      </c>
      <c r="D174" s="17" t="s">
        <v>1571</v>
      </c>
      <c r="E174" s="17" t="s">
        <v>1572</v>
      </c>
      <c r="F174" s="17" t="s">
        <v>1573</v>
      </c>
      <c r="G174" s="17" t="s">
        <v>1574</v>
      </c>
      <c r="H174" s="17" t="s">
        <v>1575</v>
      </c>
      <c r="I174" s="17" t="s">
        <v>1576</v>
      </c>
      <c r="J174" s="17" t="s">
        <v>1577</v>
      </c>
      <c r="K174" s="17" t="s">
        <v>99</v>
      </c>
      <c r="L174" s="17" t="s">
        <v>4</v>
      </c>
      <c r="M174" s="17"/>
      <c r="N174" s="17" t="s">
        <v>48</v>
      </c>
      <c r="O174" s="17" t="s">
        <v>667</v>
      </c>
      <c r="P174" s="17" t="s">
        <v>467</v>
      </c>
      <c r="Q174" s="17" t="s">
        <v>51</v>
      </c>
      <c r="R174" s="17" t="s">
        <v>52</v>
      </c>
      <c r="S174" s="17" t="s">
        <v>1561</v>
      </c>
      <c r="T174" s="17" t="s">
        <v>54</v>
      </c>
      <c r="U174" s="17" t="s">
        <v>55</v>
      </c>
      <c r="V174" s="17" t="s">
        <v>344</v>
      </c>
      <c r="W174" s="17" t="s">
        <v>250</v>
      </c>
      <c r="X174" s="17" t="s">
        <v>310</v>
      </c>
      <c r="Y174" s="17" t="s">
        <v>1578</v>
      </c>
      <c r="Z174" s="17">
        <v>42.4561506967</v>
      </c>
      <c r="AA174" s="17">
        <v>-94.278566161599997</v>
      </c>
      <c r="AB174" s="17" t="s">
        <v>1108</v>
      </c>
      <c r="AC174" s="17">
        <v>26</v>
      </c>
      <c r="AD174" s="17">
        <v>7.1652048352401331E-5</v>
      </c>
      <c r="AE174" s="17">
        <f t="shared" si="2"/>
        <v>2018</v>
      </c>
    </row>
    <row r="175" spans="1:31" x14ac:dyDescent="0.25">
      <c r="A175" s="17">
        <v>174</v>
      </c>
      <c r="B175" s="17" t="s">
        <v>1579</v>
      </c>
      <c r="C175" s="17" t="s">
        <v>1580</v>
      </c>
      <c r="D175" s="17" t="s">
        <v>1581</v>
      </c>
      <c r="E175" s="17" t="s">
        <v>1582</v>
      </c>
      <c r="F175" s="17" t="s">
        <v>1583</v>
      </c>
      <c r="G175" s="17" t="s">
        <v>1584</v>
      </c>
      <c r="H175" s="17" t="s">
        <v>1585</v>
      </c>
      <c r="I175" s="17" t="s">
        <v>1586</v>
      </c>
      <c r="J175" s="17" t="s">
        <v>916</v>
      </c>
      <c r="K175" s="17" t="s">
        <v>120</v>
      </c>
      <c r="L175" s="17" t="s">
        <v>4</v>
      </c>
      <c r="M175" s="17"/>
      <c r="N175" s="17" t="s">
        <v>145</v>
      </c>
      <c r="O175" s="17" t="s">
        <v>146</v>
      </c>
      <c r="P175" s="17" t="s">
        <v>147</v>
      </c>
      <c r="Q175" s="17" t="s">
        <v>51</v>
      </c>
      <c r="R175" s="17" t="s">
        <v>52</v>
      </c>
      <c r="S175" s="17" t="s">
        <v>1551</v>
      </c>
      <c r="T175" s="17" t="s">
        <v>54</v>
      </c>
      <c r="U175" s="17" t="s">
        <v>55</v>
      </c>
      <c r="V175" s="17" t="s">
        <v>70</v>
      </c>
      <c r="W175" s="17" t="s">
        <v>293</v>
      </c>
      <c r="X175" s="17" t="s">
        <v>150</v>
      </c>
      <c r="Y175" s="17" t="s">
        <v>150</v>
      </c>
      <c r="Z175" s="17">
        <v>42.4561525919</v>
      </c>
      <c r="AA175" s="17">
        <v>-94.280816113900002</v>
      </c>
      <c r="AB175" s="17" t="s">
        <v>1108</v>
      </c>
      <c r="AC175" s="17">
        <v>26</v>
      </c>
      <c r="AD175" s="17">
        <v>8.5644048249111976E-5</v>
      </c>
      <c r="AE175" s="17">
        <f t="shared" si="2"/>
        <v>2013</v>
      </c>
    </row>
    <row r="176" spans="1:31" x14ac:dyDescent="0.25">
      <c r="A176" s="17">
        <v>175</v>
      </c>
      <c r="B176" s="17" t="s">
        <v>1587</v>
      </c>
      <c r="C176" s="17" t="s">
        <v>1588</v>
      </c>
      <c r="D176" s="17" t="s">
        <v>1589</v>
      </c>
      <c r="E176" s="17" t="s">
        <v>1590</v>
      </c>
      <c r="F176" s="17" t="s">
        <v>1591</v>
      </c>
      <c r="G176" s="17" t="s">
        <v>1592</v>
      </c>
      <c r="H176" s="17" t="s">
        <v>1593</v>
      </c>
      <c r="I176" s="17" t="s">
        <v>1594</v>
      </c>
      <c r="J176" s="17" t="s">
        <v>1595</v>
      </c>
      <c r="K176" s="17" t="s">
        <v>259</v>
      </c>
      <c r="L176" s="17" t="s">
        <v>4</v>
      </c>
      <c r="M176" s="17"/>
      <c r="N176" s="17" t="s">
        <v>145</v>
      </c>
      <c r="O176" s="17" t="s">
        <v>146</v>
      </c>
      <c r="P176" s="17" t="s">
        <v>147</v>
      </c>
      <c r="Q176" s="17" t="s">
        <v>51</v>
      </c>
      <c r="R176" s="17" t="s">
        <v>52</v>
      </c>
      <c r="S176" s="17" t="s">
        <v>1596</v>
      </c>
      <c r="T176" s="17" t="s">
        <v>54</v>
      </c>
      <c r="U176" s="17" t="s">
        <v>288</v>
      </c>
      <c r="V176" s="17" t="s">
        <v>56</v>
      </c>
      <c r="W176" s="17" t="s">
        <v>1597</v>
      </c>
      <c r="X176" s="17" t="s">
        <v>971</v>
      </c>
      <c r="Y176" s="17" t="s">
        <v>161</v>
      </c>
      <c r="Z176" s="17">
        <v>42.456170651100003</v>
      </c>
      <c r="AA176" s="17">
        <v>-94.268666942099998</v>
      </c>
      <c r="AB176" s="17" t="s">
        <v>1108</v>
      </c>
      <c r="AC176" s="17">
        <v>26</v>
      </c>
      <c r="AD176" s="17">
        <v>3.8381898103992133E-5</v>
      </c>
      <c r="AE176" s="17">
        <f t="shared" si="2"/>
        <v>2014</v>
      </c>
    </row>
    <row r="177" spans="1:31" x14ac:dyDescent="0.25">
      <c r="A177" s="17">
        <v>176</v>
      </c>
      <c r="B177" s="17" t="s">
        <v>1598</v>
      </c>
      <c r="C177" s="17" t="s">
        <v>1598</v>
      </c>
      <c r="D177" s="17" t="s">
        <v>1599</v>
      </c>
      <c r="E177" s="17" t="s">
        <v>1600</v>
      </c>
      <c r="F177" s="17" t="s">
        <v>1601</v>
      </c>
      <c r="G177" s="17" t="s">
        <v>1592</v>
      </c>
      <c r="H177" s="17" t="s">
        <v>1602</v>
      </c>
      <c r="I177" s="17" t="s">
        <v>1603</v>
      </c>
      <c r="J177" s="17" t="s">
        <v>1604</v>
      </c>
      <c r="K177" s="17" t="s">
        <v>69</v>
      </c>
      <c r="L177" s="17" t="s">
        <v>4</v>
      </c>
      <c r="M177" s="17"/>
      <c r="N177" s="17" t="s">
        <v>48</v>
      </c>
      <c r="O177" s="17" t="s">
        <v>1106</v>
      </c>
      <c r="P177" s="17" t="s">
        <v>50</v>
      </c>
      <c r="Q177" s="17" t="s">
        <v>51</v>
      </c>
      <c r="R177" s="17" t="s">
        <v>52</v>
      </c>
      <c r="S177" s="17" t="s">
        <v>1605</v>
      </c>
      <c r="T177" s="17" t="s">
        <v>54</v>
      </c>
      <c r="U177" s="17" t="s">
        <v>288</v>
      </c>
      <c r="V177" s="17" t="s">
        <v>344</v>
      </c>
      <c r="W177" s="17" t="s">
        <v>1606</v>
      </c>
      <c r="X177" s="17" t="s">
        <v>72</v>
      </c>
      <c r="Y177" s="17" t="s">
        <v>89</v>
      </c>
      <c r="Z177" s="17">
        <v>42.456170649900002</v>
      </c>
      <c r="AA177" s="17">
        <v>-94.268666942099998</v>
      </c>
      <c r="AB177" s="17" t="s">
        <v>1108</v>
      </c>
      <c r="AC177" s="17">
        <v>26</v>
      </c>
      <c r="AD177" s="17">
        <v>3.8381898103992133E-5</v>
      </c>
      <c r="AE177" s="17">
        <f t="shared" si="2"/>
        <v>2017</v>
      </c>
    </row>
    <row r="178" spans="1:31" x14ac:dyDescent="0.25">
      <c r="A178" s="17">
        <v>177</v>
      </c>
      <c r="B178" s="17" t="s">
        <v>1607</v>
      </c>
      <c r="C178" s="17" t="s">
        <v>1607</v>
      </c>
      <c r="D178" s="17" t="s">
        <v>1608</v>
      </c>
      <c r="E178" s="17" t="s">
        <v>1609</v>
      </c>
      <c r="F178" s="17" t="s">
        <v>1610</v>
      </c>
      <c r="G178" s="17" t="s">
        <v>1611</v>
      </c>
      <c r="H178" s="17" t="s">
        <v>1612</v>
      </c>
      <c r="I178" s="17" t="s">
        <v>1613</v>
      </c>
      <c r="J178" s="17" t="s">
        <v>837</v>
      </c>
      <c r="K178" s="17" t="s">
        <v>216</v>
      </c>
      <c r="L178" s="17" t="s">
        <v>4</v>
      </c>
      <c r="M178" s="17"/>
      <c r="N178" s="17" t="s">
        <v>48</v>
      </c>
      <c r="O178" s="17" t="s">
        <v>1106</v>
      </c>
      <c r="P178" s="17" t="s">
        <v>50</v>
      </c>
      <c r="Q178" s="17" t="s">
        <v>51</v>
      </c>
      <c r="R178" s="17" t="s">
        <v>52</v>
      </c>
      <c r="S178" s="17" t="s">
        <v>1614</v>
      </c>
      <c r="T178" s="17" t="s">
        <v>54</v>
      </c>
      <c r="U178" s="17" t="s">
        <v>55</v>
      </c>
      <c r="V178" s="17" t="s">
        <v>70</v>
      </c>
      <c r="W178" s="17" t="s">
        <v>1096</v>
      </c>
      <c r="X178" s="17" t="s">
        <v>739</v>
      </c>
      <c r="Y178" s="17" t="s">
        <v>659</v>
      </c>
      <c r="Z178" s="17">
        <v>42.456212451399999</v>
      </c>
      <c r="AA178" s="17">
        <v>-94.268144832299996</v>
      </c>
      <c r="AB178" s="17" t="s">
        <v>1108</v>
      </c>
      <c r="AC178" s="17">
        <v>26</v>
      </c>
      <c r="AD178" s="17">
        <v>3.6192933938169492E-5</v>
      </c>
      <c r="AE178" s="17">
        <f t="shared" si="2"/>
        <v>2022</v>
      </c>
    </row>
    <row r="179" spans="1:31" x14ac:dyDescent="0.25">
      <c r="A179" s="17">
        <v>178</v>
      </c>
      <c r="B179" s="17" t="s">
        <v>1615</v>
      </c>
      <c r="C179" s="17" t="s">
        <v>1615</v>
      </c>
      <c r="D179" s="17" t="s">
        <v>1616</v>
      </c>
      <c r="E179" s="17" t="s">
        <v>1617</v>
      </c>
      <c r="F179" s="17" t="s">
        <v>1618</v>
      </c>
      <c r="G179" s="17" t="s">
        <v>1619</v>
      </c>
      <c r="H179" s="17" t="s">
        <v>1620</v>
      </c>
      <c r="I179" s="17" t="s">
        <v>1621</v>
      </c>
      <c r="J179" s="17" t="s">
        <v>1622</v>
      </c>
      <c r="K179" s="17" t="s">
        <v>216</v>
      </c>
      <c r="L179" s="17" t="s">
        <v>4</v>
      </c>
      <c r="M179" s="17"/>
      <c r="N179" s="17" t="s">
        <v>48</v>
      </c>
      <c r="O179" s="17" t="s">
        <v>1106</v>
      </c>
      <c r="P179" s="17" t="s">
        <v>50</v>
      </c>
      <c r="Q179" s="17" t="s">
        <v>51</v>
      </c>
      <c r="R179" s="17" t="s">
        <v>52</v>
      </c>
      <c r="S179" s="17" t="s">
        <v>1623</v>
      </c>
      <c r="T179" s="17" t="s">
        <v>54</v>
      </c>
      <c r="U179" s="17" t="s">
        <v>55</v>
      </c>
      <c r="V179" s="17" t="s">
        <v>70</v>
      </c>
      <c r="W179" s="17" t="s">
        <v>548</v>
      </c>
      <c r="X179" s="17" t="s">
        <v>971</v>
      </c>
      <c r="Y179" s="17" t="s">
        <v>89</v>
      </c>
      <c r="Z179" s="17">
        <v>42.456328835500003</v>
      </c>
      <c r="AA179" s="17">
        <v>-94.267393153300006</v>
      </c>
      <c r="AB179" s="17" t="s">
        <v>1108</v>
      </c>
      <c r="AC179" s="17">
        <v>26</v>
      </c>
      <c r="AD179" s="17">
        <v>6.2680758739596355E-5</v>
      </c>
      <c r="AE179" s="17">
        <f t="shared" si="2"/>
        <v>2019</v>
      </c>
    </row>
    <row r="180" spans="1:31" x14ac:dyDescent="0.25">
      <c r="A180" s="17">
        <v>179</v>
      </c>
      <c r="B180" s="17" t="s">
        <v>1624</v>
      </c>
      <c r="C180" s="17" t="s">
        <v>1624</v>
      </c>
      <c r="D180" s="17" t="s">
        <v>1625</v>
      </c>
      <c r="E180" s="17" t="s">
        <v>1626</v>
      </c>
      <c r="F180" s="17" t="s">
        <v>1627</v>
      </c>
      <c r="G180" s="17" t="s">
        <v>1628</v>
      </c>
      <c r="H180" s="17" t="s">
        <v>1629</v>
      </c>
      <c r="I180" s="17" t="s">
        <v>1630</v>
      </c>
      <c r="J180" s="17" t="s">
        <v>1631</v>
      </c>
      <c r="K180" s="17" t="s">
        <v>216</v>
      </c>
      <c r="L180" s="17" t="s">
        <v>4</v>
      </c>
      <c r="M180" s="17"/>
      <c r="N180" s="17" t="s">
        <v>48</v>
      </c>
      <c r="O180" s="17" t="s">
        <v>1106</v>
      </c>
      <c r="P180" s="17" t="s">
        <v>50</v>
      </c>
      <c r="Q180" s="17" t="s">
        <v>51</v>
      </c>
      <c r="R180" s="17" t="s">
        <v>52</v>
      </c>
      <c r="S180" s="17" t="s">
        <v>1623</v>
      </c>
      <c r="T180" s="17" t="s">
        <v>54</v>
      </c>
      <c r="U180" s="17" t="s">
        <v>55</v>
      </c>
      <c r="V180" s="17" t="s">
        <v>70</v>
      </c>
      <c r="W180" s="17" t="s">
        <v>1632</v>
      </c>
      <c r="X180" s="17" t="s">
        <v>1633</v>
      </c>
      <c r="Y180" s="17" t="s">
        <v>161</v>
      </c>
      <c r="Z180" s="17">
        <v>42.456424519199999</v>
      </c>
      <c r="AA180" s="17">
        <v>-94.266884289399997</v>
      </c>
      <c r="AB180" s="17" t="s">
        <v>1108</v>
      </c>
      <c r="AC180" s="17">
        <v>26</v>
      </c>
      <c r="AD180" s="17">
        <v>9.7388709974781246E-5</v>
      </c>
      <c r="AE180" s="17">
        <f t="shared" si="2"/>
        <v>2016</v>
      </c>
    </row>
    <row r="181" spans="1:31" x14ac:dyDescent="0.25">
      <c r="A181" s="17">
        <v>180</v>
      </c>
      <c r="B181" s="17" t="s">
        <v>1634</v>
      </c>
      <c r="C181" s="17" t="s">
        <v>1634</v>
      </c>
      <c r="D181" s="17" t="s">
        <v>1635</v>
      </c>
      <c r="E181" s="17" t="s">
        <v>1636</v>
      </c>
      <c r="F181" s="17" t="s">
        <v>1637</v>
      </c>
      <c r="G181" s="17" t="s">
        <v>1638</v>
      </c>
      <c r="H181" s="17" t="s">
        <v>1639</v>
      </c>
      <c r="I181" s="17" t="s">
        <v>1640</v>
      </c>
      <c r="J181" s="17" t="s">
        <v>1641</v>
      </c>
      <c r="K181" s="17" t="s">
        <v>69</v>
      </c>
      <c r="L181" s="17" t="s">
        <v>4</v>
      </c>
      <c r="M181" s="17"/>
      <c r="N181" s="17" t="s">
        <v>48</v>
      </c>
      <c r="O181" s="17" t="s">
        <v>1106</v>
      </c>
      <c r="P181" s="17" t="s">
        <v>50</v>
      </c>
      <c r="Q181" s="17" t="s">
        <v>51</v>
      </c>
      <c r="R181" s="17" t="s">
        <v>52</v>
      </c>
      <c r="S181" s="17" t="s">
        <v>1642</v>
      </c>
      <c r="T181" s="17" t="s">
        <v>54</v>
      </c>
      <c r="U181" s="17" t="s">
        <v>55</v>
      </c>
      <c r="V181" s="17" t="s">
        <v>70</v>
      </c>
      <c r="W181" s="17" t="s">
        <v>1517</v>
      </c>
      <c r="X181" s="17" t="s">
        <v>739</v>
      </c>
      <c r="Y181" s="17" t="s">
        <v>659</v>
      </c>
      <c r="Z181" s="17">
        <v>42.4565378052</v>
      </c>
      <c r="AA181" s="17">
        <v>-94.266412263999996</v>
      </c>
      <c r="AB181" s="17" t="s">
        <v>1108</v>
      </c>
      <c r="AC181" s="17">
        <v>26</v>
      </c>
      <c r="AD181" s="17">
        <v>4.6352395067854651E-5</v>
      </c>
      <c r="AE181" s="17">
        <f t="shared" si="2"/>
        <v>2022</v>
      </c>
    </row>
    <row r="182" spans="1:31" x14ac:dyDescent="0.25">
      <c r="A182" s="17">
        <v>181</v>
      </c>
      <c r="B182" s="17" t="s">
        <v>1643</v>
      </c>
      <c r="C182" s="17" t="s">
        <v>1643</v>
      </c>
      <c r="D182" s="17" t="s">
        <v>1644</v>
      </c>
      <c r="E182" s="17" t="s">
        <v>1645</v>
      </c>
      <c r="F182" s="17" t="s">
        <v>1646</v>
      </c>
      <c r="G182" s="17" t="s">
        <v>1647</v>
      </c>
      <c r="H182" s="17" t="s">
        <v>1648</v>
      </c>
      <c r="I182" s="17" t="s">
        <v>1649</v>
      </c>
      <c r="J182" s="17" t="s">
        <v>1650</v>
      </c>
      <c r="K182" s="17" t="s">
        <v>47</v>
      </c>
      <c r="L182" s="17" t="s">
        <v>4</v>
      </c>
      <c r="M182" s="17" t="s">
        <v>1159</v>
      </c>
      <c r="N182" s="17" t="s">
        <v>48</v>
      </c>
      <c r="O182" s="17" t="s">
        <v>1106</v>
      </c>
      <c r="P182" s="17" t="s">
        <v>50</v>
      </c>
      <c r="Q182" s="17" t="s">
        <v>51</v>
      </c>
      <c r="R182" s="17" t="s">
        <v>52</v>
      </c>
      <c r="S182" s="17" t="s">
        <v>1651</v>
      </c>
      <c r="T182" s="17" t="s">
        <v>54</v>
      </c>
      <c r="U182" s="17" t="s">
        <v>55</v>
      </c>
      <c r="V182" s="17" t="s">
        <v>56</v>
      </c>
      <c r="W182" s="17" t="s">
        <v>1652</v>
      </c>
      <c r="X182" s="17" t="s">
        <v>72</v>
      </c>
      <c r="Y182" s="17" t="s">
        <v>89</v>
      </c>
      <c r="Z182" s="17">
        <v>42.4575007734</v>
      </c>
      <c r="AA182" s="17">
        <v>-94.264023601700003</v>
      </c>
      <c r="AB182" s="17" t="s">
        <v>1108</v>
      </c>
      <c r="AC182" s="17">
        <v>26</v>
      </c>
      <c r="AD182" s="17">
        <v>8.5893093490753658E-5</v>
      </c>
      <c r="AE182" s="17">
        <f t="shared" si="2"/>
        <v>2022</v>
      </c>
    </row>
    <row r="183" spans="1:31" x14ac:dyDescent="0.25">
      <c r="A183" s="17">
        <v>182</v>
      </c>
      <c r="B183" s="17" t="s">
        <v>1653</v>
      </c>
      <c r="C183" s="17" t="s">
        <v>1654</v>
      </c>
      <c r="D183" s="17" t="s">
        <v>1655</v>
      </c>
      <c r="E183" s="17" t="s">
        <v>1656</v>
      </c>
      <c r="F183" s="17" t="s">
        <v>1657</v>
      </c>
      <c r="G183" s="17" t="s">
        <v>1658</v>
      </c>
      <c r="H183" s="17" t="s">
        <v>1659</v>
      </c>
      <c r="I183" s="17" t="s">
        <v>1660</v>
      </c>
      <c r="J183" s="17" t="s">
        <v>1661</v>
      </c>
      <c r="K183" s="17" t="s">
        <v>69</v>
      </c>
      <c r="L183" s="17" t="s">
        <v>4</v>
      </c>
      <c r="M183" s="17"/>
      <c r="N183" s="17" t="s">
        <v>145</v>
      </c>
      <c r="O183" s="17" t="s">
        <v>146</v>
      </c>
      <c r="P183" s="17" t="s">
        <v>147</v>
      </c>
      <c r="Q183" s="17" t="s">
        <v>51</v>
      </c>
      <c r="R183" s="17" t="s">
        <v>52</v>
      </c>
      <c r="S183" s="17" t="s">
        <v>1662</v>
      </c>
      <c r="T183" s="17" t="s">
        <v>54</v>
      </c>
      <c r="U183" s="17" t="s">
        <v>288</v>
      </c>
      <c r="V183" s="17" t="s">
        <v>469</v>
      </c>
      <c r="W183" s="17" t="s">
        <v>1161</v>
      </c>
      <c r="X183" s="17" t="s">
        <v>434</v>
      </c>
      <c r="Y183" s="17" t="s">
        <v>1663</v>
      </c>
      <c r="Z183" s="17">
        <v>42.458294529900002</v>
      </c>
      <c r="AA183" s="17">
        <v>-94.262276061400001</v>
      </c>
      <c r="AB183" s="17" t="s">
        <v>1108</v>
      </c>
      <c r="AC183" s="17">
        <v>26</v>
      </c>
      <c r="AD183" s="17">
        <v>7.0745369202149025E-5</v>
      </c>
      <c r="AE183" s="17">
        <f t="shared" si="2"/>
        <v>2013</v>
      </c>
    </row>
    <row r="184" spans="1:31" x14ac:dyDescent="0.25">
      <c r="A184" s="17">
        <v>183</v>
      </c>
      <c r="B184" s="17" t="s">
        <v>1664</v>
      </c>
      <c r="C184" s="17" t="s">
        <v>1664</v>
      </c>
      <c r="D184" s="17" t="s">
        <v>1665</v>
      </c>
      <c r="E184" s="17" t="s">
        <v>1666</v>
      </c>
      <c r="F184" s="17" t="s">
        <v>1667</v>
      </c>
      <c r="G184" s="17" t="s">
        <v>1668</v>
      </c>
      <c r="H184" s="17" t="s">
        <v>1669</v>
      </c>
      <c r="I184" s="17" t="s">
        <v>1670</v>
      </c>
      <c r="J184" s="17" t="s">
        <v>1671</v>
      </c>
      <c r="K184" s="17" t="s">
        <v>216</v>
      </c>
      <c r="L184" s="17" t="s">
        <v>4</v>
      </c>
      <c r="M184" s="17"/>
      <c r="N184" s="17" t="s">
        <v>48</v>
      </c>
      <c r="O184" s="17" t="s">
        <v>1106</v>
      </c>
      <c r="P184" s="17" t="s">
        <v>50</v>
      </c>
      <c r="Q184" s="17" t="s">
        <v>51</v>
      </c>
      <c r="R184" s="17" t="s">
        <v>52</v>
      </c>
      <c r="S184" s="17" t="s">
        <v>1672</v>
      </c>
      <c r="T184" s="17" t="s">
        <v>54</v>
      </c>
      <c r="U184" s="17" t="s">
        <v>55</v>
      </c>
      <c r="V184" s="17" t="s">
        <v>70</v>
      </c>
      <c r="W184" s="17" t="s">
        <v>149</v>
      </c>
      <c r="X184" s="17" t="s">
        <v>134</v>
      </c>
      <c r="Y184" s="17" t="s">
        <v>179</v>
      </c>
      <c r="Z184" s="17">
        <v>42.458340484899999</v>
      </c>
      <c r="AA184" s="17">
        <v>-94.262191849600001</v>
      </c>
      <c r="AB184" s="17" t="s">
        <v>1108</v>
      </c>
      <c r="AC184" s="17">
        <v>26</v>
      </c>
      <c r="AD184" s="17">
        <v>7.1561514355182755E-5</v>
      </c>
      <c r="AE184" s="17">
        <f t="shared" si="2"/>
        <v>2021</v>
      </c>
    </row>
    <row r="185" spans="1:31" x14ac:dyDescent="0.25">
      <c r="A185" s="17">
        <v>184</v>
      </c>
      <c r="B185" s="17" t="s">
        <v>1673</v>
      </c>
      <c r="C185" s="17" t="s">
        <v>1673</v>
      </c>
      <c r="D185" s="17" t="s">
        <v>1674</v>
      </c>
      <c r="E185" s="17" t="s">
        <v>1675</v>
      </c>
      <c r="F185" s="17" t="s">
        <v>1676</v>
      </c>
      <c r="G185" s="17" t="s">
        <v>1677</v>
      </c>
      <c r="H185" s="17" t="s">
        <v>1678</v>
      </c>
      <c r="I185" s="17" t="s">
        <v>1679</v>
      </c>
      <c r="J185" s="17" t="s">
        <v>1680</v>
      </c>
      <c r="K185" s="17" t="s">
        <v>47</v>
      </c>
      <c r="L185" s="17" t="s">
        <v>4</v>
      </c>
      <c r="M185" s="17"/>
      <c r="N185" s="17" t="s">
        <v>48</v>
      </c>
      <c r="O185" s="17" t="s">
        <v>1106</v>
      </c>
      <c r="P185" s="17" t="s">
        <v>50</v>
      </c>
      <c r="Q185" s="17" t="s">
        <v>51</v>
      </c>
      <c r="R185" s="17" t="s">
        <v>52</v>
      </c>
      <c r="S185" s="17" t="s">
        <v>1623</v>
      </c>
      <c r="T185" s="17" t="s">
        <v>54</v>
      </c>
      <c r="U185" s="17" t="s">
        <v>55</v>
      </c>
      <c r="V185" s="17" t="s">
        <v>56</v>
      </c>
      <c r="W185" s="17" t="s">
        <v>149</v>
      </c>
      <c r="X185" s="17" t="s">
        <v>101</v>
      </c>
      <c r="Y185" s="17" t="s">
        <v>89</v>
      </c>
      <c r="Z185" s="17">
        <v>42.458442070399997</v>
      </c>
      <c r="AA185" s="17">
        <v>-94.261962809300002</v>
      </c>
      <c r="AB185" s="17" t="s">
        <v>1108</v>
      </c>
      <c r="AC185" s="17">
        <v>26</v>
      </c>
      <c r="AD185" s="17">
        <v>8.2091545027492387E-5</v>
      </c>
      <c r="AE185" s="17">
        <f t="shared" si="2"/>
        <v>2019</v>
      </c>
    </row>
    <row r="186" spans="1:31" x14ac:dyDescent="0.25">
      <c r="A186" s="17">
        <v>185</v>
      </c>
      <c r="B186" s="17" t="s">
        <v>1681</v>
      </c>
      <c r="C186" s="17" t="s">
        <v>1681</v>
      </c>
      <c r="D186" s="17" t="s">
        <v>1682</v>
      </c>
      <c r="E186" s="17" t="s">
        <v>1683</v>
      </c>
      <c r="F186" s="17" t="s">
        <v>1684</v>
      </c>
      <c r="G186" s="17" t="s">
        <v>1685</v>
      </c>
      <c r="H186" s="17" t="s">
        <v>1686</v>
      </c>
      <c r="I186" s="17" t="s">
        <v>1687</v>
      </c>
      <c r="J186" s="17" t="s">
        <v>1688</v>
      </c>
      <c r="K186" s="17" t="s">
        <v>216</v>
      </c>
      <c r="L186" s="17" t="s">
        <v>4</v>
      </c>
      <c r="M186" s="17"/>
      <c r="N186" s="17" t="s">
        <v>48</v>
      </c>
      <c r="O186" s="17" t="s">
        <v>1106</v>
      </c>
      <c r="P186" s="17" t="s">
        <v>50</v>
      </c>
      <c r="Q186" s="17" t="s">
        <v>51</v>
      </c>
      <c r="R186" s="17" t="s">
        <v>52</v>
      </c>
      <c r="S186" s="17" t="s">
        <v>1689</v>
      </c>
      <c r="T186" s="17" t="s">
        <v>54</v>
      </c>
      <c r="U186" s="17" t="s">
        <v>55</v>
      </c>
      <c r="V186" s="17" t="s">
        <v>70</v>
      </c>
      <c r="W186" s="17" t="s">
        <v>199</v>
      </c>
      <c r="X186" s="17" t="s">
        <v>58</v>
      </c>
      <c r="Y186" s="17" t="s">
        <v>161</v>
      </c>
      <c r="Z186" s="17">
        <v>42.458497431799998</v>
      </c>
      <c r="AA186" s="17">
        <v>-94.261842299500003</v>
      </c>
      <c r="AB186" s="17" t="s">
        <v>1108</v>
      </c>
      <c r="AC186" s="17">
        <v>26</v>
      </c>
      <c r="AD186" s="17">
        <v>7.9245729951841055E-5</v>
      </c>
      <c r="AE186" s="17">
        <f t="shared" si="2"/>
        <v>2018</v>
      </c>
    </row>
    <row r="187" spans="1:31" x14ac:dyDescent="0.25">
      <c r="A187" s="17">
        <v>186</v>
      </c>
      <c r="B187" s="17" t="s">
        <v>1690</v>
      </c>
      <c r="C187" s="17" t="s">
        <v>1690</v>
      </c>
      <c r="D187" s="17" t="s">
        <v>1691</v>
      </c>
      <c r="E187" s="17" t="s">
        <v>1692</v>
      </c>
      <c r="F187" s="17" t="s">
        <v>1693</v>
      </c>
      <c r="G187" s="17" t="s">
        <v>1694</v>
      </c>
      <c r="H187" s="17" t="s">
        <v>1695</v>
      </c>
      <c r="I187" s="17" t="s">
        <v>1696</v>
      </c>
      <c r="J187" s="17" t="s">
        <v>1697</v>
      </c>
      <c r="K187" s="17" t="s">
        <v>47</v>
      </c>
      <c r="L187" s="17" t="s">
        <v>4</v>
      </c>
      <c r="M187" s="17" t="s">
        <v>1698</v>
      </c>
      <c r="N187" s="17" t="s">
        <v>48</v>
      </c>
      <c r="O187" s="17" t="s">
        <v>1106</v>
      </c>
      <c r="P187" s="17" t="s">
        <v>50</v>
      </c>
      <c r="Q187" s="17" t="s">
        <v>51</v>
      </c>
      <c r="R187" s="17" t="s">
        <v>52</v>
      </c>
      <c r="S187" s="17" t="s">
        <v>1623</v>
      </c>
      <c r="T187" s="17" t="s">
        <v>54</v>
      </c>
      <c r="U187" s="17" t="s">
        <v>55</v>
      </c>
      <c r="V187" s="17" t="s">
        <v>70</v>
      </c>
      <c r="W187" s="17" t="s">
        <v>149</v>
      </c>
      <c r="X187" s="17" t="s">
        <v>1383</v>
      </c>
      <c r="Y187" s="17" t="s">
        <v>1699</v>
      </c>
      <c r="Z187" s="17">
        <v>42.458700467200003</v>
      </c>
      <c r="AA187" s="17">
        <v>-94.261396375399997</v>
      </c>
      <c r="AB187" s="17" t="s">
        <v>1108</v>
      </c>
      <c r="AC187" s="17">
        <v>26</v>
      </c>
      <c r="AD187" s="17">
        <v>7.038824418401565E-5</v>
      </c>
      <c r="AE187" s="17">
        <f t="shared" si="2"/>
        <v>2020</v>
      </c>
    </row>
    <row r="188" spans="1:31" x14ac:dyDescent="0.25">
      <c r="A188" s="17">
        <v>187</v>
      </c>
      <c r="B188" s="17" t="s">
        <v>1700</v>
      </c>
      <c r="C188" s="17" t="s">
        <v>1700</v>
      </c>
      <c r="D188" s="17" t="s">
        <v>1701</v>
      </c>
      <c r="E188" s="17" t="s">
        <v>1702</v>
      </c>
      <c r="F188" s="17" t="s">
        <v>1703</v>
      </c>
      <c r="G188" s="17" t="s">
        <v>1704</v>
      </c>
      <c r="H188" s="17" t="s">
        <v>1705</v>
      </c>
      <c r="I188" s="17" t="s">
        <v>1706</v>
      </c>
      <c r="J188" s="17" t="s">
        <v>1707</v>
      </c>
      <c r="K188" s="17" t="s">
        <v>99</v>
      </c>
      <c r="L188" s="17" t="s">
        <v>4</v>
      </c>
      <c r="M188" s="17"/>
      <c r="N188" s="17" t="s">
        <v>48</v>
      </c>
      <c r="O188" s="17" t="s">
        <v>1708</v>
      </c>
      <c r="P188" s="17" t="s">
        <v>50</v>
      </c>
      <c r="Q188" s="17" t="s">
        <v>51</v>
      </c>
      <c r="R188" s="17" t="s">
        <v>52</v>
      </c>
      <c r="S188" s="17" t="s">
        <v>1709</v>
      </c>
      <c r="T188" s="17" t="s">
        <v>54</v>
      </c>
      <c r="U188" s="17" t="s">
        <v>55</v>
      </c>
      <c r="V188" s="17" t="s">
        <v>70</v>
      </c>
      <c r="W188" s="17" t="s">
        <v>87</v>
      </c>
      <c r="X188" s="17" t="s">
        <v>150</v>
      </c>
      <c r="Y188" s="17" t="s">
        <v>150</v>
      </c>
      <c r="Z188" s="17">
        <v>42.458952070700001</v>
      </c>
      <c r="AA188" s="17">
        <v>-94.262264945599995</v>
      </c>
      <c r="AB188" s="17" t="s">
        <v>1710</v>
      </c>
      <c r="AC188" s="17">
        <v>27</v>
      </c>
      <c r="AD188" s="17">
        <v>4.0638731841720457E-4</v>
      </c>
      <c r="AE188" s="17">
        <f t="shared" si="2"/>
        <v>2018</v>
      </c>
    </row>
    <row r="189" spans="1:31" x14ac:dyDescent="0.25">
      <c r="A189" s="17">
        <v>188</v>
      </c>
      <c r="B189" s="17" t="s">
        <v>1711</v>
      </c>
      <c r="C189" s="17" t="s">
        <v>1711</v>
      </c>
      <c r="D189" s="17" t="s">
        <v>1712</v>
      </c>
      <c r="E189" s="17" t="s">
        <v>1713</v>
      </c>
      <c r="F189" s="17" t="s">
        <v>1714</v>
      </c>
      <c r="G189" s="17" t="s">
        <v>1715</v>
      </c>
      <c r="H189" s="17" t="s">
        <v>1716</v>
      </c>
      <c r="I189" s="17" t="s">
        <v>1717</v>
      </c>
      <c r="J189" s="17" t="s">
        <v>439</v>
      </c>
      <c r="K189" s="17" t="s">
        <v>120</v>
      </c>
      <c r="L189" s="17" t="s">
        <v>4</v>
      </c>
      <c r="M189" s="17"/>
      <c r="N189" s="17" t="s">
        <v>48</v>
      </c>
      <c r="O189" s="17" t="s">
        <v>1106</v>
      </c>
      <c r="P189" s="17" t="s">
        <v>50</v>
      </c>
      <c r="Q189" s="17" t="s">
        <v>51</v>
      </c>
      <c r="R189" s="17" t="s">
        <v>52</v>
      </c>
      <c r="S189" s="17" t="s">
        <v>1623</v>
      </c>
      <c r="T189" s="17" t="s">
        <v>54</v>
      </c>
      <c r="U189" s="17" t="s">
        <v>55</v>
      </c>
      <c r="V189" s="17" t="s">
        <v>70</v>
      </c>
      <c r="W189" s="17" t="s">
        <v>199</v>
      </c>
      <c r="X189" s="17" t="s">
        <v>310</v>
      </c>
      <c r="Y189" s="17" t="s">
        <v>161</v>
      </c>
      <c r="Z189" s="17">
        <v>42.459881426499997</v>
      </c>
      <c r="AA189" s="17">
        <v>-94.258829485899994</v>
      </c>
      <c r="AB189" s="17" t="s">
        <v>1108</v>
      </c>
      <c r="AC189" s="17">
        <v>26</v>
      </c>
      <c r="AD189" s="17">
        <v>8.1871400248526372E-6</v>
      </c>
      <c r="AE189" s="17">
        <f t="shared" si="2"/>
        <v>2020</v>
      </c>
    </row>
    <row r="190" spans="1:31" x14ac:dyDescent="0.25">
      <c r="A190" s="17">
        <v>189</v>
      </c>
      <c r="B190" s="17" t="s">
        <v>1718</v>
      </c>
      <c r="C190" s="17" t="s">
        <v>1718</v>
      </c>
      <c r="D190" s="17" t="s">
        <v>1719</v>
      </c>
      <c r="E190" s="17" t="s">
        <v>1720</v>
      </c>
      <c r="F190" s="17" t="s">
        <v>1721</v>
      </c>
      <c r="G190" s="17" t="s">
        <v>1722</v>
      </c>
      <c r="H190" s="17" t="s">
        <v>1723</v>
      </c>
      <c r="I190" s="17" t="s">
        <v>1724</v>
      </c>
      <c r="J190" s="17" t="s">
        <v>483</v>
      </c>
      <c r="K190" s="17" t="s">
        <v>216</v>
      </c>
      <c r="L190" s="17" t="s">
        <v>4</v>
      </c>
      <c r="M190" s="17"/>
      <c r="N190" s="17" t="s">
        <v>48</v>
      </c>
      <c r="O190" s="17" t="s">
        <v>1106</v>
      </c>
      <c r="P190" s="17" t="s">
        <v>50</v>
      </c>
      <c r="Q190" s="17" t="s">
        <v>51</v>
      </c>
      <c r="R190" s="17" t="s">
        <v>52</v>
      </c>
      <c r="S190" s="17" t="s">
        <v>1725</v>
      </c>
      <c r="T190" s="17" t="s">
        <v>54</v>
      </c>
      <c r="U190" s="17" t="s">
        <v>55</v>
      </c>
      <c r="V190" s="17" t="s">
        <v>70</v>
      </c>
      <c r="W190" s="17" t="s">
        <v>57</v>
      </c>
      <c r="X190" s="17" t="s">
        <v>72</v>
      </c>
      <c r="Y190" s="17" t="s">
        <v>161</v>
      </c>
      <c r="Z190" s="17">
        <v>42.460195299200002</v>
      </c>
      <c r="AA190" s="17">
        <v>-94.258130349799998</v>
      </c>
      <c r="AB190" s="17" t="s">
        <v>1108</v>
      </c>
      <c r="AC190" s="17">
        <v>26</v>
      </c>
      <c r="AD190" s="17">
        <v>1.615447017349472E-6</v>
      </c>
      <c r="AE190" s="17">
        <f t="shared" si="2"/>
        <v>2016</v>
      </c>
    </row>
    <row r="191" spans="1:31" x14ac:dyDescent="0.25">
      <c r="A191" s="17">
        <v>190</v>
      </c>
      <c r="B191" s="17" t="s">
        <v>1726</v>
      </c>
      <c r="C191" s="17" t="s">
        <v>1726</v>
      </c>
      <c r="D191" s="17" t="s">
        <v>1727</v>
      </c>
      <c r="E191" s="17" t="s">
        <v>1728</v>
      </c>
      <c r="F191" s="17" t="s">
        <v>1729</v>
      </c>
      <c r="G191" s="17" t="s">
        <v>1730</v>
      </c>
      <c r="H191" s="17" t="s">
        <v>1731</v>
      </c>
      <c r="I191" s="17" t="s">
        <v>1732</v>
      </c>
      <c r="J191" s="17" t="s">
        <v>1733</v>
      </c>
      <c r="K191" s="17" t="s">
        <v>120</v>
      </c>
      <c r="L191" s="17" t="s">
        <v>4</v>
      </c>
      <c r="M191" s="17"/>
      <c r="N191" s="17" t="s">
        <v>48</v>
      </c>
      <c r="O191" s="17" t="s">
        <v>1106</v>
      </c>
      <c r="P191" s="17" t="s">
        <v>50</v>
      </c>
      <c r="Q191" s="17" t="s">
        <v>51</v>
      </c>
      <c r="R191" s="17" t="s">
        <v>52</v>
      </c>
      <c r="S191" s="17" t="s">
        <v>1623</v>
      </c>
      <c r="T191" s="17" t="s">
        <v>54</v>
      </c>
      <c r="U191" s="17" t="s">
        <v>55</v>
      </c>
      <c r="V191" s="17" t="s">
        <v>56</v>
      </c>
      <c r="W191" s="17" t="s">
        <v>189</v>
      </c>
      <c r="X191" s="17" t="s">
        <v>72</v>
      </c>
      <c r="Y191" s="17" t="s">
        <v>161</v>
      </c>
      <c r="Z191" s="17">
        <v>42.4617638008</v>
      </c>
      <c r="AA191" s="17">
        <v>-94.254707524200001</v>
      </c>
      <c r="AB191" s="17" t="s">
        <v>1108</v>
      </c>
      <c r="AC191" s="17">
        <v>26</v>
      </c>
      <c r="AD191" s="17">
        <v>7.8822383020614816E-5</v>
      </c>
      <c r="AE191" s="17">
        <f t="shared" si="2"/>
        <v>2016</v>
      </c>
    </row>
    <row r="192" spans="1:31" x14ac:dyDescent="0.25">
      <c r="A192" s="17">
        <v>191</v>
      </c>
      <c r="B192" s="17" t="s">
        <v>1734</v>
      </c>
      <c r="C192" s="17" t="s">
        <v>1734</v>
      </c>
      <c r="D192" s="17" t="s">
        <v>1735</v>
      </c>
      <c r="E192" s="17" t="s">
        <v>1736</v>
      </c>
      <c r="F192" s="17" t="s">
        <v>1737</v>
      </c>
      <c r="G192" s="17" t="s">
        <v>1738</v>
      </c>
      <c r="H192" s="17" t="s">
        <v>1739</v>
      </c>
      <c r="I192" s="17" t="s">
        <v>1740</v>
      </c>
      <c r="J192" s="17" t="s">
        <v>1741</v>
      </c>
      <c r="K192" s="17" t="s">
        <v>120</v>
      </c>
      <c r="L192" s="17" t="s">
        <v>4</v>
      </c>
      <c r="M192" s="17"/>
      <c r="N192" s="17" t="s">
        <v>48</v>
      </c>
      <c r="O192" s="17" t="s">
        <v>1106</v>
      </c>
      <c r="P192" s="17" t="s">
        <v>50</v>
      </c>
      <c r="Q192" s="17" t="s">
        <v>51</v>
      </c>
      <c r="R192" s="17" t="s">
        <v>52</v>
      </c>
      <c r="S192" s="17" t="s">
        <v>1623</v>
      </c>
      <c r="T192" s="17" t="s">
        <v>54</v>
      </c>
      <c r="U192" s="17" t="s">
        <v>55</v>
      </c>
      <c r="V192" s="17" t="s">
        <v>56</v>
      </c>
      <c r="W192" s="17" t="s">
        <v>250</v>
      </c>
      <c r="X192" s="17" t="s">
        <v>310</v>
      </c>
      <c r="Y192" s="17" t="s">
        <v>161</v>
      </c>
      <c r="Z192" s="17">
        <v>42.465121756899997</v>
      </c>
      <c r="AA192" s="17">
        <v>-94.247391375999996</v>
      </c>
      <c r="AB192" s="17" t="s">
        <v>1108</v>
      </c>
      <c r="AC192" s="17">
        <v>26</v>
      </c>
      <c r="AD192" s="17">
        <v>6.580730844978896E-5</v>
      </c>
      <c r="AE192" s="17">
        <f t="shared" si="2"/>
        <v>2019</v>
      </c>
    </row>
    <row r="193" spans="1:31" x14ac:dyDescent="0.25">
      <c r="A193" s="17">
        <v>192</v>
      </c>
      <c r="B193" s="17" t="s">
        <v>1742</v>
      </c>
      <c r="C193" s="17" t="s">
        <v>1742</v>
      </c>
      <c r="D193" s="17" t="s">
        <v>1743</v>
      </c>
      <c r="E193" s="17" t="s">
        <v>1744</v>
      </c>
      <c r="F193" s="17" t="s">
        <v>1745</v>
      </c>
      <c r="G193" s="17" t="s">
        <v>1746</v>
      </c>
      <c r="H193" s="17" t="s">
        <v>1747</v>
      </c>
      <c r="I193" s="17" t="s">
        <v>1748</v>
      </c>
      <c r="J193" s="17" t="s">
        <v>1749</v>
      </c>
      <c r="K193" s="17" t="s">
        <v>216</v>
      </c>
      <c r="L193" s="17" t="s">
        <v>4</v>
      </c>
      <c r="M193" s="17" t="s">
        <v>1698</v>
      </c>
      <c r="N193" s="17" t="s">
        <v>48</v>
      </c>
      <c r="O193" s="17" t="s">
        <v>1106</v>
      </c>
      <c r="P193" s="17" t="s">
        <v>50</v>
      </c>
      <c r="Q193" s="17" t="s">
        <v>51</v>
      </c>
      <c r="R193" s="17" t="s">
        <v>52</v>
      </c>
      <c r="S193" s="17" t="s">
        <v>1750</v>
      </c>
      <c r="T193" s="17" t="s">
        <v>54</v>
      </c>
      <c r="U193" s="17" t="s">
        <v>55</v>
      </c>
      <c r="V193" s="17" t="s">
        <v>70</v>
      </c>
      <c r="W193" s="17" t="s">
        <v>1181</v>
      </c>
      <c r="X193" s="17" t="s">
        <v>134</v>
      </c>
      <c r="Y193" s="17" t="s">
        <v>1465</v>
      </c>
      <c r="Z193" s="17">
        <v>42.4654538331</v>
      </c>
      <c r="AA193" s="17">
        <v>-94.246668158999995</v>
      </c>
      <c r="AB193" s="17" t="s">
        <v>1108</v>
      </c>
      <c r="AC193" s="17">
        <v>26</v>
      </c>
      <c r="AD193" s="17">
        <v>6.059964932283568E-5</v>
      </c>
      <c r="AE193" s="17">
        <f t="shared" si="2"/>
        <v>2017</v>
      </c>
    </row>
    <row r="194" spans="1:31" x14ac:dyDescent="0.25">
      <c r="A194" s="17">
        <v>193</v>
      </c>
      <c r="B194" s="17" t="s">
        <v>1751</v>
      </c>
      <c r="C194" s="17" t="s">
        <v>1751</v>
      </c>
      <c r="D194" s="17" t="s">
        <v>1752</v>
      </c>
      <c r="E194" s="17" t="s">
        <v>1753</v>
      </c>
      <c r="F194" s="17" t="s">
        <v>1754</v>
      </c>
      <c r="G194" s="17" t="s">
        <v>1755</v>
      </c>
      <c r="H194" s="17" t="s">
        <v>1756</v>
      </c>
      <c r="I194" s="17" t="s">
        <v>1757</v>
      </c>
      <c r="J194" s="17" t="s">
        <v>1758</v>
      </c>
      <c r="K194" s="17" t="s">
        <v>99</v>
      </c>
      <c r="L194" s="17" t="s">
        <v>4</v>
      </c>
      <c r="M194" s="17"/>
      <c r="N194" s="17" t="s">
        <v>48</v>
      </c>
      <c r="O194" s="17" t="s">
        <v>1106</v>
      </c>
      <c r="P194" s="17" t="s">
        <v>50</v>
      </c>
      <c r="Q194" s="17" t="s">
        <v>51</v>
      </c>
      <c r="R194" s="17" t="s">
        <v>52</v>
      </c>
      <c r="S194" s="17" t="s">
        <v>1623</v>
      </c>
      <c r="T194" s="17" t="s">
        <v>54</v>
      </c>
      <c r="U194" s="17" t="s">
        <v>55</v>
      </c>
      <c r="V194" s="17" t="s">
        <v>70</v>
      </c>
      <c r="W194" s="17" t="s">
        <v>189</v>
      </c>
      <c r="X194" s="17" t="s">
        <v>58</v>
      </c>
      <c r="Y194" s="17" t="s">
        <v>179</v>
      </c>
      <c r="Z194" s="17">
        <v>42.466016551700001</v>
      </c>
      <c r="AA194" s="17">
        <v>-94.245438636599999</v>
      </c>
      <c r="AB194" s="17" t="s">
        <v>1108</v>
      </c>
      <c r="AC194" s="17">
        <v>26</v>
      </c>
      <c r="AD194" s="17">
        <v>5.0084063686590537E-5</v>
      </c>
      <c r="AE194" s="17">
        <f t="shared" si="2"/>
        <v>2021</v>
      </c>
    </row>
    <row r="195" spans="1:31" x14ac:dyDescent="0.25">
      <c r="A195" s="17">
        <v>194</v>
      </c>
      <c r="B195" s="17" t="s">
        <v>1759</v>
      </c>
      <c r="C195" s="17" t="s">
        <v>1760</v>
      </c>
      <c r="D195" s="17" t="s">
        <v>1761</v>
      </c>
      <c r="E195" s="17" t="s">
        <v>1762</v>
      </c>
      <c r="F195" s="17" t="s">
        <v>1763</v>
      </c>
      <c r="G195" s="17" t="s">
        <v>1764</v>
      </c>
      <c r="H195" s="17" t="s">
        <v>1765</v>
      </c>
      <c r="I195" s="17" t="s">
        <v>1766</v>
      </c>
      <c r="J195" s="17" t="s">
        <v>997</v>
      </c>
      <c r="K195" s="17" t="s">
        <v>47</v>
      </c>
      <c r="L195" s="17" t="s">
        <v>4</v>
      </c>
      <c r="M195" s="17"/>
      <c r="N195" s="17" t="s">
        <v>145</v>
      </c>
      <c r="O195" s="17" t="s">
        <v>146</v>
      </c>
      <c r="P195" s="17" t="s">
        <v>147</v>
      </c>
      <c r="Q195" s="17" t="s">
        <v>51</v>
      </c>
      <c r="R195" s="17" t="s">
        <v>52</v>
      </c>
      <c r="S195" s="17" t="s">
        <v>1767</v>
      </c>
      <c r="T195" s="17" t="s">
        <v>54</v>
      </c>
      <c r="U195" s="17" t="s">
        <v>55</v>
      </c>
      <c r="V195" s="17" t="s">
        <v>70</v>
      </c>
      <c r="W195" s="17" t="s">
        <v>1150</v>
      </c>
      <c r="X195" s="17" t="s">
        <v>150</v>
      </c>
      <c r="Y195" s="17" t="s">
        <v>150</v>
      </c>
      <c r="Z195" s="17">
        <v>42.466385424800002</v>
      </c>
      <c r="AA195" s="17">
        <v>-94.2446431459</v>
      </c>
      <c r="AB195" s="17" t="s">
        <v>1108</v>
      </c>
      <c r="AC195" s="17">
        <v>26</v>
      </c>
      <c r="AD195" s="17">
        <v>4.7627923939602117E-5</v>
      </c>
      <c r="AE195" s="17">
        <f t="shared" ref="AE195:AE258" si="3">INT(LEFT(B195,4))</f>
        <v>2014</v>
      </c>
    </row>
    <row r="196" spans="1:31" x14ac:dyDescent="0.25">
      <c r="A196" s="17">
        <v>195</v>
      </c>
      <c r="B196" s="17" t="s">
        <v>1768</v>
      </c>
      <c r="C196" s="17" t="s">
        <v>1768</v>
      </c>
      <c r="D196" s="17" t="s">
        <v>1769</v>
      </c>
      <c r="E196" s="17" t="s">
        <v>1770</v>
      </c>
      <c r="F196" s="17" t="s">
        <v>1771</v>
      </c>
      <c r="G196" s="17" t="s">
        <v>1772</v>
      </c>
      <c r="H196" s="17" t="s">
        <v>1773</v>
      </c>
      <c r="I196" s="17" t="s">
        <v>1774</v>
      </c>
      <c r="J196" s="17" t="s">
        <v>1775</v>
      </c>
      <c r="K196" s="17" t="s">
        <v>259</v>
      </c>
      <c r="L196" s="17" t="s">
        <v>4</v>
      </c>
      <c r="M196" s="17"/>
      <c r="N196" s="17" t="s">
        <v>48</v>
      </c>
      <c r="O196" s="17" t="s">
        <v>1106</v>
      </c>
      <c r="P196" s="17" t="s">
        <v>50</v>
      </c>
      <c r="Q196" s="17" t="s">
        <v>51</v>
      </c>
      <c r="R196" s="17" t="s">
        <v>52</v>
      </c>
      <c r="S196" s="17" t="s">
        <v>1623</v>
      </c>
      <c r="T196" s="17" t="s">
        <v>54</v>
      </c>
      <c r="U196" s="17" t="s">
        <v>55</v>
      </c>
      <c r="V196" s="17" t="s">
        <v>344</v>
      </c>
      <c r="W196" s="17" t="s">
        <v>1161</v>
      </c>
      <c r="X196" s="17" t="s">
        <v>134</v>
      </c>
      <c r="Y196" s="17" t="s">
        <v>89</v>
      </c>
      <c r="Z196" s="17">
        <v>42.467077340400003</v>
      </c>
      <c r="AA196" s="17">
        <v>-94.243124212599994</v>
      </c>
      <c r="AB196" s="17" t="s">
        <v>1108</v>
      </c>
      <c r="AC196" s="17">
        <v>26</v>
      </c>
      <c r="AD196" s="17">
        <v>3.1683842027615678E-5</v>
      </c>
      <c r="AE196" s="17">
        <f t="shared" si="3"/>
        <v>2019</v>
      </c>
    </row>
    <row r="197" spans="1:31" x14ac:dyDescent="0.25">
      <c r="A197" s="17">
        <v>196</v>
      </c>
      <c r="B197" s="17" t="s">
        <v>1776</v>
      </c>
      <c r="C197" s="17" t="s">
        <v>1776</v>
      </c>
      <c r="D197" s="17" t="s">
        <v>1777</v>
      </c>
      <c r="E197" s="17" t="s">
        <v>1778</v>
      </c>
      <c r="F197" s="17" t="s">
        <v>1779</v>
      </c>
      <c r="G197" s="17" t="s">
        <v>1780</v>
      </c>
      <c r="H197" s="17" t="s">
        <v>1781</v>
      </c>
      <c r="I197" s="17" t="s">
        <v>1782</v>
      </c>
      <c r="J197" s="17" t="s">
        <v>615</v>
      </c>
      <c r="K197" s="17" t="s">
        <v>82</v>
      </c>
      <c r="L197" s="17" t="s">
        <v>4</v>
      </c>
      <c r="M197" s="17"/>
      <c r="N197" s="17" t="s">
        <v>48</v>
      </c>
      <c r="O197" s="17" t="s">
        <v>1106</v>
      </c>
      <c r="P197" s="17" t="s">
        <v>50</v>
      </c>
      <c r="Q197" s="17" t="s">
        <v>51</v>
      </c>
      <c r="R197" s="17" t="s">
        <v>52</v>
      </c>
      <c r="S197" s="17" t="s">
        <v>1623</v>
      </c>
      <c r="T197" s="17" t="s">
        <v>54</v>
      </c>
      <c r="U197" s="17" t="s">
        <v>55</v>
      </c>
      <c r="V197" s="17" t="s">
        <v>70</v>
      </c>
      <c r="W197" s="17" t="s">
        <v>632</v>
      </c>
      <c r="X197" s="17" t="s">
        <v>1383</v>
      </c>
      <c r="Y197" s="17" t="s">
        <v>89</v>
      </c>
      <c r="Z197" s="17">
        <v>42.467575545300001</v>
      </c>
      <c r="AA197" s="17">
        <v>-94.242027154599995</v>
      </c>
      <c r="AB197" s="17" t="s">
        <v>1108</v>
      </c>
      <c r="AC197" s="17">
        <v>26</v>
      </c>
      <c r="AD197" s="17">
        <v>1.8777797179514501E-5</v>
      </c>
      <c r="AE197" s="17">
        <f t="shared" si="3"/>
        <v>2021</v>
      </c>
    </row>
    <row r="198" spans="1:31" x14ac:dyDescent="0.25">
      <c r="A198" s="17">
        <v>197</v>
      </c>
      <c r="B198" s="17" t="s">
        <v>1783</v>
      </c>
      <c r="C198" s="17" t="s">
        <v>1783</v>
      </c>
      <c r="D198" s="17" t="s">
        <v>1784</v>
      </c>
      <c r="E198" s="17" t="s">
        <v>304</v>
      </c>
      <c r="F198" s="17" t="s">
        <v>1785</v>
      </c>
      <c r="G198" s="17" t="s">
        <v>1786</v>
      </c>
      <c r="H198" s="17" t="s">
        <v>1787</v>
      </c>
      <c r="I198" s="17" t="s">
        <v>1788</v>
      </c>
      <c r="J198" s="17" t="s">
        <v>1789</v>
      </c>
      <c r="K198" s="17" t="s">
        <v>259</v>
      </c>
      <c r="L198" s="17" t="s">
        <v>4</v>
      </c>
      <c r="M198" s="17"/>
      <c r="N198" s="17" t="s">
        <v>48</v>
      </c>
      <c r="O198" s="17" t="s">
        <v>1106</v>
      </c>
      <c r="P198" s="17" t="s">
        <v>50</v>
      </c>
      <c r="Q198" s="17" t="s">
        <v>51</v>
      </c>
      <c r="R198" s="17" t="s">
        <v>52</v>
      </c>
      <c r="S198" s="17" t="s">
        <v>1623</v>
      </c>
      <c r="T198" s="17" t="s">
        <v>54</v>
      </c>
      <c r="U198" s="17" t="s">
        <v>55</v>
      </c>
      <c r="V198" s="17" t="s">
        <v>70</v>
      </c>
      <c r="W198" s="17" t="s">
        <v>87</v>
      </c>
      <c r="X198" s="17" t="s">
        <v>150</v>
      </c>
      <c r="Y198" s="17" t="s">
        <v>150</v>
      </c>
      <c r="Z198" s="17">
        <v>42.467861383600003</v>
      </c>
      <c r="AA198" s="17">
        <v>-94.241412443300007</v>
      </c>
      <c r="AB198" s="17" t="s">
        <v>1108</v>
      </c>
      <c r="AC198" s="17">
        <v>26</v>
      </c>
      <c r="AD198" s="17">
        <v>1.7599295525727271E-5</v>
      </c>
      <c r="AE198" s="17">
        <f t="shared" si="3"/>
        <v>2016</v>
      </c>
    </row>
    <row r="199" spans="1:31" x14ac:dyDescent="0.25">
      <c r="A199" s="17">
        <v>198</v>
      </c>
      <c r="B199" s="17" t="s">
        <v>1790</v>
      </c>
      <c r="C199" s="17" t="s">
        <v>1791</v>
      </c>
      <c r="D199" s="17" t="s">
        <v>1792</v>
      </c>
      <c r="E199" s="17" t="s">
        <v>1793</v>
      </c>
      <c r="F199" s="17" t="s">
        <v>1794</v>
      </c>
      <c r="G199" s="17" t="s">
        <v>1795</v>
      </c>
      <c r="H199" s="17" t="s">
        <v>1796</v>
      </c>
      <c r="I199" s="17" t="s">
        <v>1797</v>
      </c>
      <c r="J199" s="17" t="s">
        <v>1798</v>
      </c>
      <c r="K199" s="17" t="s">
        <v>47</v>
      </c>
      <c r="L199" s="17" t="s">
        <v>4</v>
      </c>
      <c r="M199" s="17"/>
      <c r="N199" s="17" t="s">
        <v>145</v>
      </c>
      <c r="O199" s="17" t="s">
        <v>146</v>
      </c>
      <c r="P199" s="17" t="s">
        <v>147</v>
      </c>
      <c r="Q199" s="17" t="s">
        <v>51</v>
      </c>
      <c r="R199" s="17" t="s">
        <v>52</v>
      </c>
      <c r="S199" s="17" t="s">
        <v>1767</v>
      </c>
      <c r="T199" s="17" t="s">
        <v>54</v>
      </c>
      <c r="U199" s="17" t="s">
        <v>55</v>
      </c>
      <c r="V199" s="17" t="s">
        <v>70</v>
      </c>
      <c r="W199" s="17" t="s">
        <v>293</v>
      </c>
      <c r="X199" s="17" t="s">
        <v>150</v>
      </c>
      <c r="Y199" s="17" t="s">
        <v>150</v>
      </c>
      <c r="Z199" s="17">
        <v>42.4679904678</v>
      </c>
      <c r="AA199" s="17">
        <v>-94.2411352222</v>
      </c>
      <c r="AB199" s="17" t="s">
        <v>1108</v>
      </c>
      <c r="AC199" s="17">
        <v>26</v>
      </c>
      <c r="AD199" s="17">
        <v>1.7228342094770011E-5</v>
      </c>
      <c r="AE199" s="17">
        <f t="shared" si="3"/>
        <v>2014</v>
      </c>
    </row>
    <row r="200" spans="1:31" x14ac:dyDescent="0.25">
      <c r="A200" s="17">
        <v>199</v>
      </c>
      <c r="B200" s="17" t="s">
        <v>1799</v>
      </c>
      <c r="C200" s="17" t="s">
        <v>1799</v>
      </c>
      <c r="D200" s="17" t="s">
        <v>1800</v>
      </c>
      <c r="E200" s="17" t="s">
        <v>1801</v>
      </c>
      <c r="F200" s="17" t="s">
        <v>1802</v>
      </c>
      <c r="G200" s="17" t="s">
        <v>1803</v>
      </c>
      <c r="H200" s="17" t="s">
        <v>1804</v>
      </c>
      <c r="I200" s="17" t="s">
        <v>1805</v>
      </c>
      <c r="J200" s="17" t="s">
        <v>1806</v>
      </c>
      <c r="K200" s="17" t="s">
        <v>82</v>
      </c>
      <c r="L200" s="17" t="s">
        <v>4</v>
      </c>
      <c r="M200" s="17"/>
      <c r="N200" s="17" t="s">
        <v>48</v>
      </c>
      <c r="O200" s="17" t="s">
        <v>1106</v>
      </c>
      <c r="P200" s="17" t="s">
        <v>50</v>
      </c>
      <c r="Q200" s="17" t="s">
        <v>51</v>
      </c>
      <c r="R200" s="17" t="s">
        <v>52</v>
      </c>
      <c r="S200" s="17" t="s">
        <v>1623</v>
      </c>
      <c r="T200" s="17" t="s">
        <v>54</v>
      </c>
      <c r="U200" s="17" t="s">
        <v>55</v>
      </c>
      <c r="V200" s="17" t="s">
        <v>70</v>
      </c>
      <c r="W200" s="17" t="s">
        <v>1807</v>
      </c>
      <c r="X200" s="17" t="s">
        <v>484</v>
      </c>
      <c r="Y200" s="17" t="s">
        <v>1808</v>
      </c>
      <c r="Z200" s="17">
        <v>42.468848352400002</v>
      </c>
      <c r="AA200" s="17">
        <v>-94.239254561799996</v>
      </c>
      <c r="AB200" s="17" t="s">
        <v>1108</v>
      </c>
      <c r="AC200" s="17">
        <v>26</v>
      </c>
      <c r="AD200" s="17">
        <v>1.4322365209211459E-6</v>
      </c>
      <c r="AE200" s="17">
        <f t="shared" si="3"/>
        <v>2017</v>
      </c>
    </row>
    <row r="201" spans="1:31" x14ac:dyDescent="0.25">
      <c r="A201" s="17">
        <v>200</v>
      </c>
      <c r="B201" s="17" t="s">
        <v>1809</v>
      </c>
      <c r="C201" s="17" t="s">
        <v>1809</v>
      </c>
      <c r="D201" s="17" t="s">
        <v>1810</v>
      </c>
      <c r="E201" s="17" t="s">
        <v>1811</v>
      </c>
      <c r="F201" s="17" t="s">
        <v>1812</v>
      </c>
      <c r="G201" s="17" t="s">
        <v>1813</v>
      </c>
      <c r="H201" s="17" t="s">
        <v>1814</v>
      </c>
      <c r="I201" s="17" t="s">
        <v>1815</v>
      </c>
      <c r="J201" s="17" t="s">
        <v>1816</v>
      </c>
      <c r="K201" s="17" t="s">
        <v>47</v>
      </c>
      <c r="L201" s="17" t="s">
        <v>4</v>
      </c>
      <c r="M201" s="17" t="s">
        <v>1698</v>
      </c>
      <c r="N201" s="17" t="s">
        <v>48</v>
      </c>
      <c r="O201" s="17" t="s">
        <v>1106</v>
      </c>
      <c r="P201" s="17" t="s">
        <v>50</v>
      </c>
      <c r="Q201" s="17" t="s">
        <v>51</v>
      </c>
      <c r="R201" s="17" t="s">
        <v>52</v>
      </c>
      <c r="S201" s="17" t="s">
        <v>1817</v>
      </c>
      <c r="T201" s="17" t="s">
        <v>54</v>
      </c>
      <c r="U201" s="17" t="s">
        <v>55</v>
      </c>
      <c r="V201" s="17" t="s">
        <v>70</v>
      </c>
      <c r="W201" s="17" t="s">
        <v>87</v>
      </c>
      <c r="X201" s="17" t="s">
        <v>150</v>
      </c>
      <c r="Y201" s="17" t="s">
        <v>150</v>
      </c>
      <c r="Z201" s="17">
        <v>42.470195092399997</v>
      </c>
      <c r="AA201" s="17">
        <v>-94.236300845800002</v>
      </c>
      <c r="AB201" s="17" t="s">
        <v>1108</v>
      </c>
      <c r="AC201" s="17">
        <v>26</v>
      </c>
      <c r="AD201" s="17">
        <v>2.3098059084478498E-5</v>
      </c>
      <c r="AE201" s="17">
        <f t="shared" si="3"/>
        <v>2016</v>
      </c>
    </row>
    <row r="202" spans="1:31" x14ac:dyDescent="0.25">
      <c r="A202" s="17">
        <v>201</v>
      </c>
      <c r="B202" s="17" t="s">
        <v>1818</v>
      </c>
      <c r="C202" s="17" t="s">
        <v>1818</v>
      </c>
      <c r="D202" s="17" t="s">
        <v>1819</v>
      </c>
      <c r="E202" s="17" t="s">
        <v>1820</v>
      </c>
      <c r="F202" s="17" t="s">
        <v>1821</v>
      </c>
      <c r="G202" s="17" t="s">
        <v>1822</v>
      </c>
      <c r="H202" s="17" t="s">
        <v>1823</v>
      </c>
      <c r="I202" s="17" t="s">
        <v>1824</v>
      </c>
      <c r="J202" s="17" t="s">
        <v>1825</v>
      </c>
      <c r="K202" s="17" t="s">
        <v>47</v>
      </c>
      <c r="L202" s="17" t="s">
        <v>4</v>
      </c>
      <c r="M202" s="17"/>
      <c r="N202" s="17" t="s">
        <v>48</v>
      </c>
      <c r="O202" s="17" t="s">
        <v>1106</v>
      </c>
      <c r="P202" s="17" t="s">
        <v>50</v>
      </c>
      <c r="Q202" s="17" t="s">
        <v>51</v>
      </c>
      <c r="R202" s="17" t="s">
        <v>52</v>
      </c>
      <c r="S202" s="17" t="s">
        <v>1623</v>
      </c>
      <c r="T202" s="17" t="s">
        <v>54</v>
      </c>
      <c r="U202" s="17" t="s">
        <v>55</v>
      </c>
      <c r="V202" s="17" t="s">
        <v>70</v>
      </c>
      <c r="W202" s="17" t="s">
        <v>999</v>
      </c>
      <c r="X202" s="17" t="s">
        <v>58</v>
      </c>
      <c r="Y202" s="17" t="s">
        <v>161</v>
      </c>
      <c r="Z202" s="17">
        <v>42.470508567700001</v>
      </c>
      <c r="AA202" s="17">
        <v>-94.235625804099996</v>
      </c>
      <c r="AB202" s="17" t="s">
        <v>1108</v>
      </c>
      <c r="AC202" s="17">
        <v>26</v>
      </c>
      <c r="AD202" s="17">
        <v>1.967265152422481E-5</v>
      </c>
      <c r="AE202" s="17">
        <f t="shared" si="3"/>
        <v>2021</v>
      </c>
    </row>
    <row r="203" spans="1:31" x14ac:dyDescent="0.25">
      <c r="A203" s="17">
        <v>202</v>
      </c>
      <c r="B203" s="17" t="s">
        <v>1826</v>
      </c>
      <c r="C203" s="17" t="s">
        <v>1826</v>
      </c>
      <c r="D203" s="17" t="s">
        <v>1827</v>
      </c>
      <c r="E203" s="17" t="s">
        <v>1828</v>
      </c>
      <c r="F203" s="17" t="s">
        <v>1829</v>
      </c>
      <c r="G203" s="17" t="s">
        <v>1830</v>
      </c>
      <c r="H203" s="17" t="s">
        <v>1831</v>
      </c>
      <c r="I203" s="17" t="s">
        <v>1832</v>
      </c>
      <c r="J203" s="17" t="s">
        <v>1833</v>
      </c>
      <c r="K203" s="17" t="s">
        <v>82</v>
      </c>
      <c r="L203" s="17" t="s">
        <v>4</v>
      </c>
      <c r="M203" s="17"/>
      <c r="N203" s="17" t="s">
        <v>48</v>
      </c>
      <c r="O203" s="17" t="s">
        <v>1106</v>
      </c>
      <c r="P203" s="17" t="s">
        <v>50</v>
      </c>
      <c r="Q203" s="17" t="s">
        <v>51</v>
      </c>
      <c r="R203" s="17" t="s">
        <v>52</v>
      </c>
      <c r="S203" s="17" t="s">
        <v>1834</v>
      </c>
      <c r="T203" s="17" t="s">
        <v>54</v>
      </c>
      <c r="U203" s="17" t="s">
        <v>55</v>
      </c>
      <c r="V203" s="17" t="s">
        <v>70</v>
      </c>
      <c r="W203" s="17" t="s">
        <v>293</v>
      </c>
      <c r="X203" s="17" t="s">
        <v>150</v>
      </c>
      <c r="Y203" s="17" t="s">
        <v>150</v>
      </c>
      <c r="Z203" s="17">
        <v>42.4705639019</v>
      </c>
      <c r="AA203" s="17">
        <v>-94.235505247600003</v>
      </c>
      <c r="AB203" s="17" t="s">
        <v>1108</v>
      </c>
      <c r="AC203" s="17">
        <v>26</v>
      </c>
      <c r="AD203" s="17">
        <v>1.9651508341794079E-5</v>
      </c>
      <c r="AE203" s="17">
        <f t="shared" si="3"/>
        <v>2019</v>
      </c>
    </row>
    <row r="204" spans="1:31" x14ac:dyDescent="0.25">
      <c r="A204" s="17">
        <v>203</v>
      </c>
      <c r="B204" s="17" t="s">
        <v>1835</v>
      </c>
      <c r="C204" s="17" t="s">
        <v>1835</v>
      </c>
      <c r="D204" s="17" t="s">
        <v>1836</v>
      </c>
      <c r="E204" s="17" t="s">
        <v>1837</v>
      </c>
      <c r="F204" s="17" t="s">
        <v>1838</v>
      </c>
      <c r="G204" s="17" t="s">
        <v>1839</v>
      </c>
      <c r="H204" s="17" t="s">
        <v>1840</v>
      </c>
      <c r="I204" s="17" t="s">
        <v>1841</v>
      </c>
      <c r="J204" s="17" t="s">
        <v>1842</v>
      </c>
      <c r="K204" s="17" t="s">
        <v>259</v>
      </c>
      <c r="L204" s="17" t="s">
        <v>4</v>
      </c>
      <c r="M204" s="17"/>
      <c r="N204" s="17" t="s">
        <v>48</v>
      </c>
      <c r="O204" s="17" t="s">
        <v>1106</v>
      </c>
      <c r="P204" s="17" t="s">
        <v>50</v>
      </c>
      <c r="Q204" s="17" t="s">
        <v>51</v>
      </c>
      <c r="R204" s="17" t="s">
        <v>52</v>
      </c>
      <c r="S204" s="17" t="s">
        <v>1623</v>
      </c>
      <c r="T204" s="17" t="s">
        <v>54</v>
      </c>
      <c r="U204" s="17" t="s">
        <v>55</v>
      </c>
      <c r="V204" s="17" t="s">
        <v>70</v>
      </c>
      <c r="W204" s="17" t="s">
        <v>293</v>
      </c>
      <c r="X204" s="17" t="s">
        <v>150</v>
      </c>
      <c r="Y204" s="17" t="s">
        <v>150</v>
      </c>
      <c r="Z204" s="17">
        <v>42.471449231999998</v>
      </c>
      <c r="AA204" s="17">
        <v>-94.233576314000004</v>
      </c>
      <c r="AB204" s="17" t="s">
        <v>1108</v>
      </c>
      <c r="AC204" s="17">
        <v>26</v>
      </c>
      <c r="AD204" s="17">
        <v>1.9341788111514529E-5</v>
      </c>
      <c r="AE204" s="17">
        <f t="shared" si="3"/>
        <v>2018</v>
      </c>
    </row>
    <row r="205" spans="1:31" x14ac:dyDescent="0.25">
      <c r="A205" s="17">
        <v>204</v>
      </c>
      <c r="B205" s="17" t="s">
        <v>1843</v>
      </c>
      <c r="C205" s="17" t="s">
        <v>1844</v>
      </c>
      <c r="D205" s="17" t="s">
        <v>1845</v>
      </c>
      <c r="E205" s="17" t="s">
        <v>1846</v>
      </c>
      <c r="F205" s="17" t="s">
        <v>1847</v>
      </c>
      <c r="G205" s="17" t="s">
        <v>1848</v>
      </c>
      <c r="H205" s="17" t="s">
        <v>1849</v>
      </c>
      <c r="I205" s="17" t="s">
        <v>1850</v>
      </c>
      <c r="J205" s="17" t="s">
        <v>403</v>
      </c>
      <c r="K205" s="17" t="s">
        <v>216</v>
      </c>
      <c r="L205" s="17" t="s">
        <v>4</v>
      </c>
      <c r="M205" s="17"/>
      <c r="N205" s="17" t="s">
        <v>145</v>
      </c>
      <c r="O205" s="17" t="s">
        <v>146</v>
      </c>
      <c r="P205" s="17" t="s">
        <v>147</v>
      </c>
      <c r="Q205" s="17" t="s">
        <v>51</v>
      </c>
      <c r="R205" s="17" t="s">
        <v>52</v>
      </c>
      <c r="S205" s="17" t="s">
        <v>1851</v>
      </c>
      <c r="T205" s="17" t="s">
        <v>54</v>
      </c>
      <c r="U205" s="17" t="s">
        <v>288</v>
      </c>
      <c r="V205" s="17" t="s">
        <v>70</v>
      </c>
      <c r="W205" s="17" t="s">
        <v>632</v>
      </c>
      <c r="X205" s="17" t="s">
        <v>101</v>
      </c>
      <c r="Y205" s="17" t="s">
        <v>89</v>
      </c>
      <c r="Z205" s="17">
        <v>42.47207641</v>
      </c>
      <c r="AA205" s="17">
        <v>-94.232201844800002</v>
      </c>
      <c r="AB205" s="17" t="s">
        <v>1108</v>
      </c>
      <c r="AC205" s="17">
        <v>26</v>
      </c>
      <c r="AD205" s="17">
        <v>2.2454178355953391E-5</v>
      </c>
      <c r="AE205" s="17">
        <f t="shared" si="3"/>
        <v>2014</v>
      </c>
    </row>
    <row r="206" spans="1:31" x14ac:dyDescent="0.25">
      <c r="A206" s="17">
        <v>205</v>
      </c>
      <c r="B206" s="17" t="s">
        <v>1852</v>
      </c>
      <c r="C206" s="17" t="s">
        <v>1853</v>
      </c>
      <c r="D206" s="17" t="s">
        <v>1854</v>
      </c>
      <c r="E206" s="17" t="s">
        <v>1855</v>
      </c>
      <c r="F206" s="17" t="s">
        <v>1847</v>
      </c>
      <c r="G206" s="17" t="s">
        <v>1848</v>
      </c>
      <c r="H206" s="17" t="s">
        <v>1849</v>
      </c>
      <c r="I206" s="17" t="s">
        <v>1850</v>
      </c>
      <c r="J206" s="17" t="s">
        <v>1235</v>
      </c>
      <c r="K206" s="17" t="s">
        <v>47</v>
      </c>
      <c r="L206" s="17" t="s">
        <v>4</v>
      </c>
      <c r="M206" s="17"/>
      <c r="N206" s="17" t="s">
        <v>145</v>
      </c>
      <c r="O206" s="17" t="s">
        <v>146</v>
      </c>
      <c r="P206" s="17" t="s">
        <v>147</v>
      </c>
      <c r="Q206" s="17" t="s">
        <v>51</v>
      </c>
      <c r="R206" s="17" t="s">
        <v>52</v>
      </c>
      <c r="S206" s="17" t="s">
        <v>1851</v>
      </c>
      <c r="T206" s="17" t="s">
        <v>54</v>
      </c>
      <c r="U206" s="17" t="s">
        <v>288</v>
      </c>
      <c r="V206" s="17" t="s">
        <v>70</v>
      </c>
      <c r="W206" s="17" t="s">
        <v>1856</v>
      </c>
      <c r="X206" s="17" t="s">
        <v>971</v>
      </c>
      <c r="Y206" s="17" t="s">
        <v>89</v>
      </c>
      <c r="Z206" s="17">
        <v>42.47207641</v>
      </c>
      <c r="AA206" s="17">
        <v>-94.232201844800002</v>
      </c>
      <c r="AB206" s="17" t="s">
        <v>1108</v>
      </c>
      <c r="AC206" s="17">
        <v>26</v>
      </c>
      <c r="AD206" s="17">
        <v>2.2454178355953391E-5</v>
      </c>
      <c r="AE206" s="17">
        <f t="shared" si="3"/>
        <v>2014</v>
      </c>
    </row>
    <row r="207" spans="1:31" x14ac:dyDescent="0.25">
      <c r="A207" s="17">
        <v>206</v>
      </c>
      <c r="B207" s="17" t="s">
        <v>1857</v>
      </c>
      <c r="C207" s="17" t="s">
        <v>1857</v>
      </c>
      <c r="D207" s="17" t="s">
        <v>1858</v>
      </c>
      <c r="E207" s="17" t="s">
        <v>1859</v>
      </c>
      <c r="F207" s="17" t="s">
        <v>1860</v>
      </c>
      <c r="G207" s="17" t="s">
        <v>1848</v>
      </c>
      <c r="H207" s="17" t="s">
        <v>1861</v>
      </c>
      <c r="I207" s="17" t="s">
        <v>1862</v>
      </c>
      <c r="J207" s="17" t="s">
        <v>241</v>
      </c>
      <c r="K207" s="17" t="s">
        <v>82</v>
      </c>
      <c r="L207" s="17" t="s">
        <v>4</v>
      </c>
      <c r="M207" s="17"/>
      <c r="N207" s="17" t="s">
        <v>48</v>
      </c>
      <c r="O207" s="17" t="s">
        <v>1106</v>
      </c>
      <c r="P207" s="17" t="s">
        <v>50</v>
      </c>
      <c r="Q207" s="17" t="s">
        <v>51</v>
      </c>
      <c r="R207" s="17" t="s">
        <v>52</v>
      </c>
      <c r="S207" s="17" t="s">
        <v>1863</v>
      </c>
      <c r="T207" s="17" t="s">
        <v>54</v>
      </c>
      <c r="U207" s="17" t="s">
        <v>288</v>
      </c>
      <c r="V207" s="17" t="s">
        <v>70</v>
      </c>
      <c r="W207" s="17" t="s">
        <v>293</v>
      </c>
      <c r="X207" s="17" t="s">
        <v>58</v>
      </c>
      <c r="Y207" s="17" t="s">
        <v>179</v>
      </c>
      <c r="Z207" s="17">
        <v>42.4720764088</v>
      </c>
      <c r="AA207" s="17">
        <v>-94.232201844800002</v>
      </c>
      <c r="AB207" s="17" t="s">
        <v>1108</v>
      </c>
      <c r="AC207" s="17">
        <v>26</v>
      </c>
      <c r="AD207" s="17">
        <v>2.2454178355953391E-5</v>
      </c>
      <c r="AE207" s="17">
        <f t="shared" si="3"/>
        <v>2016</v>
      </c>
    </row>
    <row r="208" spans="1:31" x14ac:dyDescent="0.25">
      <c r="A208" s="17">
        <v>207</v>
      </c>
      <c r="B208" s="17" t="s">
        <v>1864</v>
      </c>
      <c r="C208" s="17" t="s">
        <v>1864</v>
      </c>
      <c r="D208" s="17" t="s">
        <v>1865</v>
      </c>
      <c r="E208" s="17" t="s">
        <v>1866</v>
      </c>
      <c r="F208" s="17" t="s">
        <v>1867</v>
      </c>
      <c r="G208" s="17" t="s">
        <v>1868</v>
      </c>
      <c r="H208" s="17" t="s">
        <v>1869</v>
      </c>
      <c r="I208" s="17" t="s">
        <v>1870</v>
      </c>
      <c r="J208" s="17" t="s">
        <v>574</v>
      </c>
      <c r="K208" s="17" t="s">
        <v>259</v>
      </c>
      <c r="L208" s="17" t="s">
        <v>4</v>
      </c>
      <c r="M208" s="17" t="s">
        <v>1698</v>
      </c>
      <c r="N208" s="17" t="s">
        <v>48</v>
      </c>
      <c r="O208" s="17" t="s">
        <v>1106</v>
      </c>
      <c r="P208" s="17" t="s">
        <v>50</v>
      </c>
      <c r="Q208" s="17" t="s">
        <v>51</v>
      </c>
      <c r="R208" s="17" t="s">
        <v>52</v>
      </c>
      <c r="S208" s="17" t="s">
        <v>1623</v>
      </c>
      <c r="T208" s="17" t="s">
        <v>54</v>
      </c>
      <c r="U208" s="17" t="s">
        <v>55</v>
      </c>
      <c r="V208" s="17" t="s">
        <v>70</v>
      </c>
      <c r="W208" s="17" t="s">
        <v>1871</v>
      </c>
      <c r="X208" s="17" t="s">
        <v>58</v>
      </c>
      <c r="Y208" s="17" t="s">
        <v>1454</v>
      </c>
      <c r="Z208" s="17">
        <v>42.474446510500002</v>
      </c>
      <c r="AA208" s="17">
        <v>-94.227017283400002</v>
      </c>
      <c r="AB208" s="17" t="s">
        <v>1108</v>
      </c>
      <c r="AC208" s="17">
        <v>26</v>
      </c>
      <c r="AD208" s="17">
        <v>3.023602037592351E-5</v>
      </c>
      <c r="AE208" s="17">
        <f t="shared" si="3"/>
        <v>2020</v>
      </c>
    </row>
    <row r="209" spans="1:31" x14ac:dyDescent="0.25">
      <c r="A209" s="17">
        <v>208</v>
      </c>
      <c r="B209" s="17" t="s">
        <v>1872</v>
      </c>
      <c r="C209" s="17" t="s">
        <v>1872</v>
      </c>
      <c r="D209" s="17" t="s">
        <v>1873</v>
      </c>
      <c r="E209" s="17" t="s">
        <v>1874</v>
      </c>
      <c r="F209" s="17" t="s">
        <v>1875</v>
      </c>
      <c r="G209" s="17" t="s">
        <v>1876</v>
      </c>
      <c r="H209" s="17" t="s">
        <v>1877</v>
      </c>
      <c r="I209" s="17" t="s">
        <v>1878</v>
      </c>
      <c r="J209" s="17" t="s">
        <v>1879</v>
      </c>
      <c r="K209" s="17" t="s">
        <v>216</v>
      </c>
      <c r="L209" s="17" t="s">
        <v>4</v>
      </c>
      <c r="M209" s="17"/>
      <c r="N209" s="17" t="s">
        <v>48</v>
      </c>
      <c r="O209" s="17" t="s">
        <v>1106</v>
      </c>
      <c r="P209" s="17" t="s">
        <v>50</v>
      </c>
      <c r="Q209" s="17" t="s">
        <v>51</v>
      </c>
      <c r="R209" s="17" t="s">
        <v>52</v>
      </c>
      <c r="S209" s="17" t="s">
        <v>1623</v>
      </c>
      <c r="T209" s="17" t="s">
        <v>54</v>
      </c>
      <c r="U209" s="17" t="s">
        <v>55</v>
      </c>
      <c r="V209" s="17" t="s">
        <v>70</v>
      </c>
      <c r="W209" s="17" t="s">
        <v>1880</v>
      </c>
      <c r="X209" s="17" t="s">
        <v>72</v>
      </c>
      <c r="Y209" s="17" t="s">
        <v>659</v>
      </c>
      <c r="Z209" s="17">
        <v>42.475912328900002</v>
      </c>
      <c r="AA209" s="17">
        <v>-94.223846384300003</v>
      </c>
      <c r="AB209" s="17" t="s">
        <v>1108</v>
      </c>
      <c r="AC209" s="17">
        <v>26</v>
      </c>
      <c r="AD209" s="17">
        <v>2.0219997173837451E-5</v>
      </c>
      <c r="AE209" s="17">
        <f t="shared" si="3"/>
        <v>2021</v>
      </c>
    </row>
    <row r="210" spans="1:31" x14ac:dyDescent="0.25">
      <c r="A210" s="17">
        <v>209</v>
      </c>
      <c r="B210" s="17" t="s">
        <v>1881</v>
      </c>
      <c r="C210" s="17" t="s">
        <v>1881</v>
      </c>
      <c r="D210" s="17" t="s">
        <v>1882</v>
      </c>
      <c r="E210" s="17" t="s">
        <v>1883</v>
      </c>
      <c r="F210" s="17" t="s">
        <v>1884</v>
      </c>
      <c r="G210" s="17" t="s">
        <v>1885</v>
      </c>
      <c r="H210" s="17" t="s">
        <v>1886</v>
      </c>
      <c r="I210" s="17" t="s">
        <v>1887</v>
      </c>
      <c r="J210" s="17" t="s">
        <v>671</v>
      </c>
      <c r="K210" s="17" t="s">
        <v>82</v>
      </c>
      <c r="L210" s="17" t="s">
        <v>4</v>
      </c>
      <c r="M210" s="17"/>
      <c r="N210" s="17" t="s">
        <v>145</v>
      </c>
      <c r="O210" s="17" t="s">
        <v>146</v>
      </c>
      <c r="P210" s="17" t="s">
        <v>147</v>
      </c>
      <c r="Q210" s="17" t="s">
        <v>51</v>
      </c>
      <c r="R210" s="17" t="s">
        <v>52</v>
      </c>
      <c r="S210" s="17" t="s">
        <v>1767</v>
      </c>
      <c r="T210" s="17" t="s">
        <v>54</v>
      </c>
      <c r="U210" s="17" t="s">
        <v>55</v>
      </c>
      <c r="V210" s="17" t="s">
        <v>70</v>
      </c>
      <c r="W210" s="17" t="s">
        <v>1888</v>
      </c>
      <c r="X210" s="17" t="s">
        <v>134</v>
      </c>
      <c r="Y210" s="17" t="s">
        <v>89</v>
      </c>
      <c r="Z210" s="17">
        <v>42.477065062500003</v>
      </c>
      <c r="AA210" s="17">
        <v>-94.221314037599996</v>
      </c>
      <c r="AB210" s="17" t="s">
        <v>1108</v>
      </c>
      <c r="AC210" s="17">
        <v>26</v>
      </c>
      <c r="AD210" s="17">
        <v>2.8490930565799019E-5</v>
      </c>
      <c r="AE210" s="17">
        <f t="shared" si="3"/>
        <v>2015</v>
      </c>
    </row>
    <row r="211" spans="1:31" x14ac:dyDescent="0.25">
      <c r="A211" s="17">
        <v>210</v>
      </c>
      <c r="B211" s="17" t="s">
        <v>1889</v>
      </c>
      <c r="C211" s="17" t="s">
        <v>1889</v>
      </c>
      <c r="D211" s="17" t="s">
        <v>1890</v>
      </c>
      <c r="E211" s="17" t="s">
        <v>1891</v>
      </c>
      <c r="F211" s="17" t="s">
        <v>1892</v>
      </c>
      <c r="G211" s="17" t="s">
        <v>1893</v>
      </c>
      <c r="H211" s="17" t="s">
        <v>1894</v>
      </c>
      <c r="I211" s="17" t="s">
        <v>1895</v>
      </c>
      <c r="J211" s="17" t="s">
        <v>1896</v>
      </c>
      <c r="K211" s="17" t="s">
        <v>82</v>
      </c>
      <c r="L211" s="17" t="s">
        <v>4</v>
      </c>
      <c r="M211" s="17"/>
      <c r="N211" s="17" t="s">
        <v>48</v>
      </c>
      <c r="O211" s="17" t="s">
        <v>1106</v>
      </c>
      <c r="P211" s="17" t="s">
        <v>50</v>
      </c>
      <c r="Q211" s="17" t="s">
        <v>51</v>
      </c>
      <c r="R211" s="17" t="s">
        <v>52</v>
      </c>
      <c r="S211" s="17" t="s">
        <v>1623</v>
      </c>
      <c r="T211" s="17" t="s">
        <v>54</v>
      </c>
      <c r="U211" s="17" t="s">
        <v>55</v>
      </c>
      <c r="V211" s="17" t="s">
        <v>70</v>
      </c>
      <c r="W211" s="17" t="s">
        <v>87</v>
      </c>
      <c r="X211" s="17" t="s">
        <v>150</v>
      </c>
      <c r="Y211" s="17" t="s">
        <v>150</v>
      </c>
      <c r="Z211" s="17">
        <v>42.4773232605</v>
      </c>
      <c r="AA211" s="17">
        <v>-94.220747265599996</v>
      </c>
      <c r="AB211" s="17" t="s">
        <v>1108</v>
      </c>
      <c r="AC211" s="17">
        <v>26</v>
      </c>
      <c r="AD211" s="17">
        <v>3.0159066248460721E-5</v>
      </c>
      <c r="AE211" s="17">
        <f t="shared" si="3"/>
        <v>2017</v>
      </c>
    </row>
    <row r="212" spans="1:31" x14ac:dyDescent="0.25">
      <c r="A212" s="17">
        <v>211</v>
      </c>
      <c r="B212" s="17" t="s">
        <v>1897</v>
      </c>
      <c r="C212" s="17" t="s">
        <v>1897</v>
      </c>
      <c r="D212" s="17" t="s">
        <v>1898</v>
      </c>
      <c r="E212" s="17" t="s">
        <v>1899</v>
      </c>
      <c r="F212" s="17" t="s">
        <v>1900</v>
      </c>
      <c r="G212" s="17" t="s">
        <v>1901</v>
      </c>
      <c r="H212" s="17" t="s">
        <v>1902</v>
      </c>
      <c r="I212" s="17" t="s">
        <v>1903</v>
      </c>
      <c r="J212" s="17" t="s">
        <v>1904</v>
      </c>
      <c r="K212" s="17" t="s">
        <v>99</v>
      </c>
      <c r="L212" s="17" t="s">
        <v>4</v>
      </c>
      <c r="M212" s="17" t="s">
        <v>1698</v>
      </c>
      <c r="N212" s="17" t="s">
        <v>48</v>
      </c>
      <c r="O212" s="17" t="s">
        <v>1106</v>
      </c>
      <c r="P212" s="17" t="s">
        <v>50</v>
      </c>
      <c r="Q212" s="17" t="s">
        <v>51</v>
      </c>
      <c r="R212" s="17" t="s">
        <v>52</v>
      </c>
      <c r="S212" s="17" t="s">
        <v>1623</v>
      </c>
      <c r="T212" s="17" t="s">
        <v>54</v>
      </c>
      <c r="U212" s="17" t="s">
        <v>55</v>
      </c>
      <c r="V212" s="17" t="s">
        <v>70</v>
      </c>
      <c r="W212" s="17" t="s">
        <v>149</v>
      </c>
      <c r="X212" s="17" t="s">
        <v>150</v>
      </c>
      <c r="Y212" s="17" t="s">
        <v>150</v>
      </c>
      <c r="Z212" s="17">
        <v>42.479877187600003</v>
      </c>
      <c r="AA212" s="17">
        <v>-94.215163911199994</v>
      </c>
      <c r="AB212" s="17" t="s">
        <v>1108</v>
      </c>
      <c r="AC212" s="17">
        <v>26</v>
      </c>
      <c r="AD212" s="17">
        <v>2.9140809088186171E-5</v>
      </c>
      <c r="AE212" s="17">
        <f t="shared" si="3"/>
        <v>2019</v>
      </c>
    </row>
    <row r="213" spans="1:31" x14ac:dyDescent="0.25">
      <c r="A213" s="17">
        <v>212</v>
      </c>
      <c r="B213" s="17" t="s">
        <v>1905</v>
      </c>
      <c r="C213" s="17" t="s">
        <v>1905</v>
      </c>
      <c r="D213" s="17" t="s">
        <v>1906</v>
      </c>
      <c r="E213" s="17" t="s">
        <v>1907</v>
      </c>
      <c r="F213" s="17" t="s">
        <v>1908</v>
      </c>
      <c r="G213" s="17" t="s">
        <v>1909</v>
      </c>
      <c r="H213" s="17" t="s">
        <v>1910</v>
      </c>
      <c r="I213" s="17" t="s">
        <v>1911</v>
      </c>
      <c r="J213" s="17" t="s">
        <v>605</v>
      </c>
      <c r="K213" s="17" t="s">
        <v>216</v>
      </c>
      <c r="L213" s="17" t="s">
        <v>4</v>
      </c>
      <c r="M213" s="17"/>
      <c r="N213" s="17" t="s">
        <v>48</v>
      </c>
      <c r="O213" s="17" t="s">
        <v>1106</v>
      </c>
      <c r="P213" s="17" t="s">
        <v>50</v>
      </c>
      <c r="Q213" s="17" t="s">
        <v>51</v>
      </c>
      <c r="R213" s="17" t="s">
        <v>52</v>
      </c>
      <c r="S213" s="17" t="s">
        <v>1912</v>
      </c>
      <c r="T213" s="17" t="s">
        <v>54</v>
      </c>
      <c r="U213" s="17" t="s">
        <v>55</v>
      </c>
      <c r="V213" s="17" t="s">
        <v>70</v>
      </c>
      <c r="W213" s="17" t="s">
        <v>293</v>
      </c>
      <c r="X213" s="17" t="s">
        <v>101</v>
      </c>
      <c r="Y213" s="17" t="s">
        <v>89</v>
      </c>
      <c r="Z213" s="17">
        <v>42.482196116700003</v>
      </c>
      <c r="AA213" s="17">
        <v>-94.210488084399998</v>
      </c>
      <c r="AB213" s="17" t="s">
        <v>1108</v>
      </c>
      <c r="AC213" s="17">
        <v>26</v>
      </c>
      <c r="AD213" s="17">
        <v>3.9693559046713823E-5</v>
      </c>
      <c r="AE213" s="17">
        <f t="shared" si="3"/>
        <v>2017</v>
      </c>
    </row>
    <row r="214" spans="1:31" x14ac:dyDescent="0.25">
      <c r="A214" s="17">
        <v>213</v>
      </c>
      <c r="B214" s="17" t="s">
        <v>1913</v>
      </c>
      <c r="C214" s="17" t="s">
        <v>1913</v>
      </c>
      <c r="D214" s="17" t="s">
        <v>1914</v>
      </c>
      <c r="E214" s="17" t="s">
        <v>1915</v>
      </c>
      <c r="F214" s="17" t="s">
        <v>1916</v>
      </c>
      <c r="G214" s="17" t="s">
        <v>1917</v>
      </c>
      <c r="H214" s="17" t="s">
        <v>1918</v>
      </c>
      <c r="I214" s="17" t="s">
        <v>1919</v>
      </c>
      <c r="J214" s="17" t="s">
        <v>671</v>
      </c>
      <c r="K214" s="17" t="s">
        <v>120</v>
      </c>
      <c r="L214" s="17" t="s">
        <v>4</v>
      </c>
      <c r="M214" s="17" t="s">
        <v>1698</v>
      </c>
      <c r="N214" s="17" t="s">
        <v>145</v>
      </c>
      <c r="O214" s="17" t="s">
        <v>146</v>
      </c>
      <c r="P214" s="17" t="s">
        <v>147</v>
      </c>
      <c r="Q214" s="17" t="s">
        <v>51</v>
      </c>
      <c r="R214" s="17" t="s">
        <v>52</v>
      </c>
      <c r="S214" s="17" t="s">
        <v>1767</v>
      </c>
      <c r="T214" s="17" t="s">
        <v>54</v>
      </c>
      <c r="U214" s="17" t="s">
        <v>55</v>
      </c>
      <c r="V214" s="17" t="s">
        <v>70</v>
      </c>
      <c r="W214" s="17" t="s">
        <v>189</v>
      </c>
      <c r="X214" s="17" t="s">
        <v>88</v>
      </c>
      <c r="Y214" s="17" t="s">
        <v>89</v>
      </c>
      <c r="Z214" s="17">
        <v>42.482397415500003</v>
      </c>
      <c r="AA214" s="17">
        <v>-94.210187795099998</v>
      </c>
      <c r="AB214" s="17" t="s">
        <v>1108</v>
      </c>
      <c r="AC214" s="17">
        <v>26</v>
      </c>
      <c r="AD214" s="17">
        <v>4.3201531175675698E-5</v>
      </c>
      <c r="AE214" s="17">
        <f t="shared" si="3"/>
        <v>2015</v>
      </c>
    </row>
    <row r="215" spans="1:31" x14ac:dyDescent="0.25">
      <c r="A215" s="17">
        <v>214</v>
      </c>
      <c r="B215" s="17" t="s">
        <v>1920</v>
      </c>
      <c r="C215" s="17" t="s">
        <v>1921</v>
      </c>
      <c r="D215" s="17" t="s">
        <v>1922</v>
      </c>
      <c r="E215" s="17" t="s">
        <v>1923</v>
      </c>
      <c r="F215" s="17" t="s">
        <v>1924</v>
      </c>
      <c r="G215" s="17" t="s">
        <v>1925</v>
      </c>
      <c r="H215" s="17" t="s">
        <v>1926</v>
      </c>
      <c r="I215" s="17" t="s">
        <v>1927</v>
      </c>
      <c r="J215" s="17" t="s">
        <v>1928</v>
      </c>
      <c r="K215" s="17" t="s">
        <v>69</v>
      </c>
      <c r="L215" s="17" t="s">
        <v>4</v>
      </c>
      <c r="M215" s="17"/>
      <c r="N215" s="17" t="s">
        <v>145</v>
      </c>
      <c r="O215" s="17" t="s">
        <v>146</v>
      </c>
      <c r="P215" s="17" t="s">
        <v>147</v>
      </c>
      <c r="Q215" s="17" t="s">
        <v>51</v>
      </c>
      <c r="R215" s="17" t="s">
        <v>52</v>
      </c>
      <c r="S215" s="17" t="s">
        <v>1767</v>
      </c>
      <c r="T215" s="17" t="s">
        <v>54</v>
      </c>
      <c r="U215" s="17" t="s">
        <v>55</v>
      </c>
      <c r="V215" s="17" t="s">
        <v>56</v>
      </c>
      <c r="W215" s="17" t="s">
        <v>1929</v>
      </c>
      <c r="X215" s="17" t="s">
        <v>721</v>
      </c>
      <c r="Y215" s="17" t="s">
        <v>1274</v>
      </c>
      <c r="Z215" s="17">
        <v>42.482781358499999</v>
      </c>
      <c r="AA215" s="17">
        <v>-94.209647685799993</v>
      </c>
      <c r="AB215" s="17" t="s">
        <v>1108</v>
      </c>
      <c r="AC215" s="17">
        <v>26</v>
      </c>
      <c r="AD215" s="17">
        <v>3.1456309492311599E-5</v>
      </c>
      <c r="AE215" s="17">
        <f t="shared" si="3"/>
        <v>2014</v>
      </c>
    </row>
    <row r="216" spans="1:31" x14ac:dyDescent="0.25">
      <c r="A216" s="17">
        <v>215</v>
      </c>
      <c r="B216" s="17" t="s">
        <v>1930</v>
      </c>
      <c r="C216" s="17" t="s">
        <v>1930</v>
      </c>
      <c r="D216" s="17" t="s">
        <v>1931</v>
      </c>
      <c r="E216" s="17" t="s">
        <v>1932</v>
      </c>
      <c r="F216" s="17" t="s">
        <v>1933</v>
      </c>
      <c r="G216" s="17" t="s">
        <v>1934</v>
      </c>
      <c r="H216" s="17" t="s">
        <v>1935</v>
      </c>
      <c r="I216" s="17" t="s">
        <v>1936</v>
      </c>
      <c r="J216" s="17" t="s">
        <v>1937</v>
      </c>
      <c r="K216" s="17" t="s">
        <v>99</v>
      </c>
      <c r="L216" s="17" t="s">
        <v>4</v>
      </c>
      <c r="M216" s="17"/>
      <c r="N216" s="17" t="s">
        <v>48</v>
      </c>
      <c r="O216" s="17" t="s">
        <v>1106</v>
      </c>
      <c r="P216" s="17" t="s">
        <v>50</v>
      </c>
      <c r="Q216" s="17" t="s">
        <v>51</v>
      </c>
      <c r="R216" s="17" t="s">
        <v>52</v>
      </c>
      <c r="S216" s="17" t="s">
        <v>1623</v>
      </c>
      <c r="T216" s="17" t="s">
        <v>54</v>
      </c>
      <c r="U216" s="17" t="s">
        <v>55</v>
      </c>
      <c r="V216" s="17" t="s">
        <v>70</v>
      </c>
      <c r="W216" s="17" t="s">
        <v>588</v>
      </c>
      <c r="X216" s="17" t="s">
        <v>101</v>
      </c>
      <c r="Y216" s="17" t="s">
        <v>89</v>
      </c>
      <c r="Z216" s="17">
        <v>42.482836150899999</v>
      </c>
      <c r="AA216" s="17">
        <v>-94.209575740099993</v>
      </c>
      <c r="AB216" s="17" t="s">
        <v>1108</v>
      </c>
      <c r="AC216" s="17">
        <v>26</v>
      </c>
      <c r="AD216" s="17">
        <v>2.6880268833141461E-5</v>
      </c>
      <c r="AE216" s="17">
        <f t="shared" si="3"/>
        <v>2016</v>
      </c>
    </row>
    <row r="217" spans="1:31" x14ac:dyDescent="0.25">
      <c r="A217" s="17">
        <v>216</v>
      </c>
      <c r="B217" s="17" t="s">
        <v>1938</v>
      </c>
      <c r="C217" s="17" t="s">
        <v>1938</v>
      </c>
      <c r="D217" s="17" t="s">
        <v>1939</v>
      </c>
      <c r="E217" s="17" t="s">
        <v>1940</v>
      </c>
      <c r="F217" s="17" t="s">
        <v>1941</v>
      </c>
      <c r="G217" s="17" t="s">
        <v>1942</v>
      </c>
      <c r="H217" s="17" t="s">
        <v>1943</v>
      </c>
      <c r="I217" s="17" t="s">
        <v>1944</v>
      </c>
      <c r="J217" s="17" t="s">
        <v>454</v>
      </c>
      <c r="K217" s="17" t="s">
        <v>47</v>
      </c>
      <c r="L217" s="17" t="s">
        <v>4</v>
      </c>
      <c r="M217" s="17"/>
      <c r="N217" s="17" t="s">
        <v>48</v>
      </c>
      <c r="O217" s="17" t="s">
        <v>1106</v>
      </c>
      <c r="P217" s="17" t="s">
        <v>50</v>
      </c>
      <c r="Q217" s="17" t="s">
        <v>51</v>
      </c>
      <c r="R217" s="17" t="s">
        <v>52</v>
      </c>
      <c r="S217" s="17" t="s">
        <v>1642</v>
      </c>
      <c r="T217" s="17" t="s">
        <v>54</v>
      </c>
      <c r="U217" s="17" t="s">
        <v>55</v>
      </c>
      <c r="V217" s="17" t="s">
        <v>70</v>
      </c>
      <c r="W217" s="17" t="s">
        <v>335</v>
      </c>
      <c r="X217" s="17" t="s">
        <v>1945</v>
      </c>
      <c r="Y217" s="17" t="s">
        <v>1321</v>
      </c>
      <c r="Z217" s="17">
        <v>42.483523378500003</v>
      </c>
      <c r="AA217" s="17">
        <v>-94.208457446500006</v>
      </c>
      <c r="AB217" s="17" t="s">
        <v>1108</v>
      </c>
      <c r="AC217" s="17">
        <v>26</v>
      </c>
      <c r="AD217" s="17">
        <v>9.1453289570173524E-5</v>
      </c>
      <c r="AE217" s="17">
        <f t="shared" si="3"/>
        <v>2021</v>
      </c>
    </row>
    <row r="218" spans="1:31" x14ac:dyDescent="0.25">
      <c r="A218" s="17">
        <v>217</v>
      </c>
      <c r="B218" s="17" t="s">
        <v>1946</v>
      </c>
      <c r="C218" s="17" t="s">
        <v>1946</v>
      </c>
      <c r="D218" s="17" t="s">
        <v>1947</v>
      </c>
      <c r="E218" s="17" t="s">
        <v>1948</v>
      </c>
      <c r="F218" s="17" t="s">
        <v>1949</v>
      </c>
      <c r="G218" s="17" t="s">
        <v>1950</v>
      </c>
      <c r="H218" s="17" t="s">
        <v>1951</v>
      </c>
      <c r="I218" s="17" t="s">
        <v>1952</v>
      </c>
      <c r="J218" s="17" t="s">
        <v>1953</v>
      </c>
      <c r="K218" s="17" t="s">
        <v>47</v>
      </c>
      <c r="L218" s="17" t="s">
        <v>4</v>
      </c>
      <c r="M218" s="17" t="s">
        <v>1698</v>
      </c>
      <c r="N218" s="17" t="s">
        <v>48</v>
      </c>
      <c r="O218" s="17" t="s">
        <v>1106</v>
      </c>
      <c r="P218" s="17" t="s">
        <v>50</v>
      </c>
      <c r="Q218" s="17" t="s">
        <v>51</v>
      </c>
      <c r="R218" s="17" t="s">
        <v>52</v>
      </c>
      <c r="S218" s="17" t="s">
        <v>1954</v>
      </c>
      <c r="T218" s="17" t="s">
        <v>54</v>
      </c>
      <c r="U218" s="17" t="s">
        <v>55</v>
      </c>
      <c r="V218" s="17" t="s">
        <v>70</v>
      </c>
      <c r="W218" s="17" t="s">
        <v>560</v>
      </c>
      <c r="X218" s="17" t="s">
        <v>134</v>
      </c>
      <c r="Y218" s="17" t="s">
        <v>89</v>
      </c>
      <c r="Z218" s="17">
        <v>42.483843773300002</v>
      </c>
      <c r="AA218" s="17">
        <v>-94.207964762800003</v>
      </c>
      <c r="AB218" s="17" t="s">
        <v>1108</v>
      </c>
      <c r="AC218" s="17">
        <v>26</v>
      </c>
      <c r="AD218" s="17">
        <v>1.05359381368157E-4</v>
      </c>
      <c r="AE218" s="17">
        <f t="shared" si="3"/>
        <v>2021</v>
      </c>
    </row>
    <row r="219" spans="1:31" x14ac:dyDescent="0.25">
      <c r="A219" s="17">
        <v>218</v>
      </c>
      <c r="B219" s="17" t="s">
        <v>1955</v>
      </c>
      <c r="C219" s="17" t="s">
        <v>1956</v>
      </c>
      <c r="D219" s="17" t="s">
        <v>1957</v>
      </c>
      <c r="E219" s="17" t="s">
        <v>1958</v>
      </c>
      <c r="F219" s="17" t="s">
        <v>1959</v>
      </c>
      <c r="G219" s="17" t="s">
        <v>1960</v>
      </c>
      <c r="H219" s="17" t="s">
        <v>1961</v>
      </c>
      <c r="I219" s="17" t="s">
        <v>1962</v>
      </c>
      <c r="J219" s="17" t="s">
        <v>1622</v>
      </c>
      <c r="K219" s="17" t="s">
        <v>82</v>
      </c>
      <c r="L219" s="17" t="s">
        <v>4</v>
      </c>
      <c r="M219" s="17" t="s">
        <v>1698</v>
      </c>
      <c r="N219" s="17" t="s">
        <v>145</v>
      </c>
      <c r="O219" s="17" t="s">
        <v>146</v>
      </c>
      <c r="P219" s="17" t="s">
        <v>147</v>
      </c>
      <c r="Q219" s="17" t="s">
        <v>51</v>
      </c>
      <c r="R219" s="17" t="s">
        <v>52</v>
      </c>
      <c r="S219" s="17" t="s">
        <v>1767</v>
      </c>
      <c r="T219" s="17" t="s">
        <v>54</v>
      </c>
      <c r="U219" s="17" t="s">
        <v>55</v>
      </c>
      <c r="V219" s="17" t="s">
        <v>70</v>
      </c>
      <c r="W219" s="17" t="s">
        <v>1963</v>
      </c>
      <c r="X219" s="17" t="s">
        <v>1964</v>
      </c>
      <c r="Y219" s="17" t="s">
        <v>89</v>
      </c>
      <c r="Z219" s="17">
        <v>42.483887383499997</v>
      </c>
      <c r="AA219" s="17">
        <v>-94.208099439999998</v>
      </c>
      <c r="AB219" s="17" t="s">
        <v>1108</v>
      </c>
      <c r="AC219" s="17">
        <v>26</v>
      </c>
      <c r="AD219" s="17">
        <v>6.699705222782047E-6</v>
      </c>
      <c r="AE219" s="17">
        <f t="shared" si="3"/>
        <v>2014</v>
      </c>
    </row>
    <row r="220" spans="1:31" x14ac:dyDescent="0.25">
      <c r="A220" s="17">
        <v>219</v>
      </c>
      <c r="B220" s="17" t="s">
        <v>1965</v>
      </c>
      <c r="C220" s="17" t="s">
        <v>1965</v>
      </c>
      <c r="D220" s="17" t="s">
        <v>1966</v>
      </c>
      <c r="E220" s="17" t="s">
        <v>1967</v>
      </c>
      <c r="F220" s="17" t="s">
        <v>1968</v>
      </c>
      <c r="G220" s="17" t="s">
        <v>1969</v>
      </c>
      <c r="H220" s="17" t="s">
        <v>1970</v>
      </c>
      <c r="I220" s="17" t="s">
        <v>1971</v>
      </c>
      <c r="J220" s="17" t="s">
        <v>1972</v>
      </c>
      <c r="K220" s="17" t="s">
        <v>82</v>
      </c>
      <c r="L220" s="17" t="s">
        <v>4</v>
      </c>
      <c r="M220" s="17" t="s">
        <v>1698</v>
      </c>
      <c r="N220" s="17" t="s">
        <v>48</v>
      </c>
      <c r="O220" s="17" t="s">
        <v>1106</v>
      </c>
      <c r="P220" s="17" t="s">
        <v>431</v>
      </c>
      <c r="Q220" s="17" t="s">
        <v>51</v>
      </c>
      <c r="R220" s="17" t="s">
        <v>52</v>
      </c>
      <c r="S220" s="17" t="s">
        <v>1973</v>
      </c>
      <c r="T220" s="17" t="s">
        <v>54</v>
      </c>
      <c r="U220" s="17" t="s">
        <v>55</v>
      </c>
      <c r="V220" s="17" t="s">
        <v>70</v>
      </c>
      <c r="W220" s="17" t="s">
        <v>1150</v>
      </c>
      <c r="X220" s="17" t="s">
        <v>1227</v>
      </c>
      <c r="Y220" s="17" t="s">
        <v>89</v>
      </c>
      <c r="Z220" s="17">
        <v>42.483894847199998</v>
      </c>
      <c r="AA220" s="17">
        <v>-94.208245588799997</v>
      </c>
      <c r="AB220" s="17" t="s">
        <v>1108</v>
      </c>
      <c r="AC220" s="17">
        <v>26</v>
      </c>
      <c r="AD220" s="17">
        <v>9.5411334223875299E-5</v>
      </c>
      <c r="AE220" s="17">
        <f t="shared" si="3"/>
        <v>2022</v>
      </c>
    </row>
    <row r="221" spans="1:31" x14ac:dyDescent="0.25">
      <c r="A221" s="17">
        <v>220</v>
      </c>
      <c r="B221" s="17" t="s">
        <v>1974</v>
      </c>
      <c r="C221" s="17" t="s">
        <v>1975</v>
      </c>
      <c r="D221" s="17" t="s">
        <v>1976</v>
      </c>
      <c r="E221" s="17" t="s">
        <v>1855</v>
      </c>
      <c r="F221" s="17" t="s">
        <v>1977</v>
      </c>
      <c r="G221" s="17" t="s">
        <v>1978</v>
      </c>
      <c r="H221" s="17" t="s">
        <v>1979</v>
      </c>
      <c r="I221" s="17" t="s">
        <v>1980</v>
      </c>
      <c r="J221" s="17" t="s">
        <v>1981</v>
      </c>
      <c r="K221" s="17" t="s">
        <v>47</v>
      </c>
      <c r="L221" s="17" t="s">
        <v>4</v>
      </c>
      <c r="M221" s="17" t="s">
        <v>1698</v>
      </c>
      <c r="N221" s="17" t="s">
        <v>429</v>
      </c>
      <c r="O221" s="17" t="s">
        <v>1982</v>
      </c>
      <c r="P221" s="17" t="s">
        <v>467</v>
      </c>
      <c r="Q221" s="17" t="s">
        <v>51</v>
      </c>
      <c r="R221" s="17" t="s">
        <v>52</v>
      </c>
      <c r="S221" s="17" t="s">
        <v>1983</v>
      </c>
      <c r="T221" s="17" t="s">
        <v>429</v>
      </c>
      <c r="U221" s="17" t="s">
        <v>55</v>
      </c>
      <c r="V221" s="17" t="s">
        <v>70</v>
      </c>
      <c r="W221" s="17" t="s">
        <v>1150</v>
      </c>
      <c r="X221" s="17" t="s">
        <v>59</v>
      </c>
      <c r="Y221" s="17" t="s">
        <v>89</v>
      </c>
      <c r="Z221" s="17">
        <v>42.484130458700001</v>
      </c>
      <c r="AA221" s="17">
        <v>-94.207252417199996</v>
      </c>
      <c r="AB221" s="17" t="s">
        <v>1108</v>
      </c>
      <c r="AC221" s="17">
        <v>26</v>
      </c>
      <c r="AD221" s="17">
        <v>2.7250099750342302E-4</v>
      </c>
      <c r="AE221" s="17">
        <f t="shared" si="3"/>
        <v>2014</v>
      </c>
    </row>
    <row r="222" spans="1:31" x14ac:dyDescent="0.25">
      <c r="A222" s="17">
        <v>221</v>
      </c>
      <c r="B222" s="17" t="s">
        <v>1984</v>
      </c>
      <c r="C222" s="17" t="s">
        <v>1984</v>
      </c>
      <c r="D222" s="17" t="s">
        <v>1985</v>
      </c>
      <c r="E222" s="17" t="s">
        <v>1986</v>
      </c>
      <c r="F222" s="17" t="s">
        <v>1987</v>
      </c>
      <c r="G222" s="17" t="s">
        <v>1988</v>
      </c>
      <c r="H222" s="17" t="s">
        <v>1989</v>
      </c>
      <c r="I222" s="17" t="s">
        <v>1990</v>
      </c>
      <c r="J222" s="17" t="s">
        <v>1210</v>
      </c>
      <c r="K222" s="17" t="s">
        <v>82</v>
      </c>
      <c r="L222" s="17" t="s">
        <v>4</v>
      </c>
      <c r="M222" s="17"/>
      <c r="N222" s="17" t="s">
        <v>429</v>
      </c>
      <c r="O222" s="17" t="s">
        <v>1982</v>
      </c>
      <c r="P222" s="17" t="s">
        <v>50</v>
      </c>
      <c r="Q222" s="17" t="s">
        <v>51</v>
      </c>
      <c r="R222" s="17" t="s">
        <v>52</v>
      </c>
      <c r="S222" s="17" t="s">
        <v>1991</v>
      </c>
      <c r="T222" s="17" t="s">
        <v>429</v>
      </c>
      <c r="U222" s="17" t="s">
        <v>55</v>
      </c>
      <c r="V222" s="17" t="s">
        <v>70</v>
      </c>
      <c r="W222" s="17" t="s">
        <v>87</v>
      </c>
      <c r="X222" s="17" t="s">
        <v>1964</v>
      </c>
      <c r="Y222" s="17" t="s">
        <v>89</v>
      </c>
      <c r="Z222" s="17">
        <v>42.484130457399999</v>
      </c>
      <c r="AA222" s="17">
        <v>-94.207252417099994</v>
      </c>
      <c r="AB222" s="17" t="s">
        <v>1108</v>
      </c>
      <c r="AC222" s="17">
        <v>26</v>
      </c>
      <c r="AD222" s="17">
        <v>2.7250099750342302E-4</v>
      </c>
      <c r="AE222" s="17">
        <f t="shared" si="3"/>
        <v>2017</v>
      </c>
    </row>
    <row r="223" spans="1:31" x14ac:dyDescent="0.25">
      <c r="A223" s="17">
        <v>222</v>
      </c>
      <c r="B223" s="17" t="s">
        <v>1992</v>
      </c>
      <c r="C223" s="17" t="s">
        <v>1992</v>
      </c>
      <c r="D223" s="17" t="s">
        <v>1993</v>
      </c>
      <c r="E223" s="17" t="s">
        <v>1994</v>
      </c>
      <c r="F223" s="17" t="s">
        <v>1987</v>
      </c>
      <c r="G223" s="17" t="s">
        <v>1988</v>
      </c>
      <c r="H223" s="17" t="s">
        <v>1989</v>
      </c>
      <c r="I223" s="17" t="s">
        <v>1990</v>
      </c>
      <c r="J223" s="17" t="s">
        <v>1124</v>
      </c>
      <c r="K223" s="17" t="s">
        <v>99</v>
      </c>
      <c r="L223" s="17" t="s">
        <v>4</v>
      </c>
      <c r="M223" s="17" t="s">
        <v>1698</v>
      </c>
      <c r="N223" s="17" t="s">
        <v>429</v>
      </c>
      <c r="O223" s="17" t="s">
        <v>1982</v>
      </c>
      <c r="P223" s="17" t="s">
        <v>50</v>
      </c>
      <c r="Q223" s="17" t="s">
        <v>51</v>
      </c>
      <c r="R223" s="17" t="s">
        <v>52</v>
      </c>
      <c r="S223" s="17" t="s">
        <v>1995</v>
      </c>
      <c r="T223" s="17" t="s">
        <v>429</v>
      </c>
      <c r="U223" s="17" t="s">
        <v>55</v>
      </c>
      <c r="V223" s="17" t="s">
        <v>70</v>
      </c>
      <c r="W223" s="17" t="s">
        <v>642</v>
      </c>
      <c r="X223" s="17" t="s">
        <v>59</v>
      </c>
      <c r="Y223" s="17" t="s">
        <v>89</v>
      </c>
      <c r="Z223" s="17">
        <v>42.484130457399999</v>
      </c>
      <c r="AA223" s="17">
        <v>-94.207252417099994</v>
      </c>
      <c r="AB223" s="17" t="s">
        <v>1108</v>
      </c>
      <c r="AC223" s="17">
        <v>26</v>
      </c>
      <c r="AD223" s="17">
        <v>2.7250099750342302E-4</v>
      </c>
      <c r="AE223" s="17">
        <f t="shared" si="3"/>
        <v>2017</v>
      </c>
    </row>
    <row r="224" spans="1:31" x14ac:dyDescent="0.25">
      <c r="A224" s="17">
        <v>223</v>
      </c>
      <c r="B224" s="17" t="s">
        <v>1996</v>
      </c>
      <c r="C224" s="17" t="s">
        <v>1997</v>
      </c>
      <c r="D224" s="17" t="s">
        <v>1998</v>
      </c>
      <c r="E224" s="17" t="s">
        <v>1495</v>
      </c>
      <c r="F224" s="17" t="s">
        <v>1999</v>
      </c>
      <c r="G224" s="17" t="s">
        <v>2000</v>
      </c>
      <c r="H224" s="17" t="s">
        <v>2001</v>
      </c>
      <c r="I224" s="17" t="s">
        <v>2002</v>
      </c>
      <c r="J224" s="17" t="s">
        <v>2003</v>
      </c>
      <c r="K224" s="17" t="s">
        <v>120</v>
      </c>
      <c r="L224" s="17" t="s">
        <v>4</v>
      </c>
      <c r="M224" s="17" t="s">
        <v>1698</v>
      </c>
      <c r="N224" s="17" t="s">
        <v>145</v>
      </c>
      <c r="O224" s="17" t="s">
        <v>146</v>
      </c>
      <c r="P224" s="17" t="s">
        <v>147</v>
      </c>
      <c r="Q224" s="17" t="s">
        <v>51</v>
      </c>
      <c r="R224" s="17" t="s">
        <v>52</v>
      </c>
      <c r="S224" s="17" t="s">
        <v>1767</v>
      </c>
      <c r="T224" s="17" t="s">
        <v>54</v>
      </c>
      <c r="U224" s="17" t="s">
        <v>55</v>
      </c>
      <c r="V224" s="17" t="s">
        <v>70</v>
      </c>
      <c r="W224" s="17" t="s">
        <v>588</v>
      </c>
      <c r="X224" s="17" t="s">
        <v>1227</v>
      </c>
      <c r="Y224" s="17" t="s">
        <v>89</v>
      </c>
      <c r="Z224" s="17">
        <v>42.484171248499997</v>
      </c>
      <c r="AA224" s="17">
        <v>-94.207654717599993</v>
      </c>
      <c r="AB224" s="17" t="s">
        <v>1108</v>
      </c>
      <c r="AC224" s="17">
        <v>26</v>
      </c>
      <c r="AD224" s="17">
        <v>1.02584850962054E-5</v>
      </c>
      <c r="AE224" s="17">
        <f t="shared" si="3"/>
        <v>2014</v>
      </c>
    </row>
    <row r="225" spans="1:31" x14ac:dyDescent="0.25">
      <c r="A225" s="17">
        <v>224</v>
      </c>
      <c r="B225" s="17" t="s">
        <v>2004</v>
      </c>
      <c r="C225" s="17" t="s">
        <v>2004</v>
      </c>
      <c r="D225" s="17" t="s">
        <v>2005</v>
      </c>
      <c r="E225" s="17" t="s">
        <v>2006</v>
      </c>
      <c r="F225" s="17" t="s">
        <v>1999</v>
      </c>
      <c r="G225" s="17" t="s">
        <v>2000</v>
      </c>
      <c r="H225" s="17" t="s">
        <v>2001</v>
      </c>
      <c r="I225" s="17" t="s">
        <v>2002</v>
      </c>
      <c r="J225" s="17" t="s">
        <v>579</v>
      </c>
      <c r="K225" s="17" t="s">
        <v>82</v>
      </c>
      <c r="L225" s="17" t="s">
        <v>4</v>
      </c>
      <c r="M225" s="17" t="s">
        <v>1698</v>
      </c>
      <c r="N225" s="17" t="s">
        <v>145</v>
      </c>
      <c r="O225" s="17" t="s">
        <v>146</v>
      </c>
      <c r="P225" s="17" t="s">
        <v>147</v>
      </c>
      <c r="Q225" s="17" t="s">
        <v>51</v>
      </c>
      <c r="R225" s="17" t="s">
        <v>52</v>
      </c>
      <c r="S225" s="17" t="s">
        <v>1767</v>
      </c>
      <c r="T225" s="17" t="s">
        <v>54</v>
      </c>
      <c r="U225" s="17" t="s">
        <v>55</v>
      </c>
      <c r="V225" s="17" t="s">
        <v>70</v>
      </c>
      <c r="W225" s="17" t="s">
        <v>2007</v>
      </c>
      <c r="X225" s="17" t="s">
        <v>58</v>
      </c>
      <c r="Y225" s="17" t="s">
        <v>89</v>
      </c>
      <c r="Z225" s="17">
        <v>42.484171248499997</v>
      </c>
      <c r="AA225" s="17">
        <v>-94.207654717599993</v>
      </c>
      <c r="AB225" s="17" t="s">
        <v>1108</v>
      </c>
      <c r="AC225" s="17">
        <v>26</v>
      </c>
      <c r="AD225" s="17">
        <v>1.02584850962054E-5</v>
      </c>
      <c r="AE225" s="17">
        <f t="shared" si="3"/>
        <v>2015</v>
      </c>
    </row>
    <row r="226" spans="1:31" x14ac:dyDescent="0.25">
      <c r="A226" s="17">
        <v>225</v>
      </c>
      <c r="B226" s="17" t="s">
        <v>2008</v>
      </c>
      <c r="C226" s="17" t="s">
        <v>2008</v>
      </c>
      <c r="D226" s="17" t="s">
        <v>2009</v>
      </c>
      <c r="E226" s="17" t="s">
        <v>2010</v>
      </c>
      <c r="F226" s="17" t="s">
        <v>2011</v>
      </c>
      <c r="G226" s="17" t="s">
        <v>2012</v>
      </c>
      <c r="H226" s="17" t="s">
        <v>2013</v>
      </c>
      <c r="I226" s="17" t="s">
        <v>2014</v>
      </c>
      <c r="J226" s="17" t="s">
        <v>2015</v>
      </c>
      <c r="K226" s="17" t="s">
        <v>259</v>
      </c>
      <c r="L226" s="17" t="s">
        <v>4</v>
      </c>
      <c r="M226" s="17" t="s">
        <v>1698</v>
      </c>
      <c r="N226" s="17" t="s">
        <v>429</v>
      </c>
      <c r="O226" s="17" t="s">
        <v>1982</v>
      </c>
      <c r="P226" s="17" t="s">
        <v>431</v>
      </c>
      <c r="Q226" s="17" t="s">
        <v>51</v>
      </c>
      <c r="R226" s="17" t="s">
        <v>52</v>
      </c>
      <c r="S226" s="17" t="s">
        <v>2016</v>
      </c>
      <c r="T226" s="17" t="s">
        <v>429</v>
      </c>
      <c r="U226" s="17" t="s">
        <v>55</v>
      </c>
      <c r="V226" s="17" t="s">
        <v>70</v>
      </c>
      <c r="W226" s="17" t="s">
        <v>87</v>
      </c>
      <c r="X226" s="17" t="s">
        <v>622</v>
      </c>
      <c r="Y226" s="17" t="s">
        <v>89</v>
      </c>
      <c r="Z226" s="17">
        <v>42.4842810886</v>
      </c>
      <c r="AA226" s="17">
        <v>-94.207486489999994</v>
      </c>
      <c r="AB226" s="17" t="s">
        <v>1108</v>
      </c>
      <c r="AC226" s="17">
        <v>26</v>
      </c>
      <c r="AD226" s="17">
        <v>1.4642190145909029E-5</v>
      </c>
      <c r="AE226" s="17">
        <f t="shared" si="3"/>
        <v>2021</v>
      </c>
    </row>
    <row r="227" spans="1:31" x14ac:dyDescent="0.25">
      <c r="A227" s="17">
        <v>226</v>
      </c>
      <c r="B227" s="17" t="s">
        <v>2017</v>
      </c>
      <c r="C227" s="17" t="s">
        <v>2017</v>
      </c>
      <c r="D227" s="17" t="s">
        <v>2018</v>
      </c>
      <c r="E227" s="17" t="s">
        <v>2019</v>
      </c>
      <c r="F227" s="17" t="s">
        <v>2020</v>
      </c>
      <c r="G227" s="17" t="s">
        <v>2021</v>
      </c>
      <c r="H227" s="17" t="s">
        <v>2022</v>
      </c>
      <c r="I227" s="17" t="s">
        <v>2023</v>
      </c>
      <c r="J227" s="17" t="s">
        <v>2024</v>
      </c>
      <c r="K227" s="17" t="s">
        <v>82</v>
      </c>
      <c r="L227" s="17" t="s">
        <v>4</v>
      </c>
      <c r="M227" s="17" t="s">
        <v>1698</v>
      </c>
      <c r="N227" s="17" t="s">
        <v>48</v>
      </c>
      <c r="O227" s="17" t="s">
        <v>2025</v>
      </c>
      <c r="P227" s="17" t="s">
        <v>50</v>
      </c>
      <c r="Q227" s="17" t="s">
        <v>51</v>
      </c>
      <c r="R227" s="17" t="s">
        <v>52</v>
      </c>
      <c r="S227" s="17" t="s">
        <v>2026</v>
      </c>
      <c r="T227" s="17" t="s">
        <v>86</v>
      </c>
      <c r="U227" s="17" t="s">
        <v>2027</v>
      </c>
      <c r="V227" s="17" t="s">
        <v>70</v>
      </c>
      <c r="W227" s="17" t="s">
        <v>250</v>
      </c>
      <c r="X227" s="17" t="s">
        <v>58</v>
      </c>
      <c r="Y227" s="17" t="s">
        <v>89</v>
      </c>
      <c r="Z227" s="17">
        <v>42.484319667500003</v>
      </c>
      <c r="AA227" s="17">
        <v>-94.207243888299999</v>
      </c>
      <c r="AB227" s="17" t="s">
        <v>1108</v>
      </c>
      <c r="AC227" s="17">
        <v>26</v>
      </c>
      <c r="AD227" s="17">
        <v>1.849971364852903E-4</v>
      </c>
      <c r="AE227" s="17">
        <f t="shared" si="3"/>
        <v>2018</v>
      </c>
    </row>
    <row r="228" spans="1:31" x14ac:dyDescent="0.25">
      <c r="A228" s="17">
        <v>227</v>
      </c>
      <c r="B228" s="17" t="s">
        <v>2028</v>
      </c>
      <c r="C228" s="17" t="s">
        <v>2028</v>
      </c>
      <c r="D228" s="17" t="s">
        <v>2029</v>
      </c>
      <c r="E228" s="17" t="s">
        <v>2030</v>
      </c>
      <c r="F228" s="17" t="s">
        <v>2031</v>
      </c>
      <c r="G228" s="17" t="s">
        <v>2032</v>
      </c>
      <c r="H228" s="17" t="s">
        <v>2033</v>
      </c>
      <c r="I228" s="17" t="s">
        <v>2034</v>
      </c>
      <c r="J228" s="17" t="s">
        <v>2035</v>
      </c>
      <c r="K228" s="17" t="s">
        <v>120</v>
      </c>
      <c r="L228" s="17" t="s">
        <v>4</v>
      </c>
      <c r="M228" s="17" t="s">
        <v>1698</v>
      </c>
      <c r="N228" s="17" t="s">
        <v>48</v>
      </c>
      <c r="O228" s="17" t="s">
        <v>2025</v>
      </c>
      <c r="P228" s="17" t="s">
        <v>50</v>
      </c>
      <c r="Q228" s="17" t="s">
        <v>51</v>
      </c>
      <c r="R228" s="17" t="s">
        <v>52</v>
      </c>
      <c r="S228" s="17" t="s">
        <v>1983</v>
      </c>
      <c r="T228" s="17" t="s">
        <v>86</v>
      </c>
      <c r="U228" s="17" t="s">
        <v>55</v>
      </c>
      <c r="V228" s="17" t="s">
        <v>70</v>
      </c>
      <c r="W228" s="17" t="s">
        <v>2036</v>
      </c>
      <c r="X228" s="17" t="s">
        <v>1227</v>
      </c>
      <c r="Y228" s="17" t="s">
        <v>89</v>
      </c>
      <c r="Z228" s="17">
        <v>42.484355683099999</v>
      </c>
      <c r="AA228" s="17">
        <v>-94.207244580899996</v>
      </c>
      <c r="AB228" s="17" t="s">
        <v>1108</v>
      </c>
      <c r="AC228" s="17">
        <v>26</v>
      </c>
      <c r="AD228" s="17">
        <v>1.8405782535139999E-4</v>
      </c>
      <c r="AE228" s="17">
        <f t="shared" si="3"/>
        <v>2020</v>
      </c>
    </row>
    <row r="229" spans="1:31" x14ac:dyDescent="0.25">
      <c r="A229" s="17">
        <v>228</v>
      </c>
      <c r="B229" s="17" t="s">
        <v>2037</v>
      </c>
      <c r="C229" s="17" t="s">
        <v>2037</v>
      </c>
      <c r="D229" s="17" t="s">
        <v>2038</v>
      </c>
      <c r="E229" s="17" t="s">
        <v>2039</v>
      </c>
      <c r="F229" s="17" t="s">
        <v>2040</v>
      </c>
      <c r="G229" s="17" t="s">
        <v>2041</v>
      </c>
      <c r="H229" s="17" t="s">
        <v>2042</v>
      </c>
      <c r="I229" s="17" t="s">
        <v>2043</v>
      </c>
      <c r="J229" s="17" t="s">
        <v>2044</v>
      </c>
      <c r="K229" s="17" t="s">
        <v>82</v>
      </c>
      <c r="L229" s="17" t="s">
        <v>4</v>
      </c>
      <c r="M229" s="17" t="s">
        <v>1698</v>
      </c>
      <c r="N229" s="17" t="s">
        <v>48</v>
      </c>
      <c r="O229" s="17" t="s">
        <v>2025</v>
      </c>
      <c r="P229" s="17" t="s">
        <v>50</v>
      </c>
      <c r="Q229" s="17" t="s">
        <v>51</v>
      </c>
      <c r="R229" s="17" t="s">
        <v>52</v>
      </c>
      <c r="S229" s="17" t="s">
        <v>2045</v>
      </c>
      <c r="T229" s="17" t="s">
        <v>86</v>
      </c>
      <c r="U229" s="17" t="s">
        <v>55</v>
      </c>
      <c r="V229" s="17" t="s">
        <v>56</v>
      </c>
      <c r="W229" s="17" t="s">
        <v>189</v>
      </c>
      <c r="X229" s="17" t="s">
        <v>59</v>
      </c>
      <c r="Y229" s="17" t="s">
        <v>89</v>
      </c>
      <c r="Z229" s="17">
        <v>42.484356451899998</v>
      </c>
      <c r="AA229" s="17">
        <v>-94.207171592500003</v>
      </c>
      <c r="AB229" s="17" t="s">
        <v>1108</v>
      </c>
      <c r="AC229" s="17">
        <v>26</v>
      </c>
      <c r="AD229" s="17">
        <v>2.5688065065764622E-4</v>
      </c>
      <c r="AE229" s="17">
        <f t="shared" si="3"/>
        <v>2022</v>
      </c>
    </row>
    <row r="230" spans="1:31" x14ac:dyDescent="0.25">
      <c r="A230" s="17">
        <v>229</v>
      </c>
      <c r="B230" s="17" t="s">
        <v>2046</v>
      </c>
      <c r="C230" s="17" t="s">
        <v>2046</v>
      </c>
      <c r="D230" s="17" t="s">
        <v>2047</v>
      </c>
      <c r="E230" s="17" t="s">
        <v>521</v>
      </c>
      <c r="F230" s="17" t="s">
        <v>2048</v>
      </c>
      <c r="G230" s="17" t="s">
        <v>2049</v>
      </c>
      <c r="H230" s="17" t="s">
        <v>2033</v>
      </c>
      <c r="I230" s="17" t="s">
        <v>2050</v>
      </c>
      <c r="J230" s="17" t="s">
        <v>2051</v>
      </c>
      <c r="K230" s="17" t="s">
        <v>82</v>
      </c>
      <c r="L230" s="17" t="s">
        <v>4</v>
      </c>
      <c r="M230" s="17" t="s">
        <v>1698</v>
      </c>
      <c r="N230" s="17" t="s">
        <v>48</v>
      </c>
      <c r="O230" s="17" t="s">
        <v>2025</v>
      </c>
      <c r="P230" s="17" t="s">
        <v>50</v>
      </c>
      <c r="Q230" s="17" t="s">
        <v>51</v>
      </c>
      <c r="R230" s="17" t="s">
        <v>52</v>
      </c>
      <c r="S230" s="17" t="s">
        <v>2052</v>
      </c>
      <c r="T230" s="17" t="s">
        <v>86</v>
      </c>
      <c r="U230" s="17" t="s">
        <v>55</v>
      </c>
      <c r="V230" s="17" t="s">
        <v>70</v>
      </c>
      <c r="W230" s="17" t="s">
        <v>446</v>
      </c>
      <c r="X230" s="17" t="s">
        <v>570</v>
      </c>
      <c r="Y230" s="17" t="s">
        <v>89</v>
      </c>
      <c r="Z230" s="17">
        <v>42.484364687000003</v>
      </c>
      <c r="AA230" s="17">
        <v>-94.207244754000001</v>
      </c>
      <c r="AB230" s="17" t="s">
        <v>1108</v>
      </c>
      <c r="AC230" s="17">
        <v>26</v>
      </c>
      <c r="AD230" s="17">
        <v>1.8492220098287719E-4</v>
      </c>
      <c r="AE230" s="17">
        <f t="shared" si="3"/>
        <v>2018</v>
      </c>
    </row>
    <row r="231" spans="1:31" x14ac:dyDescent="0.25">
      <c r="A231" s="17">
        <v>230</v>
      </c>
      <c r="B231" s="17" t="s">
        <v>2053</v>
      </c>
      <c r="C231" s="17" t="s">
        <v>2054</v>
      </c>
      <c r="D231" s="17" t="s">
        <v>2055</v>
      </c>
      <c r="E231" s="17" t="s">
        <v>2056</v>
      </c>
      <c r="F231" s="17" t="s">
        <v>2057</v>
      </c>
      <c r="G231" s="17" t="s">
        <v>2058</v>
      </c>
      <c r="H231" s="17" t="s">
        <v>2059</v>
      </c>
      <c r="I231" s="17" t="s">
        <v>2060</v>
      </c>
      <c r="J231" s="17" t="s">
        <v>2061</v>
      </c>
      <c r="K231" s="17" t="s">
        <v>47</v>
      </c>
      <c r="L231" s="17" t="s">
        <v>4</v>
      </c>
      <c r="M231" s="17" t="s">
        <v>1698</v>
      </c>
      <c r="N231" s="17" t="s">
        <v>429</v>
      </c>
      <c r="O231" s="17" t="s">
        <v>1982</v>
      </c>
      <c r="P231" s="17" t="s">
        <v>2062</v>
      </c>
      <c r="Q231" s="17" t="s">
        <v>51</v>
      </c>
      <c r="R231" s="17" t="s">
        <v>52</v>
      </c>
      <c r="S231" s="17" t="s">
        <v>2063</v>
      </c>
      <c r="T231" s="17" t="s">
        <v>429</v>
      </c>
      <c r="U231" s="17" t="s">
        <v>2027</v>
      </c>
      <c r="V231" s="17" t="s">
        <v>70</v>
      </c>
      <c r="W231" s="17" t="s">
        <v>293</v>
      </c>
      <c r="X231" s="17" t="s">
        <v>622</v>
      </c>
      <c r="Y231" s="17" t="s">
        <v>89</v>
      </c>
      <c r="Z231" s="17">
        <v>42.4844007039</v>
      </c>
      <c r="AA231" s="17">
        <v>-94.207245446599998</v>
      </c>
      <c r="AB231" s="17" t="s">
        <v>1108</v>
      </c>
      <c r="AC231" s="17">
        <v>26</v>
      </c>
      <c r="AD231" s="17">
        <v>1.9259742313068159E-4</v>
      </c>
      <c r="AE231" s="17">
        <f t="shared" si="3"/>
        <v>2014</v>
      </c>
    </row>
    <row r="232" spans="1:31" x14ac:dyDescent="0.25">
      <c r="A232" s="17">
        <v>231</v>
      </c>
      <c r="B232" s="17" t="s">
        <v>2064</v>
      </c>
      <c r="C232" s="17" t="s">
        <v>2064</v>
      </c>
      <c r="D232" s="17" t="s">
        <v>2065</v>
      </c>
      <c r="E232" s="17" t="s">
        <v>2066</v>
      </c>
      <c r="F232" s="17" t="s">
        <v>2067</v>
      </c>
      <c r="G232" s="17" t="s">
        <v>2068</v>
      </c>
      <c r="H232" s="17" t="s">
        <v>2069</v>
      </c>
      <c r="I232" s="17" t="s">
        <v>2060</v>
      </c>
      <c r="J232" s="17" t="s">
        <v>2070</v>
      </c>
      <c r="K232" s="17" t="s">
        <v>120</v>
      </c>
      <c r="L232" s="17" t="s">
        <v>4</v>
      </c>
      <c r="M232" s="17" t="s">
        <v>1698</v>
      </c>
      <c r="N232" s="17" t="s">
        <v>429</v>
      </c>
      <c r="O232" s="17" t="s">
        <v>1982</v>
      </c>
      <c r="P232" s="17" t="s">
        <v>50</v>
      </c>
      <c r="Q232" s="17" t="s">
        <v>51</v>
      </c>
      <c r="R232" s="17" t="s">
        <v>52</v>
      </c>
      <c r="S232" s="17" t="s">
        <v>2045</v>
      </c>
      <c r="T232" s="17" t="s">
        <v>429</v>
      </c>
      <c r="U232" s="17" t="s">
        <v>55</v>
      </c>
      <c r="V232" s="17" t="s">
        <v>70</v>
      </c>
      <c r="W232" s="17" t="s">
        <v>87</v>
      </c>
      <c r="X232" s="17" t="s">
        <v>59</v>
      </c>
      <c r="Y232" s="17" t="s">
        <v>89</v>
      </c>
      <c r="Z232" s="17">
        <v>42.484401727700003</v>
      </c>
      <c r="AA232" s="17">
        <v>-94.207148128699998</v>
      </c>
      <c r="AB232" s="17" t="s">
        <v>1108</v>
      </c>
      <c r="AC232" s="17">
        <v>26</v>
      </c>
      <c r="AD232" s="17">
        <v>2.8670458419072372E-4</v>
      </c>
      <c r="AE232" s="17">
        <f t="shared" si="3"/>
        <v>2022</v>
      </c>
    </row>
    <row r="233" spans="1:31" x14ac:dyDescent="0.25">
      <c r="A233" s="17">
        <v>232</v>
      </c>
      <c r="B233" s="17" t="s">
        <v>2071</v>
      </c>
      <c r="C233" s="17" t="s">
        <v>2071</v>
      </c>
      <c r="D233" s="17" t="s">
        <v>2072</v>
      </c>
      <c r="E233" s="17" t="s">
        <v>2073</v>
      </c>
      <c r="F233" s="17" t="s">
        <v>2074</v>
      </c>
      <c r="G233" s="17" t="s">
        <v>2075</v>
      </c>
      <c r="H233" s="17" t="s">
        <v>2076</v>
      </c>
      <c r="I233" s="17" t="s">
        <v>2077</v>
      </c>
      <c r="J233" s="17" t="s">
        <v>2078</v>
      </c>
      <c r="K233" s="17" t="s">
        <v>99</v>
      </c>
      <c r="L233" s="17" t="s">
        <v>4</v>
      </c>
      <c r="M233" s="17" t="s">
        <v>1698</v>
      </c>
      <c r="N233" s="17" t="s">
        <v>429</v>
      </c>
      <c r="O233" s="17" t="s">
        <v>1982</v>
      </c>
      <c r="P233" s="17" t="s">
        <v>50</v>
      </c>
      <c r="Q233" s="17" t="s">
        <v>51</v>
      </c>
      <c r="R233" s="17" t="s">
        <v>52</v>
      </c>
      <c r="S233" s="17" t="s">
        <v>2079</v>
      </c>
      <c r="T233" s="17" t="s">
        <v>429</v>
      </c>
      <c r="U233" s="17" t="s">
        <v>2027</v>
      </c>
      <c r="V233" s="17" t="s">
        <v>70</v>
      </c>
      <c r="W233" s="17" t="s">
        <v>189</v>
      </c>
      <c r="X233" s="17" t="s">
        <v>88</v>
      </c>
      <c r="Y233" s="17" t="s">
        <v>89</v>
      </c>
      <c r="Z233" s="17">
        <v>42.484427714299997</v>
      </c>
      <c r="AA233" s="17">
        <v>-94.207245966000002</v>
      </c>
      <c r="AB233" s="17" t="s">
        <v>1108</v>
      </c>
      <c r="AC233" s="17">
        <v>26</v>
      </c>
      <c r="AD233" s="17">
        <v>2.0241034935930679E-4</v>
      </c>
      <c r="AE233" s="17">
        <f t="shared" si="3"/>
        <v>2017</v>
      </c>
    </row>
    <row r="234" spans="1:31" x14ac:dyDescent="0.25">
      <c r="A234" s="17">
        <v>233</v>
      </c>
      <c r="B234" s="17" t="s">
        <v>2080</v>
      </c>
      <c r="C234" s="17" t="s">
        <v>2080</v>
      </c>
      <c r="D234" s="17" t="s">
        <v>2081</v>
      </c>
      <c r="E234" s="17" t="s">
        <v>2082</v>
      </c>
      <c r="F234" s="17" t="s">
        <v>2083</v>
      </c>
      <c r="G234" s="17" t="s">
        <v>2084</v>
      </c>
      <c r="H234" s="17" t="s">
        <v>2085</v>
      </c>
      <c r="I234" s="17" t="s">
        <v>2086</v>
      </c>
      <c r="J234" s="17" t="s">
        <v>1069</v>
      </c>
      <c r="K234" s="17" t="s">
        <v>82</v>
      </c>
      <c r="L234" s="17" t="s">
        <v>4</v>
      </c>
      <c r="M234" s="17" t="s">
        <v>1698</v>
      </c>
      <c r="N234" s="17" t="s">
        <v>429</v>
      </c>
      <c r="O234" s="17" t="s">
        <v>1982</v>
      </c>
      <c r="P234" s="17" t="s">
        <v>50</v>
      </c>
      <c r="Q234" s="17" t="s">
        <v>51</v>
      </c>
      <c r="R234" s="17" t="s">
        <v>52</v>
      </c>
      <c r="S234" s="17" t="s">
        <v>2079</v>
      </c>
      <c r="T234" s="17" t="s">
        <v>429</v>
      </c>
      <c r="U234" s="17" t="s">
        <v>2027</v>
      </c>
      <c r="V234" s="17" t="s">
        <v>70</v>
      </c>
      <c r="W234" s="17" t="s">
        <v>189</v>
      </c>
      <c r="X234" s="17" t="s">
        <v>59</v>
      </c>
      <c r="Y234" s="17" t="s">
        <v>89</v>
      </c>
      <c r="Z234" s="17">
        <v>42.484436718200001</v>
      </c>
      <c r="AA234" s="17">
        <v>-94.207246139099993</v>
      </c>
      <c r="AB234" s="17" t="s">
        <v>1108</v>
      </c>
      <c r="AC234" s="17">
        <v>26</v>
      </c>
      <c r="AD234" s="17">
        <v>2.063649688020586E-4</v>
      </c>
      <c r="AE234" s="17">
        <f t="shared" si="3"/>
        <v>2016</v>
      </c>
    </row>
    <row r="235" spans="1:31" x14ac:dyDescent="0.25">
      <c r="A235" s="17">
        <v>234</v>
      </c>
      <c r="B235" s="17" t="s">
        <v>2087</v>
      </c>
      <c r="C235" s="17" t="s">
        <v>2088</v>
      </c>
      <c r="D235" s="17" t="s">
        <v>2089</v>
      </c>
      <c r="E235" s="17" t="s">
        <v>2090</v>
      </c>
      <c r="F235" s="17" t="s">
        <v>2091</v>
      </c>
      <c r="G235" s="17" t="s">
        <v>2092</v>
      </c>
      <c r="H235" s="17" t="s">
        <v>2093</v>
      </c>
      <c r="I235" s="17" t="s">
        <v>2094</v>
      </c>
      <c r="J235" s="17" t="s">
        <v>2095</v>
      </c>
      <c r="K235" s="17" t="s">
        <v>69</v>
      </c>
      <c r="L235" s="17" t="s">
        <v>4</v>
      </c>
      <c r="M235" s="17" t="s">
        <v>1698</v>
      </c>
      <c r="N235" s="17" t="s">
        <v>429</v>
      </c>
      <c r="O235" s="17" t="s">
        <v>1982</v>
      </c>
      <c r="P235" s="17" t="s">
        <v>467</v>
      </c>
      <c r="Q235" s="17" t="s">
        <v>51</v>
      </c>
      <c r="R235" s="17" t="s">
        <v>52</v>
      </c>
      <c r="S235" s="17" t="s">
        <v>2096</v>
      </c>
      <c r="T235" s="17" t="s">
        <v>429</v>
      </c>
      <c r="U235" s="17" t="s">
        <v>2097</v>
      </c>
      <c r="V235" s="17" t="s">
        <v>344</v>
      </c>
      <c r="W235" s="17" t="s">
        <v>441</v>
      </c>
      <c r="X235" s="17" t="s">
        <v>1383</v>
      </c>
      <c r="Y235" s="17" t="s">
        <v>89</v>
      </c>
      <c r="Z235" s="17">
        <v>42.484445851499999</v>
      </c>
      <c r="AA235" s="17">
        <v>-94.207234147600005</v>
      </c>
      <c r="AB235" s="17" t="s">
        <v>1108</v>
      </c>
      <c r="AC235" s="17">
        <v>26</v>
      </c>
      <c r="AD235" s="17">
        <v>2.2126430814860211E-4</v>
      </c>
      <c r="AE235" s="17">
        <f t="shared" si="3"/>
        <v>2013</v>
      </c>
    </row>
    <row r="236" spans="1:31" x14ac:dyDescent="0.25">
      <c r="A236" s="17">
        <v>235</v>
      </c>
      <c r="B236" s="17" t="s">
        <v>2098</v>
      </c>
      <c r="C236" s="17" t="s">
        <v>2099</v>
      </c>
      <c r="D236" s="17" t="s">
        <v>2100</v>
      </c>
      <c r="E236" s="17" t="s">
        <v>2101</v>
      </c>
      <c r="F236" s="17" t="s">
        <v>2091</v>
      </c>
      <c r="G236" s="17" t="s">
        <v>2092</v>
      </c>
      <c r="H236" s="17" t="s">
        <v>2093</v>
      </c>
      <c r="I236" s="17" t="s">
        <v>2094</v>
      </c>
      <c r="J236" s="17" t="s">
        <v>169</v>
      </c>
      <c r="K236" s="17" t="s">
        <v>69</v>
      </c>
      <c r="L236" s="17" t="s">
        <v>4</v>
      </c>
      <c r="M236" s="17" t="s">
        <v>1698</v>
      </c>
      <c r="N236" s="17" t="s">
        <v>429</v>
      </c>
      <c r="O236" s="17" t="s">
        <v>1982</v>
      </c>
      <c r="P236" s="17" t="s">
        <v>50</v>
      </c>
      <c r="Q236" s="17" t="s">
        <v>51</v>
      </c>
      <c r="R236" s="17" t="s">
        <v>52</v>
      </c>
      <c r="S236" s="17" t="s">
        <v>2096</v>
      </c>
      <c r="T236" s="17" t="s">
        <v>429</v>
      </c>
      <c r="U236" s="17" t="s">
        <v>2097</v>
      </c>
      <c r="V236" s="17" t="s">
        <v>70</v>
      </c>
      <c r="W236" s="17" t="s">
        <v>560</v>
      </c>
      <c r="X236" s="17" t="s">
        <v>2102</v>
      </c>
      <c r="Y236" s="17" t="s">
        <v>89</v>
      </c>
      <c r="Z236" s="17">
        <v>42.484445851499999</v>
      </c>
      <c r="AA236" s="17">
        <v>-94.207234147600005</v>
      </c>
      <c r="AB236" s="17" t="s">
        <v>1108</v>
      </c>
      <c r="AC236" s="17">
        <v>26</v>
      </c>
      <c r="AD236" s="17">
        <v>2.2126430814860211E-4</v>
      </c>
      <c r="AE236" s="17">
        <f t="shared" si="3"/>
        <v>2013</v>
      </c>
    </row>
    <row r="237" spans="1:31" x14ac:dyDescent="0.25">
      <c r="A237" s="17">
        <v>236</v>
      </c>
      <c r="B237" s="17" t="s">
        <v>2103</v>
      </c>
      <c r="C237" s="17" t="s">
        <v>2104</v>
      </c>
      <c r="D237" s="17" t="s">
        <v>2105</v>
      </c>
      <c r="E237" s="17" t="s">
        <v>2106</v>
      </c>
      <c r="F237" s="17" t="s">
        <v>2091</v>
      </c>
      <c r="G237" s="17" t="s">
        <v>2092</v>
      </c>
      <c r="H237" s="17" t="s">
        <v>2093</v>
      </c>
      <c r="I237" s="17" t="s">
        <v>2094</v>
      </c>
      <c r="J237" s="17" t="s">
        <v>2107</v>
      </c>
      <c r="K237" s="17" t="s">
        <v>69</v>
      </c>
      <c r="L237" s="17" t="s">
        <v>4</v>
      </c>
      <c r="M237" s="17" t="s">
        <v>1698</v>
      </c>
      <c r="N237" s="17" t="s">
        <v>429</v>
      </c>
      <c r="O237" s="17" t="s">
        <v>1982</v>
      </c>
      <c r="P237" s="17" t="s">
        <v>50</v>
      </c>
      <c r="Q237" s="17" t="s">
        <v>51</v>
      </c>
      <c r="R237" s="17" t="s">
        <v>52</v>
      </c>
      <c r="S237" s="17" t="s">
        <v>2096</v>
      </c>
      <c r="T237" s="17" t="s">
        <v>429</v>
      </c>
      <c r="U237" s="17" t="s">
        <v>2097</v>
      </c>
      <c r="V237" s="17" t="s">
        <v>56</v>
      </c>
      <c r="W237" s="17" t="s">
        <v>2036</v>
      </c>
      <c r="X237" s="17" t="s">
        <v>1633</v>
      </c>
      <c r="Y237" s="17" t="s">
        <v>89</v>
      </c>
      <c r="Z237" s="17">
        <v>42.484445851499999</v>
      </c>
      <c r="AA237" s="17">
        <v>-94.207234147600005</v>
      </c>
      <c r="AB237" s="17" t="s">
        <v>1108</v>
      </c>
      <c r="AC237" s="17">
        <v>26</v>
      </c>
      <c r="AD237" s="17">
        <v>2.2126430814860211E-4</v>
      </c>
      <c r="AE237" s="17">
        <f t="shared" si="3"/>
        <v>2013</v>
      </c>
    </row>
    <row r="238" spans="1:31" x14ac:dyDescent="0.25">
      <c r="A238" s="17">
        <v>237</v>
      </c>
      <c r="B238" s="17" t="s">
        <v>2108</v>
      </c>
      <c r="C238" s="17" t="s">
        <v>2109</v>
      </c>
      <c r="D238" s="17" t="s">
        <v>2110</v>
      </c>
      <c r="E238" s="17" t="s">
        <v>2111</v>
      </c>
      <c r="F238" s="17" t="s">
        <v>2091</v>
      </c>
      <c r="G238" s="17" t="s">
        <v>2092</v>
      </c>
      <c r="H238" s="17" t="s">
        <v>2093</v>
      </c>
      <c r="I238" s="17" t="s">
        <v>2094</v>
      </c>
      <c r="J238" s="17" t="s">
        <v>579</v>
      </c>
      <c r="K238" s="17" t="s">
        <v>69</v>
      </c>
      <c r="L238" s="17" t="s">
        <v>4</v>
      </c>
      <c r="M238" s="17" t="s">
        <v>1698</v>
      </c>
      <c r="N238" s="17" t="s">
        <v>429</v>
      </c>
      <c r="O238" s="17" t="s">
        <v>1982</v>
      </c>
      <c r="P238" s="17" t="s">
        <v>2112</v>
      </c>
      <c r="Q238" s="17" t="s">
        <v>51</v>
      </c>
      <c r="R238" s="17" t="s">
        <v>52</v>
      </c>
      <c r="S238" s="17" t="s">
        <v>2096</v>
      </c>
      <c r="T238" s="17" t="s">
        <v>429</v>
      </c>
      <c r="U238" s="17" t="s">
        <v>2097</v>
      </c>
      <c r="V238" s="17" t="s">
        <v>56</v>
      </c>
      <c r="W238" s="17" t="s">
        <v>87</v>
      </c>
      <c r="X238" s="17" t="s">
        <v>1633</v>
      </c>
      <c r="Y238" s="17" t="s">
        <v>89</v>
      </c>
      <c r="Z238" s="17">
        <v>42.484445851499999</v>
      </c>
      <c r="AA238" s="17">
        <v>-94.207234147600005</v>
      </c>
      <c r="AB238" s="17" t="s">
        <v>1108</v>
      </c>
      <c r="AC238" s="17">
        <v>26</v>
      </c>
      <c r="AD238" s="17">
        <v>2.2126430814860211E-4</v>
      </c>
      <c r="AE238" s="17">
        <f t="shared" si="3"/>
        <v>2013</v>
      </c>
    </row>
    <row r="239" spans="1:31" x14ac:dyDescent="0.25">
      <c r="A239" s="17">
        <v>238</v>
      </c>
      <c r="B239" s="17" t="s">
        <v>2113</v>
      </c>
      <c r="C239" s="17" t="s">
        <v>2114</v>
      </c>
      <c r="D239" s="17" t="s">
        <v>2115</v>
      </c>
      <c r="E239" s="17" t="s">
        <v>2116</v>
      </c>
      <c r="F239" s="17" t="s">
        <v>2091</v>
      </c>
      <c r="G239" s="17" t="s">
        <v>2092</v>
      </c>
      <c r="H239" s="17" t="s">
        <v>2093</v>
      </c>
      <c r="I239" s="17" t="s">
        <v>2094</v>
      </c>
      <c r="J239" s="17" t="s">
        <v>2117</v>
      </c>
      <c r="K239" s="17" t="s">
        <v>82</v>
      </c>
      <c r="L239" s="17" t="s">
        <v>4</v>
      </c>
      <c r="M239" s="17" t="s">
        <v>1698</v>
      </c>
      <c r="N239" s="17" t="s">
        <v>429</v>
      </c>
      <c r="O239" s="17" t="s">
        <v>1982</v>
      </c>
      <c r="P239" s="17" t="s">
        <v>50</v>
      </c>
      <c r="Q239" s="17" t="s">
        <v>51</v>
      </c>
      <c r="R239" s="17" t="s">
        <v>52</v>
      </c>
      <c r="S239" s="17" t="s">
        <v>2096</v>
      </c>
      <c r="T239" s="17" t="s">
        <v>429</v>
      </c>
      <c r="U239" s="17" t="s">
        <v>2097</v>
      </c>
      <c r="V239" s="17" t="s">
        <v>70</v>
      </c>
      <c r="W239" s="17" t="s">
        <v>2118</v>
      </c>
      <c r="X239" s="17" t="s">
        <v>2102</v>
      </c>
      <c r="Y239" s="17" t="s">
        <v>89</v>
      </c>
      <c r="Z239" s="17">
        <v>42.484445851499999</v>
      </c>
      <c r="AA239" s="17">
        <v>-94.207234147600005</v>
      </c>
      <c r="AB239" s="17" t="s">
        <v>1108</v>
      </c>
      <c r="AC239" s="17">
        <v>26</v>
      </c>
      <c r="AD239" s="17">
        <v>2.2126430814860211E-4</v>
      </c>
      <c r="AE239" s="17">
        <f t="shared" si="3"/>
        <v>2013</v>
      </c>
    </row>
    <row r="240" spans="1:31" x14ac:dyDescent="0.25">
      <c r="A240" s="17">
        <v>239</v>
      </c>
      <c r="B240" s="17" t="s">
        <v>2119</v>
      </c>
      <c r="C240" s="17" t="s">
        <v>2120</v>
      </c>
      <c r="D240" s="17" t="s">
        <v>2121</v>
      </c>
      <c r="E240" s="17" t="s">
        <v>1495</v>
      </c>
      <c r="F240" s="17" t="s">
        <v>2091</v>
      </c>
      <c r="G240" s="17" t="s">
        <v>2092</v>
      </c>
      <c r="H240" s="17" t="s">
        <v>2093</v>
      </c>
      <c r="I240" s="17" t="s">
        <v>2094</v>
      </c>
      <c r="J240" s="17" t="s">
        <v>597</v>
      </c>
      <c r="K240" s="17" t="s">
        <v>120</v>
      </c>
      <c r="L240" s="17" t="s">
        <v>4</v>
      </c>
      <c r="M240" s="17" t="s">
        <v>1698</v>
      </c>
      <c r="N240" s="17" t="s">
        <v>429</v>
      </c>
      <c r="O240" s="17" t="s">
        <v>1982</v>
      </c>
      <c r="P240" s="17" t="s">
        <v>50</v>
      </c>
      <c r="Q240" s="17" t="s">
        <v>51</v>
      </c>
      <c r="R240" s="17" t="s">
        <v>52</v>
      </c>
      <c r="S240" s="17" t="s">
        <v>2063</v>
      </c>
      <c r="T240" s="17" t="s">
        <v>429</v>
      </c>
      <c r="U240" s="17" t="s">
        <v>2027</v>
      </c>
      <c r="V240" s="17" t="s">
        <v>70</v>
      </c>
      <c r="W240" s="17" t="s">
        <v>446</v>
      </c>
      <c r="X240" s="17" t="s">
        <v>58</v>
      </c>
      <c r="Y240" s="17" t="s">
        <v>89</v>
      </c>
      <c r="Z240" s="17">
        <v>42.484445851499999</v>
      </c>
      <c r="AA240" s="17">
        <v>-94.207234147600005</v>
      </c>
      <c r="AB240" s="17" t="s">
        <v>1108</v>
      </c>
      <c r="AC240" s="17">
        <v>26</v>
      </c>
      <c r="AD240" s="17">
        <v>2.2126430814860211E-4</v>
      </c>
      <c r="AE240" s="17">
        <f t="shared" si="3"/>
        <v>2014</v>
      </c>
    </row>
    <row r="241" spans="1:31" x14ac:dyDescent="0.25">
      <c r="A241" s="17">
        <v>240</v>
      </c>
      <c r="B241" s="17" t="s">
        <v>2122</v>
      </c>
      <c r="C241" s="17" t="s">
        <v>2122</v>
      </c>
      <c r="D241" s="17" t="s">
        <v>2123</v>
      </c>
      <c r="E241" s="17" t="s">
        <v>2124</v>
      </c>
      <c r="F241" s="17" t="s">
        <v>2091</v>
      </c>
      <c r="G241" s="17" t="s">
        <v>2092</v>
      </c>
      <c r="H241" s="17" t="s">
        <v>2093</v>
      </c>
      <c r="I241" s="17" t="s">
        <v>2094</v>
      </c>
      <c r="J241" s="17" t="s">
        <v>2070</v>
      </c>
      <c r="K241" s="17" t="s">
        <v>216</v>
      </c>
      <c r="L241" s="17" t="s">
        <v>4</v>
      </c>
      <c r="M241" s="17" t="s">
        <v>1698</v>
      </c>
      <c r="N241" s="17" t="s">
        <v>429</v>
      </c>
      <c r="O241" s="17" t="s">
        <v>1982</v>
      </c>
      <c r="P241" s="17" t="s">
        <v>2112</v>
      </c>
      <c r="Q241" s="17" t="s">
        <v>51</v>
      </c>
      <c r="R241" s="17" t="s">
        <v>52</v>
      </c>
      <c r="S241" s="17" t="s">
        <v>2063</v>
      </c>
      <c r="T241" s="17" t="s">
        <v>429</v>
      </c>
      <c r="U241" s="17" t="s">
        <v>2027</v>
      </c>
      <c r="V241" s="17" t="s">
        <v>70</v>
      </c>
      <c r="W241" s="17" t="s">
        <v>189</v>
      </c>
      <c r="X241" s="17" t="s">
        <v>59</v>
      </c>
      <c r="Y241" s="17" t="s">
        <v>89</v>
      </c>
      <c r="Z241" s="17">
        <v>42.484445851499999</v>
      </c>
      <c r="AA241" s="17">
        <v>-94.207234147600005</v>
      </c>
      <c r="AB241" s="17" t="s">
        <v>1108</v>
      </c>
      <c r="AC241" s="17">
        <v>26</v>
      </c>
      <c r="AD241" s="17">
        <v>2.2126430814860211E-4</v>
      </c>
      <c r="AE241" s="17">
        <f t="shared" si="3"/>
        <v>2015</v>
      </c>
    </row>
    <row r="242" spans="1:31" x14ac:dyDescent="0.25">
      <c r="A242" s="17">
        <v>241</v>
      </c>
      <c r="B242" s="17" t="s">
        <v>2125</v>
      </c>
      <c r="C242" s="17" t="s">
        <v>2125</v>
      </c>
      <c r="D242" s="17" t="s">
        <v>2126</v>
      </c>
      <c r="E242" s="17" t="s">
        <v>2127</v>
      </c>
      <c r="F242" s="17" t="s">
        <v>2091</v>
      </c>
      <c r="G242" s="17" t="s">
        <v>2092</v>
      </c>
      <c r="H242" s="17" t="s">
        <v>2093</v>
      </c>
      <c r="I242" s="17" t="s">
        <v>2094</v>
      </c>
      <c r="J242" s="17" t="s">
        <v>2128</v>
      </c>
      <c r="K242" s="17" t="s">
        <v>99</v>
      </c>
      <c r="L242" s="17" t="s">
        <v>4</v>
      </c>
      <c r="M242" s="17" t="s">
        <v>1698</v>
      </c>
      <c r="N242" s="17" t="s">
        <v>429</v>
      </c>
      <c r="O242" s="17" t="s">
        <v>1982</v>
      </c>
      <c r="P242" s="17" t="s">
        <v>50</v>
      </c>
      <c r="Q242" s="17" t="s">
        <v>51</v>
      </c>
      <c r="R242" s="17" t="s">
        <v>52</v>
      </c>
      <c r="S242" s="17" t="s">
        <v>2063</v>
      </c>
      <c r="T242" s="17" t="s">
        <v>429</v>
      </c>
      <c r="U242" s="17" t="s">
        <v>2027</v>
      </c>
      <c r="V242" s="17" t="s">
        <v>70</v>
      </c>
      <c r="W242" s="17" t="s">
        <v>189</v>
      </c>
      <c r="X242" s="17" t="s">
        <v>2102</v>
      </c>
      <c r="Y242" s="17" t="s">
        <v>89</v>
      </c>
      <c r="Z242" s="17">
        <v>42.484445851499999</v>
      </c>
      <c r="AA242" s="17">
        <v>-94.207234147600005</v>
      </c>
      <c r="AB242" s="17" t="s">
        <v>1108</v>
      </c>
      <c r="AC242" s="17">
        <v>26</v>
      </c>
      <c r="AD242" s="17">
        <v>2.2126430814860211E-4</v>
      </c>
      <c r="AE242" s="17">
        <f t="shared" si="3"/>
        <v>2015</v>
      </c>
    </row>
    <row r="243" spans="1:31" x14ac:dyDescent="0.25">
      <c r="A243" s="17">
        <v>242</v>
      </c>
      <c r="B243" s="17" t="s">
        <v>2129</v>
      </c>
      <c r="C243" s="17" t="s">
        <v>2129</v>
      </c>
      <c r="D243" s="17" t="s">
        <v>2130</v>
      </c>
      <c r="E243" s="17" t="s">
        <v>2131</v>
      </c>
      <c r="F243" s="17" t="s">
        <v>2132</v>
      </c>
      <c r="G243" s="17" t="s">
        <v>2133</v>
      </c>
      <c r="H243" s="17" t="s">
        <v>2134</v>
      </c>
      <c r="I243" s="17" t="s">
        <v>2135</v>
      </c>
      <c r="J243" s="17" t="s">
        <v>2136</v>
      </c>
      <c r="K243" s="17" t="s">
        <v>47</v>
      </c>
      <c r="L243" s="17" t="s">
        <v>4</v>
      </c>
      <c r="M243" s="17" t="s">
        <v>1698</v>
      </c>
      <c r="N243" s="17" t="s">
        <v>429</v>
      </c>
      <c r="O243" s="17" t="s">
        <v>1982</v>
      </c>
      <c r="P243" s="17" t="s">
        <v>50</v>
      </c>
      <c r="Q243" s="17" t="s">
        <v>51</v>
      </c>
      <c r="R243" s="17" t="s">
        <v>52</v>
      </c>
      <c r="S243" s="17" t="s">
        <v>2079</v>
      </c>
      <c r="T243" s="17" t="s">
        <v>429</v>
      </c>
      <c r="U243" s="17" t="s">
        <v>2027</v>
      </c>
      <c r="V243" s="17" t="s">
        <v>56</v>
      </c>
      <c r="W243" s="17" t="s">
        <v>87</v>
      </c>
      <c r="X243" s="17" t="s">
        <v>622</v>
      </c>
      <c r="Y243" s="17" t="s">
        <v>89</v>
      </c>
      <c r="Z243" s="17">
        <v>42.484445850199997</v>
      </c>
      <c r="AA243" s="17">
        <v>-94.207234147500003</v>
      </c>
      <c r="AB243" s="17" t="s">
        <v>1108</v>
      </c>
      <c r="AC243" s="17">
        <v>26</v>
      </c>
      <c r="AD243" s="17">
        <v>2.2126430814860211E-4</v>
      </c>
      <c r="AE243" s="17">
        <f t="shared" si="3"/>
        <v>2016</v>
      </c>
    </row>
    <row r="244" spans="1:31" x14ac:dyDescent="0.25">
      <c r="A244" s="17">
        <v>243</v>
      </c>
      <c r="B244" s="17" t="s">
        <v>2137</v>
      </c>
      <c r="C244" s="17" t="s">
        <v>2137</v>
      </c>
      <c r="D244" s="17" t="s">
        <v>2138</v>
      </c>
      <c r="E244" s="17" t="s">
        <v>2139</v>
      </c>
      <c r="F244" s="17" t="s">
        <v>2132</v>
      </c>
      <c r="G244" s="17" t="s">
        <v>2133</v>
      </c>
      <c r="H244" s="17" t="s">
        <v>2134</v>
      </c>
      <c r="I244" s="17" t="s">
        <v>2135</v>
      </c>
      <c r="J244" s="17" t="s">
        <v>2140</v>
      </c>
      <c r="K244" s="17" t="s">
        <v>82</v>
      </c>
      <c r="L244" s="17" t="s">
        <v>4</v>
      </c>
      <c r="M244" s="17" t="s">
        <v>1698</v>
      </c>
      <c r="N244" s="17" t="s">
        <v>429</v>
      </c>
      <c r="O244" s="17" t="s">
        <v>1982</v>
      </c>
      <c r="P244" s="17" t="s">
        <v>50</v>
      </c>
      <c r="Q244" s="17" t="s">
        <v>51</v>
      </c>
      <c r="R244" s="17" t="s">
        <v>52</v>
      </c>
      <c r="S244" s="17" t="s">
        <v>2141</v>
      </c>
      <c r="T244" s="17" t="s">
        <v>429</v>
      </c>
      <c r="U244" s="17" t="s">
        <v>2027</v>
      </c>
      <c r="V244" s="17" t="s">
        <v>70</v>
      </c>
      <c r="W244" s="17" t="s">
        <v>189</v>
      </c>
      <c r="X244" s="17" t="s">
        <v>622</v>
      </c>
      <c r="Y244" s="17" t="s">
        <v>89</v>
      </c>
      <c r="Z244" s="17">
        <v>42.484445850199997</v>
      </c>
      <c r="AA244" s="17">
        <v>-94.207234147500003</v>
      </c>
      <c r="AB244" s="17" t="s">
        <v>1108</v>
      </c>
      <c r="AC244" s="17">
        <v>26</v>
      </c>
      <c r="AD244" s="17">
        <v>2.2126430814860211E-4</v>
      </c>
      <c r="AE244" s="17">
        <f t="shared" si="3"/>
        <v>2016</v>
      </c>
    </row>
    <row r="245" spans="1:31" x14ac:dyDescent="0.25">
      <c r="A245" s="17">
        <v>244</v>
      </c>
      <c r="B245" s="17" t="s">
        <v>2142</v>
      </c>
      <c r="C245" s="17" t="s">
        <v>2142</v>
      </c>
      <c r="D245" s="17" t="s">
        <v>2143</v>
      </c>
      <c r="E245" s="17" t="s">
        <v>2144</v>
      </c>
      <c r="F245" s="17" t="s">
        <v>2132</v>
      </c>
      <c r="G245" s="17" t="s">
        <v>2133</v>
      </c>
      <c r="H245" s="17" t="s">
        <v>2134</v>
      </c>
      <c r="I245" s="17" t="s">
        <v>2135</v>
      </c>
      <c r="J245" s="17" t="s">
        <v>2145</v>
      </c>
      <c r="K245" s="17" t="s">
        <v>47</v>
      </c>
      <c r="L245" s="17" t="s">
        <v>4</v>
      </c>
      <c r="M245" s="17" t="s">
        <v>1698</v>
      </c>
      <c r="N245" s="17" t="s">
        <v>429</v>
      </c>
      <c r="O245" s="17" t="s">
        <v>1982</v>
      </c>
      <c r="P245" s="17" t="s">
        <v>50</v>
      </c>
      <c r="Q245" s="17" t="s">
        <v>51</v>
      </c>
      <c r="R245" s="17" t="s">
        <v>52</v>
      </c>
      <c r="S245" s="17" t="s">
        <v>2079</v>
      </c>
      <c r="T245" s="17" t="s">
        <v>429</v>
      </c>
      <c r="U245" s="17" t="s">
        <v>2027</v>
      </c>
      <c r="V245" s="17" t="s">
        <v>70</v>
      </c>
      <c r="W245" s="17" t="s">
        <v>199</v>
      </c>
      <c r="X245" s="17" t="s">
        <v>101</v>
      </c>
      <c r="Y245" s="17" t="s">
        <v>89</v>
      </c>
      <c r="Z245" s="17">
        <v>42.484445850199997</v>
      </c>
      <c r="AA245" s="17">
        <v>-94.207234147500003</v>
      </c>
      <c r="AB245" s="17" t="s">
        <v>1108</v>
      </c>
      <c r="AC245" s="17">
        <v>26</v>
      </c>
      <c r="AD245" s="17">
        <v>2.2126430814860211E-4</v>
      </c>
      <c r="AE245" s="17">
        <f t="shared" si="3"/>
        <v>2016</v>
      </c>
    </row>
    <row r="246" spans="1:31" x14ac:dyDescent="0.25">
      <c r="A246" s="17">
        <v>245</v>
      </c>
      <c r="B246" s="17" t="s">
        <v>2146</v>
      </c>
      <c r="C246" s="17" t="s">
        <v>2146</v>
      </c>
      <c r="D246" s="17" t="s">
        <v>2147</v>
      </c>
      <c r="E246" s="17" t="s">
        <v>2148</v>
      </c>
      <c r="F246" s="17" t="s">
        <v>2132</v>
      </c>
      <c r="G246" s="17" t="s">
        <v>2133</v>
      </c>
      <c r="H246" s="17" t="s">
        <v>2134</v>
      </c>
      <c r="I246" s="17" t="s">
        <v>2135</v>
      </c>
      <c r="J246" s="17" t="s">
        <v>2149</v>
      </c>
      <c r="K246" s="17" t="s">
        <v>216</v>
      </c>
      <c r="L246" s="17" t="s">
        <v>4</v>
      </c>
      <c r="M246" s="17" t="s">
        <v>1698</v>
      </c>
      <c r="N246" s="17" t="s">
        <v>429</v>
      </c>
      <c r="O246" s="17" t="s">
        <v>1982</v>
      </c>
      <c r="P246" s="17" t="s">
        <v>50</v>
      </c>
      <c r="Q246" s="17" t="s">
        <v>51</v>
      </c>
      <c r="R246" s="17" t="s">
        <v>52</v>
      </c>
      <c r="S246" s="17" t="s">
        <v>2079</v>
      </c>
      <c r="T246" s="17" t="s">
        <v>429</v>
      </c>
      <c r="U246" s="17" t="s">
        <v>2027</v>
      </c>
      <c r="V246" s="17" t="s">
        <v>70</v>
      </c>
      <c r="W246" s="17" t="s">
        <v>87</v>
      </c>
      <c r="X246" s="17" t="s">
        <v>622</v>
      </c>
      <c r="Y246" s="17" t="s">
        <v>89</v>
      </c>
      <c r="Z246" s="17">
        <v>42.484445850199997</v>
      </c>
      <c r="AA246" s="17">
        <v>-94.207234147500003</v>
      </c>
      <c r="AB246" s="17" t="s">
        <v>1108</v>
      </c>
      <c r="AC246" s="17">
        <v>26</v>
      </c>
      <c r="AD246" s="17">
        <v>2.2126430814860211E-4</v>
      </c>
      <c r="AE246" s="17">
        <f t="shared" si="3"/>
        <v>2017</v>
      </c>
    </row>
    <row r="247" spans="1:31" x14ac:dyDescent="0.25">
      <c r="A247" s="17">
        <v>246</v>
      </c>
      <c r="B247" s="17" t="s">
        <v>2150</v>
      </c>
      <c r="C247" s="17" t="s">
        <v>2150</v>
      </c>
      <c r="D247" s="17" t="s">
        <v>2151</v>
      </c>
      <c r="E247" s="17" t="s">
        <v>2152</v>
      </c>
      <c r="F247" s="17" t="s">
        <v>2132</v>
      </c>
      <c r="G247" s="17" t="s">
        <v>2133</v>
      </c>
      <c r="H247" s="17" t="s">
        <v>2153</v>
      </c>
      <c r="I247" s="17" t="s">
        <v>2094</v>
      </c>
      <c r="J247" s="17" t="s">
        <v>2154</v>
      </c>
      <c r="K247" s="17" t="s">
        <v>120</v>
      </c>
      <c r="L247" s="17" t="s">
        <v>4</v>
      </c>
      <c r="M247" s="17" t="s">
        <v>1698</v>
      </c>
      <c r="N247" s="17" t="s">
        <v>429</v>
      </c>
      <c r="O247" s="17" t="s">
        <v>1982</v>
      </c>
      <c r="P247" s="17" t="s">
        <v>50</v>
      </c>
      <c r="Q247" s="17" t="s">
        <v>51</v>
      </c>
      <c r="R247" s="17" t="s">
        <v>52</v>
      </c>
      <c r="S247" s="17" t="s">
        <v>2026</v>
      </c>
      <c r="T247" s="17" t="s">
        <v>429</v>
      </c>
      <c r="U247" s="17" t="s">
        <v>2027</v>
      </c>
      <c r="V247" s="17" t="s">
        <v>70</v>
      </c>
      <c r="W247" s="17" t="s">
        <v>446</v>
      </c>
      <c r="X247" s="17" t="s">
        <v>101</v>
      </c>
      <c r="Y247" s="17" t="s">
        <v>89</v>
      </c>
      <c r="Z247" s="17">
        <v>42.484445850199997</v>
      </c>
      <c r="AA247" s="17">
        <v>-94.207234147500003</v>
      </c>
      <c r="AB247" s="17" t="s">
        <v>1108</v>
      </c>
      <c r="AC247" s="17">
        <v>26</v>
      </c>
      <c r="AD247" s="17">
        <v>2.2126430814860211E-4</v>
      </c>
      <c r="AE247" s="17">
        <f t="shared" si="3"/>
        <v>2018</v>
      </c>
    </row>
    <row r="248" spans="1:31" x14ac:dyDescent="0.25">
      <c r="A248" s="17">
        <v>247</v>
      </c>
      <c r="B248" s="17" t="s">
        <v>2155</v>
      </c>
      <c r="C248" s="17" t="s">
        <v>2155</v>
      </c>
      <c r="D248" s="17" t="s">
        <v>2156</v>
      </c>
      <c r="E248" s="17" t="s">
        <v>2157</v>
      </c>
      <c r="F248" s="17" t="s">
        <v>2132</v>
      </c>
      <c r="G248" s="17" t="s">
        <v>2133</v>
      </c>
      <c r="H248" s="17" t="s">
        <v>2153</v>
      </c>
      <c r="I248" s="17" t="s">
        <v>2094</v>
      </c>
      <c r="J248" s="17" t="s">
        <v>2158</v>
      </c>
      <c r="K248" s="17" t="s">
        <v>216</v>
      </c>
      <c r="L248" s="17" t="s">
        <v>4</v>
      </c>
      <c r="M248" s="17"/>
      <c r="N248" s="17" t="s">
        <v>429</v>
      </c>
      <c r="O248" s="17" t="s">
        <v>1982</v>
      </c>
      <c r="P248" s="17" t="s">
        <v>50</v>
      </c>
      <c r="Q248" s="17" t="s">
        <v>51</v>
      </c>
      <c r="R248" s="17" t="s">
        <v>52</v>
      </c>
      <c r="S248" s="17" t="s">
        <v>2026</v>
      </c>
      <c r="T248" s="17" t="s">
        <v>429</v>
      </c>
      <c r="U248" s="17" t="s">
        <v>2027</v>
      </c>
      <c r="V248" s="17" t="s">
        <v>70</v>
      </c>
      <c r="W248" s="17" t="s">
        <v>1309</v>
      </c>
      <c r="X248" s="17" t="s">
        <v>2159</v>
      </c>
      <c r="Y248" s="17" t="s">
        <v>89</v>
      </c>
      <c r="Z248" s="17">
        <v>42.484445850199997</v>
      </c>
      <c r="AA248" s="17">
        <v>-94.207234147500003</v>
      </c>
      <c r="AB248" s="17" t="s">
        <v>1108</v>
      </c>
      <c r="AC248" s="17">
        <v>26</v>
      </c>
      <c r="AD248" s="17">
        <v>2.2126430814860211E-4</v>
      </c>
      <c r="AE248" s="17">
        <f t="shared" si="3"/>
        <v>2018</v>
      </c>
    </row>
    <row r="249" spans="1:31" x14ac:dyDescent="0.25">
      <c r="A249" s="17">
        <v>248</v>
      </c>
      <c r="B249" s="17" t="s">
        <v>2160</v>
      </c>
      <c r="C249" s="17" t="s">
        <v>2160</v>
      </c>
      <c r="D249" s="17" t="s">
        <v>2161</v>
      </c>
      <c r="E249" s="17" t="s">
        <v>2162</v>
      </c>
      <c r="F249" s="17" t="s">
        <v>2132</v>
      </c>
      <c r="G249" s="17" t="s">
        <v>2133</v>
      </c>
      <c r="H249" s="17" t="s">
        <v>2153</v>
      </c>
      <c r="I249" s="17" t="s">
        <v>2094</v>
      </c>
      <c r="J249" s="17" t="s">
        <v>2035</v>
      </c>
      <c r="K249" s="17" t="s">
        <v>99</v>
      </c>
      <c r="L249" s="17" t="s">
        <v>4</v>
      </c>
      <c r="M249" s="17" t="s">
        <v>1698</v>
      </c>
      <c r="N249" s="17" t="s">
        <v>429</v>
      </c>
      <c r="O249" s="17" t="s">
        <v>1982</v>
      </c>
      <c r="P249" s="17" t="s">
        <v>50</v>
      </c>
      <c r="Q249" s="17" t="s">
        <v>51</v>
      </c>
      <c r="R249" s="17" t="s">
        <v>52</v>
      </c>
      <c r="S249" s="17" t="s">
        <v>2026</v>
      </c>
      <c r="T249" s="17" t="s">
        <v>429</v>
      </c>
      <c r="U249" s="17" t="s">
        <v>2027</v>
      </c>
      <c r="V249" s="17" t="s">
        <v>56</v>
      </c>
      <c r="W249" s="17" t="s">
        <v>293</v>
      </c>
      <c r="X249" s="17" t="s">
        <v>1227</v>
      </c>
      <c r="Y249" s="17" t="s">
        <v>89</v>
      </c>
      <c r="Z249" s="17">
        <v>42.484445850199997</v>
      </c>
      <c r="AA249" s="17">
        <v>-94.207234147500003</v>
      </c>
      <c r="AB249" s="17" t="s">
        <v>1108</v>
      </c>
      <c r="AC249" s="17">
        <v>26</v>
      </c>
      <c r="AD249" s="17">
        <v>2.2126430814860211E-4</v>
      </c>
      <c r="AE249" s="17">
        <f t="shared" si="3"/>
        <v>2018</v>
      </c>
    </row>
    <row r="250" spans="1:31" x14ac:dyDescent="0.25">
      <c r="A250" s="17">
        <v>249</v>
      </c>
      <c r="B250" s="17" t="s">
        <v>2163</v>
      </c>
      <c r="C250" s="17" t="s">
        <v>2163</v>
      </c>
      <c r="D250" s="17" t="s">
        <v>2164</v>
      </c>
      <c r="E250" s="17" t="s">
        <v>2165</v>
      </c>
      <c r="F250" s="17" t="s">
        <v>2132</v>
      </c>
      <c r="G250" s="17" t="s">
        <v>2133</v>
      </c>
      <c r="H250" s="17" t="s">
        <v>2153</v>
      </c>
      <c r="I250" s="17" t="s">
        <v>2094</v>
      </c>
      <c r="J250" s="17" t="s">
        <v>2166</v>
      </c>
      <c r="K250" s="17" t="s">
        <v>82</v>
      </c>
      <c r="L250" s="17" t="s">
        <v>4</v>
      </c>
      <c r="M250" s="17" t="s">
        <v>1698</v>
      </c>
      <c r="N250" s="17" t="s">
        <v>429</v>
      </c>
      <c r="O250" s="17" t="s">
        <v>1982</v>
      </c>
      <c r="P250" s="17" t="s">
        <v>50</v>
      </c>
      <c r="Q250" s="17" t="s">
        <v>51</v>
      </c>
      <c r="R250" s="17" t="s">
        <v>52</v>
      </c>
      <c r="S250" s="17" t="s">
        <v>2026</v>
      </c>
      <c r="T250" s="17" t="s">
        <v>429</v>
      </c>
      <c r="U250" s="17" t="s">
        <v>2027</v>
      </c>
      <c r="V250" s="17" t="s">
        <v>344</v>
      </c>
      <c r="W250" s="17" t="s">
        <v>133</v>
      </c>
      <c r="X250" s="17" t="s">
        <v>2102</v>
      </c>
      <c r="Y250" s="17" t="s">
        <v>89</v>
      </c>
      <c r="Z250" s="17">
        <v>42.484445850199997</v>
      </c>
      <c r="AA250" s="17">
        <v>-94.207234147500003</v>
      </c>
      <c r="AB250" s="17" t="s">
        <v>1108</v>
      </c>
      <c r="AC250" s="17">
        <v>26</v>
      </c>
      <c r="AD250" s="17">
        <v>2.2126430814860211E-4</v>
      </c>
      <c r="AE250" s="17">
        <f t="shared" si="3"/>
        <v>2018</v>
      </c>
    </row>
    <row r="251" spans="1:31" x14ac:dyDescent="0.25">
      <c r="A251" s="17">
        <v>250</v>
      </c>
      <c r="B251" s="17" t="s">
        <v>2167</v>
      </c>
      <c r="C251" s="17" t="s">
        <v>2167</v>
      </c>
      <c r="D251" s="17" t="s">
        <v>2168</v>
      </c>
      <c r="E251" s="17" t="s">
        <v>796</v>
      </c>
      <c r="F251" s="17" t="s">
        <v>2132</v>
      </c>
      <c r="G251" s="17" t="s">
        <v>2133</v>
      </c>
      <c r="H251" s="17" t="s">
        <v>2153</v>
      </c>
      <c r="I251" s="17" t="s">
        <v>2094</v>
      </c>
      <c r="J251" s="17" t="s">
        <v>2169</v>
      </c>
      <c r="K251" s="17" t="s">
        <v>120</v>
      </c>
      <c r="L251" s="17" t="s">
        <v>4</v>
      </c>
      <c r="M251" s="17" t="s">
        <v>1698</v>
      </c>
      <c r="N251" s="17" t="s">
        <v>429</v>
      </c>
      <c r="O251" s="17" t="s">
        <v>1982</v>
      </c>
      <c r="P251" s="17" t="s">
        <v>50</v>
      </c>
      <c r="Q251" s="17" t="s">
        <v>51</v>
      </c>
      <c r="R251" s="17" t="s">
        <v>52</v>
      </c>
      <c r="S251" s="17" t="s">
        <v>2026</v>
      </c>
      <c r="T251" s="17" t="s">
        <v>429</v>
      </c>
      <c r="U251" s="17" t="s">
        <v>2027</v>
      </c>
      <c r="V251" s="17" t="s">
        <v>70</v>
      </c>
      <c r="W251" s="17" t="s">
        <v>2170</v>
      </c>
      <c r="X251" s="17" t="s">
        <v>2171</v>
      </c>
      <c r="Y251" s="17" t="s">
        <v>89</v>
      </c>
      <c r="Z251" s="17">
        <v>42.484445850199997</v>
      </c>
      <c r="AA251" s="17">
        <v>-94.207234147500003</v>
      </c>
      <c r="AB251" s="17" t="s">
        <v>1108</v>
      </c>
      <c r="AC251" s="17">
        <v>26</v>
      </c>
      <c r="AD251" s="17">
        <v>2.2126430814860211E-4</v>
      </c>
      <c r="AE251" s="17">
        <f t="shared" si="3"/>
        <v>2019</v>
      </c>
    </row>
    <row r="252" spans="1:31" x14ac:dyDescent="0.25">
      <c r="A252" s="17">
        <v>251</v>
      </c>
      <c r="B252" s="17" t="s">
        <v>2172</v>
      </c>
      <c r="C252" s="17" t="s">
        <v>2172</v>
      </c>
      <c r="D252" s="17" t="s">
        <v>2173</v>
      </c>
      <c r="E252" s="17" t="s">
        <v>2174</v>
      </c>
      <c r="F252" s="17" t="s">
        <v>2132</v>
      </c>
      <c r="G252" s="17" t="s">
        <v>2133</v>
      </c>
      <c r="H252" s="17" t="s">
        <v>2153</v>
      </c>
      <c r="I252" s="17" t="s">
        <v>2094</v>
      </c>
      <c r="J252" s="17" t="s">
        <v>2175</v>
      </c>
      <c r="K252" s="17" t="s">
        <v>120</v>
      </c>
      <c r="L252" s="17" t="s">
        <v>4</v>
      </c>
      <c r="M252" s="17" t="s">
        <v>1698</v>
      </c>
      <c r="N252" s="17" t="s">
        <v>429</v>
      </c>
      <c r="O252" s="17" t="s">
        <v>1982</v>
      </c>
      <c r="P252" s="17" t="s">
        <v>50</v>
      </c>
      <c r="Q252" s="17" t="s">
        <v>51</v>
      </c>
      <c r="R252" s="17" t="s">
        <v>52</v>
      </c>
      <c r="S252" s="17" t="s">
        <v>2026</v>
      </c>
      <c r="T252" s="17" t="s">
        <v>429</v>
      </c>
      <c r="U252" s="17" t="s">
        <v>2027</v>
      </c>
      <c r="V252" s="17" t="s">
        <v>56</v>
      </c>
      <c r="W252" s="17" t="s">
        <v>502</v>
      </c>
      <c r="X252" s="17" t="s">
        <v>2102</v>
      </c>
      <c r="Y252" s="17" t="s">
        <v>89</v>
      </c>
      <c r="Z252" s="17">
        <v>42.484445850199997</v>
      </c>
      <c r="AA252" s="17">
        <v>-94.207234147500003</v>
      </c>
      <c r="AB252" s="17" t="s">
        <v>1108</v>
      </c>
      <c r="AC252" s="17">
        <v>26</v>
      </c>
      <c r="AD252" s="17">
        <v>2.2126430814860211E-4</v>
      </c>
      <c r="AE252" s="17">
        <f t="shared" si="3"/>
        <v>2019</v>
      </c>
    </row>
    <row r="253" spans="1:31" x14ac:dyDescent="0.25">
      <c r="A253" s="17">
        <v>252</v>
      </c>
      <c r="B253" s="17" t="s">
        <v>2176</v>
      </c>
      <c r="C253" s="17" t="s">
        <v>2176</v>
      </c>
      <c r="D253" s="17" t="s">
        <v>2177</v>
      </c>
      <c r="E253" s="17" t="s">
        <v>2178</v>
      </c>
      <c r="F253" s="17" t="s">
        <v>2132</v>
      </c>
      <c r="G253" s="17" t="s">
        <v>2133</v>
      </c>
      <c r="H253" s="17" t="s">
        <v>2153</v>
      </c>
      <c r="I253" s="17" t="s">
        <v>2094</v>
      </c>
      <c r="J253" s="17" t="s">
        <v>1353</v>
      </c>
      <c r="K253" s="17" t="s">
        <v>216</v>
      </c>
      <c r="L253" s="17" t="s">
        <v>4</v>
      </c>
      <c r="M253" s="17" t="s">
        <v>1698</v>
      </c>
      <c r="N253" s="17" t="s">
        <v>429</v>
      </c>
      <c r="O253" s="17" t="s">
        <v>1982</v>
      </c>
      <c r="P253" s="17" t="s">
        <v>50</v>
      </c>
      <c r="Q253" s="17" t="s">
        <v>51</v>
      </c>
      <c r="R253" s="17" t="s">
        <v>52</v>
      </c>
      <c r="S253" s="17" t="s">
        <v>2026</v>
      </c>
      <c r="T253" s="17" t="s">
        <v>429</v>
      </c>
      <c r="U253" s="17" t="s">
        <v>2027</v>
      </c>
      <c r="V253" s="17" t="s">
        <v>56</v>
      </c>
      <c r="W253" s="17" t="s">
        <v>652</v>
      </c>
      <c r="X253" s="17" t="s">
        <v>59</v>
      </c>
      <c r="Y253" s="17" t="s">
        <v>89</v>
      </c>
      <c r="Z253" s="17">
        <v>42.484445850199997</v>
      </c>
      <c r="AA253" s="17">
        <v>-94.207234147500003</v>
      </c>
      <c r="AB253" s="17" t="s">
        <v>1108</v>
      </c>
      <c r="AC253" s="17">
        <v>26</v>
      </c>
      <c r="AD253" s="17">
        <v>2.2126430814860211E-4</v>
      </c>
      <c r="AE253" s="17">
        <f t="shared" si="3"/>
        <v>2019</v>
      </c>
    </row>
    <row r="254" spans="1:31" x14ac:dyDescent="0.25">
      <c r="A254" s="17">
        <v>253</v>
      </c>
      <c r="B254" s="17" t="s">
        <v>2179</v>
      </c>
      <c r="C254" s="17" t="s">
        <v>2179</v>
      </c>
      <c r="D254" s="17" t="s">
        <v>2180</v>
      </c>
      <c r="E254" s="17" t="s">
        <v>1736</v>
      </c>
      <c r="F254" s="17" t="s">
        <v>2132</v>
      </c>
      <c r="G254" s="17" t="s">
        <v>2133</v>
      </c>
      <c r="H254" s="17" t="s">
        <v>2153</v>
      </c>
      <c r="I254" s="17" t="s">
        <v>2094</v>
      </c>
      <c r="J254" s="17" t="s">
        <v>2181</v>
      </c>
      <c r="K254" s="17" t="s">
        <v>120</v>
      </c>
      <c r="L254" s="17" t="s">
        <v>4</v>
      </c>
      <c r="M254" s="17" t="s">
        <v>1698</v>
      </c>
      <c r="N254" s="17" t="s">
        <v>429</v>
      </c>
      <c r="O254" s="17" t="s">
        <v>1982</v>
      </c>
      <c r="P254" s="17" t="s">
        <v>50</v>
      </c>
      <c r="Q254" s="17" t="s">
        <v>51</v>
      </c>
      <c r="R254" s="17" t="s">
        <v>52</v>
      </c>
      <c r="S254" s="17" t="s">
        <v>2026</v>
      </c>
      <c r="T254" s="17" t="s">
        <v>429</v>
      </c>
      <c r="U254" s="17" t="s">
        <v>2027</v>
      </c>
      <c r="V254" s="17" t="s">
        <v>70</v>
      </c>
      <c r="W254" s="17" t="s">
        <v>293</v>
      </c>
      <c r="X254" s="17" t="s">
        <v>59</v>
      </c>
      <c r="Y254" s="17" t="s">
        <v>89</v>
      </c>
      <c r="Z254" s="17">
        <v>42.484445850199997</v>
      </c>
      <c r="AA254" s="17">
        <v>-94.207234147500003</v>
      </c>
      <c r="AB254" s="17" t="s">
        <v>1108</v>
      </c>
      <c r="AC254" s="17">
        <v>26</v>
      </c>
      <c r="AD254" s="17">
        <v>2.2126430814860211E-4</v>
      </c>
      <c r="AE254" s="17">
        <f t="shared" si="3"/>
        <v>2019</v>
      </c>
    </row>
    <row r="255" spans="1:31" x14ac:dyDescent="0.25">
      <c r="A255" s="17">
        <v>254</v>
      </c>
      <c r="B255" s="17" t="s">
        <v>2182</v>
      </c>
      <c r="C255" s="17" t="s">
        <v>2182</v>
      </c>
      <c r="D255" s="17" t="s">
        <v>2183</v>
      </c>
      <c r="E255" s="17" t="s">
        <v>2184</v>
      </c>
      <c r="F255" s="17" t="s">
        <v>2132</v>
      </c>
      <c r="G255" s="17" t="s">
        <v>2133</v>
      </c>
      <c r="H255" s="17" t="s">
        <v>2153</v>
      </c>
      <c r="I255" s="17" t="s">
        <v>2094</v>
      </c>
      <c r="J255" s="17" t="s">
        <v>1105</v>
      </c>
      <c r="K255" s="17" t="s">
        <v>69</v>
      </c>
      <c r="L255" s="17" t="s">
        <v>4</v>
      </c>
      <c r="M255" s="17" t="s">
        <v>1698</v>
      </c>
      <c r="N255" s="17" t="s">
        <v>429</v>
      </c>
      <c r="O255" s="17" t="s">
        <v>1982</v>
      </c>
      <c r="P255" s="17" t="s">
        <v>50</v>
      </c>
      <c r="Q255" s="17" t="s">
        <v>51</v>
      </c>
      <c r="R255" s="17" t="s">
        <v>52</v>
      </c>
      <c r="S255" s="17" t="s">
        <v>2026</v>
      </c>
      <c r="T255" s="17" t="s">
        <v>429</v>
      </c>
      <c r="U255" s="17" t="s">
        <v>2027</v>
      </c>
      <c r="V255" s="17" t="s">
        <v>70</v>
      </c>
      <c r="W255" s="17" t="s">
        <v>100</v>
      </c>
      <c r="X255" s="17" t="s">
        <v>2185</v>
      </c>
      <c r="Y255" s="17" t="s">
        <v>89</v>
      </c>
      <c r="Z255" s="17">
        <v>42.484445850199997</v>
      </c>
      <c r="AA255" s="17">
        <v>-94.207234147500003</v>
      </c>
      <c r="AB255" s="17" t="s">
        <v>1108</v>
      </c>
      <c r="AC255" s="17">
        <v>26</v>
      </c>
      <c r="AD255" s="17">
        <v>2.2126430814860211E-4</v>
      </c>
      <c r="AE255" s="17">
        <f t="shared" si="3"/>
        <v>2020</v>
      </c>
    </row>
    <row r="256" spans="1:31" x14ac:dyDescent="0.25">
      <c r="A256" s="17">
        <v>255</v>
      </c>
      <c r="B256" s="17" t="s">
        <v>2186</v>
      </c>
      <c r="C256" s="17" t="s">
        <v>2186</v>
      </c>
      <c r="D256" s="17" t="s">
        <v>2187</v>
      </c>
      <c r="E256" s="17" t="s">
        <v>1866</v>
      </c>
      <c r="F256" s="17" t="s">
        <v>2132</v>
      </c>
      <c r="G256" s="17" t="s">
        <v>2133</v>
      </c>
      <c r="H256" s="17" t="s">
        <v>2153</v>
      </c>
      <c r="I256" s="17" t="s">
        <v>2094</v>
      </c>
      <c r="J256" s="17" t="s">
        <v>2145</v>
      </c>
      <c r="K256" s="17" t="s">
        <v>259</v>
      </c>
      <c r="L256" s="17" t="s">
        <v>4</v>
      </c>
      <c r="M256" s="17" t="s">
        <v>1698</v>
      </c>
      <c r="N256" s="17" t="s">
        <v>429</v>
      </c>
      <c r="O256" s="17" t="s">
        <v>1982</v>
      </c>
      <c r="P256" s="17" t="s">
        <v>50</v>
      </c>
      <c r="Q256" s="17" t="s">
        <v>51</v>
      </c>
      <c r="R256" s="17" t="s">
        <v>52</v>
      </c>
      <c r="S256" s="17" t="s">
        <v>2026</v>
      </c>
      <c r="T256" s="17" t="s">
        <v>429</v>
      </c>
      <c r="U256" s="17" t="s">
        <v>2027</v>
      </c>
      <c r="V256" s="17" t="s">
        <v>70</v>
      </c>
      <c r="W256" s="17" t="s">
        <v>87</v>
      </c>
      <c r="X256" s="17" t="s">
        <v>2185</v>
      </c>
      <c r="Y256" s="17" t="s">
        <v>89</v>
      </c>
      <c r="Z256" s="17">
        <v>42.484445850199997</v>
      </c>
      <c r="AA256" s="17">
        <v>-94.207234147500003</v>
      </c>
      <c r="AB256" s="17" t="s">
        <v>1108</v>
      </c>
      <c r="AC256" s="17">
        <v>26</v>
      </c>
      <c r="AD256" s="17">
        <v>2.2126430814860211E-4</v>
      </c>
      <c r="AE256" s="17">
        <f t="shared" si="3"/>
        <v>2020</v>
      </c>
    </row>
    <row r="257" spans="1:31" x14ac:dyDescent="0.25">
      <c r="A257" s="17">
        <v>256</v>
      </c>
      <c r="B257" s="17" t="s">
        <v>2188</v>
      </c>
      <c r="C257" s="17" t="s">
        <v>2188</v>
      </c>
      <c r="D257" s="17" t="s">
        <v>2189</v>
      </c>
      <c r="E257" s="17" t="s">
        <v>2190</v>
      </c>
      <c r="F257" s="17" t="s">
        <v>2191</v>
      </c>
      <c r="G257" s="17" t="s">
        <v>2192</v>
      </c>
      <c r="H257" s="17" t="s">
        <v>2193</v>
      </c>
      <c r="I257" s="17" t="s">
        <v>2194</v>
      </c>
      <c r="J257" s="17" t="s">
        <v>2195</v>
      </c>
      <c r="K257" s="17" t="s">
        <v>120</v>
      </c>
      <c r="L257" s="17" t="s">
        <v>4</v>
      </c>
      <c r="M257" s="17" t="s">
        <v>1698</v>
      </c>
      <c r="N257" s="17" t="s">
        <v>429</v>
      </c>
      <c r="O257" s="17" t="s">
        <v>1982</v>
      </c>
      <c r="P257" s="17" t="s">
        <v>50</v>
      </c>
      <c r="Q257" s="17" t="s">
        <v>51</v>
      </c>
      <c r="R257" s="17" t="s">
        <v>52</v>
      </c>
      <c r="S257" s="17" t="s">
        <v>2063</v>
      </c>
      <c r="T257" s="17" t="s">
        <v>429</v>
      </c>
      <c r="U257" s="17" t="s">
        <v>2027</v>
      </c>
      <c r="V257" s="17" t="s">
        <v>70</v>
      </c>
      <c r="W257" s="17" t="s">
        <v>2196</v>
      </c>
      <c r="X257" s="17" t="s">
        <v>434</v>
      </c>
      <c r="Y257" s="17" t="s">
        <v>89</v>
      </c>
      <c r="Z257" s="17">
        <v>42.484455367999999</v>
      </c>
      <c r="AA257" s="17">
        <v>-94.207185661699995</v>
      </c>
      <c r="AB257" s="17" t="s">
        <v>1108</v>
      </c>
      <c r="AC257" s="17">
        <v>26</v>
      </c>
      <c r="AD257" s="17">
        <v>2.6873839626227909E-4</v>
      </c>
      <c r="AE257" s="17">
        <f t="shared" si="3"/>
        <v>2015</v>
      </c>
    </row>
    <row r="258" spans="1:31" x14ac:dyDescent="0.25">
      <c r="A258" s="17">
        <v>257</v>
      </c>
      <c r="B258" s="17" t="s">
        <v>2197</v>
      </c>
      <c r="C258" s="17" t="s">
        <v>2197</v>
      </c>
      <c r="D258" s="17" t="s">
        <v>2198</v>
      </c>
      <c r="E258" s="17" t="s">
        <v>1967</v>
      </c>
      <c r="F258" s="17" t="s">
        <v>2199</v>
      </c>
      <c r="G258" s="17" t="s">
        <v>2200</v>
      </c>
      <c r="H258" s="17" t="s">
        <v>2201</v>
      </c>
      <c r="I258" s="17" t="s">
        <v>2202</v>
      </c>
      <c r="J258" s="17" t="s">
        <v>2203</v>
      </c>
      <c r="K258" s="17" t="s">
        <v>82</v>
      </c>
      <c r="L258" s="17" t="s">
        <v>4</v>
      </c>
      <c r="M258" s="17" t="s">
        <v>1698</v>
      </c>
      <c r="N258" s="17" t="s">
        <v>48</v>
      </c>
      <c r="O258" s="17" t="s">
        <v>2025</v>
      </c>
      <c r="P258" s="17" t="s">
        <v>50</v>
      </c>
      <c r="Q258" s="17" t="s">
        <v>51</v>
      </c>
      <c r="R258" s="17" t="s">
        <v>52</v>
      </c>
      <c r="S258" s="17" t="s">
        <v>2204</v>
      </c>
      <c r="T258" s="17" t="s">
        <v>86</v>
      </c>
      <c r="U258" s="17" t="s">
        <v>55</v>
      </c>
      <c r="V258" s="17" t="s">
        <v>56</v>
      </c>
      <c r="W258" s="17" t="s">
        <v>49</v>
      </c>
      <c r="X258" s="17" t="s">
        <v>134</v>
      </c>
      <c r="Y258" s="17" t="s">
        <v>2205</v>
      </c>
      <c r="Z258" s="17">
        <v>42.484466292599997</v>
      </c>
      <c r="AA258" s="17">
        <v>-94.207003363599995</v>
      </c>
      <c r="AB258" s="17" t="s">
        <v>1108</v>
      </c>
      <c r="AC258" s="17">
        <v>26</v>
      </c>
      <c r="AD258" s="17">
        <v>4.4320030247598099E-4</v>
      </c>
      <c r="AE258" s="17">
        <f t="shared" si="3"/>
        <v>2022</v>
      </c>
    </row>
    <row r="259" spans="1:31" x14ac:dyDescent="0.25">
      <c r="A259" s="17">
        <v>258</v>
      </c>
      <c r="B259" s="17" t="s">
        <v>2206</v>
      </c>
      <c r="C259" s="17" t="s">
        <v>2206</v>
      </c>
      <c r="D259" s="17" t="s">
        <v>2207</v>
      </c>
      <c r="E259" s="17" t="s">
        <v>2208</v>
      </c>
      <c r="F259" s="17" t="s">
        <v>2209</v>
      </c>
      <c r="G259" s="17" t="s">
        <v>2210</v>
      </c>
      <c r="H259" s="17" t="s">
        <v>2211</v>
      </c>
      <c r="I259" s="17" t="s">
        <v>2212</v>
      </c>
      <c r="J259" s="17" t="s">
        <v>2213</v>
      </c>
      <c r="K259" s="17" t="s">
        <v>216</v>
      </c>
      <c r="L259" s="17" t="s">
        <v>4</v>
      </c>
      <c r="M259" s="17" t="s">
        <v>1698</v>
      </c>
      <c r="N259" s="17" t="s">
        <v>48</v>
      </c>
      <c r="O259" s="17" t="s">
        <v>2025</v>
      </c>
      <c r="P259" s="17" t="s">
        <v>431</v>
      </c>
      <c r="Q259" s="17" t="s">
        <v>51</v>
      </c>
      <c r="R259" s="17" t="s">
        <v>52</v>
      </c>
      <c r="S259" s="17" t="s">
        <v>2214</v>
      </c>
      <c r="T259" s="17" t="s">
        <v>86</v>
      </c>
      <c r="U259" s="17" t="s">
        <v>2027</v>
      </c>
      <c r="V259" s="17" t="s">
        <v>70</v>
      </c>
      <c r="W259" s="17" t="s">
        <v>632</v>
      </c>
      <c r="X259" s="17" t="s">
        <v>2102</v>
      </c>
      <c r="Y259" s="17" t="s">
        <v>89</v>
      </c>
      <c r="Z259" s="17">
        <v>42.484472733799997</v>
      </c>
      <c r="AA259" s="17">
        <v>-94.207246831700004</v>
      </c>
      <c r="AB259" s="17" t="s">
        <v>1108</v>
      </c>
      <c r="AC259" s="17">
        <v>26</v>
      </c>
      <c r="AD259" s="17">
        <v>2.2510970755785459E-4</v>
      </c>
      <c r="AE259" s="17">
        <f t="shared" ref="AE259:AE322" si="4">INT(LEFT(B259,4))</f>
        <v>2017</v>
      </c>
    </row>
    <row r="260" spans="1:31" x14ac:dyDescent="0.25">
      <c r="A260" s="17">
        <v>259</v>
      </c>
      <c r="B260" s="17" t="s">
        <v>2215</v>
      </c>
      <c r="C260" s="17" t="s">
        <v>2215</v>
      </c>
      <c r="D260" s="17" t="s">
        <v>2216</v>
      </c>
      <c r="E260" s="17" t="s">
        <v>2217</v>
      </c>
      <c r="F260" s="17" t="s">
        <v>2218</v>
      </c>
      <c r="G260" s="17" t="s">
        <v>2219</v>
      </c>
      <c r="H260" s="17" t="s">
        <v>2220</v>
      </c>
      <c r="I260" s="17" t="s">
        <v>2221</v>
      </c>
      <c r="J260" s="17" t="s">
        <v>2222</v>
      </c>
      <c r="K260" s="17" t="s">
        <v>259</v>
      </c>
      <c r="L260" s="17" t="s">
        <v>4</v>
      </c>
      <c r="M260" s="17" t="s">
        <v>1698</v>
      </c>
      <c r="N260" s="17" t="s">
        <v>429</v>
      </c>
      <c r="O260" s="17" t="s">
        <v>1982</v>
      </c>
      <c r="P260" s="17" t="s">
        <v>50</v>
      </c>
      <c r="Q260" s="17" t="s">
        <v>51</v>
      </c>
      <c r="R260" s="17" t="s">
        <v>52</v>
      </c>
      <c r="S260" s="17" t="s">
        <v>2223</v>
      </c>
      <c r="T260" s="17" t="s">
        <v>429</v>
      </c>
      <c r="U260" s="17" t="s">
        <v>2027</v>
      </c>
      <c r="V260" s="17" t="s">
        <v>70</v>
      </c>
      <c r="W260" s="17" t="s">
        <v>2224</v>
      </c>
      <c r="X260" s="17" t="s">
        <v>2102</v>
      </c>
      <c r="Y260" s="17" t="s">
        <v>89</v>
      </c>
      <c r="Z260" s="17">
        <v>42.4844732464</v>
      </c>
      <c r="AA260" s="17">
        <v>-94.207198172700004</v>
      </c>
      <c r="AB260" s="17" t="s">
        <v>1108</v>
      </c>
      <c r="AC260" s="17">
        <v>26</v>
      </c>
      <c r="AD260" s="17">
        <v>2.6607944095337972E-4</v>
      </c>
      <c r="AE260" s="17">
        <f t="shared" si="4"/>
        <v>2016</v>
      </c>
    </row>
    <row r="261" spans="1:31" x14ac:dyDescent="0.25">
      <c r="A261" s="17">
        <v>260</v>
      </c>
      <c r="B261" s="17" t="s">
        <v>2225</v>
      </c>
      <c r="C261" s="17" t="s">
        <v>2225</v>
      </c>
      <c r="D261" s="17" t="s">
        <v>2226</v>
      </c>
      <c r="E261" s="17" t="s">
        <v>2227</v>
      </c>
      <c r="F261" s="17" t="s">
        <v>2228</v>
      </c>
      <c r="G261" s="17" t="s">
        <v>2229</v>
      </c>
      <c r="H261" s="17" t="s">
        <v>2230</v>
      </c>
      <c r="I261" s="17" t="s">
        <v>2231</v>
      </c>
      <c r="J261" s="17" t="s">
        <v>2232</v>
      </c>
      <c r="K261" s="17" t="s">
        <v>47</v>
      </c>
      <c r="L261" s="17" t="s">
        <v>4</v>
      </c>
      <c r="M261" s="17" t="s">
        <v>1698</v>
      </c>
      <c r="N261" s="17" t="s">
        <v>429</v>
      </c>
      <c r="O261" s="17" t="s">
        <v>1982</v>
      </c>
      <c r="P261" s="17" t="s">
        <v>50</v>
      </c>
      <c r="Q261" s="17" t="s">
        <v>51</v>
      </c>
      <c r="R261" s="17" t="s">
        <v>52</v>
      </c>
      <c r="S261" s="17" t="s">
        <v>2233</v>
      </c>
      <c r="T261" s="17" t="s">
        <v>429</v>
      </c>
      <c r="U261" s="17" t="s">
        <v>55</v>
      </c>
      <c r="V261" s="17" t="s">
        <v>70</v>
      </c>
      <c r="W261" s="17" t="s">
        <v>293</v>
      </c>
      <c r="X261" s="17" t="s">
        <v>2159</v>
      </c>
      <c r="Y261" s="17" t="s">
        <v>89</v>
      </c>
      <c r="Z261" s="17">
        <v>42.484482506600003</v>
      </c>
      <c r="AA261" s="17">
        <v>-94.207174016300002</v>
      </c>
      <c r="AB261" s="17" t="s">
        <v>1108</v>
      </c>
      <c r="AC261" s="17">
        <v>26</v>
      </c>
      <c r="AD261" s="17">
        <v>2.9163825390863331E-4</v>
      </c>
      <c r="AE261" s="17">
        <f t="shared" si="4"/>
        <v>2021</v>
      </c>
    </row>
    <row r="262" spans="1:31" x14ac:dyDescent="0.25">
      <c r="A262" s="17">
        <v>261</v>
      </c>
      <c r="B262" s="17" t="s">
        <v>2234</v>
      </c>
      <c r="C262" s="17" t="s">
        <v>2234</v>
      </c>
      <c r="D262" s="17" t="s">
        <v>2235</v>
      </c>
      <c r="E262" s="17" t="s">
        <v>2236</v>
      </c>
      <c r="F262" s="17" t="s">
        <v>2237</v>
      </c>
      <c r="G262" s="17" t="s">
        <v>2238</v>
      </c>
      <c r="H262" s="17" t="s">
        <v>2239</v>
      </c>
      <c r="I262" s="17" t="s">
        <v>2240</v>
      </c>
      <c r="J262" s="17" t="s">
        <v>1775</v>
      </c>
      <c r="K262" s="17" t="s">
        <v>47</v>
      </c>
      <c r="L262" s="17" t="s">
        <v>4</v>
      </c>
      <c r="M262" s="17" t="s">
        <v>1698</v>
      </c>
      <c r="N262" s="17" t="s">
        <v>429</v>
      </c>
      <c r="O262" s="17" t="s">
        <v>1982</v>
      </c>
      <c r="P262" s="17" t="s">
        <v>50</v>
      </c>
      <c r="Q262" s="17" t="s">
        <v>51</v>
      </c>
      <c r="R262" s="17" t="s">
        <v>52</v>
      </c>
      <c r="S262" s="17" t="s">
        <v>2241</v>
      </c>
      <c r="T262" s="17" t="s">
        <v>429</v>
      </c>
      <c r="U262" s="17" t="s">
        <v>55</v>
      </c>
      <c r="V262" s="17" t="s">
        <v>70</v>
      </c>
      <c r="W262" s="17" t="s">
        <v>999</v>
      </c>
      <c r="X262" s="17" t="s">
        <v>434</v>
      </c>
      <c r="Y262" s="17" t="s">
        <v>89</v>
      </c>
      <c r="Z262" s="17">
        <v>42.484509902699997</v>
      </c>
      <c r="AA262" s="17">
        <v>-94.207138041500002</v>
      </c>
      <c r="AB262" s="17" t="s">
        <v>1108</v>
      </c>
      <c r="AC262" s="17">
        <v>26</v>
      </c>
      <c r="AD262" s="17">
        <v>3.3649351828948088E-4</v>
      </c>
      <c r="AE262" s="17">
        <f t="shared" si="4"/>
        <v>2020</v>
      </c>
    </row>
    <row r="263" spans="1:31" x14ac:dyDescent="0.25">
      <c r="A263" s="17">
        <v>262</v>
      </c>
      <c r="B263" s="17" t="s">
        <v>2242</v>
      </c>
      <c r="C263" s="17" t="s">
        <v>2243</v>
      </c>
      <c r="D263" s="17" t="s">
        <v>2244</v>
      </c>
      <c r="E263" s="17" t="s">
        <v>2245</v>
      </c>
      <c r="F263" s="17" t="s">
        <v>2246</v>
      </c>
      <c r="G263" s="17" t="s">
        <v>2247</v>
      </c>
      <c r="H263" s="17" t="s">
        <v>2248</v>
      </c>
      <c r="I263" s="17" t="s">
        <v>2249</v>
      </c>
      <c r="J263" s="17" t="s">
        <v>2250</v>
      </c>
      <c r="K263" s="17" t="s">
        <v>69</v>
      </c>
      <c r="L263" s="17" t="s">
        <v>4</v>
      </c>
      <c r="M263" s="17" t="s">
        <v>1698</v>
      </c>
      <c r="N263" s="17" t="s">
        <v>48</v>
      </c>
      <c r="O263" s="17" t="s">
        <v>146</v>
      </c>
      <c r="P263" s="17" t="s">
        <v>147</v>
      </c>
      <c r="Q263" s="17" t="s">
        <v>51</v>
      </c>
      <c r="R263" s="17" t="s">
        <v>52</v>
      </c>
      <c r="S263" s="17" t="s">
        <v>2233</v>
      </c>
      <c r="T263" s="17" t="s">
        <v>86</v>
      </c>
      <c r="U263" s="17" t="s">
        <v>55</v>
      </c>
      <c r="V263" s="17" t="s">
        <v>70</v>
      </c>
      <c r="W263" s="17" t="s">
        <v>57</v>
      </c>
      <c r="X263" s="17" t="s">
        <v>1227</v>
      </c>
      <c r="Y263" s="17" t="s">
        <v>89</v>
      </c>
      <c r="Z263" s="17">
        <v>42.484518779699997</v>
      </c>
      <c r="AA263" s="17">
        <v>-94.207150379400005</v>
      </c>
      <c r="AB263" s="17" t="s">
        <v>1108</v>
      </c>
      <c r="AC263" s="17">
        <v>26</v>
      </c>
      <c r="AD263" s="17">
        <v>3.30669820619802E-4</v>
      </c>
      <c r="AE263" s="17">
        <f t="shared" si="4"/>
        <v>2014</v>
      </c>
    </row>
    <row r="264" spans="1:31" x14ac:dyDescent="0.25">
      <c r="A264" s="17">
        <v>263</v>
      </c>
      <c r="B264" s="17" t="s">
        <v>2251</v>
      </c>
      <c r="C264" s="17" t="s">
        <v>2251</v>
      </c>
      <c r="D264" s="17" t="s">
        <v>2252</v>
      </c>
      <c r="E264" s="17" t="s">
        <v>2253</v>
      </c>
      <c r="F264" s="17" t="s">
        <v>2254</v>
      </c>
      <c r="G264" s="17" t="s">
        <v>2255</v>
      </c>
      <c r="H264" s="17" t="s">
        <v>2256</v>
      </c>
      <c r="I264" s="17" t="s">
        <v>2257</v>
      </c>
      <c r="J264" s="17" t="s">
        <v>2136</v>
      </c>
      <c r="K264" s="17" t="s">
        <v>99</v>
      </c>
      <c r="L264" s="17" t="s">
        <v>4</v>
      </c>
      <c r="M264" s="17" t="s">
        <v>1698</v>
      </c>
      <c r="N264" s="17" t="s">
        <v>429</v>
      </c>
      <c r="O264" s="17" t="s">
        <v>1982</v>
      </c>
      <c r="P264" s="17" t="s">
        <v>50</v>
      </c>
      <c r="Q264" s="17" t="s">
        <v>51</v>
      </c>
      <c r="R264" s="17" t="s">
        <v>52</v>
      </c>
      <c r="S264" s="17" t="s">
        <v>2233</v>
      </c>
      <c r="T264" s="17" t="s">
        <v>429</v>
      </c>
      <c r="U264" s="17" t="s">
        <v>55</v>
      </c>
      <c r="V264" s="17" t="s">
        <v>70</v>
      </c>
      <c r="W264" s="17" t="s">
        <v>2258</v>
      </c>
      <c r="X264" s="17" t="s">
        <v>570</v>
      </c>
      <c r="Y264" s="17" t="s">
        <v>89</v>
      </c>
      <c r="Z264" s="17">
        <v>42.484519290999998</v>
      </c>
      <c r="AA264" s="17">
        <v>-94.207101720300003</v>
      </c>
      <c r="AB264" s="17" t="s">
        <v>1108</v>
      </c>
      <c r="AC264" s="17">
        <v>26</v>
      </c>
      <c r="AD264" s="17">
        <v>3.7269266455802801E-4</v>
      </c>
      <c r="AE264" s="17">
        <f t="shared" si="4"/>
        <v>2019</v>
      </c>
    </row>
    <row r="265" spans="1:31" x14ac:dyDescent="0.25">
      <c r="A265" s="17">
        <v>264</v>
      </c>
      <c r="B265" s="17" t="s">
        <v>2259</v>
      </c>
      <c r="C265" s="17" t="s">
        <v>2259</v>
      </c>
      <c r="D265" s="17" t="s">
        <v>2260</v>
      </c>
      <c r="E265" s="17" t="s">
        <v>2261</v>
      </c>
      <c r="F265" s="17" t="s">
        <v>2262</v>
      </c>
      <c r="G265" s="17" t="s">
        <v>2263</v>
      </c>
      <c r="H265" s="17" t="s">
        <v>2264</v>
      </c>
      <c r="I265" s="17" t="s">
        <v>2265</v>
      </c>
      <c r="J265" s="17" t="s">
        <v>2266</v>
      </c>
      <c r="K265" s="17" t="s">
        <v>82</v>
      </c>
      <c r="L265" s="17" t="s">
        <v>4</v>
      </c>
      <c r="M265" s="17" t="s">
        <v>1698</v>
      </c>
      <c r="N265" s="17" t="s">
        <v>429</v>
      </c>
      <c r="O265" s="17" t="s">
        <v>1982</v>
      </c>
      <c r="P265" s="17" t="s">
        <v>50</v>
      </c>
      <c r="Q265" s="17" t="s">
        <v>51</v>
      </c>
      <c r="R265" s="17" t="s">
        <v>52</v>
      </c>
      <c r="S265" s="17" t="s">
        <v>2233</v>
      </c>
      <c r="T265" s="17" t="s">
        <v>429</v>
      </c>
      <c r="U265" s="17" t="s">
        <v>55</v>
      </c>
      <c r="V265" s="17" t="s">
        <v>70</v>
      </c>
      <c r="W265" s="17" t="s">
        <v>149</v>
      </c>
      <c r="X265" s="17" t="s">
        <v>59</v>
      </c>
      <c r="Y265" s="17" t="s">
        <v>89</v>
      </c>
      <c r="Z265" s="17">
        <v>42.484537426899998</v>
      </c>
      <c r="AA265" s="17">
        <v>-94.207089901800003</v>
      </c>
      <c r="AB265" s="17" t="s">
        <v>1108</v>
      </c>
      <c r="AC265" s="17">
        <v>26</v>
      </c>
      <c r="AD265" s="17">
        <v>3.919421288700611E-4</v>
      </c>
      <c r="AE265" s="17">
        <f t="shared" si="4"/>
        <v>2020</v>
      </c>
    </row>
    <row r="266" spans="1:31" x14ac:dyDescent="0.25">
      <c r="A266" s="17">
        <v>265</v>
      </c>
      <c r="B266" s="17" t="s">
        <v>2267</v>
      </c>
      <c r="C266" s="17" t="s">
        <v>2267</v>
      </c>
      <c r="D266" s="17" t="s">
        <v>2268</v>
      </c>
      <c r="E266" s="17" t="s">
        <v>2269</v>
      </c>
      <c r="F266" s="17" t="s">
        <v>2270</v>
      </c>
      <c r="G266" s="17" t="s">
        <v>2271</v>
      </c>
      <c r="H266" s="17" t="s">
        <v>2272</v>
      </c>
      <c r="I266" s="17" t="s">
        <v>2273</v>
      </c>
      <c r="J266" s="17" t="s">
        <v>439</v>
      </c>
      <c r="K266" s="17" t="s">
        <v>120</v>
      </c>
      <c r="L266" s="17" t="s">
        <v>4</v>
      </c>
      <c r="M266" s="17" t="s">
        <v>1698</v>
      </c>
      <c r="N266" s="17" t="s">
        <v>429</v>
      </c>
      <c r="O266" s="17" t="s">
        <v>1982</v>
      </c>
      <c r="P266" s="17" t="s">
        <v>50</v>
      </c>
      <c r="Q266" s="17" t="s">
        <v>51</v>
      </c>
      <c r="R266" s="17" t="s">
        <v>52</v>
      </c>
      <c r="S266" s="17" t="s">
        <v>2233</v>
      </c>
      <c r="T266" s="17" t="s">
        <v>429</v>
      </c>
      <c r="U266" s="17" t="s">
        <v>55</v>
      </c>
      <c r="V266" s="17" t="s">
        <v>70</v>
      </c>
      <c r="W266" s="17" t="s">
        <v>1880</v>
      </c>
      <c r="X266" s="17" t="s">
        <v>58</v>
      </c>
      <c r="Y266" s="17" t="s">
        <v>89</v>
      </c>
      <c r="Z266" s="17">
        <v>42.484546559000002</v>
      </c>
      <c r="AA266" s="17">
        <v>-94.207077910099997</v>
      </c>
      <c r="AB266" s="17" t="s">
        <v>1108</v>
      </c>
      <c r="AC266" s="17">
        <v>26</v>
      </c>
      <c r="AD266" s="17">
        <v>4.0691121530808802E-4</v>
      </c>
      <c r="AE266" s="17">
        <f t="shared" si="4"/>
        <v>2019</v>
      </c>
    </row>
    <row r="267" spans="1:31" x14ac:dyDescent="0.25">
      <c r="A267" s="17">
        <v>266</v>
      </c>
      <c r="B267" s="17" t="s">
        <v>2274</v>
      </c>
      <c r="C267" s="17" t="s">
        <v>2274</v>
      </c>
      <c r="D267" s="17" t="s">
        <v>2275</v>
      </c>
      <c r="E267" s="17" t="s">
        <v>2276</v>
      </c>
      <c r="F267" s="17" t="s">
        <v>2277</v>
      </c>
      <c r="G267" s="17" t="s">
        <v>2278</v>
      </c>
      <c r="H267" s="17" t="s">
        <v>2279</v>
      </c>
      <c r="I267" s="17" t="s">
        <v>2280</v>
      </c>
      <c r="J267" s="17" t="s">
        <v>2281</v>
      </c>
      <c r="K267" s="17" t="s">
        <v>69</v>
      </c>
      <c r="L267" s="17" t="s">
        <v>4</v>
      </c>
      <c r="M267" s="17" t="s">
        <v>1698</v>
      </c>
      <c r="N267" s="17" t="s">
        <v>48</v>
      </c>
      <c r="O267" s="17" t="s">
        <v>2025</v>
      </c>
      <c r="P267" s="17" t="s">
        <v>431</v>
      </c>
      <c r="Q267" s="17" t="s">
        <v>51</v>
      </c>
      <c r="R267" s="17" t="s">
        <v>52</v>
      </c>
      <c r="S267" s="17" t="s">
        <v>1983</v>
      </c>
      <c r="T267" s="17" t="s">
        <v>86</v>
      </c>
      <c r="U267" s="17" t="s">
        <v>55</v>
      </c>
      <c r="V267" s="17" t="s">
        <v>70</v>
      </c>
      <c r="W267" s="17" t="s">
        <v>2282</v>
      </c>
      <c r="X267" s="17" t="s">
        <v>2159</v>
      </c>
      <c r="Y267" s="17" t="s">
        <v>2283</v>
      </c>
      <c r="Z267" s="17">
        <v>42.484554409600001</v>
      </c>
      <c r="AA267" s="17">
        <v>-94.207187566100004</v>
      </c>
      <c r="AB267" s="17" t="s">
        <v>1108</v>
      </c>
      <c r="AC267" s="17">
        <v>26</v>
      </c>
      <c r="AD267" s="17">
        <v>3.2275480579020943E-4</v>
      </c>
      <c r="AE267" s="17">
        <f t="shared" si="4"/>
        <v>2016</v>
      </c>
    </row>
    <row r="268" spans="1:31" x14ac:dyDescent="0.25">
      <c r="A268" s="17">
        <v>267</v>
      </c>
      <c r="B268" s="17" t="s">
        <v>2284</v>
      </c>
      <c r="C268" s="17" t="s">
        <v>2284</v>
      </c>
      <c r="D268" s="17" t="s">
        <v>2285</v>
      </c>
      <c r="E268" s="17" t="s">
        <v>2286</v>
      </c>
      <c r="F268" s="17" t="s">
        <v>2287</v>
      </c>
      <c r="G268" s="17" t="s">
        <v>2288</v>
      </c>
      <c r="H268" s="17" t="s">
        <v>2289</v>
      </c>
      <c r="I268" s="17" t="s">
        <v>2290</v>
      </c>
      <c r="J268" s="17" t="s">
        <v>1210</v>
      </c>
      <c r="K268" s="17" t="s">
        <v>216</v>
      </c>
      <c r="L268" s="17" t="s">
        <v>4</v>
      </c>
      <c r="M268" s="17"/>
      <c r="N268" s="17" t="s">
        <v>48</v>
      </c>
      <c r="O268" s="17" t="s">
        <v>2025</v>
      </c>
      <c r="P268" s="17" t="s">
        <v>431</v>
      </c>
      <c r="Q268" s="17" t="s">
        <v>51</v>
      </c>
      <c r="R268" s="17" t="s">
        <v>52</v>
      </c>
      <c r="S268" s="17" t="s">
        <v>2291</v>
      </c>
      <c r="T268" s="17" t="s">
        <v>86</v>
      </c>
      <c r="U268" s="17" t="s">
        <v>2027</v>
      </c>
      <c r="V268" s="17" t="s">
        <v>70</v>
      </c>
      <c r="W268" s="17" t="s">
        <v>441</v>
      </c>
      <c r="X268" s="17" t="s">
        <v>702</v>
      </c>
      <c r="Y268" s="17" t="s">
        <v>1465</v>
      </c>
      <c r="Z268" s="17">
        <v>42.484608048600002</v>
      </c>
      <c r="AA268" s="17">
        <v>-94.207225099300004</v>
      </c>
      <c r="AB268" s="17" t="s">
        <v>1108</v>
      </c>
      <c r="AC268" s="17">
        <v>26</v>
      </c>
      <c r="AD268" s="17">
        <v>3.3694366932255498E-4</v>
      </c>
      <c r="AE268" s="17">
        <f t="shared" si="4"/>
        <v>2018</v>
      </c>
    </row>
    <row r="269" spans="1:31" x14ac:dyDescent="0.25">
      <c r="A269" s="17">
        <v>268</v>
      </c>
      <c r="B269" s="17" t="s">
        <v>2292</v>
      </c>
      <c r="C269" s="17" t="s">
        <v>2292</v>
      </c>
      <c r="D269" s="17" t="s">
        <v>2293</v>
      </c>
      <c r="E269" s="17" t="s">
        <v>2294</v>
      </c>
      <c r="F269" s="17" t="s">
        <v>2295</v>
      </c>
      <c r="G269" s="17" t="s">
        <v>2296</v>
      </c>
      <c r="H269" s="17" t="s">
        <v>2297</v>
      </c>
      <c r="I269" s="17" t="s">
        <v>2298</v>
      </c>
      <c r="J269" s="17" t="s">
        <v>2107</v>
      </c>
      <c r="K269" s="17" t="s">
        <v>99</v>
      </c>
      <c r="L269" s="17" t="s">
        <v>4</v>
      </c>
      <c r="M269" s="17" t="s">
        <v>1698</v>
      </c>
      <c r="N269" s="17" t="s">
        <v>48</v>
      </c>
      <c r="O269" s="17" t="s">
        <v>2299</v>
      </c>
      <c r="P269" s="17" t="s">
        <v>50</v>
      </c>
      <c r="Q269" s="17" t="s">
        <v>51</v>
      </c>
      <c r="R269" s="17" t="s">
        <v>52</v>
      </c>
      <c r="S269" s="17" t="s">
        <v>2300</v>
      </c>
      <c r="T269" s="17" t="s">
        <v>86</v>
      </c>
      <c r="U269" s="17" t="s">
        <v>55</v>
      </c>
      <c r="V269" s="17" t="s">
        <v>70</v>
      </c>
      <c r="W269" s="17" t="s">
        <v>1096</v>
      </c>
      <c r="X269" s="17" t="s">
        <v>1227</v>
      </c>
      <c r="Y269" s="17" t="s">
        <v>135</v>
      </c>
      <c r="Z269" s="17">
        <v>42.484702733699997</v>
      </c>
      <c r="AA269" s="17">
        <v>-94.207640606699997</v>
      </c>
      <c r="AB269" s="17" t="s">
        <v>1710</v>
      </c>
      <c r="AC269" s="17">
        <v>27</v>
      </c>
      <c r="AD269" s="17">
        <v>2.142111901664988E-4</v>
      </c>
      <c r="AE269" s="17">
        <f t="shared" si="4"/>
        <v>2017</v>
      </c>
    </row>
    <row r="270" spans="1:31" x14ac:dyDescent="0.25">
      <c r="A270" s="17">
        <v>269</v>
      </c>
      <c r="B270" s="17" t="s">
        <v>2301</v>
      </c>
      <c r="C270" s="17" t="s">
        <v>2301</v>
      </c>
      <c r="D270" s="17" t="s">
        <v>2302</v>
      </c>
      <c r="E270" s="17" t="s">
        <v>2303</v>
      </c>
      <c r="F270" s="17" t="s">
        <v>2304</v>
      </c>
      <c r="G270" s="17" t="s">
        <v>2305</v>
      </c>
      <c r="H270" s="17" t="s">
        <v>2306</v>
      </c>
      <c r="I270" s="17" t="s">
        <v>2307</v>
      </c>
      <c r="J270" s="17" t="s">
        <v>2308</v>
      </c>
      <c r="K270" s="17" t="s">
        <v>216</v>
      </c>
      <c r="L270" s="17" t="s">
        <v>4</v>
      </c>
      <c r="M270" s="17" t="s">
        <v>1698</v>
      </c>
      <c r="N270" s="17" t="s">
        <v>429</v>
      </c>
      <c r="O270" s="17" t="s">
        <v>1982</v>
      </c>
      <c r="P270" s="17" t="s">
        <v>431</v>
      </c>
      <c r="Q270" s="17" t="s">
        <v>51</v>
      </c>
      <c r="R270" s="17" t="s">
        <v>52</v>
      </c>
      <c r="S270" s="17" t="s">
        <v>2309</v>
      </c>
      <c r="T270" s="17" t="s">
        <v>429</v>
      </c>
      <c r="U270" s="17" t="s">
        <v>55</v>
      </c>
      <c r="V270" s="17" t="s">
        <v>70</v>
      </c>
      <c r="W270" s="17" t="s">
        <v>87</v>
      </c>
      <c r="X270" s="17" t="s">
        <v>101</v>
      </c>
      <c r="Y270" s="17" t="s">
        <v>89</v>
      </c>
      <c r="Z270" s="17">
        <v>42.484859004400001</v>
      </c>
      <c r="AA270" s="17">
        <v>-94.207339430499999</v>
      </c>
      <c r="AB270" s="17" t="s">
        <v>1710</v>
      </c>
      <c r="AC270" s="17">
        <v>27</v>
      </c>
      <c r="AD270" s="17">
        <v>4.1671763254866122E-4</v>
      </c>
      <c r="AE270" s="17">
        <f t="shared" si="4"/>
        <v>2022</v>
      </c>
    </row>
    <row r="271" spans="1:31" x14ac:dyDescent="0.25">
      <c r="A271" s="17">
        <v>270</v>
      </c>
      <c r="B271" s="17" t="s">
        <v>2310</v>
      </c>
      <c r="C271" s="17" t="s">
        <v>2310</v>
      </c>
      <c r="D271" s="17" t="s">
        <v>2311</v>
      </c>
      <c r="E271" s="17" t="s">
        <v>2312</v>
      </c>
      <c r="F271" s="17" t="s">
        <v>2313</v>
      </c>
      <c r="G271" s="17" t="s">
        <v>2314</v>
      </c>
      <c r="H271" s="17" t="s">
        <v>2315</v>
      </c>
      <c r="I271" s="17" t="s">
        <v>2316</v>
      </c>
      <c r="J271" s="17" t="s">
        <v>2317</v>
      </c>
      <c r="K271" s="17" t="s">
        <v>82</v>
      </c>
      <c r="L271" s="17" t="s">
        <v>1</v>
      </c>
      <c r="M271" s="17"/>
      <c r="N271" s="17" t="s">
        <v>48</v>
      </c>
      <c r="O271" s="17" t="s">
        <v>2318</v>
      </c>
      <c r="P271" s="17" t="s">
        <v>50</v>
      </c>
      <c r="Q271" s="17" t="s">
        <v>51</v>
      </c>
      <c r="R271" s="17" t="s">
        <v>52</v>
      </c>
      <c r="S271" s="17" t="s">
        <v>2319</v>
      </c>
      <c r="T271" s="17" t="s">
        <v>54</v>
      </c>
      <c r="U271" s="17" t="s">
        <v>55</v>
      </c>
      <c r="V271" s="17" t="s">
        <v>70</v>
      </c>
      <c r="W271" s="17" t="s">
        <v>189</v>
      </c>
      <c r="X271" s="17" t="s">
        <v>150</v>
      </c>
      <c r="Y271" s="17" t="s">
        <v>150</v>
      </c>
      <c r="Z271" s="17">
        <v>42.827817256599999</v>
      </c>
      <c r="AA271" s="17">
        <v>-91.660947503100004</v>
      </c>
      <c r="AB271" s="17" t="s">
        <v>2320</v>
      </c>
      <c r="AC271" s="17">
        <v>10</v>
      </c>
      <c r="AD271" s="17">
        <v>6.5879439885808189E-6</v>
      </c>
      <c r="AE271" s="17">
        <f t="shared" si="4"/>
        <v>2019</v>
      </c>
    </row>
    <row r="272" spans="1:31" x14ac:dyDescent="0.25">
      <c r="A272" s="17">
        <v>271</v>
      </c>
      <c r="B272" s="17" t="s">
        <v>2321</v>
      </c>
      <c r="C272" s="17" t="s">
        <v>2321</v>
      </c>
      <c r="D272" s="17" t="s">
        <v>2322</v>
      </c>
      <c r="E272" s="17" t="s">
        <v>2323</v>
      </c>
      <c r="F272" s="17" t="s">
        <v>2324</v>
      </c>
      <c r="G272" s="17" t="s">
        <v>2325</v>
      </c>
      <c r="H272" s="17" t="s">
        <v>2326</v>
      </c>
      <c r="I272" s="17" t="s">
        <v>2327</v>
      </c>
      <c r="J272" s="17" t="s">
        <v>2328</v>
      </c>
      <c r="K272" s="17" t="s">
        <v>82</v>
      </c>
      <c r="L272" s="17" t="s">
        <v>1</v>
      </c>
      <c r="M272" s="17"/>
      <c r="N272" s="17" t="s">
        <v>48</v>
      </c>
      <c r="O272" s="17" t="s">
        <v>2318</v>
      </c>
      <c r="P272" s="17" t="s">
        <v>50</v>
      </c>
      <c r="Q272" s="17" t="s">
        <v>51</v>
      </c>
      <c r="R272" s="17" t="s">
        <v>52</v>
      </c>
      <c r="S272" s="17" t="s">
        <v>2319</v>
      </c>
      <c r="T272" s="17" t="s">
        <v>54</v>
      </c>
      <c r="U272" s="17" t="s">
        <v>55</v>
      </c>
      <c r="V272" s="17" t="s">
        <v>70</v>
      </c>
      <c r="W272" s="17" t="s">
        <v>57</v>
      </c>
      <c r="X272" s="17" t="s">
        <v>310</v>
      </c>
      <c r="Y272" s="17" t="s">
        <v>2329</v>
      </c>
      <c r="Z272" s="17">
        <v>42.828813716699997</v>
      </c>
      <c r="AA272" s="17">
        <v>-91.660681300299998</v>
      </c>
      <c r="AB272" s="17" t="s">
        <v>2320</v>
      </c>
      <c r="AC272" s="17">
        <v>10</v>
      </c>
      <c r="AD272" s="17">
        <v>9.2974388908712026E-6</v>
      </c>
      <c r="AE272" s="17">
        <f t="shared" si="4"/>
        <v>2018</v>
      </c>
    </row>
    <row r="273" spans="1:31" x14ac:dyDescent="0.25">
      <c r="A273" s="17">
        <v>272</v>
      </c>
      <c r="B273" s="17" t="s">
        <v>2330</v>
      </c>
      <c r="C273" s="17" t="s">
        <v>2330</v>
      </c>
      <c r="D273" s="17" t="s">
        <v>2331</v>
      </c>
      <c r="E273" s="17" t="s">
        <v>2332</v>
      </c>
      <c r="F273" s="17" t="s">
        <v>2333</v>
      </c>
      <c r="G273" s="17" t="s">
        <v>2334</v>
      </c>
      <c r="H273" s="17" t="s">
        <v>2335</v>
      </c>
      <c r="I273" s="17" t="s">
        <v>2336</v>
      </c>
      <c r="J273" s="17" t="s">
        <v>2337</v>
      </c>
      <c r="K273" s="17" t="s">
        <v>99</v>
      </c>
      <c r="L273" s="17" t="s">
        <v>1</v>
      </c>
      <c r="M273" s="17"/>
      <c r="N273" s="17" t="s">
        <v>48</v>
      </c>
      <c r="O273" s="17" t="s">
        <v>2338</v>
      </c>
      <c r="P273" s="17" t="s">
        <v>50</v>
      </c>
      <c r="Q273" s="17" t="s">
        <v>51</v>
      </c>
      <c r="R273" s="17" t="s">
        <v>52</v>
      </c>
      <c r="S273" s="17" t="s">
        <v>2339</v>
      </c>
      <c r="T273" s="17" t="s">
        <v>86</v>
      </c>
      <c r="U273" s="17" t="s">
        <v>55</v>
      </c>
      <c r="V273" s="17" t="s">
        <v>70</v>
      </c>
      <c r="W273" s="17" t="s">
        <v>57</v>
      </c>
      <c r="X273" s="17" t="s">
        <v>124</v>
      </c>
      <c r="Y273" s="17" t="s">
        <v>179</v>
      </c>
      <c r="Z273" s="17">
        <v>42.833804918200002</v>
      </c>
      <c r="AA273" s="17">
        <v>-91.657037450499999</v>
      </c>
      <c r="AB273" s="17" t="s">
        <v>2320</v>
      </c>
      <c r="AC273" s="17">
        <v>10</v>
      </c>
      <c r="AD273" s="17">
        <v>1.4225802518818481E-5</v>
      </c>
      <c r="AE273" s="17">
        <f t="shared" si="4"/>
        <v>2022</v>
      </c>
    </row>
    <row r="274" spans="1:31" x14ac:dyDescent="0.25">
      <c r="A274" s="17">
        <v>273</v>
      </c>
      <c r="B274" s="17" t="s">
        <v>2340</v>
      </c>
      <c r="C274" s="17" t="s">
        <v>2340</v>
      </c>
      <c r="D274" s="17" t="s">
        <v>2341</v>
      </c>
      <c r="E274" s="17" t="s">
        <v>2342</v>
      </c>
      <c r="F274" s="17" t="s">
        <v>2343</v>
      </c>
      <c r="G274" s="17" t="s">
        <v>2344</v>
      </c>
      <c r="H274" s="17" t="s">
        <v>2345</v>
      </c>
      <c r="I274" s="17" t="s">
        <v>2346</v>
      </c>
      <c r="J274" s="17" t="s">
        <v>2347</v>
      </c>
      <c r="K274" s="17" t="s">
        <v>47</v>
      </c>
      <c r="L274" s="17" t="s">
        <v>1</v>
      </c>
      <c r="M274" s="17"/>
      <c r="N274" s="17" t="s">
        <v>48</v>
      </c>
      <c r="O274" s="17" t="s">
        <v>2338</v>
      </c>
      <c r="P274" s="17" t="s">
        <v>50</v>
      </c>
      <c r="Q274" s="17" t="s">
        <v>51</v>
      </c>
      <c r="R274" s="17" t="s">
        <v>52</v>
      </c>
      <c r="S274" s="17" t="s">
        <v>2339</v>
      </c>
      <c r="T274" s="17" t="s">
        <v>86</v>
      </c>
      <c r="U274" s="17" t="s">
        <v>55</v>
      </c>
      <c r="V274" s="17" t="s">
        <v>289</v>
      </c>
      <c r="W274" s="17" t="s">
        <v>87</v>
      </c>
      <c r="X274" s="17" t="s">
        <v>150</v>
      </c>
      <c r="Y274" s="17" t="s">
        <v>161</v>
      </c>
      <c r="Z274" s="17">
        <v>42.835426009400003</v>
      </c>
      <c r="AA274" s="17">
        <v>-91.657051285799994</v>
      </c>
      <c r="AB274" s="17" t="s">
        <v>2320</v>
      </c>
      <c r="AC274" s="17">
        <v>10</v>
      </c>
      <c r="AD274" s="17">
        <v>1.6605743574780441E-5</v>
      </c>
      <c r="AE274" s="17">
        <f t="shared" si="4"/>
        <v>2017</v>
      </c>
    </row>
    <row r="275" spans="1:31" x14ac:dyDescent="0.25">
      <c r="A275" s="17">
        <v>274</v>
      </c>
      <c r="B275" s="17" t="s">
        <v>2348</v>
      </c>
      <c r="C275" s="17" t="s">
        <v>2349</v>
      </c>
      <c r="D275" s="17" t="s">
        <v>2350</v>
      </c>
      <c r="E275" s="17" t="s">
        <v>2351</v>
      </c>
      <c r="F275" s="17" t="s">
        <v>2352</v>
      </c>
      <c r="G275" s="17" t="s">
        <v>2353</v>
      </c>
      <c r="H275" s="17" t="s">
        <v>2354</v>
      </c>
      <c r="I275" s="17" t="s">
        <v>2355</v>
      </c>
      <c r="J275" s="17" t="s">
        <v>2356</v>
      </c>
      <c r="K275" s="17" t="s">
        <v>216</v>
      </c>
      <c r="L275" s="17" t="s">
        <v>1</v>
      </c>
      <c r="M275" s="17" t="s">
        <v>2357</v>
      </c>
      <c r="N275" s="17" t="s">
        <v>145</v>
      </c>
      <c r="O275" s="17" t="s">
        <v>146</v>
      </c>
      <c r="P275" s="17" t="s">
        <v>147</v>
      </c>
      <c r="Q275" s="17" t="s">
        <v>51</v>
      </c>
      <c r="R275" s="17" t="s">
        <v>52</v>
      </c>
      <c r="S275" s="17" t="s">
        <v>2358</v>
      </c>
      <c r="T275" s="17" t="s">
        <v>54</v>
      </c>
      <c r="U275" s="17" t="s">
        <v>122</v>
      </c>
      <c r="V275" s="17" t="s">
        <v>70</v>
      </c>
      <c r="W275" s="17" t="s">
        <v>2118</v>
      </c>
      <c r="X275" s="17" t="s">
        <v>1227</v>
      </c>
      <c r="Y275" s="17" t="s">
        <v>1321</v>
      </c>
      <c r="Z275" s="17">
        <v>42.838450974600001</v>
      </c>
      <c r="AA275" s="17">
        <v>-91.656985768799998</v>
      </c>
      <c r="AB275" s="17" t="s">
        <v>2320</v>
      </c>
      <c r="AC275" s="17">
        <v>10</v>
      </c>
      <c r="AD275" s="17">
        <v>2.06241007424895E-6</v>
      </c>
      <c r="AE275" s="17">
        <f t="shared" si="4"/>
        <v>2013</v>
      </c>
    </row>
    <row r="276" spans="1:31" x14ac:dyDescent="0.25">
      <c r="A276" s="17">
        <v>275</v>
      </c>
      <c r="B276" s="17" t="s">
        <v>2359</v>
      </c>
      <c r="C276" s="17" t="s">
        <v>2359</v>
      </c>
      <c r="D276" s="17" t="s">
        <v>2360</v>
      </c>
      <c r="E276" s="17" t="s">
        <v>2361</v>
      </c>
      <c r="F276" s="17" t="s">
        <v>2362</v>
      </c>
      <c r="G276" s="17" t="s">
        <v>2363</v>
      </c>
      <c r="H276" s="17" t="s">
        <v>2364</v>
      </c>
      <c r="I276" s="17" t="s">
        <v>2365</v>
      </c>
      <c r="J276" s="17" t="s">
        <v>1246</v>
      </c>
      <c r="K276" s="17" t="s">
        <v>259</v>
      </c>
      <c r="L276" s="17" t="s">
        <v>1</v>
      </c>
      <c r="M276" s="17" t="s">
        <v>2357</v>
      </c>
      <c r="N276" s="17" t="s">
        <v>48</v>
      </c>
      <c r="O276" s="17" t="s">
        <v>2338</v>
      </c>
      <c r="P276" s="17" t="s">
        <v>50</v>
      </c>
      <c r="Q276" s="17" t="s">
        <v>51</v>
      </c>
      <c r="R276" s="17" t="s">
        <v>52</v>
      </c>
      <c r="S276" s="17" t="s">
        <v>2366</v>
      </c>
      <c r="T276" s="17" t="s">
        <v>86</v>
      </c>
      <c r="U276" s="17" t="s">
        <v>55</v>
      </c>
      <c r="V276" s="17" t="s">
        <v>469</v>
      </c>
      <c r="W276" s="17" t="s">
        <v>2367</v>
      </c>
      <c r="X276" s="17" t="s">
        <v>2368</v>
      </c>
      <c r="Y276" s="17" t="s">
        <v>135</v>
      </c>
      <c r="Z276" s="17">
        <v>42.839792400599997</v>
      </c>
      <c r="AA276" s="17">
        <v>-91.656956711899994</v>
      </c>
      <c r="AB276" s="17" t="s">
        <v>2320</v>
      </c>
      <c r="AC276" s="17">
        <v>10</v>
      </c>
      <c r="AD276" s="17">
        <v>6.3858954362835096E-6</v>
      </c>
      <c r="AE276" s="17">
        <f t="shared" si="4"/>
        <v>2018</v>
      </c>
    </row>
    <row r="277" spans="1:31" x14ac:dyDescent="0.25">
      <c r="A277" s="17">
        <v>276</v>
      </c>
      <c r="B277" s="17" t="s">
        <v>2369</v>
      </c>
      <c r="C277" s="17" t="s">
        <v>2369</v>
      </c>
      <c r="D277" s="17" t="s">
        <v>2370</v>
      </c>
      <c r="E277" s="17" t="s">
        <v>2371</v>
      </c>
      <c r="F277" s="17" t="s">
        <v>2372</v>
      </c>
      <c r="G277" s="17" t="s">
        <v>2373</v>
      </c>
      <c r="H277" s="17" t="s">
        <v>2374</v>
      </c>
      <c r="I277" s="17" t="s">
        <v>2375</v>
      </c>
      <c r="J277" s="17" t="s">
        <v>2376</v>
      </c>
      <c r="K277" s="17" t="s">
        <v>216</v>
      </c>
      <c r="L277" s="17" t="s">
        <v>1</v>
      </c>
      <c r="M277" s="17" t="s">
        <v>2357</v>
      </c>
      <c r="N277" s="17" t="s">
        <v>48</v>
      </c>
      <c r="O277" s="17" t="s">
        <v>2338</v>
      </c>
      <c r="P277" s="17" t="s">
        <v>50</v>
      </c>
      <c r="Q277" s="17" t="s">
        <v>51</v>
      </c>
      <c r="R277" s="17" t="s">
        <v>52</v>
      </c>
      <c r="S277" s="17" t="s">
        <v>2377</v>
      </c>
      <c r="T277" s="17" t="s">
        <v>86</v>
      </c>
      <c r="U277" s="17" t="s">
        <v>55</v>
      </c>
      <c r="V277" s="17" t="s">
        <v>70</v>
      </c>
      <c r="W277" s="17" t="s">
        <v>87</v>
      </c>
      <c r="X277" s="17" t="s">
        <v>72</v>
      </c>
      <c r="Y277" s="17" t="s">
        <v>135</v>
      </c>
      <c r="Z277" s="17">
        <v>42.840872313699997</v>
      </c>
      <c r="AA277" s="17">
        <v>-91.656896607600004</v>
      </c>
      <c r="AB277" s="17" t="s">
        <v>2378</v>
      </c>
      <c r="AC277" s="17">
        <v>11</v>
      </c>
      <c r="AD277" s="17">
        <v>9.407419304512535E-6</v>
      </c>
      <c r="AE277" s="17">
        <f t="shared" si="4"/>
        <v>2019</v>
      </c>
    </row>
    <row r="278" spans="1:31" x14ac:dyDescent="0.25">
      <c r="A278" s="17">
        <v>277</v>
      </c>
      <c r="B278" s="17" t="s">
        <v>2379</v>
      </c>
      <c r="C278" s="17" t="s">
        <v>2379</v>
      </c>
      <c r="D278" s="17" t="s">
        <v>2380</v>
      </c>
      <c r="E278" s="17" t="s">
        <v>2381</v>
      </c>
      <c r="F278" s="17" t="s">
        <v>2382</v>
      </c>
      <c r="G278" s="17" t="s">
        <v>2383</v>
      </c>
      <c r="H278" s="17" t="s">
        <v>2384</v>
      </c>
      <c r="I278" s="17" t="s">
        <v>2385</v>
      </c>
      <c r="J278" s="17" t="s">
        <v>1622</v>
      </c>
      <c r="K278" s="17" t="s">
        <v>259</v>
      </c>
      <c r="L278" s="17" t="s">
        <v>1</v>
      </c>
      <c r="M278" s="17" t="s">
        <v>2357</v>
      </c>
      <c r="N278" s="17" t="s">
        <v>48</v>
      </c>
      <c r="O278" s="17" t="s">
        <v>2386</v>
      </c>
      <c r="P278" s="17" t="s">
        <v>467</v>
      </c>
      <c r="Q278" s="17" t="s">
        <v>51</v>
      </c>
      <c r="R278" s="17" t="s">
        <v>52</v>
      </c>
      <c r="S278" s="17" t="s">
        <v>2387</v>
      </c>
      <c r="T278" s="17" t="s">
        <v>86</v>
      </c>
      <c r="U278" s="17" t="s">
        <v>55</v>
      </c>
      <c r="V278" s="17" t="s">
        <v>70</v>
      </c>
      <c r="W278" s="17" t="s">
        <v>362</v>
      </c>
      <c r="X278" s="17" t="s">
        <v>622</v>
      </c>
      <c r="Y278" s="17" t="s">
        <v>89</v>
      </c>
      <c r="Z278" s="17">
        <v>42.842900540999999</v>
      </c>
      <c r="AA278" s="17">
        <v>-91.657072937600006</v>
      </c>
      <c r="AB278" s="17" t="s">
        <v>2320</v>
      </c>
      <c r="AC278" s="17">
        <v>10</v>
      </c>
      <c r="AD278" s="17">
        <v>2.7452011934254918E-4</v>
      </c>
      <c r="AE278" s="17">
        <f t="shared" si="4"/>
        <v>2020</v>
      </c>
    </row>
    <row r="279" spans="1:31" x14ac:dyDescent="0.25">
      <c r="A279" s="17">
        <v>278</v>
      </c>
      <c r="B279" s="17" t="s">
        <v>2388</v>
      </c>
      <c r="C279" s="17" t="s">
        <v>2388</v>
      </c>
      <c r="D279" s="17" t="s">
        <v>2389</v>
      </c>
      <c r="E279" s="17" t="s">
        <v>292</v>
      </c>
      <c r="F279" s="17" t="s">
        <v>2390</v>
      </c>
      <c r="G279" s="17" t="s">
        <v>2391</v>
      </c>
      <c r="H279" s="17" t="s">
        <v>2392</v>
      </c>
      <c r="I279" s="17" t="s">
        <v>2393</v>
      </c>
      <c r="J279" s="17" t="s">
        <v>2394</v>
      </c>
      <c r="K279" s="17" t="s">
        <v>259</v>
      </c>
      <c r="L279" s="17" t="s">
        <v>1</v>
      </c>
      <c r="M279" s="17" t="s">
        <v>2357</v>
      </c>
      <c r="N279" s="17" t="s">
        <v>145</v>
      </c>
      <c r="O279" s="17" t="s">
        <v>146</v>
      </c>
      <c r="P279" s="17" t="s">
        <v>147</v>
      </c>
      <c r="Q279" s="17" t="s">
        <v>51</v>
      </c>
      <c r="R279" s="17" t="s">
        <v>52</v>
      </c>
      <c r="S279" s="17" t="s">
        <v>2395</v>
      </c>
      <c r="T279" s="17" t="s">
        <v>54</v>
      </c>
      <c r="U279" s="17" t="s">
        <v>122</v>
      </c>
      <c r="V279" s="17" t="s">
        <v>70</v>
      </c>
      <c r="W279" s="17" t="s">
        <v>293</v>
      </c>
      <c r="X279" s="17" t="s">
        <v>72</v>
      </c>
      <c r="Y279" s="17" t="s">
        <v>179</v>
      </c>
      <c r="Z279" s="17">
        <v>42.842919502800001</v>
      </c>
      <c r="AA279" s="17">
        <v>-91.654086626999998</v>
      </c>
      <c r="AB279" s="17" t="s">
        <v>2320</v>
      </c>
      <c r="AC279" s="17">
        <v>10</v>
      </c>
      <c r="AD279" s="17">
        <v>3.5320952794911281E-5</v>
      </c>
      <c r="AE279" s="17">
        <f t="shared" si="4"/>
        <v>2015</v>
      </c>
    </row>
    <row r="280" spans="1:31" x14ac:dyDescent="0.25">
      <c r="A280" s="17">
        <v>279</v>
      </c>
      <c r="B280" s="17" t="s">
        <v>2396</v>
      </c>
      <c r="C280" s="17" t="s">
        <v>2396</v>
      </c>
      <c r="D280" s="17" t="s">
        <v>2397</v>
      </c>
      <c r="E280" s="17" t="s">
        <v>2398</v>
      </c>
      <c r="F280" s="17" t="s">
        <v>2399</v>
      </c>
      <c r="G280" s="17" t="s">
        <v>2400</v>
      </c>
      <c r="H280" s="17" t="s">
        <v>2401</v>
      </c>
      <c r="I280" s="17" t="s">
        <v>2402</v>
      </c>
      <c r="J280" s="17" t="s">
        <v>988</v>
      </c>
      <c r="K280" s="17" t="s">
        <v>120</v>
      </c>
      <c r="L280" s="17" t="s">
        <v>1</v>
      </c>
      <c r="M280" s="17" t="s">
        <v>2357</v>
      </c>
      <c r="N280" s="17" t="s">
        <v>48</v>
      </c>
      <c r="O280" s="17" t="s">
        <v>2386</v>
      </c>
      <c r="P280" s="17" t="s">
        <v>467</v>
      </c>
      <c r="Q280" s="17" t="s">
        <v>51</v>
      </c>
      <c r="R280" s="17" t="s">
        <v>52</v>
      </c>
      <c r="S280" s="17" t="s">
        <v>2403</v>
      </c>
      <c r="T280" s="17" t="s">
        <v>86</v>
      </c>
      <c r="U280" s="17" t="s">
        <v>55</v>
      </c>
      <c r="V280" s="17" t="s">
        <v>70</v>
      </c>
      <c r="W280" s="17" t="s">
        <v>87</v>
      </c>
      <c r="X280" s="17" t="s">
        <v>310</v>
      </c>
      <c r="Y280" s="17" t="s">
        <v>179</v>
      </c>
      <c r="Z280" s="17">
        <v>42.8429694911</v>
      </c>
      <c r="AA280" s="17">
        <v>-91.653742897200004</v>
      </c>
      <c r="AB280" s="17" t="s">
        <v>2320</v>
      </c>
      <c r="AC280" s="17">
        <v>10</v>
      </c>
      <c r="AD280" s="17">
        <v>1.313966980501226E-5</v>
      </c>
      <c r="AE280" s="17">
        <f t="shared" si="4"/>
        <v>2016</v>
      </c>
    </row>
    <row r="281" spans="1:31" x14ac:dyDescent="0.25">
      <c r="A281" s="17">
        <v>280</v>
      </c>
      <c r="B281" s="17" t="s">
        <v>2404</v>
      </c>
      <c r="C281" s="17" t="s">
        <v>2404</v>
      </c>
      <c r="D281" s="17" t="s">
        <v>2405</v>
      </c>
      <c r="E281" s="17" t="s">
        <v>2406</v>
      </c>
      <c r="F281" s="17" t="s">
        <v>2407</v>
      </c>
      <c r="G281" s="17" t="s">
        <v>2408</v>
      </c>
      <c r="H281" s="17" t="s">
        <v>2409</v>
      </c>
      <c r="I281" s="17" t="s">
        <v>2410</v>
      </c>
      <c r="J281" s="17" t="s">
        <v>2411</v>
      </c>
      <c r="K281" s="17" t="s">
        <v>99</v>
      </c>
      <c r="L281" s="17" t="s">
        <v>1</v>
      </c>
      <c r="M281" s="17" t="s">
        <v>2357</v>
      </c>
      <c r="N281" s="17" t="s">
        <v>48</v>
      </c>
      <c r="O281" s="17" t="s">
        <v>2412</v>
      </c>
      <c r="P281" s="17" t="s">
        <v>467</v>
      </c>
      <c r="Q281" s="17" t="s">
        <v>51</v>
      </c>
      <c r="R281" s="17" t="s">
        <v>52</v>
      </c>
      <c r="S281" s="17" t="s">
        <v>2413</v>
      </c>
      <c r="T281" s="17" t="s">
        <v>86</v>
      </c>
      <c r="U281" s="17" t="s">
        <v>55</v>
      </c>
      <c r="V281" s="17" t="s">
        <v>289</v>
      </c>
      <c r="W281" s="17" t="s">
        <v>1606</v>
      </c>
      <c r="X281" s="17" t="s">
        <v>484</v>
      </c>
      <c r="Y281" s="17" t="s">
        <v>179</v>
      </c>
      <c r="Z281" s="17">
        <v>42.8432964856</v>
      </c>
      <c r="AA281" s="17">
        <v>-91.652450872399996</v>
      </c>
      <c r="AB281" s="17" t="s">
        <v>2320</v>
      </c>
      <c r="AC281" s="17">
        <v>10</v>
      </c>
      <c r="AD281" s="17">
        <v>1.723798444689511E-4</v>
      </c>
      <c r="AE281" s="17">
        <f t="shared" si="4"/>
        <v>2022</v>
      </c>
    </row>
    <row r="282" spans="1:31" x14ac:dyDescent="0.25">
      <c r="A282" s="17">
        <v>281</v>
      </c>
      <c r="B282" s="17" t="s">
        <v>2414</v>
      </c>
      <c r="C282" s="17" t="s">
        <v>2414</v>
      </c>
      <c r="D282" s="17" t="s">
        <v>2415</v>
      </c>
      <c r="E282" s="17" t="s">
        <v>304</v>
      </c>
      <c r="F282" s="17" t="s">
        <v>2416</v>
      </c>
      <c r="G282" s="17" t="s">
        <v>2417</v>
      </c>
      <c r="H282" s="17" t="s">
        <v>2418</v>
      </c>
      <c r="I282" s="17" t="s">
        <v>2419</v>
      </c>
      <c r="J282" s="17" t="s">
        <v>2420</v>
      </c>
      <c r="K282" s="17" t="s">
        <v>259</v>
      </c>
      <c r="L282" s="17" t="s">
        <v>1</v>
      </c>
      <c r="M282" s="17"/>
      <c r="N282" s="17" t="s">
        <v>48</v>
      </c>
      <c r="O282" s="17" t="s">
        <v>2421</v>
      </c>
      <c r="P282" s="17" t="s">
        <v>50</v>
      </c>
      <c r="Q282" s="17" t="s">
        <v>51</v>
      </c>
      <c r="R282" s="17" t="s">
        <v>52</v>
      </c>
      <c r="S282" s="17" t="s">
        <v>2422</v>
      </c>
      <c r="T282" s="17" t="s">
        <v>54</v>
      </c>
      <c r="U282" s="17" t="s">
        <v>55</v>
      </c>
      <c r="V282" s="17" t="s">
        <v>70</v>
      </c>
      <c r="W282" s="17" t="s">
        <v>335</v>
      </c>
      <c r="X282" s="17" t="s">
        <v>150</v>
      </c>
      <c r="Y282" s="17" t="s">
        <v>150</v>
      </c>
      <c r="Z282" s="17">
        <v>42.845019845700001</v>
      </c>
      <c r="AA282" s="17">
        <v>-91.651972852</v>
      </c>
      <c r="AB282" s="17" t="s">
        <v>2320</v>
      </c>
      <c r="AC282" s="17">
        <v>10</v>
      </c>
      <c r="AD282" s="17">
        <v>1.4252212148431811E-5</v>
      </c>
      <c r="AE282" s="17">
        <f t="shared" si="4"/>
        <v>2016</v>
      </c>
    </row>
    <row r="283" spans="1:31" x14ac:dyDescent="0.25">
      <c r="A283" s="17">
        <v>282</v>
      </c>
      <c r="B283" s="17" t="s">
        <v>2423</v>
      </c>
      <c r="C283" s="17" t="s">
        <v>2423</v>
      </c>
      <c r="D283" s="17" t="s">
        <v>2424</v>
      </c>
      <c r="E283" s="17" t="s">
        <v>2425</v>
      </c>
      <c r="F283" s="17" t="s">
        <v>2426</v>
      </c>
      <c r="G283" s="17" t="s">
        <v>2427</v>
      </c>
      <c r="H283" s="17" t="s">
        <v>2428</v>
      </c>
      <c r="I283" s="17" t="s">
        <v>2429</v>
      </c>
      <c r="J283" s="17" t="s">
        <v>543</v>
      </c>
      <c r="K283" s="17" t="s">
        <v>216</v>
      </c>
      <c r="L283" s="17" t="s">
        <v>1</v>
      </c>
      <c r="M283" s="17" t="s">
        <v>2357</v>
      </c>
      <c r="N283" s="17" t="s">
        <v>48</v>
      </c>
      <c r="O283" s="17" t="s">
        <v>2421</v>
      </c>
      <c r="P283" s="17" t="s">
        <v>50</v>
      </c>
      <c r="Q283" s="17" t="s">
        <v>51</v>
      </c>
      <c r="R283" s="17" t="s">
        <v>52</v>
      </c>
      <c r="S283" s="17" t="s">
        <v>2430</v>
      </c>
      <c r="T283" s="17" t="s">
        <v>54</v>
      </c>
      <c r="U283" s="17" t="s">
        <v>55</v>
      </c>
      <c r="V283" s="17" t="s">
        <v>70</v>
      </c>
      <c r="W283" s="17" t="s">
        <v>335</v>
      </c>
      <c r="X283" s="17" t="s">
        <v>150</v>
      </c>
      <c r="Y283" s="17" t="s">
        <v>150</v>
      </c>
      <c r="Z283" s="17">
        <v>42.847144370999999</v>
      </c>
      <c r="AA283" s="17">
        <v>-91.651914410700002</v>
      </c>
      <c r="AB283" s="17" t="s">
        <v>2320</v>
      </c>
      <c r="AC283" s="17">
        <v>10</v>
      </c>
      <c r="AD283" s="17">
        <v>4.3148930652517257E-5</v>
      </c>
      <c r="AE283" s="17">
        <f t="shared" si="4"/>
        <v>2019</v>
      </c>
    </row>
    <row r="284" spans="1:31" x14ac:dyDescent="0.25">
      <c r="A284" s="17">
        <v>283</v>
      </c>
      <c r="B284" s="17" t="s">
        <v>2431</v>
      </c>
      <c r="C284" s="17" t="s">
        <v>2431</v>
      </c>
      <c r="D284" s="17"/>
      <c r="E284" s="17" t="s">
        <v>2432</v>
      </c>
      <c r="F284" s="17" t="s">
        <v>2433</v>
      </c>
      <c r="G284" s="17" t="s">
        <v>2434</v>
      </c>
      <c r="H284" s="17" t="s">
        <v>2435</v>
      </c>
      <c r="I284" s="17" t="s">
        <v>2436</v>
      </c>
      <c r="J284" s="17" t="s">
        <v>2437</v>
      </c>
      <c r="K284" s="17" t="s">
        <v>47</v>
      </c>
      <c r="L284" s="17" t="s">
        <v>3</v>
      </c>
      <c r="M284" s="17" t="s">
        <v>2438</v>
      </c>
      <c r="N284" s="17" t="s">
        <v>145</v>
      </c>
      <c r="O284" s="17" t="s">
        <v>146</v>
      </c>
      <c r="P284" s="17" t="s">
        <v>147</v>
      </c>
      <c r="Q284" s="17" t="s">
        <v>51</v>
      </c>
      <c r="R284" s="17" t="s">
        <v>52</v>
      </c>
      <c r="S284" s="17" t="s">
        <v>2439</v>
      </c>
      <c r="T284" s="17" t="s">
        <v>54</v>
      </c>
      <c r="U284" s="17" t="s">
        <v>55</v>
      </c>
      <c r="V284" s="17" t="s">
        <v>70</v>
      </c>
      <c r="W284" s="17" t="s">
        <v>1888</v>
      </c>
      <c r="X284" s="17" t="s">
        <v>72</v>
      </c>
      <c r="Y284" s="17" t="s">
        <v>2440</v>
      </c>
      <c r="Z284" s="17">
        <v>43.194327886799996</v>
      </c>
      <c r="AA284" s="17">
        <v>-92.416832544299993</v>
      </c>
      <c r="AB284" s="17" t="s">
        <v>2441</v>
      </c>
      <c r="AC284" s="17">
        <v>3</v>
      </c>
      <c r="AD284" s="17">
        <v>5.6652840834275371E-6</v>
      </c>
      <c r="AE284" s="17">
        <f t="shared" si="4"/>
        <v>2015</v>
      </c>
    </row>
    <row r="285" spans="1:31" x14ac:dyDescent="0.25">
      <c r="A285" s="17">
        <v>284</v>
      </c>
      <c r="B285" s="17" t="s">
        <v>2442</v>
      </c>
      <c r="C285" s="17" t="s">
        <v>2443</v>
      </c>
      <c r="D285" s="17"/>
      <c r="E285" s="17" t="s">
        <v>2444</v>
      </c>
      <c r="F285" s="17" t="s">
        <v>2445</v>
      </c>
      <c r="G285" s="17" t="s">
        <v>2446</v>
      </c>
      <c r="H285" s="17" t="s">
        <v>2447</v>
      </c>
      <c r="I285" s="17" t="s">
        <v>2448</v>
      </c>
      <c r="J285" s="17" t="s">
        <v>500</v>
      </c>
      <c r="K285" s="17" t="s">
        <v>47</v>
      </c>
      <c r="L285" s="17" t="s">
        <v>3</v>
      </c>
      <c r="M285" s="17" t="s">
        <v>2438</v>
      </c>
      <c r="N285" s="17" t="s">
        <v>145</v>
      </c>
      <c r="O285" s="17" t="s">
        <v>146</v>
      </c>
      <c r="P285" s="17" t="s">
        <v>147</v>
      </c>
      <c r="Q285" s="17" t="s">
        <v>51</v>
      </c>
      <c r="R285" s="17" t="s">
        <v>52</v>
      </c>
      <c r="S285" s="17" t="s">
        <v>2439</v>
      </c>
      <c r="T285" s="17" t="s">
        <v>54</v>
      </c>
      <c r="U285" s="17" t="s">
        <v>55</v>
      </c>
      <c r="V285" s="17" t="s">
        <v>56</v>
      </c>
      <c r="W285" s="17" t="s">
        <v>2224</v>
      </c>
      <c r="X285" s="17" t="s">
        <v>59</v>
      </c>
      <c r="Y285" s="17" t="s">
        <v>135</v>
      </c>
      <c r="Z285" s="17">
        <v>43.195507514799999</v>
      </c>
      <c r="AA285" s="17">
        <v>-92.416833619000002</v>
      </c>
      <c r="AB285" s="17" t="s">
        <v>2441</v>
      </c>
      <c r="AC285" s="17">
        <v>3</v>
      </c>
      <c r="AD285" s="17">
        <v>1.744972551851205E-5</v>
      </c>
      <c r="AE285" s="17">
        <f t="shared" si="4"/>
        <v>2013</v>
      </c>
    </row>
    <row r="286" spans="1:31" x14ac:dyDescent="0.25">
      <c r="A286" s="17">
        <v>285</v>
      </c>
      <c r="B286" s="17" t="s">
        <v>2449</v>
      </c>
      <c r="C286" s="17" t="s">
        <v>2449</v>
      </c>
      <c r="D286" s="17" t="s">
        <v>2450</v>
      </c>
      <c r="E286" s="17" t="s">
        <v>2451</v>
      </c>
      <c r="F286" s="17" t="s">
        <v>2452</v>
      </c>
      <c r="G286" s="17" t="s">
        <v>2453</v>
      </c>
      <c r="H286" s="17" t="s">
        <v>2454</v>
      </c>
      <c r="I286" s="17" t="s">
        <v>2455</v>
      </c>
      <c r="J286" s="17" t="s">
        <v>2456</v>
      </c>
      <c r="K286" s="17" t="s">
        <v>82</v>
      </c>
      <c r="L286" s="17" t="s">
        <v>3</v>
      </c>
      <c r="M286" s="17" t="s">
        <v>2438</v>
      </c>
      <c r="N286" s="17" t="s">
        <v>48</v>
      </c>
      <c r="O286" s="17" t="s">
        <v>49</v>
      </c>
      <c r="P286" s="17" t="s">
        <v>50</v>
      </c>
      <c r="Q286" s="17" t="s">
        <v>51</v>
      </c>
      <c r="R286" s="17" t="s">
        <v>52</v>
      </c>
      <c r="S286" s="17" t="s">
        <v>2439</v>
      </c>
      <c r="T286" s="17" t="s">
        <v>86</v>
      </c>
      <c r="U286" s="17" t="s">
        <v>55</v>
      </c>
      <c r="V286" s="17" t="s">
        <v>70</v>
      </c>
      <c r="W286" s="17" t="s">
        <v>2036</v>
      </c>
      <c r="X286" s="17" t="s">
        <v>58</v>
      </c>
      <c r="Y286" s="17" t="s">
        <v>135</v>
      </c>
      <c r="Z286" s="17">
        <v>43.196831272700003</v>
      </c>
      <c r="AA286" s="17">
        <v>-92.416845628800004</v>
      </c>
      <c r="AB286" s="17" t="s">
        <v>2441</v>
      </c>
      <c r="AC286" s="17">
        <v>3</v>
      </c>
      <c r="AD286" s="17">
        <v>3.2587604848145309E-5</v>
      </c>
      <c r="AE286" s="17">
        <f t="shared" si="4"/>
        <v>2019</v>
      </c>
    </row>
    <row r="287" spans="1:31" x14ac:dyDescent="0.25">
      <c r="A287" s="17">
        <v>286</v>
      </c>
      <c r="B287" s="17" t="s">
        <v>2457</v>
      </c>
      <c r="C287" s="17" t="s">
        <v>2457</v>
      </c>
      <c r="D287" s="17" t="s">
        <v>2458</v>
      </c>
      <c r="E287" s="17" t="s">
        <v>1702</v>
      </c>
      <c r="F287" s="17" t="s">
        <v>2459</v>
      </c>
      <c r="G287" s="17" t="s">
        <v>2460</v>
      </c>
      <c r="H287" s="17" t="s">
        <v>2461</v>
      </c>
      <c r="I287" s="17" t="s">
        <v>2462</v>
      </c>
      <c r="J287" s="17" t="s">
        <v>2463</v>
      </c>
      <c r="K287" s="17" t="s">
        <v>99</v>
      </c>
      <c r="L287" s="17" t="s">
        <v>3</v>
      </c>
      <c r="M287" s="17" t="s">
        <v>2438</v>
      </c>
      <c r="N287" s="17" t="s">
        <v>48</v>
      </c>
      <c r="O287" s="17" t="s">
        <v>49</v>
      </c>
      <c r="P287" s="17" t="s">
        <v>50</v>
      </c>
      <c r="Q287" s="17" t="s">
        <v>51</v>
      </c>
      <c r="R287" s="17" t="s">
        <v>52</v>
      </c>
      <c r="S287" s="17" t="s">
        <v>2439</v>
      </c>
      <c r="T287" s="17" t="s">
        <v>86</v>
      </c>
      <c r="U287" s="17" t="s">
        <v>55</v>
      </c>
      <c r="V287" s="17" t="s">
        <v>70</v>
      </c>
      <c r="W287" s="17" t="s">
        <v>100</v>
      </c>
      <c r="X287" s="17" t="s">
        <v>1227</v>
      </c>
      <c r="Y287" s="17" t="s">
        <v>89</v>
      </c>
      <c r="Z287" s="17">
        <v>43.197173436600004</v>
      </c>
      <c r="AA287" s="17">
        <v>-92.416842370400005</v>
      </c>
      <c r="AB287" s="17" t="s">
        <v>2441</v>
      </c>
      <c r="AC287" s="17">
        <v>3</v>
      </c>
      <c r="AD287" s="17">
        <v>4.2862430774169947E-5</v>
      </c>
      <c r="AE287" s="17">
        <f t="shared" si="4"/>
        <v>2018</v>
      </c>
    </row>
    <row r="288" spans="1:31" x14ac:dyDescent="0.25">
      <c r="A288" s="17">
        <v>287</v>
      </c>
      <c r="B288" s="17" t="s">
        <v>2464</v>
      </c>
      <c r="C288" s="17" t="s">
        <v>2464</v>
      </c>
      <c r="D288" s="17" t="s">
        <v>2465</v>
      </c>
      <c r="E288" s="17" t="s">
        <v>2466</v>
      </c>
      <c r="F288" s="17" t="s">
        <v>2467</v>
      </c>
      <c r="G288" s="17" t="s">
        <v>2468</v>
      </c>
      <c r="H288" s="17" t="s">
        <v>2469</v>
      </c>
      <c r="I288" s="17" t="s">
        <v>2470</v>
      </c>
      <c r="J288" s="17" t="s">
        <v>2471</v>
      </c>
      <c r="K288" s="17" t="s">
        <v>259</v>
      </c>
      <c r="L288" s="17" t="s">
        <v>3</v>
      </c>
      <c r="M288" s="17" t="s">
        <v>2438</v>
      </c>
      <c r="N288" s="17" t="s">
        <v>48</v>
      </c>
      <c r="O288" s="17" t="s">
        <v>2472</v>
      </c>
      <c r="P288" s="17" t="s">
        <v>467</v>
      </c>
      <c r="Q288" s="17" t="s">
        <v>51</v>
      </c>
      <c r="R288" s="17" t="s">
        <v>52</v>
      </c>
      <c r="S288" s="17" t="s">
        <v>2473</v>
      </c>
      <c r="T288" s="17" t="s">
        <v>54</v>
      </c>
      <c r="U288" s="17" t="s">
        <v>55</v>
      </c>
      <c r="V288" s="17" t="s">
        <v>70</v>
      </c>
      <c r="W288" s="17" t="s">
        <v>57</v>
      </c>
      <c r="X288" s="17" t="s">
        <v>150</v>
      </c>
      <c r="Y288" s="17" t="s">
        <v>150</v>
      </c>
      <c r="Z288" s="17">
        <v>43.1984475008</v>
      </c>
      <c r="AA288" s="17">
        <v>-92.435674285299996</v>
      </c>
      <c r="AB288" s="17" t="s">
        <v>2474</v>
      </c>
      <c r="AC288" s="17">
        <v>4</v>
      </c>
      <c r="AD288" s="17">
        <v>2.0274497090060102E-6</v>
      </c>
      <c r="AE288" s="17">
        <f t="shared" si="4"/>
        <v>2018</v>
      </c>
    </row>
    <row r="289" spans="1:31" x14ac:dyDescent="0.25">
      <c r="A289" s="17">
        <v>288</v>
      </c>
      <c r="B289" s="17" t="s">
        <v>2475</v>
      </c>
      <c r="C289" s="17" t="s">
        <v>2476</v>
      </c>
      <c r="D289" s="17"/>
      <c r="E289" s="17" t="s">
        <v>2477</v>
      </c>
      <c r="F289" s="17" t="s">
        <v>2478</v>
      </c>
      <c r="G289" s="17" t="s">
        <v>2479</v>
      </c>
      <c r="H289" s="17" t="s">
        <v>2480</v>
      </c>
      <c r="I289" s="17" t="s">
        <v>2470</v>
      </c>
      <c r="J289" s="17" t="s">
        <v>2481</v>
      </c>
      <c r="K289" s="17" t="s">
        <v>216</v>
      </c>
      <c r="L289" s="17" t="s">
        <v>3</v>
      </c>
      <c r="M289" s="17"/>
      <c r="N289" s="17" t="s">
        <v>145</v>
      </c>
      <c r="O289" s="17" t="s">
        <v>146</v>
      </c>
      <c r="P289" s="17" t="s">
        <v>147</v>
      </c>
      <c r="Q289" s="17" t="s">
        <v>51</v>
      </c>
      <c r="R289" s="17" t="s">
        <v>52</v>
      </c>
      <c r="S289" s="17" t="s">
        <v>2482</v>
      </c>
      <c r="T289" s="17" t="s">
        <v>54</v>
      </c>
      <c r="U289" s="17" t="s">
        <v>288</v>
      </c>
      <c r="V289" s="17" t="s">
        <v>70</v>
      </c>
      <c r="W289" s="17" t="s">
        <v>100</v>
      </c>
      <c r="X289" s="17" t="s">
        <v>971</v>
      </c>
      <c r="Y289" s="17" t="s">
        <v>89</v>
      </c>
      <c r="Z289" s="17">
        <v>43.198448352299998</v>
      </c>
      <c r="AA289" s="17">
        <v>-92.435846593999997</v>
      </c>
      <c r="AB289" s="17" t="s">
        <v>2474</v>
      </c>
      <c r="AC289" s="17">
        <v>4</v>
      </c>
      <c r="AD289" s="17">
        <v>6.8836874358478155E-7</v>
      </c>
      <c r="AE289" s="17">
        <f t="shared" si="4"/>
        <v>2013</v>
      </c>
    </row>
    <row r="290" spans="1:31" x14ac:dyDescent="0.25">
      <c r="A290" s="17">
        <v>289</v>
      </c>
      <c r="B290" s="17" t="s">
        <v>2483</v>
      </c>
      <c r="C290" s="17" t="s">
        <v>2483</v>
      </c>
      <c r="D290" s="17" t="s">
        <v>2484</v>
      </c>
      <c r="E290" s="17" t="s">
        <v>2485</v>
      </c>
      <c r="F290" s="17" t="s">
        <v>2486</v>
      </c>
      <c r="G290" s="17" t="s">
        <v>2487</v>
      </c>
      <c r="H290" s="17" t="s">
        <v>2488</v>
      </c>
      <c r="I290" s="17" t="s">
        <v>2470</v>
      </c>
      <c r="J290" s="17" t="s">
        <v>2489</v>
      </c>
      <c r="K290" s="17" t="s">
        <v>99</v>
      </c>
      <c r="L290" s="17" t="s">
        <v>3</v>
      </c>
      <c r="M290" s="17"/>
      <c r="N290" s="17" t="s">
        <v>48</v>
      </c>
      <c r="O290" s="17" t="s">
        <v>2490</v>
      </c>
      <c r="P290" s="17" t="s">
        <v>50</v>
      </c>
      <c r="Q290" s="17" t="s">
        <v>51</v>
      </c>
      <c r="R290" s="17" t="s">
        <v>52</v>
      </c>
      <c r="S290" s="17" t="s">
        <v>2491</v>
      </c>
      <c r="T290" s="17" t="s">
        <v>54</v>
      </c>
      <c r="U290" s="17" t="s">
        <v>288</v>
      </c>
      <c r="V290" s="17" t="s">
        <v>469</v>
      </c>
      <c r="W290" s="17" t="s">
        <v>335</v>
      </c>
      <c r="X290" s="17" t="s">
        <v>150</v>
      </c>
      <c r="Y290" s="17" t="s">
        <v>150</v>
      </c>
      <c r="Z290" s="17">
        <v>43.198448350600003</v>
      </c>
      <c r="AA290" s="17">
        <v>-92.435846594099999</v>
      </c>
      <c r="AB290" s="17" t="s">
        <v>2474</v>
      </c>
      <c r="AC290" s="17">
        <v>4</v>
      </c>
      <c r="AD290" s="17">
        <v>6.8836874358478155E-7</v>
      </c>
      <c r="AE290" s="17">
        <f t="shared" si="4"/>
        <v>2018</v>
      </c>
    </row>
    <row r="291" spans="1:31" x14ac:dyDescent="0.25">
      <c r="A291" s="17">
        <v>290</v>
      </c>
      <c r="B291" s="17" t="s">
        <v>2492</v>
      </c>
      <c r="C291" s="17" t="s">
        <v>2493</v>
      </c>
      <c r="D291" s="17"/>
      <c r="E291" s="17" t="s">
        <v>2494</v>
      </c>
      <c r="F291" s="17" t="s">
        <v>2495</v>
      </c>
      <c r="G291" s="17" t="s">
        <v>2496</v>
      </c>
      <c r="H291" s="17" t="s">
        <v>2497</v>
      </c>
      <c r="I291" s="17" t="s">
        <v>2498</v>
      </c>
      <c r="J291" s="17" t="s">
        <v>2499</v>
      </c>
      <c r="K291" s="17" t="s">
        <v>259</v>
      </c>
      <c r="L291" s="17" t="s">
        <v>3</v>
      </c>
      <c r="M291" s="17"/>
      <c r="N291" s="17" t="s">
        <v>145</v>
      </c>
      <c r="O291" s="17" t="s">
        <v>146</v>
      </c>
      <c r="P291" s="17" t="s">
        <v>147</v>
      </c>
      <c r="Q291" s="17" t="s">
        <v>51</v>
      </c>
      <c r="R291" s="17" t="s">
        <v>52</v>
      </c>
      <c r="S291" s="17" t="s">
        <v>2500</v>
      </c>
      <c r="T291" s="17" t="s">
        <v>54</v>
      </c>
      <c r="U291" s="17" t="s">
        <v>55</v>
      </c>
      <c r="V291" s="17" t="s">
        <v>56</v>
      </c>
      <c r="W291" s="17" t="s">
        <v>100</v>
      </c>
      <c r="X291" s="17" t="s">
        <v>72</v>
      </c>
      <c r="Y291" s="17" t="s">
        <v>179</v>
      </c>
      <c r="Z291" s="17">
        <v>43.198477873100003</v>
      </c>
      <c r="AA291" s="17">
        <v>-92.4308983719</v>
      </c>
      <c r="AB291" s="17" t="s">
        <v>2501</v>
      </c>
      <c r="AC291" s="17">
        <v>2</v>
      </c>
      <c r="AD291" s="17">
        <v>4.3414430506450229E-6</v>
      </c>
      <c r="AE291" s="17">
        <f t="shared" si="4"/>
        <v>2014</v>
      </c>
    </row>
    <row r="292" spans="1:31" x14ac:dyDescent="0.25">
      <c r="A292" s="17">
        <v>291</v>
      </c>
      <c r="B292" s="17" t="s">
        <v>2502</v>
      </c>
      <c r="C292" s="17" t="s">
        <v>2502</v>
      </c>
      <c r="D292" s="17" t="s">
        <v>2503</v>
      </c>
      <c r="E292" s="17" t="s">
        <v>2504</v>
      </c>
      <c r="F292" s="17" t="s">
        <v>2505</v>
      </c>
      <c r="G292" s="17" t="s">
        <v>2506</v>
      </c>
      <c r="H292" s="17" t="s">
        <v>2507</v>
      </c>
      <c r="I292" s="17" t="s">
        <v>2508</v>
      </c>
      <c r="J292" s="17" t="s">
        <v>2509</v>
      </c>
      <c r="K292" s="17" t="s">
        <v>216</v>
      </c>
      <c r="L292" s="17" t="s">
        <v>3</v>
      </c>
      <c r="M292" s="17" t="s">
        <v>2438</v>
      </c>
      <c r="N292" s="17" t="s">
        <v>48</v>
      </c>
      <c r="O292" s="17" t="s">
        <v>49</v>
      </c>
      <c r="P292" s="17" t="s">
        <v>50</v>
      </c>
      <c r="Q292" s="17" t="s">
        <v>51</v>
      </c>
      <c r="R292" s="17" t="s">
        <v>52</v>
      </c>
      <c r="S292" s="17" t="s">
        <v>2510</v>
      </c>
      <c r="T292" s="17" t="s">
        <v>86</v>
      </c>
      <c r="U292" s="17" t="s">
        <v>122</v>
      </c>
      <c r="V292" s="17" t="s">
        <v>70</v>
      </c>
      <c r="W292" s="17" t="s">
        <v>133</v>
      </c>
      <c r="X292" s="17" t="s">
        <v>570</v>
      </c>
      <c r="Y292" s="17" t="s">
        <v>2283</v>
      </c>
      <c r="Z292" s="17">
        <v>43.1985242087</v>
      </c>
      <c r="AA292" s="17">
        <v>-92.416854123199997</v>
      </c>
      <c r="AB292" s="17" t="s">
        <v>2501</v>
      </c>
      <c r="AC292" s="17">
        <v>2</v>
      </c>
      <c r="AD292" s="17">
        <v>5.5433270859147722E-5</v>
      </c>
      <c r="AE292" s="17">
        <f t="shared" si="4"/>
        <v>2020</v>
      </c>
    </row>
    <row r="293" spans="1:31" x14ac:dyDescent="0.25">
      <c r="A293" s="17">
        <v>292</v>
      </c>
      <c r="B293" s="17" t="s">
        <v>2511</v>
      </c>
      <c r="C293" s="17" t="s">
        <v>2511</v>
      </c>
      <c r="D293" s="17" t="s">
        <v>2512</v>
      </c>
      <c r="E293" s="17" t="s">
        <v>2513</v>
      </c>
      <c r="F293" s="17" t="s">
        <v>2514</v>
      </c>
      <c r="G293" s="17" t="s">
        <v>2515</v>
      </c>
      <c r="H293" s="17" t="s">
        <v>2516</v>
      </c>
      <c r="I293" s="17" t="s">
        <v>2517</v>
      </c>
      <c r="J293" s="17" t="s">
        <v>2518</v>
      </c>
      <c r="K293" s="17" t="s">
        <v>47</v>
      </c>
      <c r="L293" s="17" t="s">
        <v>3</v>
      </c>
      <c r="M293" s="17"/>
      <c r="N293" s="17" t="s">
        <v>48</v>
      </c>
      <c r="O293" s="17" t="s">
        <v>2490</v>
      </c>
      <c r="P293" s="17" t="s">
        <v>50</v>
      </c>
      <c r="Q293" s="17" t="s">
        <v>51</v>
      </c>
      <c r="R293" s="17" t="s">
        <v>52</v>
      </c>
      <c r="S293" s="17" t="s">
        <v>2519</v>
      </c>
      <c r="T293" s="17" t="s">
        <v>54</v>
      </c>
      <c r="U293" s="17" t="s">
        <v>55</v>
      </c>
      <c r="V293" s="17" t="s">
        <v>70</v>
      </c>
      <c r="W293" s="17" t="s">
        <v>2118</v>
      </c>
      <c r="X293" s="17" t="s">
        <v>570</v>
      </c>
      <c r="Y293" s="17" t="s">
        <v>89</v>
      </c>
      <c r="Z293" s="17">
        <v>43.198619432999998</v>
      </c>
      <c r="AA293" s="17">
        <v>-92.435845017800006</v>
      </c>
      <c r="AB293" s="17" t="s">
        <v>2520</v>
      </c>
      <c r="AC293" s="17">
        <v>5</v>
      </c>
      <c r="AD293" s="17">
        <v>7.8621407660627892E-6</v>
      </c>
      <c r="AE293" s="17">
        <f t="shared" si="4"/>
        <v>2021</v>
      </c>
    </row>
    <row r="294" spans="1:31" x14ac:dyDescent="0.25">
      <c r="A294" s="17">
        <v>293</v>
      </c>
      <c r="B294" s="17" t="s">
        <v>2521</v>
      </c>
      <c r="C294" s="17" t="s">
        <v>2521</v>
      </c>
      <c r="D294" s="17" t="s">
        <v>2522</v>
      </c>
      <c r="E294" s="17" t="s">
        <v>1617</v>
      </c>
      <c r="F294" s="17" t="s">
        <v>2523</v>
      </c>
      <c r="G294" s="17" t="s">
        <v>2524</v>
      </c>
      <c r="H294" s="17" t="s">
        <v>2525</v>
      </c>
      <c r="I294" s="17" t="s">
        <v>2526</v>
      </c>
      <c r="J294" s="17" t="s">
        <v>360</v>
      </c>
      <c r="K294" s="17" t="s">
        <v>216</v>
      </c>
      <c r="L294" s="17" t="s">
        <v>3</v>
      </c>
      <c r="M294" s="17" t="s">
        <v>2438</v>
      </c>
      <c r="N294" s="17" t="s">
        <v>48</v>
      </c>
      <c r="O294" s="17" t="s">
        <v>2490</v>
      </c>
      <c r="P294" s="17" t="s">
        <v>50</v>
      </c>
      <c r="Q294" s="17" t="s">
        <v>51</v>
      </c>
      <c r="R294" s="17" t="s">
        <v>52</v>
      </c>
      <c r="S294" s="17" t="s">
        <v>2519</v>
      </c>
      <c r="T294" s="17" t="s">
        <v>54</v>
      </c>
      <c r="U294" s="17" t="s">
        <v>55</v>
      </c>
      <c r="V294" s="17" t="s">
        <v>70</v>
      </c>
      <c r="W294" s="17" t="s">
        <v>57</v>
      </c>
      <c r="X294" s="17" t="s">
        <v>150</v>
      </c>
      <c r="Y294" s="17" t="s">
        <v>150</v>
      </c>
      <c r="Z294" s="17">
        <v>43.199627979699997</v>
      </c>
      <c r="AA294" s="17">
        <v>-92.435848034200006</v>
      </c>
      <c r="AB294" s="17" t="s">
        <v>2501</v>
      </c>
      <c r="AC294" s="17">
        <v>2</v>
      </c>
      <c r="AD294" s="17">
        <v>1.9362393951350049E-5</v>
      </c>
      <c r="AE294" s="17">
        <f t="shared" si="4"/>
        <v>2019</v>
      </c>
    </row>
    <row r="295" spans="1:31" x14ac:dyDescent="0.25">
      <c r="A295" s="17">
        <v>294</v>
      </c>
      <c r="B295" s="17" t="s">
        <v>2527</v>
      </c>
      <c r="C295" s="17" t="s">
        <v>2527</v>
      </c>
      <c r="D295" s="17" t="s">
        <v>2528</v>
      </c>
      <c r="E295" s="17" t="s">
        <v>2529</v>
      </c>
      <c r="F295" s="17" t="s">
        <v>2530</v>
      </c>
      <c r="G295" s="17" t="s">
        <v>2531</v>
      </c>
      <c r="H295" s="17" t="s">
        <v>2532</v>
      </c>
      <c r="I295" s="17" t="s">
        <v>2533</v>
      </c>
      <c r="J295" s="17" t="s">
        <v>2534</v>
      </c>
      <c r="K295" s="17" t="s">
        <v>216</v>
      </c>
      <c r="L295" s="17" t="s">
        <v>3</v>
      </c>
      <c r="M295" s="17"/>
      <c r="N295" s="17" t="s">
        <v>48</v>
      </c>
      <c r="O295" s="17" t="s">
        <v>2490</v>
      </c>
      <c r="P295" s="17" t="s">
        <v>50</v>
      </c>
      <c r="Q295" s="17" t="s">
        <v>51</v>
      </c>
      <c r="R295" s="17" t="s">
        <v>52</v>
      </c>
      <c r="S295" s="17" t="s">
        <v>2519</v>
      </c>
      <c r="T295" s="17" t="s">
        <v>54</v>
      </c>
      <c r="U295" s="17" t="s">
        <v>55</v>
      </c>
      <c r="V295" s="17" t="s">
        <v>289</v>
      </c>
      <c r="W295" s="17" t="s">
        <v>149</v>
      </c>
      <c r="X295" s="17" t="s">
        <v>58</v>
      </c>
      <c r="Y295" s="17" t="s">
        <v>179</v>
      </c>
      <c r="Z295" s="17">
        <v>43.202131185100001</v>
      </c>
      <c r="AA295" s="17">
        <v>-92.435824969500004</v>
      </c>
      <c r="AB295" s="17" t="s">
        <v>2501</v>
      </c>
      <c r="AC295" s="17">
        <v>2</v>
      </c>
      <c r="AD295" s="17">
        <v>1.7176982662228579E-5</v>
      </c>
      <c r="AE295" s="17">
        <f t="shared" si="4"/>
        <v>2018</v>
      </c>
    </row>
    <row r="296" spans="1:31" x14ac:dyDescent="0.25">
      <c r="A296" s="17">
        <v>295</v>
      </c>
      <c r="B296" s="17" t="s">
        <v>2535</v>
      </c>
      <c r="C296" s="17" t="s">
        <v>2535</v>
      </c>
      <c r="D296" s="17" t="s">
        <v>2536</v>
      </c>
      <c r="E296" s="17" t="s">
        <v>2537</v>
      </c>
      <c r="F296" s="17" t="s">
        <v>2538</v>
      </c>
      <c r="G296" s="17" t="s">
        <v>2539</v>
      </c>
      <c r="H296" s="17" t="s">
        <v>2540</v>
      </c>
      <c r="I296" s="17" t="s">
        <v>2541</v>
      </c>
      <c r="J296" s="17" t="s">
        <v>2542</v>
      </c>
      <c r="K296" s="17" t="s">
        <v>216</v>
      </c>
      <c r="L296" s="17" t="s">
        <v>3</v>
      </c>
      <c r="M296" s="17"/>
      <c r="N296" s="17" t="s">
        <v>48</v>
      </c>
      <c r="O296" s="17" t="s">
        <v>2490</v>
      </c>
      <c r="P296" s="17" t="s">
        <v>50</v>
      </c>
      <c r="Q296" s="17" t="s">
        <v>51</v>
      </c>
      <c r="R296" s="17" t="s">
        <v>52</v>
      </c>
      <c r="S296" s="17" t="s">
        <v>2519</v>
      </c>
      <c r="T296" s="17" t="s">
        <v>54</v>
      </c>
      <c r="U296" s="17" t="s">
        <v>55</v>
      </c>
      <c r="V296" s="17" t="s">
        <v>70</v>
      </c>
      <c r="W296" s="17" t="s">
        <v>293</v>
      </c>
      <c r="X296" s="17" t="s">
        <v>150</v>
      </c>
      <c r="Y296" s="17" t="s">
        <v>150</v>
      </c>
      <c r="Z296" s="17">
        <v>43.206903540799999</v>
      </c>
      <c r="AA296" s="17">
        <v>-92.4357932984</v>
      </c>
      <c r="AB296" s="17" t="s">
        <v>2501</v>
      </c>
      <c r="AC296" s="17">
        <v>2</v>
      </c>
      <c r="AD296" s="17">
        <v>2.5309548102075199E-5</v>
      </c>
      <c r="AE296" s="17">
        <f t="shared" si="4"/>
        <v>2019</v>
      </c>
    </row>
    <row r="297" spans="1:31" x14ac:dyDescent="0.25">
      <c r="A297" s="17">
        <v>296</v>
      </c>
      <c r="B297" s="17" t="s">
        <v>2543</v>
      </c>
      <c r="C297" s="17" t="s">
        <v>2544</v>
      </c>
      <c r="D297" s="17" t="s">
        <v>2545</v>
      </c>
      <c r="E297" s="17" t="s">
        <v>2546</v>
      </c>
      <c r="F297" s="17" t="s">
        <v>2547</v>
      </c>
      <c r="G297" s="17" t="s">
        <v>2548</v>
      </c>
      <c r="H297" s="17" t="s">
        <v>2549</v>
      </c>
      <c r="I297" s="17" t="s">
        <v>2550</v>
      </c>
      <c r="J297" s="17" t="s">
        <v>2551</v>
      </c>
      <c r="K297" s="17" t="s">
        <v>99</v>
      </c>
      <c r="L297" s="17" t="s">
        <v>3</v>
      </c>
      <c r="M297" s="17"/>
      <c r="N297" s="17" t="s">
        <v>145</v>
      </c>
      <c r="O297" s="17" t="s">
        <v>146</v>
      </c>
      <c r="P297" s="17" t="s">
        <v>147</v>
      </c>
      <c r="Q297" s="17" t="s">
        <v>51</v>
      </c>
      <c r="R297" s="17" t="s">
        <v>52</v>
      </c>
      <c r="S297" s="17" t="s">
        <v>2552</v>
      </c>
      <c r="T297" s="17" t="s">
        <v>54</v>
      </c>
      <c r="U297" s="17" t="s">
        <v>55</v>
      </c>
      <c r="V297" s="17" t="s">
        <v>344</v>
      </c>
      <c r="W297" s="17" t="s">
        <v>149</v>
      </c>
      <c r="X297" s="17" t="s">
        <v>72</v>
      </c>
      <c r="Y297" s="17" t="s">
        <v>1274</v>
      </c>
      <c r="Z297" s="17">
        <v>43.208668390200003</v>
      </c>
      <c r="AA297" s="17">
        <v>-92.435777031599997</v>
      </c>
      <c r="AB297" s="17" t="s">
        <v>2501</v>
      </c>
      <c r="AC297" s="17">
        <v>2</v>
      </c>
      <c r="AD297" s="17">
        <v>2.3763699617401161E-5</v>
      </c>
      <c r="AE297" s="17">
        <f t="shared" si="4"/>
        <v>2014</v>
      </c>
    </row>
    <row r="298" spans="1:31" x14ac:dyDescent="0.25">
      <c r="A298" s="17">
        <v>297</v>
      </c>
      <c r="B298" s="17" t="s">
        <v>2553</v>
      </c>
      <c r="C298" s="17" t="s">
        <v>2553</v>
      </c>
      <c r="D298" s="17" t="s">
        <v>2554</v>
      </c>
      <c r="E298" s="17" t="s">
        <v>2555</v>
      </c>
      <c r="F298" s="17" t="s">
        <v>2556</v>
      </c>
      <c r="G298" s="17" t="s">
        <v>2557</v>
      </c>
      <c r="H298" s="17" t="s">
        <v>2558</v>
      </c>
      <c r="I298" s="17" t="s">
        <v>2559</v>
      </c>
      <c r="J298" s="17" t="s">
        <v>1037</v>
      </c>
      <c r="K298" s="17" t="s">
        <v>47</v>
      </c>
      <c r="L298" s="17" t="s">
        <v>3</v>
      </c>
      <c r="M298" s="17"/>
      <c r="N298" s="17" t="s">
        <v>48</v>
      </c>
      <c r="O298" s="17" t="s">
        <v>2490</v>
      </c>
      <c r="P298" s="17" t="s">
        <v>50</v>
      </c>
      <c r="Q298" s="17" t="s">
        <v>51</v>
      </c>
      <c r="R298" s="17" t="s">
        <v>52</v>
      </c>
      <c r="S298" s="17" t="s">
        <v>2519</v>
      </c>
      <c r="T298" s="17" t="s">
        <v>54</v>
      </c>
      <c r="U298" s="17" t="s">
        <v>55</v>
      </c>
      <c r="V298" s="17" t="s">
        <v>344</v>
      </c>
      <c r="W298" s="17" t="s">
        <v>199</v>
      </c>
      <c r="X298" s="17" t="s">
        <v>150</v>
      </c>
      <c r="Y298" s="17" t="s">
        <v>150</v>
      </c>
      <c r="Z298" s="17">
        <v>43.211928013399998</v>
      </c>
      <c r="AA298" s="17">
        <v>-92.435759294299999</v>
      </c>
      <c r="AB298" s="17" t="s">
        <v>2501</v>
      </c>
      <c r="AC298" s="17">
        <v>2</v>
      </c>
      <c r="AD298" s="17">
        <v>3.321294853295826E-5</v>
      </c>
      <c r="AE298" s="17">
        <f t="shared" si="4"/>
        <v>2019</v>
      </c>
    </row>
    <row r="299" spans="1:31" x14ac:dyDescent="0.25">
      <c r="A299" s="17">
        <v>298</v>
      </c>
      <c r="B299" s="17" t="s">
        <v>2560</v>
      </c>
      <c r="C299" s="17" t="s">
        <v>2560</v>
      </c>
      <c r="D299" s="17" t="s">
        <v>2561</v>
      </c>
      <c r="E299" s="17" t="s">
        <v>2562</v>
      </c>
      <c r="F299" s="17" t="s">
        <v>2563</v>
      </c>
      <c r="G299" s="17" t="s">
        <v>2564</v>
      </c>
      <c r="H299" s="17" t="s">
        <v>2565</v>
      </c>
      <c r="I299" s="17" t="s">
        <v>2566</v>
      </c>
      <c r="J299" s="17" t="s">
        <v>2567</v>
      </c>
      <c r="K299" s="17" t="s">
        <v>82</v>
      </c>
      <c r="L299" s="17" t="s">
        <v>2568</v>
      </c>
      <c r="M299" s="17"/>
      <c r="N299" s="17" t="s">
        <v>48</v>
      </c>
      <c r="O299" s="17" t="s">
        <v>2569</v>
      </c>
      <c r="P299" s="17" t="s">
        <v>50</v>
      </c>
      <c r="Q299" s="17" t="s">
        <v>51</v>
      </c>
      <c r="R299" s="17" t="s">
        <v>52</v>
      </c>
      <c r="S299" s="17" t="s">
        <v>2570</v>
      </c>
      <c r="T299" s="17" t="s">
        <v>54</v>
      </c>
      <c r="U299" s="17" t="s">
        <v>55</v>
      </c>
      <c r="V299" s="17" t="s">
        <v>70</v>
      </c>
      <c r="W299" s="17" t="s">
        <v>1150</v>
      </c>
      <c r="X299" s="17" t="s">
        <v>150</v>
      </c>
      <c r="Y299" s="17" t="s">
        <v>150</v>
      </c>
      <c r="Z299" s="17">
        <v>43.215565939000001</v>
      </c>
      <c r="AA299" s="17">
        <v>-92.435762688799997</v>
      </c>
      <c r="AB299" s="17" t="s">
        <v>2501</v>
      </c>
      <c r="AC299" s="17">
        <v>2</v>
      </c>
      <c r="AD299" s="17">
        <v>4.0582941727399823E-5</v>
      </c>
      <c r="AE299" s="17">
        <f t="shared" si="4"/>
        <v>2018</v>
      </c>
    </row>
    <row r="300" spans="1:31" x14ac:dyDescent="0.25">
      <c r="A300" s="17">
        <v>299</v>
      </c>
      <c r="B300" s="17" t="s">
        <v>2571</v>
      </c>
      <c r="C300" s="17" t="s">
        <v>2571</v>
      </c>
      <c r="D300" s="17" t="s">
        <v>2572</v>
      </c>
      <c r="E300" s="17" t="s">
        <v>2573</v>
      </c>
      <c r="F300" s="17" t="s">
        <v>2574</v>
      </c>
      <c r="G300" s="17" t="s">
        <v>2575</v>
      </c>
      <c r="H300" s="17" t="s">
        <v>2576</v>
      </c>
      <c r="I300" s="17" t="s">
        <v>2577</v>
      </c>
      <c r="J300" s="17" t="s">
        <v>988</v>
      </c>
      <c r="K300" s="17" t="s">
        <v>120</v>
      </c>
      <c r="L300" s="17" t="s">
        <v>2568</v>
      </c>
      <c r="M300" s="17"/>
      <c r="N300" s="17" t="s">
        <v>145</v>
      </c>
      <c r="O300" s="17" t="s">
        <v>146</v>
      </c>
      <c r="P300" s="17" t="s">
        <v>147</v>
      </c>
      <c r="Q300" s="17" t="s">
        <v>51</v>
      </c>
      <c r="R300" s="17" t="s">
        <v>52</v>
      </c>
      <c r="S300" s="17" t="s">
        <v>2578</v>
      </c>
      <c r="T300" s="17" t="s">
        <v>54</v>
      </c>
      <c r="U300" s="17" t="s">
        <v>288</v>
      </c>
      <c r="V300" s="17" t="s">
        <v>56</v>
      </c>
      <c r="W300" s="17" t="s">
        <v>2224</v>
      </c>
      <c r="X300" s="17" t="s">
        <v>58</v>
      </c>
      <c r="Y300" s="17" t="s">
        <v>89</v>
      </c>
      <c r="Z300" s="17">
        <v>43.227578409899998</v>
      </c>
      <c r="AA300" s="17">
        <v>-92.435799669399998</v>
      </c>
      <c r="AB300" s="17" t="s">
        <v>2501</v>
      </c>
      <c r="AC300" s="17">
        <v>2</v>
      </c>
      <c r="AD300" s="17">
        <v>4.8291060224124403E-5</v>
      </c>
      <c r="AE300" s="17">
        <f t="shared" si="4"/>
        <v>2015</v>
      </c>
    </row>
    <row r="301" spans="1:31" x14ac:dyDescent="0.25">
      <c r="A301" s="17">
        <v>300</v>
      </c>
      <c r="B301" s="17" t="s">
        <v>2579</v>
      </c>
      <c r="C301" s="17" t="s">
        <v>2579</v>
      </c>
      <c r="D301" s="17" t="s">
        <v>2580</v>
      </c>
      <c r="E301" s="17" t="s">
        <v>2581</v>
      </c>
      <c r="F301" s="17" t="s">
        <v>2582</v>
      </c>
      <c r="G301" s="17" t="s">
        <v>2583</v>
      </c>
      <c r="H301" s="17" t="s">
        <v>2584</v>
      </c>
      <c r="I301" s="17" t="s">
        <v>2585</v>
      </c>
      <c r="J301" s="17" t="s">
        <v>2586</v>
      </c>
      <c r="K301" s="17" t="s">
        <v>120</v>
      </c>
      <c r="L301" s="17" t="s">
        <v>2568</v>
      </c>
      <c r="M301" s="17"/>
      <c r="N301" s="17" t="s">
        <v>48</v>
      </c>
      <c r="O301" s="17" t="s">
        <v>2569</v>
      </c>
      <c r="P301" s="17" t="s">
        <v>50</v>
      </c>
      <c r="Q301" s="17" t="s">
        <v>51</v>
      </c>
      <c r="R301" s="17" t="s">
        <v>52</v>
      </c>
      <c r="S301" s="17" t="s">
        <v>2570</v>
      </c>
      <c r="T301" s="17" t="s">
        <v>54</v>
      </c>
      <c r="U301" s="17" t="s">
        <v>55</v>
      </c>
      <c r="V301" s="17" t="s">
        <v>70</v>
      </c>
      <c r="W301" s="17" t="s">
        <v>87</v>
      </c>
      <c r="X301" s="17" t="s">
        <v>150</v>
      </c>
      <c r="Y301" s="17" t="s">
        <v>150</v>
      </c>
      <c r="Z301" s="17">
        <v>43.229469430999998</v>
      </c>
      <c r="AA301" s="17">
        <v>-92.435806856200003</v>
      </c>
      <c r="AB301" s="17" t="s">
        <v>2501</v>
      </c>
      <c r="AC301" s="17">
        <v>2</v>
      </c>
      <c r="AD301" s="17">
        <v>3.6240568893792269E-5</v>
      </c>
      <c r="AE301" s="17">
        <f t="shared" si="4"/>
        <v>2018</v>
      </c>
    </row>
    <row r="302" spans="1:31" x14ac:dyDescent="0.25">
      <c r="A302" s="17">
        <v>301</v>
      </c>
      <c r="B302" s="17" t="s">
        <v>2587</v>
      </c>
      <c r="C302" s="17" t="s">
        <v>2587</v>
      </c>
      <c r="D302" s="17" t="s">
        <v>2588</v>
      </c>
      <c r="E302" s="17" t="s">
        <v>2589</v>
      </c>
      <c r="F302" s="17" t="s">
        <v>2590</v>
      </c>
      <c r="G302" s="17" t="s">
        <v>2591</v>
      </c>
      <c r="H302" s="17" t="s">
        <v>2592</v>
      </c>
      <c r="I302" s="17" t="s">
        <v>2593</v>
      </c>
      <c r="J302" s="17" t="s">
        <v>309</v>
      </c>
      <c r="K302" s="17" t="s">
        <v>82</v>
      </c>
      <c r="L302" s="17" t="s">
        <v>2568</v>
      </c>
      <c r="M302" s="17"/>
      <c r="N302" s="17" t="s">
        <v>48</v>
      </c>
      <c r="O302" s="17" t="s">
        <v>2569</v>
      </c>
      <c r="P302" s="17" t="s">
        <v>50</v>
      </c>
      <c r="Q302" s="17" t="s">
        <v>51</v>
      </c>
      <c r="R302" s="17" t="s">
        <v>52</v>
      </c>
      <c r="S302" s="17" t="s">
        <v>2570</v>
      </c>
      <c r="T302" s="17" t="s">
        <v>54</v>
      </c>
      <c r="U302" s="17" t="s">
        <v>55</v>
      </c>
      <c r="V302" s="17" t="s">
        <v>70</v>
      </c>
      <c r="W302" s="17" t="s">
        <v>335</v>
      </c>
      <c r="X302" s="17" t="s">
        <v>150</v>
      </c>
      <c r="Y302" s="17" t="s">
        <v>150</v>
      </c>
      <c r="Z302" s="17">
        <v>43.231846684799997</v>
      </c>
      <c r="AA302" s="17">
        <v>-92.435809557699997</v>
      </c>
      <c r="AB302" s="17" t="s">
        <v>2501</v>
      </c>
      <c r="AC302" s="17">
        <v>2</v>
      </c>
      <c r="AD302" s="17">
        <v>1.4758922356860311E-5</v>
      </c>
      <c r="AE302" s="17">
        <f t="shared" si="4"/>
        <v>2016</v>
      </c>
    </row>
    <row r="303" spans="1:31" x14ac:dyDescent="0.25">
      <c r="A303" s="17">
        <v>302</v>
      </c>
      <c r="B303" s="17" t="s">
        <v>2594</v>
      </c>
      <c r="C303" s="17" t="s">
        <v>2594</v>
      </c>
      <c r="D303" s="17" t="s">
        <v>2595</v>
      </c>
      <c r="E303" s="17" t="s">
        <v>2596</v>
      </c>
      <c r="F303" s="17" t="s">
        <v>2597</v>
      </c>
      <c r="G303" s="17" t="s">
        <v>2598</v>
      </c>
      <c r="H303" s="17" t="s">
        <v>2599</v>
      </c>
      <c r="I303" s="17" t="s">
        <v>2600</v>
      </c>
      <c r="J303" s="17" t="s">
        <v>2601</v>
      </c>
      <c r="K303" s="17" t="s">
        <v>259</v>
      </c>
      <c r="L303" s="17" t="s">
        <v>2568</v>
      </c>
      <c r="M303" s="17"/>
      <c r="N303" s="17" t="s">
        <v>145</v>
      </c>
      <c r="O303" s="17" t="s">
        <v>146</v>
      </c>
      <c r="P303" s="17" t="s">
        <v>147</v>
      </c>
      <c r="Q303" s="17" t="s">
        <v>51</v>
      </c>
      <c r="R303" s="17" t="s">
        <v>52</v>
      </c>
      <c r="S303" s="17" t="s">
        <v>2602</v>
      </c>
      <c r="T303" s="17" t="s">
        <v>54</v>
      </c>
      <c r="U303" s="17" t="s">
        <v>55</v>
      </c>
      <c r="V303" s="17" t="s">
        <v>344</v>
      </c>
      <c r="W303" s="17" t="s">
        <v>189</v>
      </c>
      <c r="X303" s="17" t="s">
        <v>2603</v>
      </c>
      <c r="Y303" s="17" t="s">
        <v>89</v>
      </c>
      <c r="Z303" s="17">
        <v>43.234494128400002</v>
      </c>
      <c r="AA303" s="17">
        <v>-92.435822081300003</v>
      </c>
      <c r="AB303" s="17" t="s">
        <v>2501</v>
      </c>
      <c r="AC303" s="17">
        <v>2</v>
      </c>
      <c r="AD303" s="17">
        <v>3.4916882052733942E-7</v>
      </c>
      <c r="AE303" s="17">
        <f t="shared" si="4"/>
        <v>2015</v>
      </c>
    </row>
    <row r="304" spans="1:31" x14ac:dyDescent="0.25">
      <c r="A304" s="17">
        <v>303</v>
      </c>
      <c r="B304" s="17" t="s">
        <v>2604</v>
      </c>
      <c r="C304" s="17" t="s">
        <v>2604</v>
      </c>
      <c r="D304" s="17" t="s">
        <v>2605</v>
      </c>
      <c r="E304" s="17" t="s">
        <v>2606</v>
      </c>
      <c r="F304" s="17" t="s">
        <v>2607</v>
      </c>
      <c r="G304" s="17" t="s">
        <v>2608</v>
      </c>
      <c r="H304" s="17" t="s">
        <v>2609</v>
      </c>
      <c r="I304" s="17" t="s">
        <v>2610</v>
      </c>
      <c r="J304" s="17" t="s">
        <v>2611</v>
      </c>
      <c r="K304" s="17" t="s">
        <v>47</v>
      </c>
      <c r="L304" s="17" t="s">
        <v>2568</v>
      </c>
      <c r="M304" s="17"/>
      <c r="N304" s="17" t="s">
        <v>48</v>
      </c>
      <c r="O304" s="17" t="s">
        <v>2569</v>
      </c>
      <c r="P304" s="17" t="s">
        <v>50</v>
      </c>
      <c r="Q304" s="17" t="s">
        <v>51</v>
      </c>
      <c r="R304" s="17" t="s">
        <v>52</v>
      </c>
      <c r="S304" s="17" t="s">
        <v>2612</v>
      </c>
      <c r="T304" s="17" t="s">
        <v>54</v>
      </c>
      <c r="U304" s="17" t="s">
        <v>55</v>
      </c>
      <c r="V304" s="17" t="s">
        <v>70</v>
      </c>
      <c r="W304" s="17" t="s">
        <v>199</v>
      </c>
      <c r="X304" s="17" t="s">
        <v>150</v>
      </c>
      <c r="Y304" s="17" t="s">
        <v>150</v>
      </c>
      <c r="Z304" s="17">
        <v>43.236646392899999</v>
      </c>
      <c r="AA304" s="17">
        <v>-92.435851489200004</v>
      </c>
      <c r="AB304" s="17" t="s">
        <v>2501</v>
      </c>
      <c r="AC304" s="17">
        <v>2</v>
      </c>
      <c r="AD304" s="17">
        <v>7.860925215006784E-6</v>
      </c>
      <c r="AE304" s="17">
        <f t="shared" si="4"/>
        <v>2022</v>
      </c>
    </row>
    <row r="305" spans="1:31" x14ac:dyDescent="0.25">
      <c r="A305" s="17">
        <v>304</v>
      </c>
      <c r="B305" s="17" t="s">
        <v>2613</v>
      </c>
      <c r="C305" s="17" t="s">
        <v>2614</v>
      </c>
      <c r="D305" s="17" t="s">
        <v>2615</v>
      </c>
      <c r="E305" s="17" t="s">
        <v>2616</v>
      </c>
      <c r="F305" s="17" t="s">
        <v>2617</v>
      </c>
      <c r="G305" s="17" t="s">
        <v>2618</v>
      </c>
      <c r="H305" s="17" t="s">
        <v>2619</v>
      </c>
      <c r="I305" s="17" t="s">
        <v>2620</v>
      </c>
      <c r="J305" s="17" t="s">
        <v>2621</v>
      </c>
      <c r="K305" s="17" t="s">
        <v>99</v>
      </c>
      <c r="L305" s="17" t="s">
        <v>5</v>
      </c>
      <c r="M305" s="17"/>
      <c r="N305" s="17" t="s">
        <v>429</v>
      </c>
      <c r="O305" s="17" t="s">
        <v>2622</v>
      </c>
      <c r="P305" s="17" t="s">
        <v>467</v>
      </c>
      <c r="Q305" s="17" t="s">
        <v>51</v>
      </c>
      <c r="R305" s="17" t="s">
        <v>52</v>
      </c>
      <c r="S305" s="17" t="s">
        <v>2623</v>
      </c>
      <c r="T305" s="17" t="s">
        <v>429</v>
      </c>
      <c r="U305" s="17" t="s">
        <v>433</v>
      </c>
      <c r="V305" s="17" t="s">
        <v>344</v>
      </c>
      <c r="W305" s="17" t="s">
        <v>362</v>
      </c>
      <c r="X305" s="17" t="s">
        <v>88</v>
      </c>
      <c r="Y305" s="17" t="s">
        <v>89</v>
      </c>
      <c r="Z305" s="17">
        <v>43.377229585899997</v>
      </c>
      <c r="AA305" s="17">
        <v>-92.812253010399999</v>
      </c>
      <c r="AB305" s="17" t="s">
        <v>2624</v>
      </c>
      <c r="AC305" s="17">
        <v>18</v>
      </c>
      <c r="AD305" s="17">
        <v>4.3040405036015768E-4</v>
      </c>
      <c r="AE305" s="17">
        <f t="shared" si="4"/>
        <v>2013</v>
      </c>
    </row>
    <row r="306" spans="1:31" x14ac:dyDescent="0.25">
      <c r="A306" s="17">
        <v>305</v>
      </c>
      <c r="B306" s="17" t="s">
        <v>2625</v>
      </c>
      <c r="C306" s="17" t="s">
        <v>2626</v>
      </c>
      <c r="D306" s="17" t="s">
        <v>2627</v>
      </c>
      <c r="E306" s="17" t="s">
        <v>2628</v>
      </c>
      <c r="F306" s="17" t="s">
        <v>2617</v>
      </c>
      <c r="G306" s="17" t="s">
        <v>2618</v>
      </c>
      <c r="H306" s="17" t="s">
        <v>2619</v>
      </c>
      <c r="I306" s="17" t="s">
        <v>2620</v>
      </c>
      <c r="J306" s="17" t="s">
        <v>2629</v>
      </c>
      <c r="K306" s="17" t="s">
        <v>47</v>
      </c>
      <c r="L306" s="17" t="s">
        <v>5</v>
      </c>
      <c r="M306" s="17"/>
      <c r="N306" s="17" t="s">
        <v>429</v>
      </c>
      <c r="O306" s="17" t="s">
        <v>2622</v>
      </c>
      <c r="P306" s="17" t="s">
        <v>467</v>
      </c>
      <c r="Q306" s="17" t="s">
        <v>51</v>
      </c>
      <c r="R306" s="17" t="s">
        <v>52</v>
      </c>
      <c r="S306" s="17" t="s">
        <v>2623</v>
      </c>
      <c r="T306" s="17" t="s">
        <v>429</v>
      </c>
      <c r="U306" s="17" t="s">
        <v>433</v>
      </c>
      <c r="V306" s="17" t="s">
        <v>56</v>
      </c>
      <c r="W306" s="17" t="s">
        <v>2630</v>
      </c>
      <c r="X306" s="17" t="s">
        <v>59</v>
      </c>
      <c r="Y306" s="17" t="s">
        <v>89</v>
      </c>
      <c r="Z306" s="17">
        <v>43.377229585899997</v>
      </c>
      <c r="AA306" s="17">
        <v>-92.812253010399999</v>
      </c>
      <c r="AB306" s="17" t="s">
        <v>2624</v>
      </c>
      <c r="AC306" s="17">
        <v>18</v>
      </c>
      <c r="AD306" s="17">
        <v>4.3040405036015768E-4</v>
      </c>
      <c r="AE306" s="17">
        <f t="shared" si="4"/>
        <v>2013</v>
      </c>
    </row>
    <row r="307" spans="1:31" x14ac:dyDescent="0.25">
      <c r="A307" s="17">
        <v>306</v>
      </c>
      <c r="B307" s="17" t="s">
        <v>2631</v>
      </c>
      <c r="C307" s="17" t="s">
        <v>2631</v>
      </c>
      <c r="D307" s="17" t="s">
        <v>2632</v>
      </c>
      <c r="E307" s="17" t="s">
        <v>2633</v>
      </c>
      <c r="F307" s="17" t="s">
        <v>2634</v>
      </c>
      <c r="G307" s="17" t="s">
        <v>2635</v>
      </c>
      <c r="H307" s="17" t="s">
        <v>2636</v>
      </c>
      <c r="I307" s="17" t="s">
        <v>2637</v>
      </c>
      <c r="J307" s="17" t="s">
        <v>2149</v>
      </c>
      <c r="K307" s="17" t="s">
        <v>47</v>
      </c>
      <c r="L307" s="17" t="s">
        <v>5</v>
      </c>
      <c r="M307" s="17"/>
      <c r="N307" s="17" t="s">
        <v>145</v>
      </c>
      <c r="O307" s="17" t="s">
        <v>146</v>
      </c>
      <c r="P307" s="17" t="s">
        <v>147</v>
      </c>
      <c r="Q307" s="17" t="s">
        <v>51</v>
      </c>
      <c r="R307" s="17" t="s">
        <v>52</v>
      </c>
      <c r="S307" s="17" t="s">
        <v>2638</v>
      </c>
      <c r="T307" s="17" t="s">
        <v>54</v>
      </c>
      <c r="U307" s="17" t="s">
        <v>55</v>
      </c>
      <c r="V307" s="17" t="s">
        <v>344</v>
      </c>
      <c r="W307" s="17" t="s">
        <v>2639</v>
      </c>
      <c r="X307" s="17" t="s">
        <v>484</v>
      </c>
      <c r="Y307" s="17" t="s">
        <v>179</v>
      </c>
      <c r="Z307" s="17">
        <v>43.381746863300002</v>
      </c>
      <c r="AA307" s="17">
        <v>-92.810448991599998</v>
      </c>
      <c r="AB307" s="17" t="s">
        <v>2624</v>
      </c>
      <c r="AC307" s="17">
        <v>18</v>
      </c>
      <c r="AD307" s="17">
        <v>2.5991980514490472E-5</v>
      </c>
      <c r="AE307" s="17">
        <f t="shared" si="4"/>
        <v>2015</v>
      </c>
    </row>
    <row r="308" spans="1:31" x14ac:dyDescent="0.25">
      <c r="A308" s="17">
        <v>307</v>
      </c>
      <c r="B308" s="17" t="s">
        <v>2640</v>
      </c>
      <c r="C308" s="17" t="s">
        <v>2640</v>
      </c>
      <c r="D308" s="17" t="s">
        <v>2641</v>
      </c>
      <c r="E308" s="17" t="s">
        <v>2642</v>
      </c>
      <c r="F308" s="17" t="s">
        <v>2643</v>
      </c>
      <c r="G308" s="17" t="s">
        <v>2644</v>
      </c>
      <c r="H308" s="17" t="s">
        <v>2645</v>
      </c>
      <c r="I308" s="17" t="s">
        <v>2646</v>
      </c>
      <c r="J308" s="17" t="s">
        <v>2647</v>
      </c>
      <c r="K308" s="17" t="s">
        <v>82</v>
      </c>
      <c r="L308" s="17" t="s">
        <v>5</v>
      </c>
      <c r="M308" s="17"/>
      <c r="N308" s="17" t="s">
        <v>48</v>
      </c>
      <c r="O308" s="17" t="s">
        <v>2648</v>
      </c>
      <c r="P308" s="17" t="s">
        <v>50</v>
      </c>
      <c r="Q308" s="17" t="s">
        <v>51</v>
      </c>
      <c r="R308" s="17" t="s">
        <v>52</v>
      </c>
      <c r="S308" s="17" t="s">
        <v>2649</v>
      </c>
      <c r="T308" s="17" t="s">
        <v>54</v>
      </c>
      <c r="U308" s="17" t="s">
        <v>288</v>
      </c>
      <c r="V308" s="17" t="s">
        <v>344</v>
      </c>
      <c r="W308" s="17" t="s">
        <v>2650</v>
      </c>
      <c r="X308" s="17" t="s">
        <v>484</v>
      </c>
      <c r="Y308" s="17" t="s">
        <v>161</v>
      </c>
      <c r="Z308" s="17">
        <v>43.384608528100003</v>
      </c>
      <c r="AA308" s="17">
        <v>-92.809390668999995</v>
      </c>
      <c r="AB308" s="17" t="s">
        <v>2624</v>
      </c>
      <c r="AC308" s="17">
        <v>18</v>
      </c>
      <c r="AD308" s="17">
        <v>1.149061833248643E-4</v>
      </c>
      <c r="AE308" s="17">
        <f t="shared" si="4"/>
        <v>2016</v>
      </c>
    </row>
    <row r="309" spans="1:31" x14ac:dyDescent="0.25">
      <c r="A309" s="17">
        <v>308</v>
      </c>
      <c r="B309" s="17" t="s">
        <v>2651</v>
      </c>
      <c r="C309" s="17" t="s">
        <v>2651</v>
      </c>
      <c r="D309" s="17" t="s">
        <v>2652</v>
      </c>
      <c r="E309" s="17" t="s">
        <v>2653</v>
      </c>
      <c r="F309" s="17" t="s">
        <v>2654</v>
      </c>
      <c r="G309" s="17" t="s">
        <v>2655</v>
      </c>
      <c r="H309" s="17" t="s">
        <v>2656</v>
      </c>
      <c r="I309" s="17" t="s">
        <v>2657</v>
      </c>
      <c r="J309" s="17" t="s">
        <v>2095</v>
      </c>
      <c r="K309" s="17" t="s">
        <v>47</v>
      </c>
      <c r="L309" s="17" t="s">
        <v>5</v>
      </c>
      <c r="M309" s="17"/>
      <c r="N309" s="17" t="s">
        <v>48</v>
      </c>
      <c r="O309" s="17" t="s">
        <v>2658</v>
      </c>
      <c r="P309" s="17" t="s">
        <v>50</v>
      </c>
      <c r="Q309" s="17" t="s">
        <v>51</v>
      </c>
      <c r="R309" s="17" t="s">
        <v>52</v>
      </c>
      <c r="S309" s="17" t="s">
        <v>2659</v>
      </c>
      <c r="T309" s="17" t="s">
        <v>54</v>
      </c>
      <c r="U309" s="17" t="s">
        <v>55</v>
      </c>
      <c r="V309" s="17" t="s">
        <v>70</v>
      </c>
      <c r="W309" s="17" t="s">
        <v>149</v>
      </c>
      <c r="X309" s="17" t="s">
        <v>101</v>
      </c>
      <c r="Y309" s="17" t="s">
        <v>89</v>
      </c>
      <c r="Z309" s="17">
        <v>43.384708131899998</v>
      </c>
      <c r="AA309" s="17">
        <v>-92.809723698400006</v>
      </c>
      <c r="AB309" s="17" t="s">
        <v>2624</v>
      </c>
      <c r="AC309" s="17">
        <v>18</v>
      </c>
      <c r="AD309" s="17">
        <v>1.8065128186529159E-4</v>
      </c>
      <c r="AE309" s="17">
        <f t="shared" si="4"/>
        <v>2021</v>
      </c>
    </row>
    <row r="310" spans="1:31" x14ac:dyDescent="0.25">
      <c r="A310" s="17">
        <v>309</v>
      </c>
      <c r="B310" s="17" t="s">
        <v>2660</v>
      </c>
      <c r="C310" s="17" t="s">
        <v>2660</v>
      </c>
      <c r="D310" s="17" t="s">
        <v>2661</v>
      </c>
      <c r="E310" s="17" t="s">
        <v>2662</v>
      </c>
      <c r="F310" s="17" t="s">
        <v>2663</v>
      </c>
      <c r="G310" s="17" t="s">
        <v>2664</v>
      </c>
      <c r="H310" s="17" t="s">
        <v>2665</v>
      </c>
      <c r="I310" s="17" t="s">
        <v>2666</v>
      </c>
      <c r="J310" s="17" t="s">
        <v>2667</v>
      </c>
      <c r="K310" s="17" t="s">
        <v>82</v>
      </c>
      <c r="L310" s="17" t="s">
        <v>5</v>
      </c>
      <c r="M310" s="17"/>
      <c r="N310" s="17" t="s">
        <v>48</v>
      </c>
      <c r="O310" s="17" t="s">
        <v>2648</v>
      </c>
      <c r="P310" s="17" t="s">
        <v>50</v>
      </c>
      <c r="Q310" s="17" t="s">
        <v>51</v>
      </c>
      <c r="R310" s="17" t="s">
        <v>52</v>
      </c>
      <c r="S310" s="17" t="s">
        <v>2668</v>
      </c>
      <c r="T310" s="17" t="s">
        <v>54</v>
      </c>
      <c r="U310" s="17" t="s">
        <v>55</v>
      </c>
      <c r="V310" s="17" t="s">
        <v>70</v>
      </c>
      <c r="W310" s="17" t="s">
        <v>2224</v>
      </c>
      <c r="X310" s="17" t="s">
        <v>72</v>
      </c>
      <c r="Y310" s="17" t="s">
        <v>161</v>
      </c>
      <c r="Z310" s="17">
        <v>43.385273143600003</v>
      </c>
      <c r="AA310" s="17">
        <v>-92.808363860699998</v>
      </c>
      <c r="AB310" s="17" t="s">
        <v>2624</v>
      </c>
      <c r="AC310" s="17">
        <v>18</v>
      </c>
      <c r="AD310" s="17">
        <v>4.8190300249660039E-5</v>
      </c>
      <c r="AE310" s="17">
        <f t="shared" si="4"/>
        <v>2022</v>
      </c>
    </row>
    <row r="311" spans="1:31" x14ac:dyDescent="0.25">
      <c r="A311" s="17">
        <v>310</v>
      </c>
      <c r="B311" s="17" t="s">
        <v>2669</v>
      </c>
      <c r="C311" s="17" t="s">
        <v>2669</v>
      </c>
      <c r="D311" s="17" t="s">
        <v>2670</v>
      </c>
      <c r="E311" s="17" t="s">
        <v>2671</v>
      </c>
      <c r="F311" s="17" t="s">
        <v>2672</v>
      </c>
      <c r="G311" s="17" t="s">
        <v>2673</v>
      </c>
      <c r="H311" s="17" t="s">
        <v>2674</v>
      </c>
      <c r="I311" s="17" t="s">
        <v>2675</v>
      </c>
      <c r="J311" s="17" t="s">
        <v>2676</v>
      </c>
      <c r="K311" s="17" t="s">
        <v>259</v>
      </c>
      <c r="L311" s="17" t="s">
        <v>5</v>
      </c>
      <c r="M311" s="17"/>
      <c r="N311" s="17" t="s">
        <v>48</v>
      </c>
      <c r="O311" s="17" t="s">
        <v>2648</v>
      </c>
      <c r="P311" s="17" t="s">
        <v>50</v>
      </c>
      <c r="Q311" s="17" t="s">
        <v>51</v>
      </c>
      <c r="R311" s="17" t="s">
        <v>52</v>
      </c>
      <c r="S311" s="17" t="s">
        <v>2677</v>
      </c>
      <c r="T311" s="17" t="s">
        <v>54</v>
      </c>
      <c r="U311" s="17" t="s">
        <v>55</v>
      </c>
      <c r="V311" s="17" t="s">
        <v>56</v>
      </c>
      <c r="W311" s="17" t="s">
        <v>335</v>
      </c>
      <c r="X311" s="17" t="s">
        <v>72</v>
      </c>
      <c r="Y311" s="17" t="s">
        <v>179</v>
      </c>
      <c r="Z311" s="17">
        <v>43.385649150100001</v>
      </c>
      <c r="AA311" s="17">
        <v>-92.807066328100007</v>
      </c>
      <c r="AB311" s="17" t="s">
        <v>2624</v>
      </c>
      <c r="AC311" s="17">
        <v>18</v>
      </c>
      <c r="AD311" s="17">
        <v>7.1958842567986997E-5</v>
      </c>
      <c r="AE311" s="17">
        <f t="shared" si="4"/>
        <v>2017</v>
      </c>
    </row>
    <row r="312" spans="1:31" x14ac:dyDescent="0.25">
      <c r="A312" s="17">
        <v>311</v>
      </c>
      <c r="B312" s="17" t="s">
        <v>2678</v>
      </c>
      <c r="C312" s="17" t="s">
        <v>2679</v>
      </c>
      <c r="D312" s="17" t="s">
        <v>2680</v>
      </c>
      <c r="E312" s="17" t="s">
        <v>2681</v>
      </c>
      <c r="F312" s="17" t="s">
        <v>2682</v>
      </c>
      <c r="G312" s="17" t="s">
        <v>2683</v>
      </c>
      <c r="H312" s="17" t="s">
        <v>2684</v>
      </c>
      <c r="I312" s="17" t="s">
        <v>2685</v>
      </c>
      <c r="J312" s="17" t="s">
        <v>2686</v>
      </c>
      <c r="K312" s="17" t="s">
        <v>120</v>
      </c>
      <c r="L312" s="17" t="s">
        <v>5</v>
      </c>
      <c r="M312" s="17"/>
      <c r="N312" s="17" t="s">
        <v>145</v>
      </c>
      <c r="O312" s="17" t="s">
        <v>146</v>
      </c>
      <c r="P312" s="17" t="s">
        <v>147</v>
      </c>
      <c r="Q312" s="17" t="s">
        <v>51</v>
      </c>
      <c r="R312" s="17" t="s">
        <v>52</v>
      </c>
      <c r="S312" s="17" t="s">
        <v>2638</v>
      </c>
      <c r="T312" s="17" t="s">
        <v>54</v>
      </c>
      <c r="U312" s="17" t="s">
        <v>55</v>
      </c>
      <c r="V312" s="17" t="s">
        <v>70</v>
      </c>
      <c r="W312" s="17" t="s">
        <v>293</v>
      </c>
      <c r="X312" s="17" t="s">
        <v>150</v>
      </c>
      <c r="Y312" s="17" t="s">
        <v>150</v>
      </c>
      <c r="Z312" s="17">
        <v>43.385652972199999</v>
      </c>
      <c r="AA312" s="17">
        <v>-92.798831418899994</v>
      </c>
      <c r="AB312" s="17" t="s">
        <v>2624</v>
      </c>
      <c r="AC312" s="17">
        <v>18</v>
      </c>
      <c r="AD312" s="17">
        <v>9.0166079436480546E-6</v>
      </c>
      <c r="AE312" s="17">
        <f t="shared" si="4"/>
        <v>2014</v>
      </c>
    </row>
    <row r="313" spans="1:31" x14ac:dyDescent="0.25">
      <c r="A313" s="17">
        <v>312</v>
      </c>
      <c r="B313" s="17" t="s">
        <v>2687</v>
      </c>
      <c r="C313" s="17" t="s">
        <v>2687</v>
      </c>
      <c r="D313" s="17" t="s">
        <v>2688</v>
      </c>
      <c r="E313" s="17" t="s">
        <v>2689</v>
      </c>
      <c r="F313" s="17" t="s">
        <v>2690</v>
      </c>
      <c r="G313" s="17" t="s">
        <v>2691</v>
      </c>
      <c r="H313" s="17" t="s">
        <v>2692</v>
      </c>
      <c r="I313" s="17" t="s">
        <v>2693</v>
      </c>
      <c r="J313" s="17" t="s">
        <v>2694</v>
      </c>
      <c r="K313" s="17" t="s">
        <v>82</v>
      </c>
      <c r="L313" s="17" t="s">
        <v>5</v>
      </c>
      <c r="M313" s="17"/>
      <c r="N313" s="17" t="s">
        <v>48</v>
      </c>
      <c r="O313" s="17" t="s">
        <v>2648</v>
      </c>
      <c r="P313" s="17" t="s">
        <v>50</v>
      </c>
      <c r="Q313" s="17" t="s">
        <v>51</v>
      </c>
      <c r="R313" s="17" t="s">
        <v>52</v>
      </c>
      <c r="S313" s="17" t="s">
        <v>2677</v>
      </c>
      <c r="T313" s="17" t="s">
        <v>54</v>
      </c>
      <c r="U313" s="17" t="s">
        <v>55</v>
      </c>
      <c r="V313" s="17" t="s">
        <v>70</v>
      </c>
      <c r="W313" s="17" t="s">
        <v>2695</v>
      </c>
      <c r="X313" s="17" t="s">
        <v>101</v>
      </c>
      <c r="Y313" s="17" t="s">
        <v>89</v>
      </c>
      <c r="Z313" s="17">
        <v>43.385698646900003</v>
      </c>
      <c r="AA313" s="17">
        <v>-92.804399395900006</v>
      </c>
      <c r="AB313" s="17" t="s">
        <v>2624</v>
      </c>
      <c r="AC313" s="17">
        <v>18</v>
      </c>
      <c r="AD313" s="17">
        <v>7.1046322592133658E-6</v>
      </c>
      <c r="AE313" s="17">
        <f t="shared" si="4"/>
        <v>2021</v>
      </c>
    </row>
    <row r="314" spans="1:31" x14ac:dyDescent="0.25">
      <c r="A314" s="17">
        <v>313</v>
      </c>
      <c r="B314" s="17" t="s">
        <v>2696</v>
      </c>
      <c r="C314" s="17" t="s">
        <v>2696</v>
      </c>
      <c r="D314" s="17" t="s">
        <v>2697</v>
      </c>
      <c r="E314" s="17" t="s">
        <v>2698</v>
      </c>
      <c r="F314" s="17" t="s">
        <v>2699</v>
      </c>
      <c r="G314" s="17" t="s">
        <v>2700</v>
      </c>
      <c r="H314" s="17" t="s">
        <v>2701</v>
      </c>
      <c r="I314" s="17" t="s">
        <v>2702</v>
      </c>
      <c r="J314" s="17" t="s">
        <v>2703</v>
      </c>
      <c r="K314" s="17" t="s">
        <v>82</v>
      </c>
      <c r="L314" s="17" t="s">
        <v>5</v>
      </c>
      <c r="M314" s="17" t="s">
        <v>2704</v>
      </c>
      <c r="N314" s="17" t="s">
        <v>48</v>
      </c>
      <c r="O314" s="17" t="s">
        <v>2648</v>
      </c>
      <c r="P314" s="17" t="s">
        <v>50</v>
      </c>
      <c r="Q314" s="17" t="s">
        <v>51</v>
      </c>
      <c r="R314" s="17" t="s">
        <v>52</v>
      </c>
      <c r="S314" s="17" t="s">
        <v>2705</v>
      </c>
      <c r="T314" s="17" t="s">
        <v>54</v>
      </c>
      <c r="U314" s="17" t="s">
        <v>55</v>
      </c>
      <c r="V314" s="17" t="s">
        <v>344</v>
      </c>
      <c r="W314" s="17" t="s">
        <v>2706</v>
      </c>
      <c r="X314" s="17" t="s">
        <v>72</v>
      </c>
      <c r="Y314" s="17" t="s">
        <v>161</v>
      </c>
      <c r="Z314" s="17">
        <v>43.386059234100003</v>
      </c>
      <c r="AA314" s="17">
        <v>-92.784582497700001</v>
      </c>
      <c r="AB314" s="17" t="s">
        <v>2624</v>
      </c>
      <c r="AC314" s="17">
        <v>18</v>
      </c>
      <c r="AD314" s="17">
        <v>1.216174692585217E-4</v>
      </c>
      <c r="AE314" s="17">
        <f t="shared" si="4"/>
        <v>2018</v>
      </c>
    </row>
    <row r="315" spans="1:31" x14ac:dyDescent="0.25">
      <c r="A315" s="17">
        <v>314</v>
      </c>
      <c r="B315" s="17" t="s">
        <v>2707</v>
      </c>
      <c r="C315" s="17" t="s">
        <v>2707</v>
      </c>
      <c r="D315" s="17" t="s">
        <v>2708</v>
      </c>
      <c r="E315" s="17" t="s">
        <v>2709</v>
      </c>
      <c r="F315" s="17" t="s">
        <v>2710</v>
      </c>
      <c r="G315" s="17" t="s">
        <v>2711</v>
      </c>
      <c r="H315" s="17" t="s">
        <v>2712</v>
      </c>
      <c r="I315" s="17" t="s">
        <v>2713</v>
      </c>
      <c r="J315" s="17" t="s">
        <v>2714</v>
      </c>
      <c r="K315" s="17" t="s">
        <v>216</v>
      </c>
      <c r="L315" s="17" t="s">
        <v>5</v>
      </c>
      <c r="M315" s="17"/>
      <c r="N315" s="17" t="s">
        <v>48</v>
      </c>
      <c r="O315" s="17" t="s">
        <v>2715</v>
      </c>
      <c r="P315" s="17" t="s">
        <v>467</v>
      </c>
      <c r="Q315" s="17" t="s">
        <v>51</v>
      </c>
      <c r="R315" s="17" t="s">
        <v>52</v>
      </c>
      <c r="S315" s="17" t="s">
        <v>2716</v>
      </c>
      <c r="T315" s="17" t="s">
        <v>54</v>
      </c>
      <c r="U315" s="17" t="s">
        <v>288</v>
      </c>
      <c r="V315" s="17" t="s">
        <v>56</v>
      </c>
      <c r="W315" s="17" t="s">
        <v>335</v>
      </c>
      <c r="X315" s="17" t="s">
        <v>310</v>
      </c>
      <c r="Y315" s="17" t="s">
        <v>179</v>
      </c>
      <c r="Z315" s="17">
        <v>43.386526019400002</v>
      </c>
      <c r="AA315" s="17">
        <v>-92.783815371200006</v>
      </c>
      <c r="AB315" s="17" t="s">
        <v>2624</v>
      </c>
      <c r="AC315" s="17">
        <v>18</v>
      </c>
      <c r="AD315" s="17">
        <v>4.6163795411234069E-5</v>
      </c>
      <c r="AE315" s="17">
        <f t="shared" si="4"/>
        <v>2017</v>
      </c>
    </row>
    <row r="316" spans="1:31" x14ac:dyDescent="0.25">
      <c r="A316" s="17">
        <v>315</v>
      </c>
      <c r="B316" s="17" t="s">
        <v>2717</v>
      </c>
      <c r="C316" s="17" t="s">
        <v>2718</v>
      </c>
      <c r="D316" s="17" t="s">
        <v>2719</v>
      </c>
      <c r="E316" s="17" t="s">
        <v>2720</v>
      </c>
      <c r="F316" s="17" t="s">
        <v>2721</v>
      </c>
      <c r="G316" s="17" t="s">
        <v>2722</v>
      </c>
      <c r="H316" s="17" t="s">
        <v>2723</v>
      </c>
      <c r="I316" s="17" t="s">
        <v>2724</v>
      </c>
      <c r="J316" s="17" t="s">
        <v>2725</v>
      </c>
      <c r="K316" s="17" t="s">
        <v>120</v>
      </c>
      <c r="L316" s="17" t="s">
        <v>5</v>
      </c>
      <c r="M316" s="17"/>
      <c r="N316" s="17" t="s">
        <v>145</v>
      </c>
      <c r="O316" s="17" t="s">
        <v>146</v>
      </c>
      <c r="P316" s="17" t="s">
        <v>147</v>
      </c>
      <c r="Q316" s="17" t="s">
        <v>51</v>
      </c>
      <c r="R316" s="17" t="s">
        <v>52</v>
      </c>
      <c r="S316" s="17" t="s">
        <v>2638</v>
      </c>
      <c r="T316" s="17" t="s">
        <v>54</v>
      </c>
      <c r="U316" s="17" t="s">
        <v>55</v>
      </c>
      <c r="V316" s="17" t="s">
        <v>70</v>
      </c>
      <c r="W316" s="17" t="s">
        <v>446</v>
      </c>
      <c r="X316" s="17" t="s">
        <v>58</v>
      </c>
      <c r="Y316" s="17" t="s">
        <v>179</v>
      </c>
      <c r="Z316" s="17">
        <v>43.395888616500002</v>
      </c>
      <c r="AA316" s="17">
        <v>-92.782732489500006</v>
      </c>
      <c r="AB316" s="17" t="s">
        <v>2624</v>
      </c>
      <c r="AC316" s="17">
        <v>18</v>
      </c>
      <c r="AD316" s="17">
        <v>7.0679918541779874E-5</v>
      </c>
      <c r="AE316" s="17">
        <f t="shared" si="4"/>
        <v>2013</v>
      </c>
    </row>
    <row r="317" spans="1:31" x14ac:dyDescent="0.25">
      <c r="A317" s="17">
        <v>316</v>
      </c>
      <c r="B317" s="17" t="s">
        <v>2726</v>
      </c>
      <c r="C317" s="17" t="s">
        <v>2726</v>
      </c>
      <c r="D317" s="17" t="s">
        <v>2727</v>
      </c>
      <c r="E317" s="17" t="s">
        <v>2728</v>
      </c>
      <c r="F317" s="17" t="s">
        <v>2729</v>
      </c>
      <c r="G317" s="17" t="s">
        <v>2730</v>
      </c>
      <c r="H317" s="17" t="s">
        <v>2731</v>
      </c>
      <c r="I317" s="17" t="s">
        <v>2732</v>
      </c>
      <c r="J317" s="17" t="s">
        <v>2733</v>
      </c>
      <c r="K317" s="17" t="s">
        <v>69</v>
      </c>
      <c r="L317" s="17" t="s">
        <v>5</v>
      </c>
      <c r="M317" s="17"/>
      <c r="N317" s="17" t="s">
        <v>48</v>
      </c>
      <c r="O317" s="17" t="s">
        <v>2648</v>
      </c>
      <c r="P317" s="17" t="s">
        <v>50</v>
      </c>
      <c r="Q317" s="17" t="s">
        <v>51</v>
      </c>
      <c r="R317" s="17" t="s">
        <v>52</v>
      </c>
      <c r="S317" s="17" t="s">
        <v>2677</v>
      </c>
      <c r="T317" s="17" t="s">
        <v>54</v>
      </c>
      <c r="U317" s="17" t="s">
        <v>55</v>
      </c>
      <c r="V317" s="17" t="s">
        <v>70</v>
      </c>
      <c r="W317" s="17" t="s">
        <v>100</v>
      </c>
      <c r="X317" s="17" t="s">
        <v>310</v>
      </c>
      <c r="Y317" s="17" t="s">
        <v>179</v>
      </c>
      <c r="Z317" s="17">
        <v>43.3993013284</v>
      </c>
      <c r="AA317" s="17">
        <v>-92.782744993600005</v>
      </c>
      <c r="AB317" s="17" t="s">
        <v>2624</v>
      </c>
      <c r="AC317" s="17">
        <v>18</v>
      </c>
      <c r="AD317" s="17">
        <v>1.126668332701928E-4</v>
      </c>
      <c r="AE317" s="17">
        <f t="shared" si="4"/>
        <v>2019</v>
      </c>
    </row>
    <row r="318" spans="1:31" x14ac:dyDescent="0.25">
      <c r="A318" s="17">
        <v>317</v>
      </c>
      <c r="B318" s="17" t="s">
        <v>2734</v>
      </c>
      <c r="C318" s="17" t="s">
        <v>2734</v>
      </c>
      <c r="D318" s="17" t="s">
        <v>2735</v>
      </c>
      <c r="E318" s="17" t="s">
        <v>2736</v>
      </c>
      <c r="F318" s="17" t="s">
        <v>2737</v>
      </c>
      <c r="G318" s="17" t="s">
        <v>2738</v>
      </c>
      <c r="H318" s="17" t="s">
        <v>2739</v>
      </c>
      <c r="I318" s="17" t="s">
        <v>2740</v>
      </c>
      <c r="J318" s="17" t="s">
        <v>2741</v>
      </c>
      <c r="K318" s="17" t="s">
        <v>216</v>
      </c>
      <c r="L318" s="17" t="s">
        <v>5</v>
      </c>
      <c r="M318" s="17"/>
      <c r="N318" s="17" t="s">
        <v>48</v>
      </c>
      <c r="O318" s="17" t="s">
        <v>2648</v>
      </c>
      <c r="P318" s="17" t="s">
        <v>50</v>
      </c>
      <c r="Q318" s="17" t="s">
        <v>51</v>
      </c>
      <c r="R318" s="17" t="s">
        <v>52</v>
      </c>
      <c r="S318" s="17" t="s">
        <v>2742</v>
      </c>
      <c r="T318" s="17" t="s">
        <v>54</v>
      </c>
      <c r="U318" s="17" t="s">
        <v>55</v>
      </c>
      <c r="V318" s="17" t="s">
        <v>469</v>
      </c>
      <c r="W318" s="17" t="s">
        <v>2743</v>
      </c>
      <c r="X318" s="17" t="s">
        <v>2744</v>
      </c>
      <c r="Y318" s="17" t="s">
        <v>89</v>
      </c>
      <c r="Z318" s="17">
        <v>43.407261372199997</v>
      </c>
      <c r="AA318" s="17">
        <v>-92.782803000800001</v>
      </c>
      <c r="AB318" s="17" t="s">
        <v>2624</v>
      </c>
      <c r="AC318" s="17">
        <v>18</v>
      </c>
      <c r="AD318" s="17">
        <v>2.3944073331183771E-4</v>
      </c>
      <c r="AE318" s="17">
        <f t="shared" si="4"/>
        <v>2020</v>
      </c>
    </row>
    <row r="319" spans="1:31" x14ac:dyDescent="0.25">
      <c r="A319" s="17">
        <v>318</v>
      </c>
      <c r="B319" s="17" t="s">
        <v>2745</v>
      </c>
      <c r="C319" s="17" t="s">
        <v>2746</v>
      </c>
      <c r="D319" s="17" t="s">
        <v>2747</v>
      </c>
      <c r="E319" s="17" t="s">
        <v>2748</v>
      </c>
      <c r="F319" s="17" t="s">
        <v>2749</v>
      </c>
      <c r="G319" s="17" t="s">
        <v>2750</v>
      </c>
      <c r="H319" s="17" t="s">
        <v>2751</v>
      </c>
      <c r="I319" s="17" t="s">
        <v>2752</v>
      </c>
      <c r="J319" s="17" t="s">
        <v>2753</v>
      </c>
      <c r="K319" s="17" t="s">
        <v>120</v>
      </c>
      <c r="L319" s="17" t="s">
        <v>5</v>
      </c>
      <c r="M319" s="17"/>
      <c r="N319" s="17" t="s">
        <v>145</v>
      </c>
      <c r="O319" s="17" t="s">
        <v>146</v>
      </c>
      <c r="P319" s="17" t="s">
        <v>147</v>
      </c>
      <c r="Q319" s="17" t="s">
        <v>51</v>
      </c>
      <c r="R319" s="17" t="s">
        <v>52</v>
      </c>
      <c r="S319" s="17" t="s">
        <v>2638</v>
      </c>
      <c r="T319" s="17" t="s">
        <v>54</v>
      </c>
      <c r="U319" s="17" t="s">
        <v>55</v>
      </c>
      <c r="V319" s="17" t="s">
        <v>70</v>
      </c>
      <c r="W319" s="17" t="s">
        <v>2754</v>
      </c>
      <c r="X319" s="17" t="s">
        <v>72</v>
      </c>
      <c r="Y319" s="17" t="s">
        <v>179</v>
      </c>
      <c r="Z319" s="17">
        <v>43.422306995699998</v>
      </c>
      <c r="AA319" s="17">
        <v>-92.782390966999998</v>
      </c>
      <c r="AB319" s="17" t="s">
        <v>2624</v>
      </c>
      <c r="AC319" s="17">
        <v>18</v>
      </c>
      <c r="AD319" s="17">
        <v>4.2594501379141877E-5</v>
      </c>
      <c r="AE319" s="17">
        <f t="shared" si="4"/>
        <v>2013</v>
      </c>
    </row>
    <row r="320" spans="1:31" x14ac:dyDescent="0.25">
      <c r="A320" s="17">
        <v>319</v>
      </c>
      <c r="B320" s="17" t="s">
        <v>2755</v>
      </c>
      <c r="C320" s="17" t="s">
        <v>2755</v>
      </c>
      <c r="D320" s="17" t="s">
        <v>2756</v>
      </c>
      <c r="E320" s="17" t="s">
        <v>2757</v>
      </c>
      <c r="F320" s="17" t="s">
        <v>2758</v>
      </c>
      <c r="G320" s="17" t="s">
        <v>2759</v>
      </c>
      <c r="H320" s="17" t="s">
        <v>2760</v>
      </c>
      <c r="I320" s="17" t="s">
        <v>2761</v>
      </c>
      <c r="J320" s="17" t="s">
        <v>2762</v>
      </c>
      <c r="K320" s="17" t="s">
        <v>120</v>
      </c>
      <c r="L320" s="17" t="s">
        <v>5</v>
      </c>
      <c r="M320" s="17" t="s">
        <v>2704</v>
      </c>
      <c r="N320" s="17" t="s">
        <v>48</v>
      </c>
      <c r="O320" s="17" t="s">
        <v>1308</v>
      </c>
      <c r="P320" s="17" t="s">
        <v>50</v>
      </c>
      <c r="Q320" s="17" t="s">
        <v>51</v>
      </c>
      <c r="R320" s="17" t="s">
        <v>52</v>
      </c>
      <c r="S320" s="17" t="s">
        <v>2763</v>
      </c>
      <c r="T320" s="17" t="s">
        <v>86</v>
      </c>
      <c r="U320" s="17" t="s">
        <v>55</v>
      </c>
      <c r="V320" s="17" t="s">
        <v>56</v>
      </c>
      <c r="W320" s="17" t="s">
        <v>2764</v>
      </c>
      <c r="X320" s="17" t="s">
        <v>124</v>
      </c>
      <c r="Y320" s="17" t="s">
        <v>89</v>
      </c>
      <c r="Z320" s="17">
        <v>43.435147053400001</v>
      </c>
      <c r="AA320" s="17">
        <v>-92.782270825500007</v>
      </c>
      <c r="AB320" s="17" t="s">
        <v>2624</v>
      </c>
      <c r="AC320" s="17">
        <v>18</v>
      </c>
      <c r="AD320" s="17">
        <v>5.2158403925660732E-5</v>
      </c>
      <c r="AE320" s="17">
        <f t="shared" si="4"/>
        <v>2016</v>
      </c>
    </row>
    <row r="321" spans="1:31" x14ac:dyDescent="0.25">
      <c r="A321" s="17">
        <v>320</v>
      </c>
      <c r="B321" s="17" t="s">
        <v>2765</v>
      </c>
      <c r="C321" s="17" t="s">
        <v>2766</v>
      </c>
      <c r="D321" s="17" t="s">
        <v>2767</v>
      </c>
      <c r="E321" s="17" t="s">
        <v>2768</v>
      </c>
      <c r="F321" s="17" t="s">
        <v>2769</v>
      </c>
      <c r="G321" s="17" t="s">
        <v>2770</v>
      </c>
      <c r="H321" s="17" t="s">
        <v>2771</v>
      </c>
      <c r="I321" s="17" t="s">
        <v>2772</v>
      </c>
      <c r="J321" s="17" t="s">
        <v>2773</v>
      </c>
      <c r="K321" s="17" t="s">
        <v>120</v>
      </c>
      <c r="L321" s="17" t="s">
        <v>5</v>
      </c>
      <c r="M321" s="17" t="s">
        <v>2704</v>
      </c>
      <c r="N321" s="17" t="s">
        <v>145</v>
      </c>
      <c r="O321" s="17" t="s">
        <v>146</v>
      </c>
      <c r="P321" s="17" t="s">
        <v>147</v>
      </c>
      <c r="Q321" s="17" t="s">
        <v>51</v>
      </c>
      <c r="R321" s="17" t="s">
        <v>52</v>
      </c>
      <c r="S321" s="17" t="s">
        <v>2774</v>
      </c>
      <c r="T321" s="17" t="s">
        <v>54</v>
      </c>
      <c r="U321" s="17" t="s">
        <v>122</v>
      </c>
      <c r="V321" s="17" t="s">
        <v>70</v>
      </c>
      <c r="W321" s="17" t="s">
        <v>57</v>
      </c>
      <c r="X321" s="17" t="s">
        <v>434</v>
      </c>
      <c r="Y321" s="17" t="s">
        <v>89</v>
      </c>
      <c r="Z321" s="17">
        <v>43.4352821202</v>
      </c>
      <c r="AA321" s="17">
        <v>-92.782270341300006</v>
      </c>
      <c r="AB321" s="17" t="s">
        <v>2775</v>
      </c>
      <c r="AC321" s="17">
        <v>17</v>
      </c>
      <c r="AD321" s="17">
        <v>2.673861664657667E-5</v>
      </c>
      <c r="AE321" s="17">
        <f t="shared" si="4"/>
        <v>2013</v>
      </c>
    </row>
    <row r="322" spans="1:31" x14ac:dyDescent="0.25">
      <c r="A322" s="17">
        <v>321</v>
      </c>
      <c r="B322" s="17" t="s">
        <v>2776</v>
      </c>
      <c r="C322" s="17" t="s">
        <v>2776</v>
      </c>
      <c r="D322" s="17" t="s">
        <v>2777</v>
      </c>
      <c r="E322" s="17" t="s">
        <v>2778</v>
      </c>
      <c r="F322" s="17" t="s">
        <v>2779</v>
      </c>
      <c r="G322" s="17" t="s">
        <v>2780</v>
      </c>
      <c r="H322" s="17" t="s">
        <v>2781</v>
      </c>
      <c r="I322" s="17" t="s">
        <v>2782</v>
      </c>
      <c r="J322" s="17" t="s">
        <v>2783</v>
      </c>
      <c r="K322" s="17" t="s">
        <v>82</v>
      </c>
      <c r="L322" s="17" t="s">
        <v>5</v>
      </c>
      <c r="M322" s="17" t="s">
        <v>2704</v>
      </c>
      <c r="N322" s="17" t="s">
        <v>48</v>
      </c>
      <c r="O322" s="17" t="s">
        <v>2784</v>
      </c>
      <c r="P322" s="17" t="s">
        <v>467</v>
      </c>
      <c r="Q322" s="17" t="s">
        <v>51</v>
      </c>
      <c r="R322" s="17" t="s">
        <v>52</v>
      </c>
      <c r="S322" s="17" t="s">
        <v>2785</v>
      </c>
      <c r="T322" s="17" t="s">
        <v>54</v>
      </c>
      <c r="U322" s="17" t="s">
        <v>55</v>
      </c>
      <c r="V322" s="17" t="s">
        <v>70</v>
      </c>
      <c r="W322" s="17" t="s">
        <v>100</v>
      </c>
      <c r="X322" s="17" t="s">
        <v>59</v>
      </c>
      <c r="Y322" s="17" t="s">
        <v>89</v>
      </c>
      <c r="Z322" s="17">
        <v>43.436202878499998</v>
      </c>
      <c r="AA322" s="17">
        <v>-92.788296984799999</v>
      </c>
      <c r="AB322" s="17" t="s">
        <v>2786</v>
      </c>
      <c r="AC322" s="17">
        <v>16</v>
      </c>
      <c r="AD322" s="17">
        <v>8.6789844171611624E-6</v>
      </c>
      <c r="AE322" s="17">
        <f t="shared" si="4"/>
        <v>2019</v>
      </c>
    </row>
    <row r="323" spans="1:31" x14ac:dyDescent="0.25">
      <c r="A323" s="17">
        <v>322</v>
      </c>
      <c r="B323" s="17" t="s">
        <v>2787</v>
      </c>
      <c r="C323" s="17" t="s">
        <v>2787</v>
      </c>
      <c r="D323" s="17" t="s">
        <v>2788</v>
      </c>
      <c r="E323" s="17" t="s">
        <v>2789</v>
      </c>
      <c r="F323" s="17" t="s">
        <v>2790</v>
      </c>
      <c r="G323" s="17" t="s">
        <v>2791</v>
      </c>
      <c r="H323" s="17" t="s">
        <v>2792</v>
      </c>
      <c r="I323" s="17" t="s">
        <v>2793</v>
      </c>
      <c r="J323" s="17" t="s">
        <v>2794</v>
      </c>
      <c r="K323" s="17" t="s">
        <v>259</v>
      </c>
      <c r="L323" s="17" t="s">
        <v>5</v>
      </c>
      <c r="M323" s="17" t="s">
        <v>2704</v>
      </c>
      <c r="N323" s="17" t="s">
        <v>48</v>
      </c>
      <c r="O323" s="17" t="s">
        <v>802</v>
      </c>
      <c r="P323" s="17" t="s">
        <v>467</v>
      </c>
      <c r="Q323" s="17" t="s">
        <v>51</v>
      </c>
      <c r="R323" s="17" t="s">
        <v>52</v>
      </c>
      <c r="S323" s="17" t="s">
        <v>2795</v>
      </c>
      <c r="T323" s="17" t="s">
        <v>86</v>
      </c>
      <c r="U323" s="17" t="s">
        <v>122</v>
      </c>
      <c r="V323" s="17" t="s">
        <v>70</v>
      </c>
      <c r="W323" s="17" t="s">
        <v>2796</v>
      </c>
      <c r="X323" s="17" t="s">
        <v>88</v>
      </c>
      <c r="Y323" s="17" t="s">
        <v>89</v>
      </c>
      <c r="Z323" s="17">
        <v>43.436211957899999</v>
      </c>
      <c r="AA323" s="17">
        <v>-92.783527364899996</v>
      </c>
      <c r="AB323" s="17" t="s">
        <v>2786</v>
      </c>
      <c r="AC323" s="17">
        <v>16</v>
      </c>
      <c r="AD323" s="17">
        <v>3.5288249595375758E-5</v>
      </c>
      <c r="AE323" s="17">
        <f t="shared" ref="AE323" si="5">INT(LEFT(B323,4))</f>
        <v>2016</v>
      </c>
    </row>
  </sheetData>
  <autoFilter ref="A1:AE323" xr:uid="{F8894570-3CFA-49FD-9FDC-F4753606F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Assumptions</vt:lpstr>
      <vt:lpstr>Group BCA Summary</vt:lpstr>
      <vt:lpstr>Individual Summary</vt:lpstr>
      <vt:lpstr>Group Safety Benefits</vt:lpstr>
      <vt:lpstr>Group Capital Cost</vt:lpstr>
      <vt:lpstr>Group O&amp;M</vt:lpstr>
      <vt:lpstr>Chickasaw Annualization</vt:lpstr>
      <vt:lpstr>Chickasaw-VehOpCost</vt:lpstr>
      <vt:lpstr>Chickasaw Travel Time</vt:lpstr>
      <vt:lpstr>Chickasaw Air Quality</vt:lpstr>
      <vt:lpstr>Mitchell Annualization</vt:lpstr>
      <vt:lpstr>Mitchell Travel Time</vt:lpstr>
      <vt:lpstr>Mitchell-VehOpCost</vt:lpstr>
      <vt:lpstr>Mitchell Air Quality</vt:lpstr>
      <vt:lpstr>CrashData</vt:lpstr>
      <vt:lpstr>Assumptions!Print_Area</vt:lpstr>
      <vt:lpstr>'Chickasaw Air Quality'!Print_Area</vt:lpstr>
      <vt:lpstr>'Chickasaw Annualization'!Print_Area</vt:lpstr>
      <vt:lpstr>'Chickasaw Travel Time'!Print_Area</vt:lpstr>
      <vt:lpstr>'Group BCA Summary'!Print_Area</vt:lpstr>
      <vt:lpstr>'Group Capital Cost'!Print_Area</vt:lpstr>
      <vt:lpstr>'Group O&amp;M'!Print_Area</vt:lpstr>
      <vt:lpstr>'Group Safety Benefits'!Print_Area</vt:lpstr>
      <vt:lpstr>'Individual Summary'!Print_Area</vt:lpstr>
      <vt:lpstr>'Mitchell Air Quality'!Print_Area</vt:lpstr>
      <vt:lpstr>'Mitchell Annualization'!Print_Area</vt:lpstr>
      <vt:lpstr>'Mitchell Travel Time'!Print_Area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Kappelman</dc:creator>
  <cp:lastModifiedBy>Priyam Saxena</cp:lastModifiedBy>
  <dcterms:created xsi:type="dcterms:W3CDTF">2023-08-02T14:38:08Z</dcterms:created>
  <dcterms:modified xsi:type="dcterms:W3CDTF">2023-08-16T22:46:22Z</dcterms:modified>
</cp:coreProperties>
</file>