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K:\Trans\Grant Applications\2024 Grants\MPDG\NDDOT US 52\BCA\"/>
    </mc:Choice>
  </mc:AlternateContent>
  <xr:revisionPtr revIDLastSave="0" documentId="13_ncr:1_{DFE4C610-80CA-4FE5-8740-39B4360EE46A}" xr6:coauthVersionLast="47" xr6:coauthVersionMax="47" xr10:uidLastSave="{00000000-0000-0000-0000-000000000000}"/>
  <bookViews>
    <workbookView xWindow="-120" yWindow="-120" windowWidth="29040" windowHeight="15840" tabRatio="944" activeTab="4" xr2:uid="{9E28DA30-B9FB-4C47-9361-50F61B5571BD}"/>
  </bookViews>
  <sheets>
    <sheet name="Assumptions" sheetId="3" r:id="rId1"/>
    <sheet name="BCA Summary" sheetId="4" r:id="rId2"/>
    <sheet name="Travel Time - US52" sheetId="5" r:id="rId3"/>
    <sheet name="Veh Maint Cost - US52" sheetId="2" r:id="rId4"/>
    <sheet name="Safety" sheetId="13" r:id="rId5"/>
    <sheet name="Maintenance Costs" sheetId="15" r:id="rId6"/>
    <sheet name="Capital Costs" sheetId="9" r:id="rId7"/>
    <sheet name="Costs PCN 23153" sheetId="8" r:id="rId8"/>
    <sheet name="Costs PCN 23404" sheetId="10" r:id="rId9"/>
    <sheet name="Costs PCN 23721" sheetId="11" r:id="rId10"/>
    <sheet name="Intersection Crashes" sheetId="12" r:id="rId11"/>
    <sheet name="Design Data" sheetId="14" r:id="rId12"/>
  </sheets>
  <definedNames>
    <definedName name="_Fill" localSheetId="1" hidden="1">#REF!</definedName>
    <definedName name="_Fill" localSheetId="6" hidden="1">#REF!</definedName>
    <definedName name="_Fill" hidden="1">#REF!</definedName>
    <definedName name="_Key1" localSheetId="1" hidden="1">#REF!</definedName>
    <definedName name="_Key1" localSheetId="6" hidden="1">#REF!</definedName>
    <definedName name="_Key1" hidden="1">#REF!</definedName>
    <definedName name="_Key2" localSheetId="1" hidden="1">#REF!</definedName>
    <definedName name="_Key2" localSheetId="6" hidden="1">#REF!</definedName>
    <definedName name="_Key2" hidden="1">#REF!</definedName>
    <definedName name="_Order1" hidden="1">255</definedName>
    <definedName name="_Order2" hidden="1">255</definedName>
    <definedName name="BEx3O85IKWARA6NCJOLRBRJFMEWW" localSheetId="1" hidden="1">#REF!</definedName>
    <definedName name="BEx3O85IKWARA6NCJOLRBRJFMEWW" localSheetId="6" hidden="1">#REF!</definedName>
    <definedName name="BEx3O85IKWARA6NCJOLRBRJFMEWW" hidden="1">#REF!</definedName>
    <definedName name="BEx5MLQZM68YQSKARVWTTPINFQ2C" localSheetId="1" hidden="1">#REF!</definedName>
    <definedName name="BEx5MLQZM68YQSKARVWTTPINFQ2C" localSheetId="6" hidden="1">#REF!</definedName>
    <definedName name="BEx5MLQZM68YQSKARVWTTPINFQ2C" hidden="1">#REF!</definedName>
    <definedName name="BExERWCEBKQRYWRQLYJ4UCMMKTHG" hidden="1">#REF!</definedName>
    <definedName name="BExMBYPQDG9AYDQ5E8IECVFREPO6" hidden="1">#REF!</definedName>
    <definedName name="BExQ9ZLYHWABXAA9NJDW8ZS0UQ9P" hidden="1">#REF!</definedName>
    <definedName name="BExTUY9WNSJ91GV8CP0SKJTEIV82" hidden="1">#REF!</definedName>
    <definedName name="_xlnm.Print_Area" localSheetId="0">Assumptions!$B$2:$C$32</definedName>
    <definedName name="_xlnm.Print_Area" localSheetId="1">'BCA Summary'!$B$1:$I$45</definedName>
    <definedName name="_xlnm.Print_Area" localSheetId="6">'Capital Costs'!$B$2:$F$36</definedName>
    <definedName name="_xlnm.Print_Area" localSheetId="5">'Maintenance Costs'!$B$2:$F$26</definedName>
    <definedName name="_xlnm.Print_Area" localSheetId="4">Safety!$B$2:$F$26</definedName>
    <definedName name="_xlnm.Print_Area" localSheetId="2">'Travel Time - US52'!$B$2:$N$26</definedName>
    <definedName name="_xlnm.Print_Area" localSheetId="3">'Veh Maint Cost - US52'!$B$2:$S$26</definedName>
    <definedName name="SAPBEXhrIndnt" hidden="1">"Wide"</definedName>
    <definedName name="SAPsysID" hidden="1">"708C5W7SBKP804JT78WJ0JNKI"</definedName>
    <definedName name="SAPwbID" hidden="1">"ARS"</definedName>
    <definedName name="solver_adj" localSheetId="2" hidden="1">'Travel Time - US52'!#REF!</definedName>
    <definedName name="solver_adj" localSheetId="3" hidden="1">'Veh Maint Cost - US52'!#REF!</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ng" localSheetId="2" hidden="1">1</definedName>
    <definedName name="solver_eng" localSheetId="3" hidden="1">1</definedName>
    <definedName name="solver_est" localSheetId="2" hidden="1">1</definedName>
    <definedName name="solver_est" localSheetId="3" hidden="1">1</definedName>
    <definedName name="solver_itr" localSheetId="2" hidden="1">2147483647</definedName>
    <definedName name="solver_itr" localSheetId="3" hidden="1">2147483647</definedName>
    <definedName name="solver_mip" localSheetId="2" hidden="1">2147483647</definedName>
    <definedName name="solver_mip" localSheetId="3" hidden="1">2147483647</definedName>
    <definedName name="solver_mni" localSheetId="2" hidden="1">30</definedName>
    <definedName name="solver_mni" localSheetId="3" hidden="1">30</definedName>
    <definedName name="solver_mrt" localSheetId="2" hidden="1">0.075</definedName>
    <definedName name="solver_mrt" localSheetId="3" hidden="1">0.075</definedName>
    <definedName name="solver_msl" localSheetId="2" hidden="1">2</definedName>
    <definedName name="solver_msl" localSheetId="3" hidden="1">2</definedName>
    <definedName name="solver_neg" localSheetId="2" hidden="1">1</definedName>
    <definedName name="solver_neg" localSheetId="3" hidden="1">2</definedName>
    <definedName name="solver_nod" localSheetId="2" hidden="1">2147483647</definedName>
    <definedName name="solver_nod" localSheetId="3" hidden="1">2147483647</definedName>
    <definedName name="solver_num" localSheetId="2" hidden="1">0</definedName>
    <definedName name="solver_num" localSheetId="3" hidden="1">0</definedName>
    <definedName name="solver_nwt" localSheetId="2" hidden="1">1</definedName>
    <definedName name="solver_nwt" localSheetId="3" hidden="1">1</definedName>
    <definedName name="solver_opt" localSheetId="2" hidden="1">'Travel Time - US52'!$D$20</definedName>
    <definedName name="solver_opt" localSheetId="3" hidden="1">'Veh Maint Cost - US52'!#REF!</definedName>
    <definedName name="solver_pre" localSheetId="2" hidden="1">0.000001</definedName>
    <definedName name="solver_pre" localSheetId="3" hidden="1">0.000001</definedName>
    <definedName name="solver_rbv" localSheetId="2" hidden="1">1</definedName>
    <definedName name="solver_rbv" localSheetId="3" hidden="1">2</definedName>
    <definedName name="solver_rlx" localSheetId="2" hidden="1">2</definedName>
    <definedName name="solver_rlx" localSheetId="3" hidden="1">2</definedName>
    <definedName name="solver_rsd" localSheetId="2" hidden="1">0</definedName>
    <definedName name="solver_rsd" localSheetId="3" hidden="1">0</definedName>
    <definedName name="solver_scl" localSheetId="2" hidden="1">1</definedName>
    <definedName name="solver_scl" localSheetId="3" hidden="1">1</definedName>
    <definedName name="solver_sho" localSheetId="2" hidden="1">2</definedName>
    <definedName name="solver_sho" localSheetId="3" hidden="1">2</definedName>
    <definedName name="solver_ssz" localSheetId="2" hidden="1">100</definedName>
    <definedName name="solver_ssz" localSheetId="3" hidden="1">100</definedName>
    <definedName name="solver_tim" localSheetId="2" hidden="1">2147483647</definedName>
    <definedName name="solver_tim" localSheetId="3" hidden="1">2147483647</definedName>
    <definedName name="solver_tol" localSheetId="2" hidden="1">0.01</definedName>
    <definedName name="solver_tol" localSheetId="3" hidden="1">0.01</definedName>
    <definedName name="solver_typ" localSheetId="2" hidden="1">3</definedName>
    <definedName name="solver_typ" localSheetId="3" hidden="1">2</definedName>
    <definedName name="solver_val" localSheetId="2" hidden="1">5</definedName>
    <definedName name="solver_val" localSheetId="3" hidden="1">1.91</definedName>
    <definedName name="solver_ver" localSheetId="2" hidden="1">3</definedName>
    <definedName name="solver_ver" localSheetId="3" hidden="1">3</definedName>
  </definedNames>
  <calcPr calcId="191029"/>
  <pivotCaches>
    <pivotCache cacheId="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3" l="1"/>
  <c r="J31" i="13"/>
  <c r="J32" i="13" s="1"/>
  <c r="K118" i="10"/>
  <c r="N104" i="11"/>
  <c r="K12" i="9"/>
  <c r="K11" i="9"/>
  <c r="K13" i="9" s="1"/>
  <c r="K110"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6" i="10"/>
  <c r="K107" i="10"/>
  <c r="K108" i="10"/>
  <c r="K109" i="10"/>
  <c r="K111" i="10"/>
  <c r="K112" i="10"/>
  <c r="K113" i="10"/>
  <c r="K114" i="10"/>
  <c r="K115" i="10"/>
  <c r="K116" i="10"/>
  <c r="K117" i="10"/>
  <c r="K57" i="10"/>
  <c r="K16" i="10"/>
  <c r="Q24" i="5"/>
  <c r="K4" i="14"/>
  <c r="K3" i="14"/>
  <c r="J23" i="14"/>
  <c r="J22" i="14"/>
  <c r="C6" i="15"/>
  <c r="J19" i="9" l="1"/>
  <c r="H5" i="15"/>
  <c r="AM45" i="2"/>
  <c r="AN45" i="2"/>
  <c r="AO45" i="2"/>
  <c r="AP45" i="2"/>
  <c r="AL45" i="2"/>
  <c r="T35" i="5"/>
  <c r="T36" i="5"/>
  <c r="T37" i="5"/>
  <c r="T38" i="5"/>
  <c r="T39" i="5"/>
  <c r="T40" i="5"/>
  <c r="T41" i="5"/>
  <c r="T42" i="5"/>
  <c r="T43" i="5"/>
  <c r="T44" i="5"/>
  <c r="T45" i="5"/>
  <c r="T46" i="5"/>
  <c r="T47" i="5"/>
  <c r="T48" i="5"/>
  <c r="T49" i="5"/>
  <c r="T50" i="5"/>
  <c r="T51" i="5"/>
  <c r="T52" i="5"/>
  <c r="T53" i="5"/>
  <c r="T54" i="5"/>
  <c r="T55" i="5"/>
  <c r="T56" i="5"/>
  <c r="T34" i="5"/>
  <c r="AH4" i="2"/>
  <c r="V17" i="2" l="1" a="1"/>
  <c r="V17" i="2"/>
  <c r="U34" i="5" l="1"/>
  <c r="U7" i="5" s="1"/>
  <c r="V18" i="2" a="1"/>
  <c r="V18" i="2" s="1"/>
  <c r="V19" i="2" s="1" a="1"/>
  <c r="V19" i="2" s="1"/>
  <c r="V20" i="2" s="1" a="1"/>
  <c r="V20" i="2" s="1"/>
  <c r="V21" i="2" s="1" a="1"/>
  <c r="V21" i="2" s="1"/>
  <c r="V22" i="2" s="1" a="1"/>
  <c r="V22" i="2" s="1"/>
  <c r="V23" i="2" s="1" a="1"/>
  <c r="V23" i="2" s="1"/>
  <c r="V24" i="2" s="1" a="1"/>
  <c r="V24" i="2" s="1"/>
  <c r="V25" i="2" s="1" a="1"/>
  <c r="V25" i="2" s="1"/>
  <c r="V26" i="2" s="1" a="1"/>
  <c r="V26" i="2" s="1"/>
  <c r="V27" i="2" s="1" a="1"/>
  <c r="V27" i="2" s="1"/>
  <c r="V28" i="2" s="1" a="1"/>
  <c r="V28" i="2" s="1"/>
  <c r="V29" i="2" s="1" a="1"/>
  <c r="V29" i="2" s="1"/>
  <c r="V30" i="2" s="1" a="1"/>
  <c r="V30" i="2" s="1"/>
  <c r="V31" i="2" s="1" a="1"/>
  <c r="V31" i="2" s="1"/>
  <c r="V32" i="2" s="1" a="1"/>
  <c r="V32" i="2" s="1"/>
  <c r="V33" i="2" s="1" a="1"/>
  <c r="V33" i="2" s="1"/>
  <c r="V34" i="2" s="1" a="1"/>
  <c r="V34" i="2" s="1"/>
  <c r="V35" i="2" s="1" a="1"/>
  <c r="V35" i="2" s="1"/>
  <c r="V36" i="2" s="1" a="1"/>
  <c r="V36" i="2" s="1"/>
  <c r="V37" i="2" s="1" a="1"/>
  <c r="V37" i="2" s="1"/>
  <c r="V38" i="2" s="1" a="1"/>
  <c r="V38" i="2" s="1"/>
  <c r="V39" i="2" s="1" a="1"/>
  <c r="V39" i="2" s="1"/>
  <c r="U56" i="5" s="1"/>
  <c r="U29" i="5" s="1"/>
  <c r="V34" i="5"/>
  <c r="V7" i="5" s="1"/>
  <c r="W34" i="5"/>
  <c r="W7" i="5" s="1"/>
  <c r="X34" i="5"/>
  <c r="X7" i="5" s="1"/>
  <c r="Y34" i="5"/>
  <c r="Y7" i="5" s="1"/>
  <c r="Z34" i="5"/>
  <c r="Z7" i="5" s="1"/>
  <c r="AA34" i="5"/>
  <c r="AA7" i="5" s="1"/>
  <c r="V35" i="5" l="1"/>
  <c r="V8" i="5" s="1"/>
  <c r="W35" i="5"/>
  <c r="W8" i="5" s="1"/>
  <c r="X35" i="5"/>
  <c r="X8" i="5" s="1"/>
  <c r="Y35" i="5"/>
  <c r="Y8" i="5" s="1"/>
  <c r="Z35" i="5"/>
  <c r="Z8" i="5" s="1"/>
  <c r="AA35" i="5"/>
  <c r="AA8" i="5" s="1"/>
  <c r="AK30" i="2"/>
  <c r="AL30" i="2"/>
  <c r="AK36" i="2"/>
  <c r="AL36" i="2"/>
  <c r="AK31" i="2"/>
  <c r="AL31" i="2"/>
  <c r="AK37" i="2"/>
  <c r="AL37" i="2"/>
  <c r="AK32" i="2"/>
  <c r="AL32" i="2"/>
  <c r="AK38" i="2"/>
  <c r="AK26" i="2" s="1"/>
  <c r="AL38" i="2"/>
  <c r="AL26" i="2" s="1"/>
  <c r="Q12" i="5"/>
  <c r="Q11" i="5"/>
  <c r="AE4" i="2"/>
  <c r="AE6" i="2"/>
  <c r="AE5" i="2"/>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L110" i="11"/>
  <c r="I63" i="8"/>
  <c r="I64" i="8"/>
  <c r="I65" i="8"/>
  <c r="I66" i="8"/>
  <c r="I67" i="8"/>
  <c r="I68" i="8"/>
  <c r="I69" i="8"/>
  <c r="I70" i="8"/>
  <c r="I71" i="8"/>
  <c r="I72" i="8"/>
  <c r="I73" i="8"/>
  <c r="I74" i="8"/>
  <c r="I75" i="8"/>
  <c r="I76" i="8"/>
  <c r="I77" i="8"/>
  <c r="I78" i="8"/>
  <c r="I79" i="8"/>
  <c r="I62" i="8"/>
  <c r="AE10" i="2"/>
  <c r="AE9" i="2"/>
  <c r="AE8" i="2"/>
  <c r="AE7" i="2"/>
  <c r="M31" i="13"/>
  <c r="L31" i="13"/>
  <c r="K31" i="13"/>
  <c r="K23" i="14"/>
  <c r="L23" i="14" s="1"/>
  <c r="K22" i="14"/>
  <c r="L22" i="14" s="1"/>
  <c r="I23" i="14"/>
  <c r="I22" i="14"/>
  <c r="K10" i="13"/>
  <c r="J10" i="13"/>
  <c r="K9" i="13"/>
  <c r="J9" i="13"/>
  <c r="K8" i="13"/>
  <c r="J8" i="13"/>
  <c r="K7" i="13"/>
  <c r="J7" i="13"/>
  <c r="C32" i="3"/>
  <c r="H3" i="14"/>
  <c r="I3" i="14"/>
  <c r="J3" i="14"/>
  <c r="H4" i="14"/>
  <c r="I4" i="14"/>
  <c r="J4" i="14"/>
  <c r="H5" i="14"/>
  <c r="I5" i="14"/>
  <c r="J5" i="14"/>
  <c r="K5" i="14"/>
  <c r="H6" i="14"/>
  <c r="I6" i="14"/>
  <c r="J6" i="14"/>
  <c r="K6" i="14"/>
  <c r="H7" i="14"/>
  <c r="I7" i="14"/>
  <c r="J7" i="14"/>
  <c r="K7" i="14"/>
  <c r="H8" i="14"/>
  <c r="I8" i="14"/>
  <c r="J8" i="14"/>
  <c r="K8" i="14"/>
  <c r="H9" i="14"/>
  <c r="I9" i="14"/>
  <c r="J9" i="14"/>
  <c r="K9" i="14"/>
  <c r="H10" i="14"/>
  <c r="I10" i="14"/>
  <c r="J10" i="14"/>
  <c r="K10" i="14"/>
  <c r="H11" i="14"/>
  <c r="I11" i="14"/>
  <c r="J11" i="14"/>
  <c r="K11" i="14"/>
  <c r="H12" i="14"/>
  <c r="I12" i="14"/>
  <c r="J12" i="14"/>
  <c r="K12" i="14"/>
  <c r="H13" i="14"/>
  <c r="I13" i="14"/>
  <c r="J13" i="14"/>
  <c r="K13" i="14"/>
  <c r="H14" i="14"/>
  <c r="I14" i="14"/>
  <c r="J14" i="14"/>
  <c r="K14" i="14"/>
  <c r="H15" i="14"/>
  <c r="I15" i="14"/>
  <c r="J15" i="14"/>
  <c r="K15" i="14"/>
  <c r="H16" i="14"/>
  <c r="I16" i="14"/>
  <c r="J16" i="14"/>
  <c r="K16" i="14"/>
  <c r="H17" i="14"/>
  <c r="I17" i="14"/>
  <c r="J17" i="14"/>
  <c r="K17" i="14"/>
  <c r="H18" i="14"/>
  <c r="I18" i="14"/>
  <c r="J18" i="14"/>
  <c r="K18" i="14"/>
  <c r="H19" i="14"/>
  <c r="I19" i="14"/>
  <c r="J19" i="14"/>
  <c r="K19" i="14"/>
  <c r="H20" i="14"/>
  <c r="I20" i="14"/>
  <c r="J20" i="14"/>
  <c r="K20" i="14"/>
  <c r="N46" i="13"/>
  <c r="K46" i="13"/>
  <c r="B8" i="9"/>
  <c r="B35" i="4"/>
  <c r="M30" i="13"/>
  <c r="M32" i="13" s="1"/>
  <c r="L30" i="13"/>
  <c r="L32" i="13" s="1"/>
  <c r="K30" i="13"/>
  <c r="K32" i="13" s="1"/>
  <c r="M7" i="13"/>
  <c r="AH5" i="2"/>
  <c r="AK7" i="2"/>
  <c r="AN8" i="2"/>
  <c r="AL7" i="2"/>
  <c r="I80" i="8" l="1"/>
  <c r="U35" i="5"/>
  <c r="U8" i="5" s="1"/>
  <c r="AR7" i="2"/>
  <c r="M3" i="14" a="1"/>
  <c r="M3" i="14" s="1"/>
  <c r="U36" i="5" l="1"/>
  <c r="U9" i="5" s="1"/>
  <c r="V36" i="5"/>
  <c r="V9" i="5" s="1"/>
  <c r="W36" i="5"/>
  <c r="W9" i="5" s="1"/>
  <c r="X36" i="5"/>
  <c r="X9" i="5" s="1"/>
  <c r="Y36" i="5"/>
  <c r="Y9" i="5" s="1"/>
  <c r="Z36" i="5"/>
  <c r="Z9" i="5" s="1"/>
  <c r="AA36" i="5"/>
  <c r="AA9" i="5" s="1"/>
  <c r="L7" i="13"/>
  <c r="W20" i="13"/>
  <c r="V20" i="13"/>
  <c r="U20" i="13"/>
  <c r="T20" i="13"/>
  <c r="W19" i="13"/>
  <c r="V19" i="13"/>
  <c r="U19" i="13"/>
  <c r="T19" i="13"/>
  <c r="W18" i="13"/>
  <c r="V18" i="13"/>
  <c r="U18" i="13"/>
  <c r="T18" i="13"/>
  <c r="W17" i="13"/>
  <c r="V17" i="13"/>
  <c r="U17" i="13"/>
  <c r="T17" i="13"/>
  <c r="W16" i="13"/>
  <c r="W21" i="13" s="1"/>
  <c r="V16" i="13"/>
  <c r="V21" i="13" s="1"/>
  <c r="U16" i="13"/>
  <c r="U21" i="13" s="1"/>
  <c r="M10" i="13"/>
  <c r="S10" i="13" s="1"/>
  <c r="L10" i="13"/>
  <c r="R10" i="13" s="1"/>
  <c r="M9" i="13"/>
  <c r="S9" i="13" s="1"/>
  <c r="L9" i="13"/>
  <c r="R9" i="13" s="1"/>
  <c r="Q8" i="13"/>
  <c r="O8" i="13"/>
  <c r="S8" i="13" s="1"/>
  <c r="N8" i="13"/>
  <c r="R8" i="13" s="1"/>
  <c r="O7" i="13"/>
  <c r="N7" i="13"/>
  <c r="S7" i="13"/>
  <c r="R7" i="13"/>
  <c r="Q6" i="13"/>
  <c r="S6" i="13" s="1"/>
  <c r="P6" i="13"/>
  <c r="R6" i="13" s="1"/>
  <c r="O6" i="13"/>
  <c r="N6" i="13"/>
  <c r="M6" i="13"/>
  <c r="L6" i="13"/>
  <c r="J5" i="9" l="1"/>
  <c r="J4" i="9"/>
  <c r="J26" i="9"/>
  <c r="J27" i="9"/>
  <c r="L11" i="9" s="1"/>
  <c r="K19" i="9" s="1"/>
  <c r="AO21" i="2"/>
  <c r="AL21" i="2"/>
  <c r="AK21" i="2"/>
  <c r="Q16" i="5"/>
  <c r="Q15" i="5"/>
  <c r="Q8" i="5"/>
  <c r="Q7" i="5"/>
  <c r="Q19" i="5"/>
  <c r="C7" i="3"/>
  <c r="B6" i="15" s="1"/>
  <c r="AH10" i="2"/>
  <c r="AH9" i="2"/>
  <c r="AH8" i="2"/>
  <c r="AH7" i="2"/>
  <c r="AH6" i="2"/>
  <c r="V14" i="2" s="1" a="1"/>
  <c r="AP11" i="2"/>
  <c r="AP13" i="2" s="1"/>
  <c r="AO11" i="2"/>
  <c r="AO13" i="2" s="1"/>
  <c r="AN11" i="2"/>
  <c r="AN13" i="2" s="1"/>
  <c r="AM11" i="2"/>
  <c r="AM13" i="2" s="1"/>
  <c r="AL11" i="2"/>
  <c r="AL13" i="2" s="1"/>
  <c r="AK11" i="2"/>
  <c r="AQ11" i="2" s="1"/>
  <c r="AP10" i="2"/>
  <c r="AO10" i="2"/>
  <c r="AN10" i="2"/>
  <c r="AM10" i="2"/>
  <c r="AL10" i="2"/>
  <c r="AK10" i="2"/>
  <c r="AQ10" i="2" s="1"/>
  <c r="AP9" i="2"/>
  <c r="AO9" i="2"/>
  <c r="AN9" i="2"/>
  <c r="AM9" i="2"/>
  <c r="AL9" i="2"/>
  <c r="AK9" i="2"/>
  <c r="AQ9" i="2" s="1"/>
  <c r="AP8" i="2"/>
  <c r="AO8" i="2"/>
  <c r="AM8" i="2"/>
  <c r="AL8" i="2"/>
  <c r="AK8" i="2"/>
  <c r="AQ8" i="2" s="1"/>
  <c r="AP7" i="2"/>
  <c r="AP12" i="2" s="1"/>
  <c r="AO7" i="2"/>
  <c r="AO12" i="2" s="1"/>
  <c r="AN7" i="2"/>
  <c r="AN12" i="2" s="1"/>
  <c r="AM7" i="2"/>
  <c r="AM12" i="2" s="1"/>
  <c r="AL12" i="2"/>
  <c r="AQ7" i="2"/>
  <c r="B7" i="15" l="1"/>
  <c r="J12" i="15"/>
  <c r="K12" i="15" s="1"/>
  <c r="J11" i="15"/>
  <c r="K11" i="15" s="1"/>
  <c r="J10" i="15"/>
  <c r="K10" i="15" s="1"/>
  <c r="J13" i="15"/>
  <c r="K13" i="15" s="1"/>
  <c r="D6" i="15"/>
  <c r="E6" i="15" s="1"/>
  <c r="V14" i="2"/>
  <c r="U32" i="5" s="1"/>
  <c r="AA32" i="5"/>
  <c r="Z32" i="5"/>
  <c r="Y32" i="5"/>
  <c r="X32" i="5"/>
  <c r="W32" i="5"/>
  <c r="V32" i="5"/>
  <c r="C8" i="3"/>
  <c r="E8" i="9" s="1"/>
  <c r="F8" i="9" s="1"/>
  <c r="B6" i="2"/>
  <c r="B6" i="5"/>
  <c r="B7" i="4"/>
  <c r="B6" i="13"/>
  <c r="B7" i="13" s="1"/>
  <c r="B8" i="13" s="1"/>
  <c r="B9" i="13" s="1"/>
  <c r="B10" i="13" s="1"/>
  <c r="B11" i="13" s="1"/>
  <c r="B12" i="13" s="1"/>
  <c r="B13" i="13" s="1"/>
  <c r="B14" i="13" s="1"/>
  <c r="B15" i="13" s="1"/>
  <c r="B16" i="13" s="1"/>
  <c r="B17" i="13" s="1"/>
  <c r="B18" i="13" s="1"/>
  <c r="B19" i="13" s="1"/>
  <c r="B20" i="13" s="1"/>
  <c r="B21" i="13" s="1"/>
  <c r="B22" i="13" s="1"/>
  <c r="B23" i="13" s="1"/>
  <c r="B24" i="13" s="1"/>
  <c r="B25" i="13" s="1"/>
  <c r="I15" i="13"/>
  <c r="C7" i="5"/>
  <c r="AK12" i="2"/>
  <c r="G6" i="2" s="1"/>
  <c r="C8" i="9"/>
  <c r="D8" i="9" s="1"/>
  <c r="L12" i="9"/>
  <c r="K20" i="9" s="1"/>
  <c r="B9" i="9"/>
  <c r="E9" i="9" s="1"/>
  <c r="F9" i="9" s="1"/>
  <c r="B8" i="4"/>
  <c r="B36" i="4"/>
  <c r="D36" i="4" s="1"/>
  <c r="B7" i="2"/>
  <c r="AV7" i="2"/>
  <c r="AU7" i="2"/>
  <c r="AT7" i="2"/>
  <c r="AW7" i="2" s="1"/>
  <c r="AS7" i="2"/>
  <c r="AV8" i="2"/>
  <c r="AU8" i="2"/>
  <c r="AT8" i="2"/>
  <c r="AW8" i="2" s="1"/>
  <c r="AX8" i="2" s="1"/>
  <c r="AS8" i="2"/>
  <c r="AR8" i="2"/>
  <c r="AV9" i="2"/>
  <c r="AU9" i="2"/>
  <c r="AT9" i="2"/>
  <c r="AW9" i="2" s="1"/>
  <c r="AS9" i="2"/>
  <c r="AR9" i="2"/>
  <c r="AV10" i="2"/>
  <c r="AU10" i="2"/>
  <c r="AT10" i="2"/>
  <c r="AW10" i="2" s="1"/>
  <c r="AS10" i="2"/>
  <c r="AR10" i="2"/>
  <c r="AK13" i="2"/>
  <c r="F6" i="2" s="1"/>
  <c r="AV11" i="2"/>
  <c r="AU11" i="2"/>
  <c r="AT11" i="2"/>
  <c r="AW11" i="2" s="1"/>
  <c r="AS11" i="2"/>
  <c r="AR11" i="2"/>
  <c r="AN21" i="2"/>
  <c r="AM21" i="2"/>
  <c r="F7" i="4" l="1"/>
  <c r="F6" i="15"/>
  <c r="B8" i="15"/>
  <c r="D7" i="15"/>
  <c r="C7" i="15"/>
  <c r="B7" i="5"/>
  <c r="J6" i="2" a="1"/>
  <c r="J6" i="2" s="1"/>
  <c r="I6" i="2" a="1"/>
  <c r="I6" i="2" s="1"/>
  <c r="I36" i="13"/>
  <c r="I20" i="13"/>
  <c r="I16" i="13"/>
  <c r="L6" i="2"/>
  <c r="AQ13" i="2"/>
  <c r="F25" i="2"/>
  <c r="F24" i="2"/>
  <c r="F23" i="2"/>
  <c r="F22" i="2"/>
  <c r="F21" i="2"/>
  <c r="F20" i="2"/>
  <c r="F19" i="2"/>
  <c r="F18" i="2"/>
  <c r="F17" i="2"/>
  <c r="F16" i="2"/>
  <c r="F15" i="2"/>
  <c r="F14" i="2"/>
  <c r="F13" i="2"/>
  <c r="F12" i="2"/>
  <c r="F11" i="2"/>
  <c r="F10" i="2"/>
  <c r="F9" i="2"/>
  <c r="F8" i="2"/>
  <c r="F7" i="2"/>
  <c r="J7" i="2" a="1"/>
  <c r="J7" i="2" s="1"/>
  <c r="I7" i="2" a="1"/>
  <c r="I7" i="2" s="1"/>
  <c r="K7" i="2" s="1"/>
  <c r="C9" i="9"/>
  <c r="D9" i="9" s="1"/>
  <c r="C8" i="5"/>
  <c r="AQ12" i="2"/>
  <c r="G25" i="2"/>
  <c r="G24" i="2"/>
  <c r="G23" i="2"/>
  <c r="G22" i="2"/>
  <c r="G21" i="2"/>
  <c r="G20" i="2"/>
  <c r="G19" i="2"/>
  <c r="G18" i="2"/>
  <c r="G17" i="2"/>
  <c r="G16" i="2"/>
  <c r="G15" i="2"/>
  <c r="G14" i="2"/>
  <c r="G13" i="2"/>
  <c r="G12" i="2"/>
  <c r="G11" i="2"/>
  <c r="G10" i="2"/>
  <c r="G9" i="2"/>
  <c r="G8" i="2"/>
  <c r="G7" i="2"/>
  <c r="AX10" i="2"/>
  <c r="AX9" i="2"/>
  <c r="AW12" i="2"/>
  <c r="L13" i="9"/>
  <c r="B10" i="9"/>
  <c r="E10" i="9" s="1"/>
  <c r="F10" i="9" s="1"/>
  <c r="B9" i="4"/>
  <c r="AW13" i="2"/>
  <c r="AX13" i="2" s="1"/>
  <c r="AX11" i="2"/>
  <c r="AV13" i="2"/>
  <c r="AU13" i="2"/>
  <c r="AT13" i="2"/>
  <c r="AS13" i="2"/>
  <c r="AR13" i="2"/>
  <c r="AX12" i="2"/>
  <c r="AX7" i="2"/>
  <c r="AV12" i="2"/>
  <c r="AU12" i="2"/>
  <c r="AT12" i="2"/>
  <c r="AS12" i="2"/>
  <c r="AR12" i="2"/>
  <c r="B8" i="2"/>
  <c r="E7" i="15" l="1"/>
  <c r="C8" i="15"/>
  <c r="D8" i="15"/>
  <c r="E8" i="15" s="1"/>
  <c r="B9" i="15"/>
  <c r="V37" i="5"/>
  <c r="V10" i="5" s="1"/>
  <c r="W37" i="5"/>
  <c r="W10" i="5" s="1"/>
  <c r="X37" i="5"/>
  <c r="X10" i="5" s="1"/>
  <c r="Y37" i="5"/>
  <c r="Y10" i="5" s="1"/>
  <c r="Z37" i="5"/>
  <c r="Z10" i="5" s="1"/>
  <c r="AA37" i="5"/>
  <c r="AA10" i="5" s="1"/>
  <c r="B8" i="5"/>
  <c r="U37" i="5"/>
  <c r="U10" i="5" s="1"/>
  <c r="H6" i="2"/>
  <c r="K6" i="2"/>
  <c r="L7" i="2"/>
  <c r="I7" i="5" s="1"/>
  <c r="I6" i="5"/>
  <c r="I37" i="13"/>
  <c r="I41" i="13"/>
  <c r="I21" i="13"/>
  <c r="H7" i="5"/>
  <c r="K7" i="5" s="1"/>
  <c r="H7" i="2"/>
  <c r="J8" i="2" a="1"/>
  <c r="J8" i="2" s="1"/>
  <c r="I8" i="2" a="1"/>
  <c r="I8" i="2" s="1"/>
  <c r="K8" i="2" s="1"/>
  <c r="C10" i="9"/>
  <c r="D10" i="9" s="1"/>
  <c r="C9" i="5"/>
  <c r="B11" i="9"/>
  <c r="B10" i="4"/>
  <c r="B9" i="2"/>
  <c r="C9" i="15" l="1"/>
  <c r="D9" i="15"/>
  <c r="E9" i="15" s="1"/>
  <c r="B10" i="15"/>
  <c r="F9" i="4"/>
  <c r="F8" i="15"/>
  <c r="F8" i="4"/>
  <c r="F7" i="15"/>
  <c r="E11" i="9"/>
  <c r="F11" i="9" s="1"/>
  <c r="C11" i="9"/>
  <c r="B9" i="5"/>
  <c r="L8" i="2"/>
  <c r="I8" i="5" s="1"/>
  <c r="I42" i="13"/>
  <c r="N6" i="2"/>
  <c r="H6" i="5"/>
  <c r="K6" i="5" s="1"/>
  <c r="H8" i="5"/>
  <c r="K8" i="5" s="1"/>
  <c r="H8" i="2"/>
  <c r="J9" i="2" a="1"/>
  <c r="J9" i="2" s="1"/>
  <c r="I9" i="2" a="1"/>
  <c r="I9" i="2" s="1"/>
  <c r="K9" i="2" s="1"/>
  <c r="C10" i="5"/>
  <c r="B12" i="9"/>
  <c r="E12" i="9" s="1"/>
  <c r="F12" i="9" s="1"/>
  <c r="B11" i="4"/>
  <c r="B10" i="2"/>
  <c r="C10" i="15" l="1"/>
  <c r="D10" i="15"/>
  <c r="E10" i="15" s="1"/>
  <c r="B11" i="15"/>
  <c r="F10" i="4"/>
  <c r="F9" i="15"/>
  <c r="V38" i="5"/>
  <c r="V11" i="5" s="1"/>
  <c r="W38" i="5"/>
  <c r="W11" i="5" s="1"/>
  <c r="X38" i="5"/>
  <c r="X11" i="5" s="1"/>
  <c r="Y38" i="5"/>
  <c r="Y11" i="5" s="1"/>
  <c r="Z38" i="5"/>
  <c r="Z11" i="5" s="1"/>
  <c r="AA38" i="5"/>
  <c r="AA11" i="5" s="1"/>
  <c r="B10" i="5"/>
  <c r="U38" i="5"/>
  <c r="U11" i="5" s="1"/>
  <c r="L9" i="2"/>
  <c r="I9" i="5" s="1"/>
  <c r="C35" i="4"/>
  <c r="D11" i="9"/>
  <c r="H9" i="5"/>
  <c r="K9" i="5" s="1"/>
  <c r="H9" i="2"/>
  <c r="J10" i="2" a="1"/>
  <c r="J10" i="2" s="1"/>
  <c r="I10" i="2" a="1"/>
  <c r="I10" i="2" s="1"/>
  <c r="K10" i="2" s="1"/>
  <c r="C12" i="9"/>
  <c r="D12" i="9" s="1"/>
  <c r="N7" i="2"/>
  <c r="C11" i="5"/>
  <c r="B13" i="9"/>
  <c r="E13" i="9" s="1"/>
  <c r="F13" i="9" s="1"/>
  <c r="G7" i="4"/>
  <c r="K21" i="9"/>
  <c r="B12" i="4"/>
  <c r="B11" i="2"/>
  <c r="C11" i="15" l="1"/>
  <c r="D11" i="15"/>
  <c r="E11" i="15" s="1"/>
  <c r="B12" i="15"/>
  <c r="F11" i="4"/>
  <c r="F10" i="15"/>
  <c r="B11" i="5"/>
  <c r="L10" i="2"/>
  <c r="I10" i="5" s="1"/>
  <c r="D35" i="4"/>
  <c r="D37" i="4" s="1"/>
  <c r="C43" i="4" s="1"/>
  <c r="C50" i="4" s="1"/>
  <c r="C56" i="4" s="1"/>
  <c r="H10" i="5"/>
  <c r="K10" i="5" s="1"/>
  <c r="H10" i="2"/>
  <c r="J11" i="2" a="1"/>
  <c r="J11" i="2" s="1"/>
  <c r="I11" i="2" a="1"/>
  <c r="I11" i="2" s="1"/>
  <c r="K11" i="2" s="1"/>
  <c r="C13" i="9"/>
  <c r="D13" i="9" s="1"/>
  <c r="N8" i="2"/>
  <c r="C12" i="5"/>
  <c r="B14" i="9"/>
  <c r="E14" i="9" s="1"/>
  <c r="F14" i="9" s="1"/>
  <c r="B13" i="4"/>
  <c r="B12" i="2"/>
  <c r="C12" i="15" l="1"/>
  <c r="D12" i="15"/>
  <c r="E12" i="15" s="1"/>
  <c r="B13" i="15"/>
  <c r="F12" i="4"/>
  <c r="F11" i="15"/>
  <c r="V39" i="5"/>
  <c r="V12" i="5" s="1"/>
  <c r="W39" i="5"/>
  <c r="W12" i="5" s="1"/>
  <c r="X39" i="5"/>
  <c r="X12" i="5" s="1"/>
  <c r="Y39" i="5"/>
  <c r="Y12" i="5" s="1"/>
  <c r="Z39" i="5"/>
  <c r="Z12" i="5" s="1"/>
  <c r="AA39" i="5"/>
  <c r="AA12" i="5" s="1"/>
  <c r="B12" i="5"/>
  <c r="U39" i="5"/>
  <c r="U12" i="5" s="1"/>
  <c r="L11" i="2"/>
  <c r="I11" i="5" s="1"/>
  <c r="H11" i="5"/>
  <c r="K11" i="5" s="1"/>
  <c r="H11" i="2"/>
  <c r="J12" i="2" a="1"/>
  <c r="J12" i="2" s="1"/>
  <c r="I12" i="2" a="1"/>
  <c r="I12" i="2" s="1"/>
  <c r="K12" i="2" s="1"/>
  <c r="C14" i="9"/>
  <c r="D14" i="9" s="1"/>
  <c r="N9" i="2"/>
  <c r="C13" i="5"/>
  <c r="B15" i="9"/>
  <c r="E15" i="9" s="1"/>
  <c r="F15" i="9" s="1"/>
  <c r="G8" i="4"/>
  <c r="B14" i="4"/>
  <c r="B13" i="2"/>
  <c r="C13" i="15" l="1"/>
  <c r="D13" i="15"/>
  <c r="E13" i="15" s="1"/>
  <c r="B14" i="15"/>
  <c r="F13" i="4"/>
  <c r="F12" i="15"/>
  <c r="B13" i="5"/>
  <c r="L12" i="2"/>
  <c r="I12" i="5" s="1"/>
  <c r="H12" i="5"/>
  <c r="K12" i="5" s="1"/>
  <c r="H12" i="2"/>
  <c r="J13" i="2" a="1"/>
  <c r="J13" i="2" s="1"/>
  <c r="I13" i="2" a="1"/>
  <c r="I13" i="2" s="1"/>
  <c r="K13" i="2" s="1"/>
  <c r="C15" i="9"/>
  <c r="D15" i="9" s="1"/>
  <c r="N10" i="2"/>
  <c r="C14" i="5"/>
  <c r="B16" i="9"/>
  <c r="E16" i="9" s="1"/>
  <c r="F16" i="9" s="1"/>
  <c r="G9" i="4"/>
  <c r="B15" i="4"/>
  <c r="B14" i="2"/>
  <c r="C14" i="15" l="1"/>
  <c r="D14" i="15"/>
  <c r="E14" i="15" s="1"/>
  <c r="B15" i="15"/>
  <c r="F14" i="4"/>
  <c r="F13" i="15"/>
  <c r="V40" i="5"/>
  <c r="V13" i="5" s="1"/>
  <c r="W40" i="5"/>
  <c r="W13" i="5" s="1"/>
  <c r="X40" i="5"/>
  <c r="X13" i="5" s="1"/>
  <c r="Y40" i="5"/>
  <c r="Y13" i="5" s="1"/>
  <c r="Z40" i="5"/>
  <c r="Z13" i="5" s="1"/>
  <c r="AA40" i="5"/>
  <c r="AA13" i="5" s="1"/>
  <c r="B14" i="5"/>
  <c r="U40" i="5"/>
  <c r="U13" i="5" s="1"/>
  <c r="L13" i="2"/>
  <c r="I13" i="5" s="1"/>
  <c r="H13" i="5"/>
  <c r="K13" i="5" s="1"/>
  <c r="H13" i="2"/>
  <c r="J14" i="2" a="1"/>
  <c r="J14" i="2" s="1"/>
  <c r="I14" i="2" a="1"/>
  <c r="I14" i="2" s="1"/>
  <c r="K14" i="2" s="1"/>
  <c r="C16" i="9"/>
  <c r="D16" i="9" s="1"/>
  <c r="N11" i="2"/>
  <c r="C15" i="5"/>
  <c r="B17" i="9"/>
  <c r="E17" i="9" s="1"/>
  <c r="F17" i="9" s="1"/>
  <c r="G10" i="4"/>
  <c r="B16" i="4"/>
  <c r="B15" i="2"/>
  <c r="C15" i="15" l="1"/>
  <c r="D15" i="15"/>
  <c r="E15" i="15" s="1"/>
  <c r="B16" i="15"/>
  <c r="F15" i="4"/>
  <c r="F14" i="15"/>
  <c r="B15" i="5"/>
  <c r="L14" i="2"/>
  <c r="I14" i="5" s="1"/>
  <c r="H14" i="5"/>
  <c r="K14" i="5" s="1"/>
  <c r="H14" i="2"/>
  <c r="J15" i="2" a="1"/>
  <c r="J15" i="2" s="1"/>
  <c r="I15" i="2" a="1"/>
  <c r="I15" i="2" s="1"/>
  <c r="K15" i="2" s="1"/>
  <c r="C17" i="9"/>
  <c r="D17" i="9" s="1"/>
  <c r="N12" i="2"/>
  <c r="C16" i="5"/>
  <c r="B18" i="9"/>
  <c r="E18" i="9" s="1"/>
  <c r="F18" i="9" s="1"/>
  <c r="G11" i="4"/>
  <c r="B17" i="4"/>
  <c r="B16" i="2"/>
  <c r="I16" i="2" s="1" a="1"/>
  <c r="I16" i="2" s="1"/>
  <c r="C16" i="15" l="1"/>
  <c r="D16" i="15"/>
  <c r="E16" i="15" s="1"/>
  <c r="B17" i="15"/>
  <c r="F16" i="4"/>
  <c r="F15" i="15"/>
  <c r="V41" i="5"/>
  <c r="V14" i="5" s="1"/>
  <c r="W41" i="5"/>
  <c r="W14" i="5" s="1"/>
  <c r="X41" i="5"/>
  <c r="X14" i="5" s="1"/>
  <c r="Y41" i="5"/>
  <c r="Y14" i="5" s="1"/>
  <c r="Z41" i="5"/>
  <c r="Z14" i="5" s="1"/>
  <c r="AA41" i="5"/>
  <c r="AA14" i="5" s="1"/>
  <c r="B16" i="5"/>
  <c r="U41" i="5"/>
  <c r="U14" i="5" s="1"/>
  <c r="L15" i="2"/>
  <c r="I15" i="5" s="1"/>
  <c r="H15" i="5"/>
  <c r="K15" i="5" s="1"/>
  <c r="H15" i="2"/>
  <c r="J16" i="2" a="1"/>
  <c r="J16" i="2" s="1"/>
  <c r="K16" i="2"/>
  <c r="C18" i="9"/>
  <c r="D18" i="9" s="1"/>
  <c r="N13" i="2"/>
  <c r="C17" i="5"/>
  <c r="B19" i="9"/>
  <c r="E19" i="9" s="1"/>
  <c r="F19" i="9" s="1"/>
  <c r="G12" i="4"/>
  <c r="B18" i="4"/>
  <c r="B17" i="2"/>
  <c r="C17" i="15" l="1"/>
  <c r="D17" i="15"/>
  <c r="E17" i="15" s="1"/>
  <c r="B18" i="15"/>
  <c r="F17" i="4"/>
  <c r="F16" i="15"/>
  <c r="B17" i="5"/>
  <c r="L16" i="2"/>
  <c r="I16" i="5" s="1"/>
  <c r="H16" i="5"/>
  <c r="K16" i="5" s="1"/>
  <c r="H16" i="2"/>
  <c r="J17" i="2" a="1"/>
  <c r="J17" i="2" s="1"/>
  <c r="I17" i="2" a="1"/>
  <c r="I17" i="2" s="1"/>
  <c r="K17" i="2" s="1"/>
  <c r="C19" i="9"/>
  <c r="D19" i="9" s="1"/>
  <c r="N14" i="2"/>
  <c r="C18" i="5"/>
  <c r="B20" i="9"/>
  <c r="E20" i="9" s="1"/>
  <c r="F20" i="9" s="1"/>
  <c r="G13" i="4"/>
  <c r="B19" i="4"/>
  <c r="B18" i="2"/>
  <c r="C18" i="15" l="1"/>
  <c r="D18" i="15"/>
  <c r="E18" i="15" s="1"/>
  <c r="B19" i="15"/>
  <c r="F18" i="4"/>
  <c r="F17" i="15"/>
  <c r="V42" i="5"/>
  <c r="V15" i="5" s="1"/>
  <c r="W42" i="5"/>
  <c r="W15" i="5" s="1"/>
  <c r="X42" i="5"/>
  <c r="X15" i="5" s="1"/>
  <c r="Y42" i="5"/>
  <c r="Y15" i="5" s="1"/>
  <c r="Z42" i="5"/>
  <c r="Z15" i="5" s="1"/>
  <c r="AA42" i="5"/>
  <c r="AA15" i="5" s="1"/>
  <c r="B18" i="5"/>
  <c r="U42" i="5"/>
  <c r="U15" i="5" s="1"/>
  <c r="L17" i="2"/>
  <c r="I17" i="5" s="1"/>
  <c r="H17" i="5"/>
  <c r="K17" i="5" s="1"/>
  <c r="H17" i="2"/>
  <c r="J18" i="2" a="1"/>
  <c r="J18" i="2" s="1"/>
  <c r="I18" i="2" a="1"/>
  <c r="I18" i="2" s="1"/>
  <c r="K18" i="2" s="1"/>
  <c r="C20" i="9"/>
  <c r="D20" i="9" s="1"/>
  <c r="N15" i="2"/>
  <c r="C19" i="5"/>
  <c r="B21" i="9"/>
  <c r="E21" i="9" s="1"/>
  <c r="F21" i="9" s="1"/>
  <c r="G14" i="4"/>
  <c r="B20" i="4"/>
  <c r="B19" i="2"/>
  <c r="C19" i="15" l="1"/>
  <c r="D19" i="15"/>
  <c r="E19" i="15" s="1"/>
  <c r="B20" i="15"/>
  <c r="F19" i="4"/>
  <c r="F18" i="15"/>
  <c r="B19" i="5"/>
  <c r="L18" i="2"/>
  <c r="I18" i="5" s="1"/>
  <c r="H18" i="5"/>
  <c r="K18" i="5" s="1"/>
  <c r="H18" i="2"/>
  <c r="J19" i="2" a="1"/>
  <c r="J19" i="2" s="1"/>
  <c r="I19" i="2" a="1"/>
  <c r="I19" i="2" s="1"/>
  <c r="K19" i="2" s="1"/>
  <c r="C21" i="9"/>
  <c r="D21" i="9" s="1"/>
  <c r="N16" i="2"/>
  <c r="C20" i="5"/>
  <c r="B22" i="9"/>
  <c r="E22" i="9" s="1"/>
  <c r="F22" i="9" s="1"/>
  <c r="G15" i="4"/>
  <c r="B21" i="4"/>
  <c r="B20" i="2"/>
  <c r="C20" i="15" l="1"/>
  <c r="D20" i="15"/>
  <c r="E20" i="15" s="1"/>
  <c r="B21" i="15"/>
  <c r="F20" i="4"/>
  <c r="F19" i="15"/>
  <c r="V43" i="5"/>
  <c r="V16" i="5" s="1"/>
  <c r="W43" i="5"/>
  <c r="W16" i="5" s="1"/>
  <c r="X43" i="5"/>
  <c r="X16" i="5" s="1"/>
  <c r="Y43" i="5"/>
  <c r="Y16" i="5" s="1"/>
  <c r="Z43" i="5"/>
  <c r="Z16" i="5" s="1"/>
  <c r="AA43" i="5"/>
  <c r="AA16" i="5" s="1"/>
  <c r="B20" i="5"/>
  <c r="U43" i="5"/>
  <c r="U16" i="5" s="1"/>
  <c r="L19" i="2"/>
  <c r="I19" i="5" s="1"/>
  <c r="H19" i="5"/>
  <c r="K19" i="5" s="1"/>
  <c r="H19" i="2"/>
  <c r="J20" i="2" a="1"/>
  <c r="J20" i="2" s="1"/>
  <c r="I20" i="2" a="1"/>
  <c r="I20" i="2" s="1"/>
  <c r="K20" i="2" s="1"/>
  <c r="C22" i="9"/>
  <c r="D22" i="9" s="1"/>
  <c r="N17" i="2"/>
  <c r="C21" i="5"/>
  <c r="B23" i="9"/>
  <c r="E23" i="9" s="1"/>
  <c r="F23" i="9" s="1"/>
  <c r="G16" i="4"/>
  <c r="B22" i="4"/>
  <c r="B21" i="2"/>
  <c r="C21" i="15" l="1"/>
  <c r="D21" i="15"/>
  <c r="E21" i="15" s="1"/>
  <c r="B22" i="15"/>
  <c r="F21" i="4"/>
  <c r="F20" i="15"/>
  <c r="B21" i="5"/>
  <c r="L20" i="2"/>
  <c r="I20" i="5" s="1"/>
  <c r="H20" i="5"/>
  <c r="K20" i="5" s="1"/>
  <c r="H20" i="2"/>
  <c r="J21" i="2" a="1"/>
  <c r="J21" i="2" s="1"/>
  <c r="I21" i="2" a="1"/>
  <c r="I21" i="2" s="1"/>
  <c r="K21" i="2" s="1"/>
  <c r="C23" i="9"/>
  <c r="D23" i="9" s="1"/>
  <c r="N18" i="2"/>
  <c r="C22" i="5"/>
  <c r="B24" i="9"/>
  <c r="E24" i="9" s="1"/>
  <c r="F24" i="9" s="1"/>
  <c r="G17" i="4"/>
  <c r="B23" i="4"/>
  <c r="B22" i="2"/>
  <c r="C22" i="15" l="1"/>
  <c r="D22" i="15"/>
  <c r="E22" i="15" s="1"/>
  <c r="B23" i="15"/>
  <c r="F22" i="4"/>
  <c r="F21" i="15"/>
  <c r="V44" i="5"/>
  <c r="V17" i="5" s="1"/>
  <c r="W44" i="5"/>
  <c r="W17" i="5" s="1"/>
  <c r="X44" i="5"/>
  <c r="X17" i="5" s="1"/>
  <c r="Y44" i="5"/>
  <c r="Y17" i="5" s="1"/>
  <c r="Z44" i="5"/>
  <c r="Z17" i="5" s="1"/>
  <c r="AA44" i="5"/>
  <c r="AA17" i="5" s="1"/>
  <c r="B22" i="5"/>
  <c r="U44" i="5"/>
  <c r="U17" i="5" s="1"/>
  <c r="L21" i="2"/>
  <c r="I21" i="5" s="1"/>
  <c r="H21" i="5"/>
  <c r="K21" i="5" s="1"/>
  <c r="H21" i="2"/>
  <c r="J22" i="2" a="1"/>
  <c r="J22" i="2" s="1"/>
  <c r="I22" i="2" a="1"/>
  <c r="I22" i="2" s="1"/>
  <c r="K22" i="2" s="1"/>
  <c r="C24" i="9"/>
  <c r="D24" i="9" s="1"/>
  <c r="N19" i="2"/>
  <c r="C23" i="5"/>
  <c r="B25" i="9"/>
  <c r="E25" i="9" s="1"/>
  <c r="F25" i="9" s="1"/>
  <c r="G18" i="4"/>
  <c r="B24" i="4"/>
  <c r="B23" i="2"/>
  <c r="C23" i="15" l="1"/>
  <c r="D23" i="15"/>
  <c r="E23" i="15" s="1"/>
  <c r="B24" i="15"/>
  <c r="F23" i="4"/>
  <c r="F22" i="15"/>
  <c r="B23" i="5"/>
  <c r="L22" i="2"/>
  <c r="I22" i="5" s="1"/>
  <c r="H22" i="5"/>
  <c r="K22" i="5" s="1"/>
  <c r="H22" i="2"/>
  <c r="J23" i="2" a="1"/>
  <c r="J23" i="2" s="1"/>
  <c r="I23" i="2" a="1"/>
  <c r="I23" i="2" s="1"/>
  <c r="K23" i="2" s="1"/>
  <c r="C25" i="9"/>
  <c r="D25" i="9" s="1"/>
  <c r="N20" i="2"/>
  <c r="C24" i="5"/>
  <c r="B26" i="9"/>
  <c r="E26" i="9" s="1"/>
  <c r="F26" i="9" s="1"/>
  <c r="G19" i="4"/>
  <c r="B25" i="4"/>
  <c r="B24" i="2"/>
  <c r="C24" i="15" l="1"/>
  <c r="D24" i="15"/>
  <c r="E24" i="15" s="1"/>
  <c r="B25" i="15"/>
  <c r="F24" i="4"/>
  <c r="F23" i="15"/>
  <c r="V45" i="5"/>
  <c r="V18" i="5" s="1"/>
  <c r="W45" i="5"/>
  <c r="W18" i="5" s="1"/>
  <c r="X45" i="5"/>
  <c r="X18" i="5" s="1"/>
  <c r="Y45" i="5"/>
  <c r="Y18" i="5" s="1"/>
  <c r="Z45" i="5"/>
  <c r="Z18" i="5" s="1"/>
  <c r="AA45" i="5"/>
  <c r="AA18" i="5" s="1"/>
  <c r="B24" i="5"/>
  <c r="U45" i="5"/>
  <c r="U18" i="5" s="1"/>
  <c r="L23" i="2"/>
  <c r="I23" i="5" s="1"/>
  <c r="H23" i="5"/>
  <c r="K23" i="5" s="1"/>
  <c r="H23" i="2"/>
  <c r="J24" i="2" a="1"/>
  <c r="J24" i="2" s="1"/>
  <c r="I24" i="2" a="1"/>
  <c r="I24" i="2" s="1"/>
  <c r="K24" i="2" s="1"/>
  <c r="C26" i="9"/>
  <c r="D26" i="9" s="1"/>
  <c r="N21" i="2"/>
  <c r="C25" i="5"/>
  <c r="B27" i="9"/>
  <c r="E27" i="9" s="1"/>
  <c r="F27" i="9" s="1"/>
  <c r="G20" i="4"/>
  <c r="B26" i="4"/>
  <c r="B25" i="2"/>
  <c r="C25" i="15" l="1"/>
  <c r="D25" i="15"/>
  <c r="E25" i="15" s="1"/>
  <c r="F25" i="4"/>
  <c r="F24" i="15"/>
  <c r="B25" i="5"/>
  <c r="L24" i="2"/>
  <c r="I24" i="5" s="1"/>
  <c r="H24" i="5"/>
  <c r="K24" i="5" s="1"/>
  <c r="H24" i="2"/>
  <c r="J25" i="2" a="1"/>
  <c r="J25" i="2" s="1"/>
  <c r="I25" i="2" a="1"/>
  <c r="I25" i="2" s="1"/>
  <c r="K25" i="2" s="1"/>
  <c r="C27" i="9"/>
  <c r="D27" i="9" s="1"/>
  <c r="N22" i="2"/>
  <c r="B28" i="9"/>
  <c r="E28" i="9" s="1"/>
  <c r="F28" i="9" s="1"/>
  <c r="G21" i="4"/>
  <c r="F26" i="4" l="1"/>
  <c r="F25" i="15"/>
  <c r="F26" i="15" s="1"/>
  <c r="V46" i="5"/>
  <c r="V19" i="5" s="1"/>
  <c r="W46" i="5"/>
  <c r="W19" i="5" s="1"/>
  <c r="X46" i="5"/>
  <c r="X19" i="5" s="1"/>
  <c r="Y46" i="5"/>
  <c r="Y19" i="5" s="1"/>
  <c r="Z46" i="5"/>
  <c r="Z19" i="5" s="1"/>
  <c r="AA46" i="5"/>
  <c r="AA19" i="5" s="1"/>
  <c r="U46" i="5"/>
  <c r="U19" i="5" s="1"/>
  <c r="L25" i="2"/>
  <c r="I25" i="5" s="1"/>
  <c r="H25" i="5"/>
  <c r="K25" i="5" s="1"/>
  <c r="H25" i="2"/>
  <c r="C28" i="9"/>
  <c r="D28" i="9" s="1"/>
  <c r="N23" i="2"/>
  <c r="B29" i="9"/>
  <c r="E29" i="9" s="1"/>
  <c r="F29" i="9" s="1"/>
  <c r="G22" i="4"/>
  <c r="C29" i="9" l="1"/>
  <c r="D29" i="9" s="1"/>
  <c r="N24" i="2"/>
  <c r="N25" i="2"/>
  <c r="B30" i="9"/>
  <c r="E30" i="9" s="1"/>
  <c r="F30" i="9" s="1"/>
  <c r="G23" i="4"/>
  <c r="V47" i="5" l="1"/>
  <c r="V20" i="5" s="1"/>
  <c r="W47" i="5"/>
  <c r="W20" i="5" s="1"/>
  <c r="X47" i="5"/>
  <c r="X20" i="5" s="1"/>
  <c r="Y47" i="5"/>
  <c r="Y20" i="5" s="1"/>
  <c r="Z47" i="5"/>
  <c r="Z20" i="5" s="1"/>
  <c r="AA47" i="5"/>
  <c r="AA20" i="5" s="1"/>
  <c r="U47" i="5"/>
  <c r="U20" i="5" s="1"/>
  <c r="C30" i="9"/>
  <c r="D30" i="9" s="1"/>
  <c r="B31" i="9"/>
  <c r="G24" i="4"/>
  <c r="E31" i="9" l="1"/>
  <c r="F31" i="9" s="1"/>
  <c r="C31" i="9"/>
  <c r="D31" i="9" s="1"/>
  <c r="B32" i="9"/>
  <c r="E32" i="9" s="1"/>
  <c r="F32" i="9" s="1"/>
  <c r="G25" i="4"/>
  <c r="V48" i="5" l="1"/>
  <c r="V21" i="5" s="1"/>
  <c r="W48" i="5"/>
  <c r="W21" i="5" s="1"/>
  <c r="X48" i="5"/>
  <c r="X21" i="5" s="1"/>
  <c r="Y48" i="5"/>
  <c r="Y21" i="5" s="1"/>
  <c r="Z48" i="5"/>
  <c r="Z21" i="5" s="1"/>
  <c r="AA48" i="5"/>
  <c r="AA21" i="5" s="1"/>
  <c r="U48" i="5"/>
  <c r="U21" i="5" s="1"/>
  <c r="C32" i="9"/>
  <c r="D32" i="9" s="1"/>
  <c r="B33" i="9"/>
  <c r="G26" i="4"/>
  <c r="C33" i="9" l="1"/>
  <c r="D33" i="9" s="1"/>
  <c r="E33" i="9"/>
  <c r="F33" i="9" s="1"/>
  <c r="B34" i="9"/>
  <c r="V49" i="5" l="1"/>
  <c r="V22" i="5" s="1"/>
  <c r="W49" i="5"/>
  <c r="W22" i="5" s="1"/>
  <c r="X49" i="5"/>
  <c r="X22" i="5" s="1"/>
  <c r="Y49" i="5"/>
  <c r="Y22" i="5" s="1"/>
  <c r="Z49" i="5"/>
  <c r="Z22" i="5" s="1"/>
  <c r="AA49" i="5"/>
  <c r="AA22" i="5" s="1"/>
  <c r="U49" i="5"/>
  <c r="U22" i="5" s="1"/>
  <c r="C34" i="9"/>
  <c r="D34" i="9" s="1"/>
  <c r="E34" i="9"/>
  <c r="F34" i="9" s="1"/>
  <c r="B35" i="9"/>
  <c r="C35" i="9" l="1"/>
  <c r="D35" i="9" s="1"/>
  <c r="E35" i="9"/>
  <c r="F35" i="9" s="1"/>
  <c r="F36" i="9"/>
  <c r="D36" i="9"/>
  <c r="V50" i="5" l="1"/>
  <c r="V23" i="5" s="1"/>
  <c r="W50" i="5"/>
  <c r="W23" i="5" s="1"/>
  <c r="X50" i="5"/>
  <c r="X23" i="5" s="1"/>
  <c r="Y50" i="5"/>
  <c r="Y23" i="5" s="1"/>
  <c r="Z50" i="5"/>
  <c r="Z23" i="5" s="1"/>
  <c r="AA50" i="5"/>
  <c r="AA23" i="5" s="1"/>
  <c r="U50" i="5"/>
  <c r="U23" i="5" s="1"/>
  <c r="T16" i="13" l="1"/>
  <c r="T21" i="13"/>
  <c r="T7" i="13" a="1"/>
  <c r="T7" i="13"/>
  <c r="U7" i="13"/>
  <c r="W7" i="13"/>
  <c r="V7" i="13"/>
  <c r="U10" i="13"/>
  <c r="U9" i="13"/>
  <c r="U8" i="13"/>
  <c r="V8" i="13"/>
  <c r="K16" i="13" s="1"/>
  <c r="W8" i="13"/>
  <c r="V9" i="13"/>
  <c r="W9" i="13"/>
  <c r="V10" i="13"/>
  <c r="W10" i="13"/>
  <c r="J15" i="13"/>
  <c r="J36" i="13" s="1"/>
  <c r="M15" i="13"/>
  <c r="M36" i="13" s="1"/>
  <c r="L15" i="13"/>
  <c r="L36" i="13" s="1"/>
  <c r="K15" i="13"/>
  <c r="K36" i="13" s="1"/>
  <c r="M16" i="13"/>
  <c r="M37" i="13" s="1"/>
  <c r="L16" i="13"/>
  <c r="L37" i="13" s="1"/>
  <c r="K37" i="13"/>
  <c r="J16" i="13"/>
  <c r="J37" i="13" s="1"/>
  <c r="M20" i="13"/>
  <c r="M41" i="13"/>
  <c r="L20" i="13"/>
  <c r="L41" i="13"/>
  <c r="K20" i="13"/>
  <c r="K41" i="13"/>
  <c r="J20" i="13"/>
  <c r="N36" i="13"/>
  <c r="O36" i="13"/>
  <c r="N15" i="13"/>
  <c r="O15" i="13"/>
  <c r="J41" i="13"/>
  <c r="N41" i="13"/>
  <c r="O41" i="13"/>
  <c r="J52" i="13"/>
  <c r="N20" i="13"/>
  <c r="O20" i="13"/>
  <c r="J51" i="13"/>
  <c r="M21" i="13"/>
  <c r="M42" i="13"/>
  <c r="L21" i="13"/>
  <c r="L42" i="13"/>
  <c r="K21" i="13"/>
  <c r="K42" i="13"/>
  <c r="J21" i="13"/>
  <c r="N37" i="13"/>
  <c r="O37" i="13"/>
  <c r="N16" i="13"/>
  <c r="O16" i="13"/>
  <c r="J42" i="13"/>
  <c r="N42" i="13"/>
  <c r="O42" i="13"/>
  <c r="K52" i="13"/>
  <c r="N21" i="13"/>
  <c r="O21" i="13"/>
  <c r="K51" i="13"/>
  <c r="C7" i="13" a="1"/>
  <c r="C7" i="13"/>
  <c r="C8" i="13" a="1"/>
  <c r="C8" i="13"/>
  <c r="C9" i="13" a="1"/>
  <c r="C9" i="13"/>
  <c r="C10" i="13" a="1"/>
  <c r="C10" i="13"/>
  <c r="C11" i="13" a="1"/>
  <c r="C11" i="13"/>
  <c r="C12" i="13" a="1"/>
  <c r="C12" i="13"/>
  <c r="C13" i="13" a="1"/>
  <c r="C13" i="13"/>
  <c r="C14" i="13" a="1"/>
  <c r="C14" i="13"/>
  <c r="C15" i="13" a="1"/>
  <c r="C15" i="13"/>
  <c r="C16" i="13" a="1"/>
  <c r="C16" i="13"/>
  <c r="C17" i="13" a="1"/>
  <c r="C17" i="13"/>
  <c r="C18" i="13" a="1"/>
  <c r="C18" i="13"/>
  <c r="C19" i="13" a="1"/>
  <c r="C19" i="13"/>
  <c r="C20" i="13" a="1"/>
  <c r="C20" i="13"/>
  <c r="C21" i="13" a="1"/>
  <c r="C21" i="13"/>
  <c r="C22" i="13" a="1"/>
  <c r="C22" i="13"/>
  <c r="C23" i="13" a="1"/>
  <c r="C23" i="13"/>
  <c r="C24" i="13" a="1"/>
  <c r="C24" i="13"/>
  <c r="C25" i="13" a="1"/>
  <c r="C25" i="13"/>
  <c r="D7" i="13" a="1"/>
  <c r="D7" i="13"/>
  <c r="E7" i="13"/>
  <c r="D8" i="13" a="1"/>
  <c r="D8" i="13"/>
  <c r="E8" i="13"/>
  <c r="D9" i="13" a="1"/>
  <c r="D9" i="13"/>
  <c r="E9" i="13"/>
  <c r="D10" i="13" a="1"/>
  <c r="D10" i="13"/>
  <c r="E10" i="13"/>
  <c r="D11" i="13" a="1"/>
  <c r="D11" i="13"/>
  <c r="E11" i="13"/>
  <c r="F11" i="13"/>
  <c r="D12" i="13" a="1"/>
  <c r="D12" i="13"/>
  <c r="E12" i="13"/>
  <c r="F12" i="13"/>
  <c r="D13" i="13" a="1"/>
  <c r="D13" i="13"/>
  <c r="E13" i="13"/>
  <c r="F13" i="13"/>
  <c r="D14" i="13" a="1"/>
  <c r="D14" i="13"/>
  <c r="E14" i="13"/>
  <c r="F14" i="13"/>
  <c r="D15" i="13" a="1"/>
  <c r="D15" i="13"/>
  <c r="E15" i="13"/>
  <c r="F15" i="13"/>
  <c r="D16" i="13" a="1"/>
  <c r="D16" i="13"/>
  <c r="E16" i="13"/>
  <c r="F16" i="13"/>
  <c r="D17" i="13" a="1"/>
  <c r="D17" i="13"/>
  <c r="E17" i="13"/>
  <c r="F17" i="13"/>
  <c r="D18" i="13" a="1"/>
  <c r="D18" i="13"/>
  <c r="E18" i="13"/>
  <c r="F18" i="13"/>
  <c r="D19" i="13" a="1"/>
  <c r="D19" i="13"/>
  <c r="E19" i="13"/>
  <c r="F19" i="13"/>
  <c r="D20" i="13" a="1"/>
  <c r="D20" i="13"/>
  <c r="E20" i="13"/>
  <c r="F20" i="13"/>
  <c r="D21" i="13" a="1"/>
  <c r="D21" i="13"/>
  <c r="E21" i="13"/>
  <c r="F21" i="13"/>
  <c r="D22" i="13" a="1"/>
  <c r="D22" i="13"/>
  <c r="E22" i="13"/>
  <c r="F22" i="13"/>
  <c r="D23" i="13" a="1"/>
  <c r="D23" i="13"/>
  <c r="E23" i="13"/>
  <c r="F23" i="13"/>
  <c r="D24" i="13" a="1"/>
  <c r="D24" i="13"/>
  <c r="E24" i="13"/>
  <c r="F24" i="13"/>
  <c r="D25" i="13" a="1"/>
  <c r="D25" i="13"/>
  <c r="E25" i="13"/>
  <c r="F25" i="13"/>
  <c r="C12" i="4"/>
  <c r="F10" i="13"/>
  <c r="C11" i="4"/>
  <c r="F9" i="13"/>
  <c r="C10" i="4"/>
  <c r="F8" i="13"/>
  <c r="C9" i="4"/>
  <c r="F7" i="13"/>
  <c r="C8" i="4"/>
  <c r="C13" i="4"/>
  <c r="C14" i="4"/>
  <c r="C15" i="4"/>
  <c r="C16" i="4"/>
  <c r="C17" i="4"/>
  <c r="C18" i="4"/>
  <c r="C19" i="4"/>
  <c r="C20" i="4"/>
  <c r="C21" i="4"/>
  <c r="C22" i="4"/>
  <c r="C23" i="4"/>
  <c r="C24" i="4"/>
  <c r="C25" i="4"/>
  <c r="C26" i="4"/>
  <c r="C6" i="13" l="1" a="1"/>
  <c r="C6" i="13" s="1"/>
  <c r="D6" i="13" a="1"/>
  <c r="D6" i="13" s="1"/>
  <c r="V51" i="5"/>
  <c r="V24" i="5" s="1"/>
  <c r="W51" i="5"/>
  <c r="W24" i="5" s="1"/>
  <c r="X51" i="5"/>
  <c r="X24" i="5" s="1"/>
  <c r="Y51" i="5"/>
  <c r="Y24" i="5" s="1"/>
  <c r="Z51" i="5"/>
  <c r="Z24" i="5" s="1"/>
  <c r="AA51" i="5"/>
  <c r="AA24" i="5" s="1"/>
  <c r="U51" i="5"/>
  <c r="U24" i="5" s="1"/>
  <c r="AC34" i="2"/>
  <c r="AC33" i="2"/>
  <c r="AC32" i="2"/>
  <c r="AC31" i="2"/>
  <c r="AC30" i="2"/>
  <c r="AC29" i="2"/>
  <c r="C15" i="2" s="1"/>
  <c r="D15" i="2" s="1"/>
  <c r="AC28" i="2"/>
  <c r="C14" i="2" s="1"/>
  <c r="AC27" i="2"/>
  <c r="AC26" i="2"/>
  <c r="AC25" i="2"/>
  <c r="AC24" i="2"/>
  <c r="AC23" i="2"/>
  <c r="AC22" i="2"/>
  <c r="AC21" i="2"/>
  <c r="AC20" i="2"/>
  <c r="C6" i="2"/>
  <c r="D6" i="2" s="1"/>
  <c r="E6" i="2"/>
  <c r="M6" i="2"/>
  <c r="O6" i="2" s="1"/>
  <c r="AC19" i="2"/>
  <c r="C7" i="2"/>
  <c r="D7" i="2"/>
  <c r="C8" i="2"/>
  <c r="D8" i="2"/>
  <c r="C9" i="2"/>
  <c r="D9" i="2"/>
  <c r="C10" i="2"/>
  <c r="D10" i="2"/>
  <c r="C11" i="2"/>
  <c r="D11" i="2"/>
  <c r="C12" i="2"/>
  <c r="D12" i="2"/>
  <c r="C13" i="2"/>
  <c r="D13" i="2"/>
  <c r="D14" i="2"/>
  <c r="C16" i="2"/>
  <c r="D16" i="2"/>
  <c r="C17" i="2"/>
  <c r="D17" i="2"/>
  <c r="C18" i="2"/>
  <c r="D18" i="2"/>
  <c r="C19" i="2"/>
  <c r="D19" i="2"/>
  <c r="C20" i="2"/>
  <c r="D20" i="2"/>
  <c r="E8" i="2"/>
  <c r="M8" i="2"/>
  <c r="O8" i="2"/>
  <c r="P8" i="2"/>
  <c r="E9" i="2"/>
  <c r="M9" i="2"/>
  <c r="O9" i="2"/>
  <c r="P9" i="2"/>
  <c r="E10" i="2"/>
  <c r="M10" i="2"/>
  <c r="O10" i="2"/>
  <c r="P10" i="2"/>
  <c r="E11" i="2"/>
  <c r="M11" i="2"/>
  <c r="O11" i="2"/>
  <c r="P11" i="2"/>
  <c r="E12" i="2"/>
  <c r="M12" i="2"/>
  <c r="O12" i="2"/>
  <c r="P12" i="2"/>
  <c r="E13" i="2"/>
  <c r="M13" i="2"/>
  <c r="O13" i="2"/>
  <c r="P13" i="2"/>
  <c r="E14" i="2"/>
  <c r="M14" i="2"/>
  <c r="O14" i="2"/>
  <c r="P14" i="2"/>
  <c r="E16" i="2"/>
  <c r="M16" i="2"/>
  <c r="O16" i="2"/>
  <c r="P16" i="2"/>
  <c r="E17" i="2"/>
  <c r="M17" i="2"/>
  <c r="O17" i="2"/>
  <c r="P17" i="2"/>
  <c r="E18" i="2"/>
  <c r="M18" i="2"/>
  <c r="O18" i="2"/>
  <c r="P18" i="2"/>
  <c r="E19" i="2"/>
  <c r="M19" i="2"/>
  <c r="O19" i="2"/>
  <c r="P19" i="2"/>
  <c r="E20" i="2"/>
  <c r="M20" i="2"/>
  <c r="O20" i="2"/>
  <c r="P20" i="2"/>
  <c r="E15" i="2"/>
  <c r="M15" i="2" s="1"/>
  <c r="O15" i="2"/>
  <c r="P15" i="2"/>
  <c r="E7" i="2"/>
  <c r="M7" i="2"/>
  <c r="O7" i="2"/>
  <c r="P7" i="2"/>
  <c r="P6" i="2"/>
  <c r="E6" i="13" l="1"/>
  <c r="F6" i="13" l="1"/>
  <c r="F26" i="13" s="1"/>
  <c r="C7" i="4"/>
  <c r="V52" i="5"/>
  <c r="V25" i="5" s="1"/>
  <c r="W52" i="5"/>
  <c r="W25" i="5" s="1"/>
  <c r="X52" i="5"/>
  <c r="X25" i="5" s="1"/>
  <c r="Y52" i="5"/>
  <c r="Y25" i="5" s="1"/>
  <c r="Z52" i="5"/>
  <c r="Z25" i="5" s="1"/>
  <c r="AA52" i="5"/>
  <c r="AA25" i="5" s="1"/>
  <c r="U52" i="5"/>
  <c r="U25" i="5" s="1"/>
  <c r="V53" i="5" l="1"/>
  <c r="V26" i="5" s="1"/>
  <c r="W53" i="5"/>
  <c r="W26" i="5" s="1"/>
  <c r="X53" i="5"/>
  <c r="X26" i="5" s="1"/>
  <c r="Y53" i="5"/>
  <c r="Y26" i="5" s="1"/>
  <c r="Z53" i="5"/>
  <c r="Z26" i="5" s="1"/>
  <c r="AA53" i="5"/>
  <c r="AA26" i="5" s="1"/>
  <c r="U53" i="5"/>
  <c r="U26" i="5" s="1"/>
  <c r="V54" i="5" l="1"/>
  <c r="V27" i="5" s="1"/>
  <c r="W54" i="5"/>
  <c r="W27" i="5" s="1"/>
  <c r="X54" i="5"/>
  <c r="X27" i="5" s="1"/>
  <c r="Y54" i="5"/>
  <c r="Y27" i="5" s="1"/>
  <c r="Z54" i="5"/>
  <c r="Z27" i="5" s="1"/>
  <c r="AA54" i="5"/>
  <c r="AA27" i="5" s="1"/>
  <c r="U54" i="5"/>
  <c r="U27" i="5" s="1"/>
  <c r="V55" i="5" l="1"/>
  <c r="V28" i="5" s="1"/>
  <c r="W55" i="5"/>
  <c r="W28" i="5" s="1"/>
  <c r="X55" i="5"/>
  <c r="X28" i="5" s="1"/>
  <c r="Y55" i="5"/>
  <c r="Y28" i="5" s="1"/>
  <c r="Z55" i="5"/>
  <c r="Z28" i="5" s="1"/>
  <c r="AA55" i="5"/>
  <c r="AA28" i="5" s="1"/>
  <c r="U55" i="5"/>
  <c r="U28" i="5" s="1"/>
  <c r="V56" i="5" l="1"/>
  <c r="V29" i="5" s="1"/>
  <c r="W56" i="5"/>
  <c r="W29" i="5" s="1"/>
  <c r="X56" i="5"/>
  <c r="X29" i="5" s="1"/>
  <c r="Y56" i="5"/>
  <c r="Y29" i="5" s="1"/>
  <c r="Z56" i="5"/>
  <c r="Z29" i="5" s="1"/>
  <c r="AA56" i="5"/>
  <c r="AA29" i="5" s="1"/>
  <c r="AC17" i="2" l="1"/>
  <c r="AC18" i="2"/>
  <c r="AC39" i="2"/>
  <c r="AC38" i="2"/>
  <c r="AC37" i="2"/>
  <c r="AC36" i="2"/>
  <c r="AC35" i="2"/>
  <c r="C21" i="2"/>
  <c r="D21" i="2"/>
  <c r="C22" i="2"/>
  <c r="D22" i="2"/>
  <c r="C23" i="2"/>
  <c r="D23" i="2"/>
  <c r="C24" i="2"/>
  <c r="D24" i="2"/>
  <c r="C25" i="2"/>
  <c r="D25" i="2"/>
  <c r="E25" i="2"/>
  <c r="E21" i="2"/>
  <c r="M21" i="2"/>
  <c r="O21" i="2"/>
  <c r="P21" i="2"/>
  <c r="E22" i="2"/>
  <c r="M22" i="2"/>
  <c r="M25" i="2"/>
  <c r="O22" i="2"/>
  <c r="P22" i="2"/>
  <c r="O25" i="2"/>
  <c r="P25" i="2"/>
  <c r="E23" i="2"/>
  <c r="M23" i="2"/>
  <c r="E24" i="2"/>
  <c r="M24" i="2"/>
  <c r="O23" i="2"/>
  <c r="P23" i="2"/>
  <c r="O24" i="2"/>
  <c r="P24" i="2"/>
  <c r="AB8" i="5" l="1"/>
  <c r="AB9" i="5"/>
  <c r="AB10" i="5"/>
  <c r="AB11" i="5"/>
  <c r="AB12" i="5"/>
  <c r="AB13" i="5"/>
  <c r="AB14" i="5"/>
  <c r="AB15" i="5"/>
  <c r="AB16" i="5"/>
  <c r="AB17" i="5"/>
  <c r="AB18" i="5"/>
  <c r="AB19" i="5"/>
  <c r="AB20" i="5"/>
  <c r="AB21" i="5"/>
  <c r="AB22" i="5"/>
  <c r="AB23" i="5"/>
  <c r="AB24" i="5"/>
  <c r="AB25" i="5"/>
  <c r="AB26" i="5"/>
  <c r="AB27" i="5"/>
  <c r="AB28" i="5"/>
  <c r="AB29" i="5"/>
  <c r="D6" i="5"/>
  <c r="D19" i="5"/>
  <c r="AC23" i="5"/>
  <c r="D18" i="5"/>
  <c r="AC22" i="5"/>
  <c r="D17" i="5"/>
  <c r="AC21" i="5"/>
  <c r="D16" i="5"/>
  <c r="AC20" i="5"/>
  <c r="D15" i="5"/>
  <c r="AC19" i="5"/>
  <c r="D14" i="5"/>
  <c r="AC18" i="5"/>
  <c r="D12" i="5"/>
  <c r="AC16" i="5"/>
  <c r="D11" i="5"/>
  <c r="AC15" i="5"/>
  <c r="D10" i="5"/>
  <c r="AC14" i="5"/>
  <c r="D9" i="5"/>
  <c r="AC13" i="5"/>
  <c r="D8" i="5"/>
  <c r="AC12" i="5"/>
  <c r="D7" i="5"/>
  <c r="AC11" i="5"/>
  <c r="AC10" i="5"/>
  <c r="AC9" i="5"/>
  <c r="E6" i="5"/>
  <c r="G6" i="5"/>
  <c r="F6" i="5"/>
  <c r="J6" i="5"/>
  <c r="M6" i="5"/>
  <c r="N6" i="5"/>
  <c r="D7" i="4"/>
  <c r="L6" i="5"/>
  <c r="E19" i="5"/>
  <c r="G19" i="5"/>
  <c r="F19" i="5"/>
  <c r="J19" i="5"/>
  <c r="M19" i="5"/>
  <c r="N19" i="5"/>
  <c r="D20" i="4"/>
  <c r="E17" i="5"/>
  <c r="G17" i="5"/>
  <c r="F17" i="5"/>
  <c r="J17" i="5"/>
  <c r="M17" i="5"/>
  <c r="N17" i="5"/>
  <c r="D18" i="4"/>
  <c r="E18" i="5"/>
  <c r="F18" i="5"/>
  <c r="G18" i="5"/>
  <c r="E16" i="5"/>
  <c r="F16" i="5"/>
  <c r="G16" i="5"/>
  <c r="E15" i="5"/>
  <c r="F15" i="5"/>
  <c r="G15" i="5"/>
  <c r="E14" i="5"/>
  <c r="F14" i="5"/>
  <c r="G14" i="5"/>
  <c r="E11" i="5"/>
  <c r="F11" i="5"/>
  <c r="G11" i="5"/>
  <c r="E12" i="5"/>
  <c r="F12" i="5"/>
  <c r="G12" i="5"/>
  <c r="E9" i="5"/>
  <c r="F9" i="5"/>
  <c r="G9" i="5"/>
  <c r="E10" i="5"/>
  <c r="F10" i="5"/>
  <c r="G10" i="5"/>
  <c r="E8" i="5"/>
  <c r="F8" i="5"/>
  <c r="G8" i="5"/>
  <c r="E7" i="5"/>
  <c r="G7" i="5"/>
  <c r="F7" i="5"/>
  <c r="J7" i="5"/>
  <c r="M7" i="5"/>
  <c r="N7" i="5"/>
  <c r="D8" i="4"/>
  <c r="L7" i="5"/>
  <c r="J8" i="5"/>
  <c r="M8" i="5"/>
  <c r="L8" i="5"/>
  <c r="J10" i="5"/>
  <c r="M10" i="5"/>
  <c r="L10" i="5"/>
  <c r="J9" i="5"/>
  <c r="M9" i="5"/>
  <c r="L9" i="5"/>
  <c r="J12" i="5"/>
  <c r="M12" i="5"/>
  <c r="L12" i="5"/>
  <c r="J11" i="5"/>
  <c r="M11" i="5"/>
  <c r="L11" i="5"/>
  <c r="J14" i="5"/>
  <c r="M14" i="5"/>
  <c r="L14" i="5"/>
  <c r="J15" i="5"/>
  <c r="M15" i="5"/>
  <c r="L15" i="5"/>
  <c r="J16" i="5"/>
  <c r="M16" i="5"/>
  <c r="L16" i="5"/>
  <c r="J18" i="5"/>
  <c r="M18" i="5"/>
  <c r="L18" i="5"/>
  <c r="L17" i="5"/>
  <c r="L19" i="5"/>
  <c r="D19" i="4"/>
  <c r="N18" i="5"/>
  <c r="D17" i="4"/>
  <c r="N16" i="5"/>
  <c r="D16" i="4"/>
  <c r="N15" i="5"/>
  <c r="D15" i="4"/>
  <c r="N14" i="5"/>
  <c r="D12" i="4"/>
  <c r="N11" i="5"/>
  <c r="D13" i="4"/>
  <c r="N12" i="5"/>
  <c r="D10" i="4"/>
  <c r="N9" i="5"/>
  <c r="D11" i="4"/>
  <c r="N10" i="5"/>
  <c r="D9" i="4"/>
  <c r="N8" i="5"/>
  <c r="D20" i="5"/>
  <c r="AC24" i="5"/>
  <c r="E20" i="5"/>
  <c r="F20" i="5"/>
  <c r="G20" i="5"/>
  <c r="J20" i="5"/>
  <c r="M20" i="5"/>
  <c r="L20" i="5"/>
  <c r="D21" i="4"/>
  <c r="N20" i="5"/>
  <c r="D25" i="5"/>
  <c r="AC29" i="5"/>
  <c r="D24" i="5"/>
  <c r="AC28" i="5"/>
  <c r="D23" i="5"/>
  <c r="AC27" i="5"/>
  <c r="D22" i="5"/>
  <c r="AC26" i="5"/>
  <c r="D21" i="5"/>
  <c r="AC25" i="5"/>
  <c r="E24" i="5"/>
  <c r="G24" i="5"/>
  <c r="F24" i="5"/>
  <c r="J24" i="5"/>
  <c r="M24" i="5"/>
  <c r="N24" i="5"/>
  <c r="D25" i="4"/>
  <c r="E23" i="5"/>
  <c r="G23" i="5"/>
  <c r="F23" i="5"/>
  <c r="J23" i="5"/>
  <c r="M23" i="5"/>
  <c r="N23" i="5"/>
  <c r="D24" i="4"/>
  <c r="E21" i="5"/>
  <c r="G21" i="5"/>
  <c r="F21" i="5"/>
  <c r="J21" i="5"/>
  <c r="M21" i="5"/>
  <c r="N21" i="5"/>
  <c r="D22" i="4"/>
  <c r="E25" i="5"/>
  <c r="F25" i="5"/>
  <c r="G25" i="5"/>
  <c r="E22" i="5"/>
  <c r="F22" i="5"/>
  <c r="G22" i="5"/>
  <c r="J22" i="5"/>
  <c r="M22" i="5"/>
  <c r="L22" i="5"/>
  <c r="J25" i="5"/>
  <c r="M25" i="5"/>
  <c r="L25" i="5"/>
  <c r="L21" i="5"/>
  <c r="L23" i="5"/>
  <c r="L24" i="5"/>
  <c r="D26" i="4"/>
  <c r="N25" i="5"/>
  <c r="D23" i="4"/>
  <c r="N22" i="5"/>
  <c r="Q21" i="2"/>
  <c r="R21" i="2"/>
  <c r="Q22" i="2"/>
  <c r="R22" i="2"/>
  <c r="Q23" i="2"/>
  <c r="R23" i="2"/>
  <c r="Q24" i="2"/>
  <c r="R24" i="2"/>
  <c r="Q25" i="2"/>
  <c r="R25" i="2"/>
  <c r="Q20" i="2"/>
  <c r="R20" i="2"/>
  <c r="Q6" i="2"/>
  <c r="R6" i="2"/>
  <c r="Q7" i="2"/>
  <c r="R7" i="2"/>
  <c r="Q8" i="2"/>
  <c r="R8" i="2"/>
  <c r="Q9" i="2"/>
  <c r="R9" i="2"/>
  <c r="Q10" i="2"/>
  <c r="R10" i="2"/>
  <c r="Q11" i="2"/>
  <c r="R11" i="2"/>
  <c r="Q12" i="2"/>
  <c r="R12" i="2"/>
  <c r="Q14" i="2"/>
  <c r="R14" i="2"/>
  <c r="Q15" i="2"/>
  <c r="R15" i="2"/>
  <c r="Q16" i="2"/>
  <c r="R16" i="2"/>
  <c r="Q17" i="2"/>
  <c r="R17" i="2"/>
  <c r="Q18" i="2"/>
  <c r="R18" i="2"/>
  <c r="Q19" i="2"/>
  <c r="R19" i="2"/>
  <c r="E20" i="4"/>
  <c r="H20" i="4"/>
  <c r="I20" i="4"/>
  <c r="S19" i="2"/>
  <c r="E19" i="4"/>
  <c r="H19" i="4"/>
  <c r="I19" i="4"/>
  <c r="S18" i="2"/>
  <c r="E18" i="4"/>
  <c r="H18" i="4"/>
  <c r="I18" i="4"/>
  <c r="S17" i="2"/>
  <c r="E17" i="4"/>
  <c r="H17" i="4"/>
  <c r="I17" i="4"/>
  <c r="S16" i="2"/>
  <c r="E16" i="4"/>
  <c r="H16" i="4"/>
  <c r="I16" i="4"/>
  <c r="S15" i="2"/>
  <c r="E15" i="4"/>
  <c r="H15" i="4"/>
  <c r="I15" i="4"/>
  <c r="S14" i="2"/>
  <c r="E13" i="4"/>
  <c r="H13" i="4"/>
  <c r="I13" i="4"/>
  <c r="S12" i="2"/>
  <c r="E12" i="4"/>
  <c r="H12" i="4"/>
  <c r="I12" i="4"/>
  <c r="S11" i="2"/>
  <c r="E11" i="4"/>
  <c r="H11" i="4"/>
  <c r="I11" i="4"/>
  <c r="S10" i="2"/>
  <c r="E10" i="4"/>
  <c r="H10" i="4"/>
  <c r="I10" i="4"/>
  <c r="S9" i="2"/>
  <c r="E9" i="4"/>
  <c r="H9" i="4"/>
  <c r="I9" i="4"/>
  <c r="S8" i="2"/>
  <c r="E8" i="4"/>
  <c r="H8" i="4"/>
  <c r="I8" i="4"/>
  <c r="S7" i="2"/>
  <c r="E7" i="4"/>
  <c r="S6" i="2"/>
  <c r="E21" i="4"/>
  <c r="H21" i="4"/>
  <c r="I21" i="4"/>
  <c r="S20" i="2"/>
  <c r="E26" i="4"/>
  <c r="H26" i="4"/>
  <c r="I26" i="4"/>
  <c r="S25" i="2"/>
  <c r="E25" i="4"/>
  <c r="H25" i="4"/>
  <c r="I25" i="4"/>
  <c r="S24" i="2"/>
  <c r="E24" i="4"/>
  <c r="H24" i="4"/>
  <c r="I24" i="4"/>
  <c r="S23" i="2"/>
  <c r="E23" i="4"/>
  <c r="H23" i="4"/>
  <c r="I23" i="4"/>
  <c r="S22" i="2"/>
  <c r="E22" i="4"/>
  <c r="H22" i="4"/>
  <c r="I22" i="4"/>
  <c r="S21" i="2"/>
  <c r="D13" i="5"/>
  <c r="AC17" i="5"/>
  <c r="E13" i="5"/>
  <c r="F13" i="5"/>
  <c r="G13" i="5"/>
  <c r="J13" i="5"/>
  <c r="M13" i="5"/>
  <c r="L13" i="5"/>
  <c r="D14" i="4"/>
  <c r="N13" i="5"/>
  <c r="N26" i="5"/>
  <c r="Q13" i="2"/>
  <c r="R13" i="2"/>
  <c r="S13" i="2"/>
  <c r="S26" i="2"/>
  <c r="I28" i="4"/>
  <c r="E14" i="4"/>
  <c r="H14" i="4"/>
  <c r="I14" i="4"/>
  <c r="H7" i="4"/>
  <c r="I7" i="4"/>
  <c r="I27" i="4"/>
  <c r="I29" i="4"/>
  <c r="C42" i="4"/>
  <c r="C49" i="4"/>
  <c r="C44" i="4"/>
  <c r="C45" i="4"/>
  <c r="C51" i="4"/>
  <c r="C57" i="4"/>
  <c r="C55" i="4"/>
  <c r="C52" i="4"/>
  <c r="C58" i="4"/>
  <c r="AC8" i="5"/>
  <c r="AB7" i="5"/>
  <c r="AC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<sst xmlns="http://schemas.openxmlformats.org/spreadsheetml/2006/main" count="3962" uniqueCount="970">
  <si>
    <t>Table 7-5.  Effect of roughness on vehicle operating costs.</t>
  </si>
  <si>
    <t>Analysis Year</t>
  </si>
  <si>
    <t>AADT</t>
  </si>
  <si>
    <t>HCAADT</t>
  </si>
  <si>
    <t>Auto AADT</t>
  </si>
  <si>
    <t>No Build Cost</t>
  </si>
  <si>
    <t>Build Cost</t>
  </si>
  <si>
    <t>Savings</t>
  </si>
  <si>
    <t>Discount</t>
  </si>
  <si>
    <t>Adjustment Factors from Baseline</t>
  </si>
  <si>
    <t>Veh Op Cost (VOC) for IRI level (dollars/mile)</t>
  </si>
  <si>
    <t>Rough Road VOC</t>
  </si>
  <si>
    <t>Speed</t>
  </si>
  <si>
    <t>Vehicle Class</t>
  </si>
  <si>
    <t>Vehicle Operating Costs</t>
  </si>
  <si>
    <t>Baseline Cost $/mile</t>
  </si>
  <si>
    <t>IRI</t>
  </si>
  <si>
    <t>$/mile 5,6</t>
  </si>
  <si>
    <t>$/VMT</t>
  </si>
  <si>
    <t>Baseline Conditions
(¢/km)</t>
  </si>
  <si>
    <t>Adjustment Factors from the Baseline Conditions</t>
  </si>
  <si>
    <t>IRI (m/km)</t>
  </si>
  <si>
    <t>Medium Car</t>
  </si>
  <si>
    <t>Van</t>
  </si>
  <si>
    <t>Medium car</t>
  </si>
  <si>
    <t>SUV</t>
  </si>
  <si>
    <t>Light Truck</t>
  </si>
  <si>
    <t>Articulated Truck</t>
  </si>
  <si>
    <t>Light truck</t>
  </si>
  <si>
    <t>Auto VOC</t>
  </si>
  <si>
    <t>Articulated truck</t>
  </si>
  <si>
    <t>Truck VOC</t>
  </si>
  <si>
    <t>Section</t>
  </si>
  <si>
    <t>Miles</t>
  </si>
  <si>
    <t>Auto</t>
  </si>
  <si>
    <t>Heavy %</t>
  </si>
  <si>
    <t>US 52</t>
  </si>
  <si>
    <t>Table 3. Inflation Adjustment Factors</t>
  </si>
  <si>
    <t>Year</t>
  </si>
  <si>
    <t>Inflation Factor</t>
  </si>
  <si>
    <t>Table 4. US 52 AADT History</t>
  </si>
  <si>
    <t>1 m/km = 63.4 (in./mi)</t>
  </si>
  <si>
    <t>Total Benefit</t>
  </si>
  <si>
    <t>Notes</t>
  </si>
  <si>
    <t>1)</t>
  </si>
  <si>
    <t>2)</t>
  </si>
  <si>
    <t>RoadName</t>
  </si>
  <si>
    <t>From_RP</t>
  </si>
  <si>
    <t>From_Offset</t>
  </si>
  <si>
    <t>From_Location</t>
  </si>
  <si>
    <t>To_RP</t>
  </si>
  <si>
    <t>To_Offset</t>
  </si>
  <si>
    <t>To_Location</t>
  </si>
  <si>
    <t>Length</t>
  </si>
  <si>
    <t>Age</t>
  </si>
  <si>
    <t>IRI Rating</t>
  </si>
  <si>
    <t>Avg IRI Det/Yr</t>
  </si>
  <si>
    <t>Length in Project</t>
  </si>
  <si>
    <t>52     E</t>
  </si>
  <si>
    <t>1 MI W OF BERGEN SE</t>
  </si>
  <si>
    <t>DRAKE</t>
  </si>
  <si>
    <t>Good</t>
  </si>
  <si>
    <t>Fair</t>
  </si>
  <si>
    <t>DRAKE SE</t>
  </si>
  <si>
    <t>ANAMOOSE</t>
  </si>
  <si>
    <t>W EDGE OF HARVEY</t>
  </si>
  <si>
    <t>WEST EDGE OF HARVEY SE</t>
  </si>
  <si>
    <t>S JCT 3</t>
  </si>
  <si>
    <t>Excellent</t>
  </si>
  <si>
    <t>S JCT 3 HARVEY</t>
  </si>
  <si>
    <t>1 MI N FESSENDEN</t>
  </si>
  <si>
    <t>FESSENDEN</t>
  </si>
  <si>
    <t>FESSENDEN S 0.86 MI</t>
  </si>
  <si>
    <t>Base Year</t>
  </si>
  <si>
    <t>Beginning of Construction</t>
  </si>
  <si>
    <t>Duration of Construction</t>
  </si>
  <si>
    <t>Years of Benefit-Cost Analysis Period</t>
  </si>
  <si>
    <t>Benefit-Cost First Year of Benefit</t>
  </si>
  <si>
    <t>Benefit-Cost Final Year of Benefit</t>
  </si>
  <si>
    <t>Discount Rate</t>
  </si>
  <si>
    <t>CO2 Rate</t>
  </si>
  <si>
    <t>Auto Occupancy</t>
  </si>
  <si>
    <t>Truck Occupancy</t>
  </si>
  <si>
    <t>All Purpose Travel Time Costs</t>
  </si>
  <si>
    <t>Truck Travel Time Costs</t>
  </si>
  <si>
    <t>Per VMT Operating Costs: Auto</t>
  </si>
  <si>
    <t>Per VMT Operating Costs: Truck</t>
  </si>
  <si>
    <t>US 52 Length</t>
  </si>
  <si>
    <t>Year of AADT</t>
  </si>
  <si>
    <t>Table 2. Crash Costs</t>
  </si>
  <si>
    <t>Crash Type</t>
  </si>
  <si>
    <t>Value (2022$)</t>
  </si>
  <si>
    <t>PDO Crash</t>
  </si>
  <si>
    <t>Average Growth Rate</t>
  </si>
  <si>
    <t>Any unnoted values are sourced or derived from USDOT Benefit-Cost Analysis Guidance For Discretionary Grant Programs December 2023</t>
  </si>
  <si>
    <t>General Assumption/No Available Data</t>
  </si>
  <si>
    <t>3)</t>
  </si>
  <si>
    <t>From NDDOT Traffic Reports</t>
  </si>
  <si>
    <t>BENEFITS</t>
  </si>
  <si>
    <t>Economic Competitiveness</t>
  </si>
  <si>
    <t>Totals and Discounting</t>
  </si>
  <si>
    <t>Remaining Capital Value (3.1%)</t>
  </si>
  <si>
    <t>Subtotal</t>
  </si>
  <si>
    <t>COSTS</t>
  </si>
  <si>
    <t>Capital Costs</t>
  </si>
  <si>
    <t>3.1% Discount</t>
  </si>
  <si>
    <t>Total Cost</t>
  </si>
  <si>
    <t>SUMMARY</t>
  </si>
  <si>
    <t>Results</t>
  </si>
  <si>
    <t>Benefits</t>
  </si>
  <si>
    <t>Costs</t>
  </si>
  <si>
    <t>B/C Ratio</t>
  </si>
  <si>
    <t>NPV</t>
  </si>
  <si>
    <t>Benefits (millions)</t>
  </si>
  <si>
    <t>Costs (millions)</t>
  </si>
  <si>
    <t>Net Present Value (millions)</t>
  </si>
  <si>
    <t>NDDOT US 52 Resurface and Intersection Improvements</t>
  </si>
  <si>
    <t>Crash Reductions</t>
  </si>
  <si>
    <t>Travel Time Savings: Roughness</t>
  </si>
  <si>
    <t>Operating Cost Savings: Roughness</t>
  </si>
  <si>
    <t>Travel Time Cost Savings</t>
  </si>
  <si>
    <t>Table 1 - Per-hour Travel Time Cost by Mode</t>
  </si>
  <si>
    <t>All-Purpose Travel Time Cost</t>
  </si>
  <si>
    <t>Truck Travel Time Cost</t>
  </si>
  <si>
    <t>Auto Percentage</t>
  </si>
  <si>
    <t>Truck Percentage</t>
  </si>
  <si>
    <t>Table 3 - Vehicle Occupancy</t>
  </si>
  <si>
    <t>Auto Vehicle Occupancy</t>
  </si>
  <si>
    <t>Truck Vehicle Occupancy</t>
  </si>
  <si>
    <t>Table 4 - Per-mile Travel Time Cost</t>
  </si>
  <si>
    <t>Aggregate Travel Time Cost</t>
  </si>
  <si>
    <t>NOTES:</t>
  </si>
  <si>
    <t>No Build</t>
  </si>
  <si>
    <t>Build</t>
  </si>
  <si>
    <t>Total</t>
  </si>
  <si>
    <r>
      <rPr>
        <vertAlign val="superscript"/>
        <sz val="10"/>
        <rFont val="Times New Roman"/>
        <family val="1"/>
      </rPr>
      <t xml:space="preserve">Project Number:      </t>
    </r>
    <r>
      <rPr>
        <sz val="10"/>
        <rFont val="Times New Roman"/>
        <family val="1"/>
      </rPr>
      <t>HEN-4-052(101)167</t>
    </r>
  </si>
  <si>
    <r>
      <rPr>
        <vertAlign val="superscript"/>
        <sz val="10"/>
        <rFont val="Times New Roman"/>
        <family val="1"/>
      </rPr>
      <t xml:space="preserve">PCN:                         </t>
    </r>
    <r>
      <rPr>
        <sz val="10"/>
        <rFont val="Times New Roman"/>
        <family val="1"/>
      </rPr>
      <t>23153</t>
    </r>
  </si>
  <si>
    <r>
      <rPr>
        <sz val="10"/>
        <rFont val="Times New Roman"/>
        <family val="1"/>
      </rPr>
      <t>Length                       0.68</t>
    </r>
  </si>
  <si>
    <r>
      <rPr>
        <sz val="10"/>
        <rFont val="Times New Roman"/>
        <family val="1"/>
      </rPr>
      <t>City:                           Harvey</t>
    </r>
  </si>
  <si>
    <r>
      <rPr>
        <sz val="10"/>
        <rFont val="Times New Roman"/>
        <family val="1"/>
      </rPr>
      <t>County:                     Wells</t>
    </r>
  </si>
  <si>
    <r>
      <rPr>
        <sz val="12"/>
        <rFont val="Times New Roman"/>
        <family val="1"/>
      </rPr>
      <t>Cost Estimate</t>
    </r>
  </si>
  <si>
    <r>
      <rPr>
        <vertAlign val="superscript"/>
        <sz val="10"/>
        <rFont val="Times New Roman"/>
        <family val="1"/>
      </rPr>
      <t xml:space="preserve">Bid Opening:                                                                          </t>
    </r>
    <r>
      <rPr>
        <sz val="10"/>
        <rFont val="Times New Roman"/>
        <family val="1"/>
      </rPr>
      <t>1/1/2023</t>
    </r>
  </si>
  <si>
    <r>
      <rPr>
        <sz val="10"/>
        <rFont val="Times New Roman"/>
        <family val="1"/>
      </rPr>
      <t>Estimate Scope:                                                                        FINAL</t>
    </r>
  </si>
  <si>
    <r>
      <rPr>
        <sz val="10"/>
        <rFont val="Times New Roman"/>
        <family val="1"/>
      </rPr>
      <t>Tied Project(s):</t>
    </r>
  </si>
  <si>
    <r>
      <rPr>
        <sz val="10"/>
        <rFont val="Times New Roman"/>
        <family val="1"/>
      </rPr>
      <t>Prepared By:                                                                            dkieffer</t>
    </r>
  </si>
  <si>
    <r>
      <rPr>
        <sz val="10"/>
        <rFont val="Times New Roman"/>
        <family val="1"/>
      </rPr>
      <t>Work Description:   Aggregate Base, Hot Bituminous Pavement, Culverts, Riprap &amp; Incidentals</t>
    </r>
  </si>
  <si>
    <r>
      <rPr>
        <vertAlign val="superscript"/>
        <sz val="10"/>
        <rFont val="Times New Roman"/>
        <family val="1"/>
      </rPr>
      <t xml:space="preserve">Location:                                                                                                                                                                  </t>
    </r>
    <r>
      <rPr>
        <sz val="10"/>
        <rFont val="Times New Roman"/>
        <family val="1"/>
      </rPr>
      <t>US 52 and ND 3</t>
    </r>
  </si>
  <si>
    <r>
      <rPr>
        <sz val="9"/>
        <rFont val="Times New Roman"/>
        <family val="1"/>
      </rPr>
      <t>Spec  Code      Item Description</t>
    </r>
  </si>
  <si>
    <r>
      <rPr>
        <sz val="9"/>
        <rFont val="Times New Roman"/>
        <family val="1"/>
      </rPr>
      <t>Unit</t>
    </r>
  </si>
  <si>
    <r>
      <rPr>
        <sz val="9"/>
        <rFont val="Times New Roman"/>
        <family val="1"/>
      </rPr>
      <t>Quantity</t>
    </r>
  </si>
  <si>
    <r>
      <rPr>
        <sz val="9"/>
        <rFont val="Times New Roman"/>
        <family val="1"/>
      </rPr>
      <t>Unit Cost</t>
    </r>
  </si>
  <si>
    <r>
      <rPr>
        <sz val="9"/>
        <rFont val="Times New Roman"/>
        <family val="1"/>
      </rPr>
      <t>Total Cost</t>
    </r>
  </si>
  <si>
    <r>
      <rPr>
        <sz val="9"/>
        <rFont val="Times New Roman"/>
        <family val="1"/>
      </rPr>
      <t>CONTRACT BOND</t>
    </r>
  </si>
  <si>
    <r>
      <rPr>
        <sz val="9"/>
        <rFont val="Times New Roman"/>
        <family val="1"/>
      </rPr>
      <t>L SUM</t>
    </r>
  </si>
  <si>
    <r>
      <rPr>
        <sz val="9"/>
        <rFont val="Times New Roman"/>
        <family val="1"/>
      </rPr>
      <t>REMOVAL OF BITUMINOUS SURFACING</t>
    </r>
  </si>
  <si>
    <r>
      <rPr>
        <sz val="9"/>
        <rFont val="Times New Roman"/>
        <family val="1"/>
      </rPr>
      <t>SY</t>
    </r>
  </si>
  <si>
    <r>
      <rPr>
        <sz val="9"/>
        <rFont val="Times New Roman"/>
        <family val="1"/>
      </rPr>
      <t>REMOVAL OF CULVERTS-ALL TYPES &amp; SIZES</t>
    </r>
  </si>
  <si>
    <r>
      <rPr>
        <sz val="9"/>
        <rFont val="Times New Roman"/>
        <family val="1"/>
      </rPr>
      <t>LF</t>
    </r>
  </si>
  <si>
    <r>
      <rPr>
        <sz val="9"/>
        <rFont val="Times New Roman"/>
        <family val="1"/>
      </rPr>
      <t>COMMON EXCAVATION-TYPE A</t>
    </r>
  </si>
  <si>
    <r>
      <rPr>
        <sz val="9"/>
        <rFont val="Times New Roman"/>
        <family val="1"/>
      </rPr>
      <t>CY</t>
    </r>
  </si>
  <si>
    <r>
      <rPr>
        <sz val="9"/>
        <rFont val="Times New Roman"/>
        <family val="1"/>
      </rPr>
      <t>TOPSOIL</t>
    </r>
  </si>
  <si>
    <r>
      <rPr>
        <sz val="9"/>
        <rFont val="Times New Roman"/>
        <family val="1"/>
      </rPr>
      <t>TOPSOIL-IMPORTED</t>
    </r>
  </si>
  <si>
    <r>
      <rPr>
        <sz val="9"/>
        <rFont val="Times New Roman"/>
        <family val="1"/>
      </rPr>
      <t>BORROW-EXCAVATION</t>
    </r>
  </si>
  <si>
    <r>
      <rPr>
        <sz val="9"/>
        <rFont val="Times New Roman"/>
        <family val="1"/>
      </rPr>
      <t>WATER</t>
    </r>
  </si>
  <si>
    <r>
      <rPr>
        <sz val="9"/>
        <rFont val="Times New Roman"/>
        <family val="1"/>
      </rPr>
      <t>M GAL</t>
    </r>
  </si>
  <si>
    <r>
      <rPr>
        <sz val="9"/>
        <rFont val="Times New Roman"/>
        <family val="1"/>
      </rPr>
      <t>SUBGRADE PREPARATION-TYPE A-12IN</t>
    </r>
  </si>
  <si>
    <r>
      <rPr>
        <sz val="9"/>
        <rFont val="Times New Roman"/>
        <family val="1"/>
      </rPr>
      <t>STA</t>
    </r>
  </si>
  <si>
    <r>
      <rPr>
        <sz val="9"/>
        <rFont val="Times New Roman"/>
        <family val="1"/>
      </rPr>
      <t>SEEDING CLASS II</t>
    </r>
  </si>
  <si>
    <r>
      <rPr>
        <sz val="9"/>
        <rFont val="Times New Roman"/>
        <family val="1"/>
      </rPr>
      <t>ACRE</t>
    </r>
  </si>
  <si>
    <r>
      <rPr>
        <sz val="9"/>
        <rFont val="Times New Roman"/>
        <family val="1"/>
      </rPr>
      <t>TEMPORARY COVER CROP</t>
    </r>
  </si>
  <si>
    <r>
      <rPr>
        <sz val="9"/>
        <rFont val="Times New Roman"/>
        <family val="1"/>
      </rPr>
      <t>STRAW MULCH</t>
    </r>
  </si>
  <si>
    <r>
      <rPr>
        <sz val="9"/>
        <rFont val="Times New Roman"/>
        <family val="1"/>
      </rPr>
      <t>ECB TYPE 3</t>
    </r>
  </si>
  <si>
    <r>
      <rPr>
        <sz val="9"/>
        <rFont val="Times New Roman"/>
        <family val="1"/>
      </rPr>
      <t>RIPRAP GRADE II</t>
    </r>
  </si>
  <si>
    <r>
      <rPr>
        <sz val="9"/>
        <rFont val="Times New Roman"/>
        <family val="1"/>
      </rPr>
      <t>SILT FENCE UNSUPPORTED</t>
    </r>
  </si>
  <si>
    <r>
      <rPr>
        <sz val="9"/>
        <rFont val="Times New Roman"/>
        <family val="1"/>
      </rPr>
      <t>REMOVE SILT FENCE UNSUPPORTED</t>
    </r>
  </si>
  <si>
    <r>
      <rPr>
        <sz val="9"/>
        <rFont val="Times New Roman"/>
        <family val="1"/>
      </rPr>
      <t>FIBER ROLLS 12IN</t>
    </r>
  </si>
  <si>
    <r>
      <rPr>
        <sz val="9"/>
        <rFont val="Times New Roman"/>
        <family val="1"/>
      </rPr>
      <t>REMOVE FIBER ROLLS 12IN</t>
    </r>
  </si>
  <si>
    <r>
      <rPr>
        <sz val="9"/>
        <rFont val="Times New Roman"/>
        <family val="1"/>
      </rPr>
      <t>AGGREGATE BASE COURSE CL 5</t>
    </r>
  </si>
  <si>
    <r>
      <rPr>
        <sz val="9"/>
        <rFont val="Times New Roman"/>
        <family val="1"/>
      </rPr>
      <t>TON</t>
    </r>
  </si>
  <si>
    <r>
      <rPr>
        <sz val="9"/>
        <rFont val="Times New Roman"/>
        <family val="1"/>
      </rPr>
      <t>TACK COAT</t>
    </r>
  </si>
  <si>
    <r>
      <rPr>
        <sz val="9"/>
        <rFont val="Times New Roman"/>
        <family val="1"/>
      </rPr>
      <t>GAL</t>
    </r>
  </si>
  <si>
    <r>
      <rPr>
        <sz val="9"/>
        <rFont val="Times New Roman"/>
        <family val="1"/>
      </rPr>
      <t>PRIME COAT</t>
    </r>
  </si>
  <si>
    <r>
      <rPr>
        <sz val="9"/>
        <rFont val="Times New Roman"/>
        <family val="1"/>
      </rPr>
      <t>FOG SEAL</t>
    </r>
  </si>
  <si>
    <r>
      <rPr>
        <sz val="9"/>
        <rFont val="Times New Roman"/>
        <family val="1"/>
      </rPr>
      <t>MILLING PAVEMENT SURFACE - 1 INCH</t>
    </r>
  </si>
  <si>
    <r>
      <rPr>
        <sz val="9"/>
        <rFont val="Times New Roman"/>
        <family val="1"/>
      </rPr>
      <t>SUPERPAVE FAA 45</t>
    </r>
  </si>
  <si>
    <r>
      <rPr>
        <sz val="9"/>
        <rFont val="Times New Roman"/>
        <family val="1"/>
      </rPr>
      <t>CORED SAMPLE</t>
    </r>
  </si>
  <si>
    <r>
      <rPr>
        <sz val="9"/>
        <rFont val="Times New Roman"/>
        <family val="1"/>
      </rPr>
      <t>EA</t>
    </r>
  </si>
  <si>
    <r>
      <rPr>
        <sz val="9"/>
        <rFont val="Times New Roman"/>
        <family val="1"/>
      </rPr>
      <t>PG 58H-34 ASPHALT CEMENT</t>
    </r>
  </si>
  <si>
    <r>
      <rPr>
        <sz val="9"/>
        <rFont val="Times New Roman"/>
        <family val="1"/>
      </rPr>
      <t>MOBILIZATION</t>
    </r>
  </si>
  <si>
    <r>
      <rPr>
        <sz val="9"/>
        <rFont val="Times New Roman"/>
        <family val="1"/>
      </rPr>
      <t>FLAGGING</t>
    </r>
  </si>
  <si>
    <r>
      <rPr>
        <sz val="9"/>
        <rFont val="Times New Roman"/>
        <family val="1"/>
      </rPr>
      <t>MHR</t>
    </r>
  </si>
  <si>
    <r>
      <rPr>
        <sz val="9"/>
        <rFont val="Times New Roman"/>
        <family val="1"/>
      </rPr>
      <t>TRAFFIC CONTROL SIGNS</t>
    </r>
  </si>
  <si>
    <r>
      <rPr>
        <sz val="9"/>
        <rFont val="Times New Roman"/>
        <family val="1"/>
      </rPr>
      <t>UNIT</t>
    </r>
  </si>
  <si>
    <r>
      <rPr>
        <sz val="9"/>
        <rFont val="Times New Roman"/>
        <family val="1"/>
      </rPr>
      <t>TYPE III BARRICADE</t>
    </r>
  </si>
  <si>
    <r>
      <rPr>
        <sz val="9"/>
        <rFont val="Times New Roman"/>
        <family val="1"/>
      </rPr>
      <t>DELINEATOR DRUMS</t>
    </r>
  </si>
  <si>
    <r>
      <rPr>
        <sz val="9"/>
        <rFont val="Times New Roman"/>
        <family val="1"/>
      </rPr>
      <t>STACKABLE VERTICAL PANELS</t>
    </r>
  </si>
  <si>
    <r>
      <rPr>
        <sz val="9"/>
        <rFont val="Times New Roman"/>
        <family val="1"/>
      </rPr>
      <t>OBLITERATION OF PAVEMENT MARKING</t>
    </r>
  </si>
  <si>
    <r>
      <rPr>
        <sz val="9"/>
        <rFont val="Times New Roman"/>
        <family val="1"/>
      </rPr>
      <t>SF</t>
    </r>
  </si>
  <si>
    <r>
      <rPr>
        <sz val="9"/>
        <rFont val="Times New Roman"/>
        <family val="1"/>
      </rPr>
      <t>AGGREGATE LABORATORY</t>
    </r>
  </si>
  <si>
    <r>
      <rPr>
        <sz val="9"/>
        <rFont val="Times New Roman"/>
        <family val="1"/>
      </rPr>
      <t>BITUMINOUS LABORATORY</t>
    </r>
  </si>
  <si>
    <r>
      <rPr>
        <sz val="9"/>
        <rFont val="Times New Roman"/>
        <family val="1"/>
      </rPr>
      <t>CONTRACTOR'S LABORATORY</t>
    </r>
  </si>
  <si>
    <r>
      <rPr>
        <sz val="9"/>
        <rFont val="Times New Roman"/>
        <family val="1"/>
      </rPr>
      <t>GEOSYNTHETIC MATERIAL TYPE G</t>
    </r>
  </si>
  <si>
    <r>
      <rPr>
        <sz val="9"/>
        <rFont val="Times New Roman"/>
        <family val="1"/>
      </rPr>
      <t>GEOSYNTHETIC MATERIAL TYPE RR</t>
    </r>
  </si>
  <si>
    <r>
      <rPr>
        <sz val="9"/>
        <rFont val="Times New Roman"/>
        <family val="1"/>
      </rPr>
      <t>PIPE CONC REINF 24IN CL III</t>
    </r>
  </si>
  <si>
    <r>
      <rPr>
        <sz val="9"/>
        <rFont val="Times New Roman"/>
        <family val="1"/>
      </rPr>
      <t>PIPE CONDUIT 24IN</t>
    </r>
  </si>
  <si>
    <r>
      <rPr>
        <sz val="9"/>
        <rFont val="Times New Roman"/>
        <family val="1"/>
      </rPr>
      <t>PIPE CONDUIT 36IN</t>
    </r>
  </si>
  <si>
    <r>
      <rPr>
        <sz val="9"/>
        <rFont val="Times New Roman"/>
        <family val="1"/>
      </rPr>
      <t>REMOVE &amp; RELAY END SECTION-ALL TYPE &amp; SIZES</t>
    </r>
  </si>
  <si>
    <r>
      <rPr>
        <sz val="9"/>
        <rFont val="Times New Roman"/>
        <family val="1"/>
      </rPr>
      <t>FLAT SHEET FOR SIGNS-TYPE XI REFL SHEETING</t>
    </r>
  </si>
  <si>
    <r>
      <rPr>
        <sz val="9"/>
        <rFont val="Times New Roman"/>
        <family val="1"/>
      </rPr>
      <t>FLAT SHEET FOR SIGNS-TYPE IV REFL SHEETING</t>
    </r>
  </si>
  <si>
    <r>
      <rPr>
        <sz val="9"/>
        <rFont val="Times New Roman"/>
        <family val="1"/>
      </rPr>
      <t>STEEL GALV POSTS-TELESCOPING PERFORATED TUBE</t>
    </r>
  </si>
  <si>
    <r>
      <rPr>
        <sz val="9"/>
        <rFont val="Times New Roman"/>
        <family val="1"/>
      </rPr>
      <t>RESET SIGN PANEL</t>
    </r>
  </si>
  <si>
    <r>
      <rPr>
        <sz val="9"/>
        <rFont val="Times New Roman"/>
        <family val="1"/>
      </rPr>
      <t>OBJECT MARKERS - CULVERTS</t>
    </r>
  </si>
  <si>
    <r>
      <rPr>
        <sz val="9"/>
        <rFont val="Times New Roman"/>
        <family val="1"/>
      </rPr>
      <t>EPOXY PVMT MK 4IN LINE</t>
    </r>
  </si>
  <si>
    <r>
      <rPr>
        <sz val="9"/>
        <rFont val="Times New Roman"/>
        <family val="1"/>
      </rPr>
      <t>EPOXY PVMT MK 8IN LINE</t>
    </r>
  </si>
  <si>
    <r>
      <rPr>
        <sz val="9"/>
        <rFont val="Times New Roman"/>
        <family val="1"/>
      </rPr>
      <t>EPOXY PVMT MK 24IN LINE</t>
    </r>
  </si>
  <si>
    <r>
      <rPr>
        <sz val="9"/>
        <rFont val="Times New Roman"/>
        <family val="1"/>
      </rPr>
      <t>CABLE TRENCH-TYPE II</t>
    </r>
  </si>
  <si>
    <r>
      <rPr>
        <sz val="9"/>
        <rFont val="Times New Roman"/>
        <family val="1"/>
      </rPr>
      <t>MULTIPLE UNDERGROUND CABLE 3NO6 STYLE USE</t>
    </r>
  </si>
  <si>
    <r>
      <rPr>
        <vertAlign val="superscript"/>
        <sz val="9"/>
        <rFont val="Times New Roman"/>
        <family val="1"/>
      </rPr>
      <t xml:space="preserve">Subtotal             </t>
    </r>
    <r>
      <rPr>
        <sz val="9"/>
        <rFont val="Times New Roman"/>
        <family val="1"/>
      </rPr>
      <t>$992,912.00</t>
    </r>
  </si>
  <si>
    <r>
      <rPr>
        <sz val="10"/>
        <rFont val="Times New Roman"/>
        <family val="1"/>
      </rPr>
      <t>Estimate Summary and Totals</t>
    </r>
  </si>
  <si>
    <r>
      <rPr>
        <sz val="11"/>
        <rFont val="Times New Roman"/>
        <family val="1"/>
      </rPr>
      <t>Subtotal:</t>
    </r>
  </si>
  <si>
    <r>
      <rPr>
        <sz val="11"/>
        <rFont val="Times New Roman"/>
        <family val="1"/>
      </rPr>
      <t>$992,912.00 + 10.00% Engineering = $1,092,203.20</t>
    </r>
  </si>
  <si>
    <r>
      <rPr>
        <sz val="10"/>
        <rFont val="Times New Roman"/>
        <family val="1"/>
      </rPr>
      <t>Engineering Percent: 10.00%</t>
    </r>
  </si>
  <si>
    <t>CAPITAL COST AND RESIDUAL PROJECT VALUE</t>
  </si>
  <si>
    <t>Table 1 - Years of Construction</t>
  </si>
  <si>
    <t>Remaining Capital Value</t>
  </si>
  <si>
    <t>Construction Year</t>
  </si>
  <si>
    <t>Years of Construction</t>
  </si>
  <si>
    <t xml:space="preserve">Capital Cost </t>
  </si>
  <si>
    <t>Present Value RCV in (3.1%)</t>
  </si>
  <si>
    <t xml:space="preserve">Cost Category </t>
  </si>
  <si>
    <t>Life (years)</t>
  </si>
  <si>
    <t>Capital Costs (2023$)</t>
  </si>
  <si>
    <t>Capital Costs (2022$)</t>
  </si>
  <si>
    <t>Miscellaneous (Sunk)</t>
  </si>
  <si>
    <t>RCV Factor (3.1%)</t>
  </si>
  <si>
    <t>RCV  (3.1%)</t>
  </si>
  <si>
    <t>Total Remaining Capital Value</t>
  </si>
  <si>
    <t>Deflator</t>
  </si>
  <si>
    <t>Inflation</t>
  </si>
  <si>
    <r>
      <rPr>
        <vertAlign val="superscript"/>
        <sz val="10"/>
        <rFont val="Arial"/>
        <family val="2"/>
      </rPr>
      <t xml:space="preserve">Project Number:     </t>
    </r>
    <r>
      <rPr>
        <b/>
        <sz val="10"/>
        <rFont val="Arial"/>
        <family val="2"/>
      </rPr>
      <t>HEN-9-052(485)006</t>
    </r>
  </si>
  <si>
    <r>
      <rPr>
        <vertAlign val="superscript"/>
        <sz val="10"/>
        <rFont val="Arial"/>
        <family val="2"/>
      </rPr>
      <t xml:space="preserve">PCN:                       </t>
    </r>
    <r>
      <rPr>
        <b/>
        <sz val="10"/>
        <rFont val="Arial"/>
        <family val="2"/>
      </rPr>
      <t>23404</t>
    </r>
  </si>
  <si>
    <r>
      <rPr>
        <sz val="10"/>
        <rFont val="Arial"/>
        <family val="2"/>
      </rPr>
      <t>Length                    215.5</t>
    </r>
  </si>
  <si>
    <r>
      <rPr>
        <b/>
        <sz val="12"/>
        <rFont val="Arial"/>
        <family val="2"/>
      </rPr>
      <t>Cost Estimate</t>
    </r>
  </si>
  <si>
    <r>
      <rPr>
        <vertAlign val="superscript"/>
        <sz val="10"/>
        <rFont val="Arial"/>
        <family val="2"/>
      </rPr>
      <t xml:space="preserve">Bid Opening:                                                                  </t>
    </r>
    <r>
      <rPr>
        <b/>
        <sz val="10"/>
        <rFont val="Arial"/>
        <family val="2"/>
      </rPr>
      <t>1/1/2025</t>
    </r>
  </si>
  <si>
    <r>
      <rPr>
        <sz val="10"/>
        <rFont val="Arial"/>
        <family val="2"/>
      </rPr>
      <t>Estimate Scope:                                                                FINAL</t>
    </r>
  </si>
  <si>
    <r>
      <rPr>
        <sz val="10"/>
        <rFont val="Arial"/>
        <family val="2"/>
      </rPr>
      <t>Tied Project(s):</t>
    </r>
  </si>
  <si>
    <r>
      <rPr>
        <sz val="10"/>
        <rFont val="Arial"/>
        <family val="2"/>
      </rPr>
      <t>City:                        Canadian Border to Carrington</t>
    </r>
  </si>
  <si>
    <r>
      <rPr>
        <sz val="10"/>
        <rFont val="Arial"/>
        <family val="2"/>
      </rPr>
      <t>County:                   Burke, Ward, McHenry, Foster</t>
    </r>
  </si>
  <si>
    <r>
      <rPr>
        <sz val="10"/>
        <rFont val="Arial"/>
        <family val="2"/>
      </rPr>
      <t xml:space="preserve">Prepared By:                                            </t>
    </r>
    <r>
      <rPr>
        <i/>
        <sz val="10"/>
        <rFont val="Arial"/>
        <family val="2"/>
      </rPr>
      <t>KORY.KLEINKNECHT</t>
    </r>
  </si>
  <si>
    <r>
      <rPr>
        <sz val="10"/>
        <rFont val="Arial"/>
        <family val="2"/>
      </rPr>
      <t>Work Description:   Accleration/Deceleration Lanes, Turn Lanes</t>
    </r>
  </si>
  <si>
    <r>
      <rPr>
        <vertAlign val="superscript"/>
        <sz val="10"/>
        <rFont val="Arial"/>
        <family val="2"/>
      </rPr>
      <t xml:space="preserve">Location:                                                                                                                          </t>
    </r>
    <r>
      <rPr>
        <b/>
        <sz val="10"/>
        <rFont val="Arial"/>
        <family val="2"/>
      </rPr>
      <t>South of Portal to Carrington</t>
    </r>
  </si>
  <si>
    <r>
      <rPr>
        <b/>
        <sz val="9"/>
        <rFont val="Arial"/>
        <family val="2"/>
      </rPr>
      <t>Spec</t>
    </r>
  </si>
  <si>
    <r>
      <rPr>
        <b/>
        <sz val="9"/>
        <rFont val="Arial"/>
        <family val="2"/>
      </rPr>
      <t>Code</t>
    </r>
  </si>
  <si>
    <r>
      <rPr>
        <b/>
        <sz val="9"/>
        <rFont val="Arial"/>
        <family val="2"/>
      </rPr>
      <t>Item Description</t>
    </r>
  </si>
  <si>
    <r>
      <rPr>
        <b/>
        <sz val="9"/>
        <rFont val="Arial"/>
        <family val="2"/>
      </rPr>
      <t>Unit</t>
    </r>
  </si>
  <si>
    <r>
      <rPr>
        <b/>
        <sz val="9"/>
        <rFont val="Arial"/>
        <family val="2"/>
      </rPr>
      <t>Quantity</t>
    </r>
  </si>
  <si>
    <r>
      <rPr>
        <b/>
        <sz val="9"/>
        <rFont val="Arial"/>
        <family val="2"/>
      </rPr>
      <t>Unit Cost</t>
    </r>
  </si>
  <si>
    <r>
      <rPr>
        <sz val="9"/>
        <rFont val="Arial"/>
        <family val="2"/>
      </rPr>
      <t>CONTRACT BOND</t>
    </r>
  </si>
  <si>
    <r>
      <rPr>
        <sz val="9"/>
        <rFont val="Arial"/>
        <family val="2"/>
      </rPr>
      <t>L SUM</t>
    </r>
  </si>
  <si>
    <r>
      <rPr>
        <sz val="9"/>
        <rFont val="Arial"/>
        <family val="2"/>
      </rPr>
      <t>RAILWAY PROTECTION INSURANCE - COMPANY A</t>
    </r>
  </si>
  <si>
    <r>
      <rPr>
        <sz val="9"/>
        <rFont val="Arial"/>
        <family val="2"/>
      </rPr>
      <t>RAILWAY PROTECTION INSURANCE - COMPANY B</t>
    </r>
  </si>
  <si>
    <r>
      <rPr>
        <sz val="9"/>
        <rFont val="Arial"/>
        <family val="2"/>
      </rPr>
      <t>RAILWAY PROTECTION INSURANCE - COMPANY C</t>
    </r>
  </si>
  <si>
    <r>
      <rPr>
        <sz val="9"/>
        <rFont val="Arial"/>
        <family val="2"/>
      </rPr>
      <t>RAILWAY PROTECTION INSURANCE - COMPANY D</t>
    </r>
  </si>
  <si>
    <r>
      <rPr>
        <sz val="9"/>
        <rFont val="Arial"/>
        <family val="2"/>
      </rPr>
      <t>RAILROAD COORDINATION - COMPANY A</t>
    </r>
  </si>
  <si>
    <r>
      <rPr>
        <sz val="9"/>
        <rFont val="Arial"/>
        <family val="2"/>
      </rPr>
      <t>RAILROAD COORDINATION - COMPANY B</t>
    </r>
  </si>
  <si>
    <r>
      <rPr>
        <sz val="9"/>
        <rFont val="Arial"/>
        <family val="2"/>
      </rPr>
      <t>RAILROAD COORDINATION - COMPANY C</t>
    </r>
  </si>
  <si>
    <r>
      <rPr>
        <sz val="9"/>
        <rFont val="Arial"/>
        <family val="2"/>
      </rPr>
      <t>RAILROAD COORDINATION - COMPANY D</t>
    </r>
  </si>
  <si>
    <r>
      <rPr>
        <sz val="9"/>
        <rFont val="Arial"/>
        <family val="2"/>
      </rPr>
      <t>RAILROAD FLAGGING</t>
    </r>
  </si>
  <si>
    <r>
      <rPr>
        <sz val="9"/>
        <rFont val="Arial"/>
        <family val="2"/>
      </rPr>
      <t>DAY</t>
    </r>
  </si>
  <si>
    <r>
      <rPr>
        <sz val="9"/>
        <rFont val="Arial"/>
        <family val="2"/>
      </rPr>
      <t>E-TICKETING</t>
    </r>
  </si>
  <si>
    <r>
      <rPr>
        <sz val="9"/>
        <rFont val="Arial"/>
        <family val="2"/>
      </rPr>
      <t>REMOVAL OF PIPE ALL TYPES AND SIZES</t>
    </r>
  </si>
  <si>
    <r>
      <rPr>
        <sz val="9"/>
        <rFont val="Arial"/>
        <family val="2"/>
      </rPr>
      <t>LF</t>
    </r>
  </si>
  <si>
    <r>
      <rPr>
        <sz val="9"/>
        <rFont val="Arial"/>
        <family val="2"/>
      </rPr>
      <t>COMMON EXCAVATION-TYPE A</t>
    </r>
  </si>
  <si>
    <r>
      <rPr>
        <sz val="9"/>
        <rFont val="Arial"/>
        <family val="2"/>
      </rPr>
      <t>CY</t>
    </r>
  </si>
  <si>
    <r>
      <rPr>
        <sz val="9"/>
        <rFont val="Arial"/>
        <family val="2"/>
      </rPr>
      <t>TOPSOIL</t>
    </r>
  </si>
  <si>
    <r>
      <rPr>
        <sz val="9"/>
        <rFont val="Arial"/>
        <family val="2"/>
      </rPr>
      <t>COMMON EXCAVATION-WASTE</t>
    </r>
  </si>
  <si>
    <r>
      <rPr>
        <sz val="9"/>
        <rFont val="Arial"/>
        <family val="2"/>
      </rPr>
      <t>BORROW-EXCAVATION</t>
    </r>
  </si>
  <si>
    <r>
      <rPr>
        <sz val="9"/>
        <rFont val="Arial"/>
        <family val="2"/>
      </rPr>
      <t>WATER</t>
    </r>
  </si>
  <si>
    <r>
      <rPr>
        <sz val="9"/>
        <rFont val="Arial"/>
        <family val="2"/>
      </rPr>
      <t>M GAL</t>
    </r>
  </si>
  <si>
    <r>
      <rPr>
        <sz val="9"/>
        <rFont val="Arial"/>
        <family val="2"/>
      </rPr>
      <t>SEEDING CLASS II</t>
    </r>
  </si>
  <si>
    <r>
      <rPr>
        <sz val="9"/>
        <rFont val="Arial"/>
        <family val="2"/>
      </rPr>
      <t>ACRE</t>
    </r>
  </si>
  <si>
    <r>
      <rPr>
        <sz val="9"/>
        <rFont val="Arial"/>
        <family val="2"/>
      </rPr>
      <t>WETLAND SEED</t>
    </r>
  </si>
  <si>
    <r>
      <rPr>
        <sz val="9"/>
        <rFont val="Arial"/>
        <family val="2"/>
      </rPr>
      <t>TEMPORARY COVER CROP</t>
    </r>
  </si>
  <si>
    <r>
      <rPr>
        <sz val="9"/>
        <rFont val="Arial"/>
        <family val="2"/>
      </rPr>
      <t>SOIL STABILIZATION</t>
    </r>
  </si>
  <si>
    <r>
      <rPr>
        <sz val="9"/>
        <rFont val="Arial"/>
        <family val="2"/>
      </rPr>
      <t>ECB TYPE 2</t>
    </r>
  </si>
  <si>
    <r>
      <rPr>
        <sz val="9"/>
        <rFont val="Arial"/>
        <family val="2"/>
      </rPr>
      <t>SY</t>
    </r>
  </si>
  <si>
    <r>
      <rPr>
        <sz val="9"/>
        <rFont val="Arial"/>
        <family val="2"/>
      </rPr>
      <t>TRM TYPE 1</t>
    </r>
  </si>
  <si>
    <r>
      <rPr>
        <sz val="9"/>
        <rFont val="Arial"/>
        <family val="2"/>
      </rPr>
      <t>SILT FENCE SUPPORTED</t>
    </r>
  </si>
  <si>
    <r>
      <rPr>
        <sz val="9"/>
        <rFont val="Arial"/>
        <family val="2"/>
      </rPr>
      <t>REMOVE SILT FENCE SUPPORTED</t>
    </r>
  </si>
  <si>
    <r>
      <rPr>
        <sz val="9"/>
        <rFont val="Arial"/>
        <family val="2"/>
      </rPr>
      <t>FIBER ROLLS 12IN</t>
    </r>
  </si>
  <si>
    <r>
      <rPr>
        <sz val="9"/>
        <rFont val="Arial"/>
        <family val="2"/>
      </rPr>
      <t>REMOVE FIBER ROLLS 12IN</t>
    </r>
  </si>
  <si>
    <r>
      <rPr>
        <sz val="9"/>
        <rFont val="Arial"/>
        <family val="2"/>
      </rPr>
      <t>FIBER ROLLS 20IN</t>
    </r>
  </si>
  <si>
    <r>
      <rPr>
        <sz val="9"/>
        <rFont val="Arial"/>
        <family val="2"/>
      </rPr>
      <t>REMOVE FIBER ROLLS 20IN</t>
    </r>
  </si>
  <si>
    <r>
      <rPr>
        <sz val="9"/>
        <rFont val="Arial"/>
        <family val="2"/>
      </rPr>
      <t>AGGREGATE BASE COURSE CL 5</t>
    </r>
  </si>
  <si>
    <r>
      <rPr>
        <sz val="9"/>
        <rFont val="Arial"/>
        <family val="2"/>
      </rPr>
      <t>TON</t>
    </r>
  </si>
  <si>
    <r>
      <rPr>
        <sz val="9"/>
        <rFont val="Arial"/>
        <family val="2"/>
      </rPr>
      <t>TACK COAT</t>
    </r>
  </si>
  <si>
    <r>
      <rPr>
        <sz val="9"/>
        <rFont val="Arial"/>
        <family val="2"/>
      </rPr>
      <t>GAL</t>
    </r>
  </si>
  <si>
    <r>
      <rPr>
        <sz val="9"/>
        <rFont val="Arial"/>
        <family val="2"/>
      </rPr>
      <t>PRIME COAT</t>
    </r>
  </si>
  <si>
    <r>
      <rPr>
        <sz val="9"/>
        <rFont val="Arial"/>
        <family val="2"/>
      </rPr>
      <t>BLOTTER MATERIAL CL 44</t>
    </r>
  </si>
  <si>
    <r>
      <rPr>
        <sz val="9"/>
        <rFont val="Arial"/>
        <family val="2"/>
      </rPr>
      <t>MILLING PAVEMENT SURFACE</t>
    </r>
  </si>
  <si>
    <r>
      <rPr>
        <b/>
        <sz val="9"/>
        <rFont val="Arial"/>
        <family val="2"/>
      </rPr>
      <t>Spec  Code     Item Description</t>
    </r>
  </si>
  <si>
    <r>
      <rPr>
        <b/>
        <sz val="9"/>
        <rFont val="Arial"/>
        <family val="2"/>
      </rPr>
      <t>Total Cost</t>
    </r>
  </si>
  <si>
    <r>
      <rPr>
        <sz val="9"/>
        <rFont val="Arial"/>
        <family val="2"/>
      </rPr>
      <t>SUPERPAVE FAA 45</t>
    </r>
  </si>
  <si>
    <r>
      <rPr>
        <sz val="9"/>
        <rFont val="Arial"/>
        <family val="2"/>
      </rPr>
      <t>CORED SAMPLE</t>
    </r>
  </si>
  <si>
    <r>
      <rPr>
        <sz val="9"/>
        <rFont val="Arial"/>
        <family val="2"/>
      </rPr>
      <t>EA</t>
    </r>
  </si>
  <si>
    <r>
      <rPr>
        <sz val="9"/>
        <rFont val="Arial"/>
        <family val="2"/>
      </rPr>
      <t>PG 58H-34 ASPHALT CEMENT</t>
    </r>
  </si>
  <si>
    <r>
      <rPr>
        <sz val="9"/>
        <rFont val="Arial"/>
        <family val="2"/>
      </rPr>
      <t>MOBILIZATION</t>
    </r>
  </si>
  <si>
    <r>
      <rPr>
        <sz val="9"/>
        <rFont val="Arial"/>
        <family val="2"/>
      </rPr>
      <t>FLAGGING</t>
    </r>
  </si>
  <si>
    <r>
      <rPr>
        <sz val="9"/>
        <rFont val="Arial"/>
        <family val="2"/>
      </rPr>
      <t>MHR</t>
    </r>
  </si>
  <si>
    <r>
      <rPr>
        <sz val="9"/>
        <rFont val="Arial"/>
        <family val="2"/>
      </rPr>
      <t>TRAFFIC CONTROL SIGNS</t>
    </r>
  </si>
  <si>
    <r>
      <rPr>
        <sz val="9"/>
        <rFont val="Arial"/>
        <family val="2"/>
      </rPr>
      <t>UNIT</t>
    </r>
  </si>
  <si>
    <r>
      <rPr>
        <sz val="9"/>
        <rFont val="Arial"/>
        <family val="2"/>
      </rPr>
      <t>PORTABLE RUMBLE STRIPS</t>
    </r>
  </si>
  <si>
    <r>
      <rPr>
        <sz val="9"/>
        <rFont val="Arial"/>
        <family val="2"/>
      </rPr>
      <t>TYPE III BARRICADE</t>
    </r>
  </si>
  <si>
    <r>
      <rPr>
        <sz val="9"/>
        <rFont val="Arial"/>
        <family val="2"/>
      </rPr>
      <t>DELINEATOR DRUMS</t>
    </r>
  </si>
  <si>
    <r>
      <rPr>
        <sz val="9"/>
        <rFont val="Arial"/>
        <family val="2"/>
      </rPr>
      <t>STACKABLE VERTICAL PANELS</t>
    </r>
  </si>
  <si>
    <r>
      <rPr>
        <sz val="9"/>
        <rFont val="Arial"/>
        <family val="2"/>
      </rPr>
      <t>PILOT CAR</t>
    </r>
  </si>
  <si>
    <r>
      <rPr>
        <sz val="9"/>
        <rFont val="Arial"/>
        <family val="2"/>
      </rPr>
      <t>HR</t>
    </r>
  </si>
  <si>
    <r>
      <rPr>
        <sz val="9"/>
        <rFont val="Arial"/>
        <family val="2"/>
      </rPr>
      <t>OBLITERATION OF PAVEMENT MARKING</t>
    </r>
  </si>
  <si>
    <r>
      <rPr>
        <sz val="9"/>
        <rFont val="Arial"/>
        <family val="2"/>
      </rPr>
      <t>SF</t>
    </r>
  </si>
  <si>
    <r>
      <rPr>
        <sz val="9"/>
        <rFont val="Arial"/>
        <family val="2"/>
      </rPr>
      <t>AGGREGATE LABORATORY</t>
    </r>
  </si>
  <si>
    <r>
      <rPr>
        <sz val="9"/>
        <rFont val="Arial"/>
        <family val="2"/>
      </rPr>
      <t>BITUMINOUS LABORATORY</t>
    </r>
  </si>
  <si>
    <r>
      <rPr>
        <sz val="9"/>
        <rFont val="Arial"/>
        <family val="2"/>
      </rPr>
      <t>CONTRACTOR'S LABORATORY</t>
    </r>
  </si>
  <si>
    <r>
      <rPr>
        <sz val="9"/>
        <rFont val="Arial"/>
        <family val="2"/>
      </rPr>
      <t>GEOSYNTHETIC MATERIAL TYPE G</t>
    </r>
  </si>
  <si>
    <r>
      <rPr>
        <sz val="9"/>
        <rFont val="Arial"/>
        <family val="2"/>
      </rPr>
      <t>PIPE CONC REINF 24IN CL III</t>
    </r>
  </si>
  <si>
    <r>
      <rPr>
        <sz val="9"/>
        <rFont val="Arial"/>
        <family val="2"/>
      </rPr>
      <t>PIPE CONC REINF 30IN CL III</t>
    </r>
  </si>
  <si>
    <r>
      <rPr>
        <sz val="9"/>
        <rFont val="Arial"/>
        <family val="2"/>
      </rPr>
      <t>PIPE CONC REINF 42IN CL III</t>
    </r>
  </si>
  <si>
    <r>
      <rPr>
        <sz val="9"/>
        <rFont val="Arial"/>
        <family val="2"/>
      </rPr>
      <t>PIPE CONC REINF 54IN CL III</t>
    </r>
  </si>
  <si>
    <r>
      <rPr>
        <sz val="9"/>
        <rFont val="Arial"/>
        <family val="2"/>
      </rPr>
      <t>PIPE CONC REINF 72IN CL III</t>
    </r>
  </si>
  <si>
    <r>
      <rPr>
        <sz val="9"/>
        <rFont val="Arial"/>
        <family val="2"/>
      </rPr>
      <t>PIPE CONDUIT 18IN-APPROACH</t>
    </r>
  </si>
  <si>
    <r>
      <rPr>
        <sz val="9"/>
        <rFont val="Arial"/>
        <family val="2"/>
      </rPr>
      <t>PIPE CONDUIT 24IN-APPROACH</t>
    </r>
  </si>
  <si>
    <r>
      <rPr>
        <sz val="9"/>
        <rFont val="Arial"/>
        <family val="2"/>
      </rPr>
      <t>PIPE CONDUIT 30IN-APPROACH</t>
    </r>
  </si>
  <si>
    <r>
      <rPr>
        <sz val="9"/>
        <rFont val="Arial"/>
        <family val="2"/>
      </rPr>
      <t>PIPE CORR STEEL .064IN 24IN</t>
    </r>
  </si>
  <si>
    <r>
      <rPr>
        <sz val="9"/>
        <rFont val="Arial"/>
        <family val="2"/>
      </rPr>
      <t>REMOVE &amp; RELAY END SECTION-ALL TYPE &amp; SIZES</t>
    </r>
  </si>
  <si>
    <r>
      <rPr>
        <sz val="9"/>
        <rFont val="Arial"/>
        <family val="2"/>
      </rPr>
      <t>RIGHT OF WAY MARKERS</t>
    </r>
  </si>
  <si>
    <r>
      <rPr>
        <sz val="9"/>
        <rFont val="Arial"/>
        <family val="2"/>
      </rPr>
      <t>ALIGNMENT MONUMENTS</t>
    </r>
  </si>
  <si>
    <r>
      <rPr>
        <sz val="9"/>
        <rFont val="Arial"/>
        <family val="2"/>
      </rPr>
      <t>IRON PIN R/W MONUMENTS</t>
    </r>
  </si>
  <si>
    <r>
      <rPr>
        <sz val="9"/>
        <rFont val="Arial"/>
        <family val="2"/>
      </rPr>
      <t>IRON PIN REFERENCE MONUMENTS</t>
    </r>
  </si>
  <si>
    <r>
      <rPr>
        <sz val="9"/>
        <rFont val="Arial"/>
        <family val="2"/>
      </rPr>
      <t>FLAT SHEET FOR SIGNS-TYPE XI REFL SHEETING</t>
    </r>
  </si>
  <si>
    <r>
      <rPr>
        <sz val="9"/>
        <rFont val="Arial"/>
        <family val="2"/>
      </rPr>
      <t>FLAT SHEET FOR SIGNS-TYPE IV REFL SHEETING</t>
    </r>
  </si>
  <si>
    <r>
      <rPr>
        <sz val="9"/>
        <rFont val="Arial"/>
        <family val="2"/>
      </rPr>
      <t>STEEL GALV POSTS-TELESCOPING PERFORATED TUBE</t>
    </r>
  </si>
  <si>
    <r>
      <rPr>
        <sz val="9"/>
        <rFont val="Arial"/>
        <family val="2"/>
      </rPr>
      <t>REFERENCE MARKER-TYPE A</t>
    </r>
  </si>
  <si>
    <r>
      <rPr>
        <sz val="9"/>
        <rFont val="Arial"/>
        <family val="2"/>
      </rPr>
      <t>REFERENCE MARKER-TYPE B</t>
    </r>
  </si>
  <si>
    <r>
      <rPr>
        <sz val="9"/>
        <rFont val="Arial"/>
        <family val="2"/>
      </rPr>
      <t>REFERENCE MARKER-TYPE C</t>
    </r>
  </si>
  <si>
    <r>
      <rPr>
        <sz val="9"/>
        <rFont val="Arial"/>
        <family val="2"/>
      </rPr>
      <t>RESET SIGN PANEL</t>
    </r>
  </si>
  <si>
    <r>
      <rPr>
        <sz val="9"/>
        <rFont val="Arial"/>
        <family val="2"/>
      </rPr>
      <t>RESET SIGN SUPPORT</t>
    </r>
  </si>
  <si>
    <r>
      <rPr>
        <sz val="9"/>
        <rFont val="Arial"/>
        <family val="2"/>
      </rPr>
      <t>OBJECT MARKERS - TYPE I</t>
    </r>
  </si>
  <si>
    <r>
      <rPr>
        <sz val="9"/>
        <rFont val="Arial"/>
        <family val="2"/>
      </rPr>
      <t>OBJECT MARKERS - CULVERTS</t>
    </r>
  </si>
  <si>
    <r>
      <rPr>
        <sz val="9"/>
        <rFont val="Arial"/>
        <family val="2"/>
      </rPr>
      <t>RUMBLE STRIPS - ASPHALT SHOULDER</t>
    </r>
  </si>
  <si>
    <r>
      <rPr>
        <sz val="9"/>
        <rFont val="Arial"/>
        <family val="2"/>
      </rPr>
      <t>MILE</t>
    </r>
  </si>
  <si>
    <r>
      <rPr>
        <sz val="9"/>
        <rFont val="Arial"/>
        <family val="2"/>
      </rPr>
      <t>RUMBLE STRIPS - ASPHALT CENTERLINE</t>
    </r>
  </si>
  <si>
    <r>
      <rPr>
        <sz val="9"/>
        <rFont val="Arial"/>
        <family val="2"/>
      </rPr>
      <t>RUMBLE STRIPS - INTERSECTION</t>
    </r>
  </si>
  <si>
    <r>
      <rPr>
        <sz val="9"/>
        <rFont val="Arial"/>
        <family val="2"/>
      </rPr>
      <t>SET</t>
    </r>
  </si>
  <si>
    <r>
      <rPr>
        <sz val="9"/>
        <rFont val="Arial"/>
        <family val="2"/>
      </rPr>
      <t>PVMT MK PAINTED-MESSAGE</t>
    </r>
  </si>
  <si>
    <r>
      <rPr>
        <sz val="9"/>
        <rFont val="Arial"/>
        <family val="2"/>
      </rPr>
      <t>EPOXY PVMT MK MESSAGE</t>
    </r>
  </si>
  <si>
    <r>
      <rPr>
        <sz val="9"/>
        <rFont val="Arial"/>
        <family val="2"/>
      </rPr>
      <t>EPOXY PVMT MK 6IN LINE</t>
    </r>
  </si>
  <si>
    <r>
      <rPr>
        <sz val="9"/>
        <rFont val="Arial"/>
        <family val="2"/>
      </rPr>
      <t>EPOXY PVMT MK 24IN LINE</t>
    </r>
  </si>
  <si>
    <r>
      <rPr>
        <sz val="9"/>
        <rFont val="Arial"/>
        <family val="2"/>
      </rPr>
      <t>EPOXY PVMT MK 10IN LINE</t>
    </r>
  </si>
  <si>
    <r>
      <rPr>
        <sz val="9"/>
        <rFont val="Arial"/>
        <family val="2"/>
      </rPr>
      <t>SHORT TERM 4IN LINE-TYPE NR</t>
    </r>
  </si>
  <si>
    <r>
      <rPr>
        <sz val="9"/>
        <rFont val="Arial"/>
        <family val="2"/>
      </rPr>
      <t>SHORT TERM 8IN LINE-TYPE NR</t>
    </r>
  </si>
  <si>
    <r>
      <rPr>
        <sz val="9"/>
        <rFont val="Arial"/>
        <family val="2"/>
      </rPr>
      <t>PVMT MK PAINTED 6IN LINE</t>
    </r>
  </si>
  <si>
    <r>
      <rPr>
        <sz val="9"/>
        <rFont val="Arial"/>
        <family val="2"/>
      </rPr>
      <t>PVMT MK PAINTED 24IN LINE</t>
    </r>
  </si>
  <si>
    <r>
      <rPr>
        <sz val="9"/>
        <rFont val="Arial"/>
        <family val="2"/>
      </rPr>
      <t>MAILBOX-ALL TYPES</t>
    </r>
  </si>
  <si>
    <r>
      <rPr>
        <sz val="9"/>
        <rFont val="Arial"/>
        <family val="2"/>
      </rPr>
      <t>REMOVE FLASHING BEACON SYSTEM</t>
    </r>
  </si>
  <si>
    <r>
      <rPr>
        <sz val="9"/>
        <rFont val="Arial"/>
        <family val="2"/>
      </rPr>
      <t>PIPE CLEANOUT</t>
    </r>
  </si>
  <si>
    <r>
      <rPr>
        <b/>
        <vertAlign val="superscript"/>
        <sz val="9"/>
        <rFont val="Arial"/>
        <family val="2"/>
      </rPr>
      <t xml:space="preserve">Subtotal       </t>
    </r>
    <r>
      <rPr>
        <b/>
        <sz val="9"/>
        <rFont val="Arial"/>
        <family val="2"/>
      </rPr>
      <t>$11,655,381.47</t>
    </r>
  </si>
  <si>
    <r>
      <rPr>
        <b/>
        <sz val="10"/>
        <rFont val="Arial"/>
        <family val="2"/>
      </rPr>
      <t>Estimate Summary and Totals</t>
    </r>
  </si>
  <si>
    <r>
      <rPr>
        <sz val="11"/>
        <rFont val="Calibri"/>
        <family val="2"/>
      </rPr>
      <t>Subtotal:</t>
    </r>
  </si>
  <si>
    <r>
      <rPr>
        <sz val="11"/>
        <rFont val="Calibri"/>
        <family val="2"/>
      </rPr>
      <t>$11,655,381.47 + 10.00% Engineering = $12,820,919.62</t>
    </r>
  </si>
  <si>
    <r>
      <rPr>
        <b/>
        <sz val="10"/>
        <rFont val="Arial"/>
        <family val="2"/>
      </rPr>
      <t>Engineering Percent: 10.00%</t>
    </r>
  </si>
  <si>
    <r>
      <rPr>
        <sz val="7"/>
        <rFont val="Courier New"/>
        <family val="3"/>
      </rPr>
      <t>C O S T    E S T I M A T E</t>
    </r>
  </si>
  <si>
    <r>
      <rPr>
        <sz val="7"/>
        <rFont val="Courier New"/>
        <family val="3"/>
      </rPr>
      <t>ESTIMATE NO: 23731                                            E N G L I S H                                              PCN: 23641</t>
    </r>
  </si>
  <si>
    <r>
      <rPr>
        <sz val="7"/>
        <rFont val="Courier New"/>
        <family val="3"/>
      </rPr>
      <t>PROJECT NO:  NH-4-052(104)141                                                                                      LENGTH: 44.1387</t>
    </r>
  </si>
  <si>
    <r>
      <rPr>
        <sz val="7"/>
        <rFont val="Courier New"/>
        <family val="3"/>
      </rPr>
      <t>LOCATION:    NEAR JCT 53 TO NEAR FESSENDEN              CITY:</t>
    </r>
  </si>
  <si>
    <r>
      <rPr>
        <sz val="7"/>
        <rFont val="Courier New"/>
        <family val="3"/>
      </rPr>
      <t>BID OPENING: 01/01/2025 JOB NBR:     0                    COUNTY: VARIOUS</t>
    </r>
  </si>
  <si>
    <r>
      <rPr>
        <sz val="7"/>
        <rFont val="Courier New"/>
        <family val="3"/>
      </rPr>
      <t>PREPARED BY: ERIMER1</t>
    </r>
  </si>
  <si>
    <r>
      <rPr>
        <sz val="7"/>
        <rFont val="Courier New"/>
        <family val="3"/>
      </rPr>
      <t>DATE PREPARED: 12/07/2023  LAST REVISED: 12/19/2023</t>
    </r>
  </si>
  <si>
    <r>
      <rPr>
        <sz val="7"/>
        <rFont val="Courier New"/>
        <family val="3"/>
      </rPr>
      <t>SPECIAL LOC:</t>
    </r>
  </si>
  <si>
    <r>
      <rPr>
        <sz val="7"/>
        <rFont val="Courier New"/>
        <family val="3"/>
      </rPr>
      <t>WORK: HOT BIT PAVE, MILLING, SUBCUT</t>
    </r>
  </si>
  <si>
    <r>
      <rPr>
        <sz val="7"/>
        <rFont val="Courier New"/>
        <family val="3"/>
      </rPr>
      <t>SCOPE:</t>
    </r>
  </si>
  <si>
    <r>
      <rPr>
        <sz val="7"/>
        <rFont val="Courier New"/>
        <family val="3"/>
      </rPr>
      <t>COPIED FROM ESTIMATE NUMBERS:</t>
    </r>
  </si>
  <si>
    <r>
      <rPr>
        <sz val="7"/>
        <rFont val="Courier New"/>
        <family val="3"/>
      </rPr>
      <t>RUN DATE: 04/12/2024      RUN TIME: 10:16:56      SOURCE: MERCK, ERIC M                       ESTIMATE TYPE: FINAL     FINALIZED: Y</t>
    </r>
  </si>
  <si>
    <r>
      <rPr>
        <sz val="7"/>
        <rFont val="Courier New"/>
        <family val="3"/>
      </rPr>
      <t xml:space="preserve">G A </t>
    </r>
    <r>
      <rPr>
        <u/>
        <sz val="7"/>
        <rFont val="Courier New"/>
        <family val="3"/>
      </rPr>
      <t>                                                                                                                                </t>
    </r>
  </si>
  <si>
    <r>
      <rPr>
        <sz val="7"/>
        <rFont val="Courier New"/>
        <family val="3"/>
      </rPr>
      <t xml:space="preserve">R L  SPEC
</t>
    </r>
    <r>
      <rPr>
        <sz val="7"/>
        <rFont val="Courier New"/>
        <family val="3"/>
      </rPr>
      <t>P T  NO.</t>
    </r>
  </si>
  <si>
    <r>
      <rPr>
        <sz val="7"/>
        <rFont val="Courier New"/>
        <family val="3"/>
      </rPr>
      <t xml:space="preserve">!
</t>
    </r>
    <r>
      <rPr>
        <sz val="7"/>
        <rFont val="Courier New"/>
        <family val="3"/>
      </rPr>
      <t>!</t>
    </r>
  </si>
  <si>
    <r>
      <rPr>
        <sz val="7"/>
        <rFont val="Courier New"/>
        <family val="3"/>
      </rPr>
      <t>CODE NO.</t>
    </r>
  </si>
  <si>
    <r>
      <rPr>
        <sz val="7"/>
        <rFont val="Courier New"/>
        <family val="3"/>
      </rPr>
      <t>ITEM DESCRIPTION</t>
    </r>
  </si>
  <si>
    <r>
      <rPr>
        <sz val="7"/>
        <rFont val="Courier New"/>
        <family val="3"/>
      </rPr>
      <t>UNIT</t>
    </r>
  </si>
  <si>
    <r>
      <rPr>
        <sz val="7"/>
        <rFont val="Courier New"/>
        <family val="3"/>
      </rPr>
      <t>QUANTITY</t>
    </r>
  </si>
  <si>
    <r>
      <rPr>
        <sz val="7"/>
        <rFont val="Courier New"/>
        <family val="3"/>
      </rPr>
      <t>UNIT COST</t>
    </r>
  </si>
  <si>
    <r>
      <rPr>
        <sz val="7"/>
        <rFont val="Courier New"/>
        <family val="3"/>
      </rPr>
      <t>TOTAL COST</t>
    </r>
  </si>
  <si>
    <r>
      <rPr>
        <sz val="7"/>
        <rFont val="Courier New"/>
        <family val="3"/>
      </rPr>
      <t>!</t>
    </r>
  </si>
  <si>
    <r>
      <rPr>
        <sz val="7"/>
        <rFont val="Courier New"/>
        <family val="3"/>
      </rPr>
      <t>CONTRACT BOND</t>
    </r>
  </si>
  <si>
    <r>
      <rPr>
        <sz val="7"/>
        <rFont val="Courier New"/>
        <family val="3"/>
      </rPr>
      <t>L SUM</t>
    </r>
  </si>
  <si>
    <r>
      <rPr>
        <sz val="7"/>
        <rFont val="Courier New"/>
        <family val="3"/>
      </rPr>
      <t>RAILWAY PROTECTION INSURANCE</t>
    </r>
  </si>
  <si>
    <r>
      <rPr>
        <sz val="7"/>
        <rFont val="Courier New"/>
        <family val="3"/>
      </rPr>
      <t>RAILROAD COORDINATION</t>
    </r>
  </si>
  <si>
    <r>
      <rPr>
        <sz val="7"/>
        <rFont val="Courier New"/>
        <family val="3"/>
      </rPr>
      <t>E-TICKETING</t>
    </r>
  </si>
  <si>
    <r>
      <rPr>
        <sz val="7"/>
        <rFont val="Courier New"/>
        <family val="3"/>
      </rPr>
      <t>REMOVAL OF BITUMINOUS SURFACING</t>
    </r>
  </si>
  <si>
    <r>
      <rPr>
        <sz val="7"/>
        <rFont val="Courier New"/>
        <family val="3"/>
      </rPr>
      <t>TON</t>
    </r>
  </si>
  <si>
    <r>
      <rPr>
        <sz val="7"/>
        <rFont val="Courier New"/>
        <family val="3"/>
      </rPr>
      <t>COMMON EXCAVATION-SUBCUT</t>
    </r>
  </si>
  <si>
    <r>
      <rPr>
        <sz val="7"/>
        <rFont val="Courier New"/>
        <family val="3"/>
      </rPr>
      <t>CY</t>
    </r>
  </si>
  <si>
    <r>
      <rPr>
        <sz val="7"/>
        <rFont val="Courier New"/>
        <family val="3"/>
      </rPr>
      <t>SUBCUT AGGREGATE</t>
    </r>
  </si>
  <si>
    <r>
      <rPr>
        <sz val="7"/>
        <rFont val="Courier New"/>
        <family val="3"/>
      </rPr>
      <t>SHOULDER PREPARATION</t>
    </r>
  </si>
  <si>
    <r>
      <rPr>
        <sz val="7"/>
        <rFont val="Courier New"/>
        <family val="3"/>
      </rPr>
      <t>MILE</t>
    </r>
  </si>
  <si>
    <r>
      <rPr>
        <sz val="7"/>
        <rFont val="Courier New"/>
        <family val="3"/>
      </rPr>
      <t>AGGREGATE BASE COURSE CL 5</t>
    </r>
  </si>
  <si>
    <r>
      <rPr>
        <sz val="7"/>
        <rFont val="Courier New"/>
        <family val="3"/>
      </rPr>
      <t>AGGREGATE SURFACE COURSE CL 13</t>
    </r>
  </si>
  <si>
    <r>
      <rPr>
        <sz val="7"/>
        <rFont val="Courier New"/>
        <family val="3"/>
      </rPr>
      <t>TACK COAT</t>
    </r>
  </si>
  <si>
    <r>
      <rPr>
        <sz val="7"/>
        <rFont val="Courier New"/>
        <family val="3"/>
      </rPr>
      <t>GAL</t>
    </r>
  </si>
  <si>
    <r>
      <rPr>
        <sz val="7"/>
        <rFont val="Courier New"/>
        <family val="3"/>
      </rPr>
      <t>PRIME COAT</t>
    </r>
  </si>
  <si>
    <r>
      <rPr>
        <sz val="7"/>
        <rFont val="Courier New"/>
        <family val="3"/>
      </rPr>
      <t>FOG SEAL</t>
    </r>
  </si>
  <si>
    <r>
      <rPr>
        <sz val="7"/>
        <rFont val="Courier New"/>
        <family val="3"/>
      </rPr>
      <t>BLOTTER MATERIAL CL 44</t>
    </r>
  </si>
  <si>
    <r>
      <rPr>
        <sz val="7"/>
        <rFont val="Courier New"/>
        <family val="3"/>
      </rPr>
      <t>MILLING PAVEMENT SURFACE</t>
    </r>
  </si>
  <si>
    <r>
      <rPr>
        <sz val="7"/>
        <rFont val="Courier New"/>
        <family val="3"/>
      </rPr>
      <t>SUPERPAVE FAA 45</t>
    </r>
  </si>
  <si>
    <r>
      <rPr>
        <sz val="7"/>
        <rFont val="Courier New"/>
        <family val="3"/>
      </rPr>
      <t>CORED SAMPLE</t>
    </r>
  </si>
  <si>
    <r>
      <rPr>
        <sz val="7"/>
        <rFont val="Courier New"/>
        <family val="3"/>
      </rPr>
      <t>EA</t>
    </r>
  </si>
  <si>
    <r>
      <rPr>
        <sz val="7"/>
        <rFont val="Courier New"/>
        <family val="3"/>
      </rPr>
      <t>PG 58H-34 ASPHALT CEMENT</t>
    </r>
  </si>
  <si>
    <r>
      <rPr>
        <sz val="7"/>
        <rFont val="Courier New"/>
        <family val="3"/>
      </rPr>
      <t>CONNECTION PLATE MODIFICATION</t>
    </r>
  </si>
  <si>
    <r>
      <rPr>
        <sz val="7"/>
        <rFont val="Courier New"/>
        <family val="3"/>
      </rPr>
      <t>MOBILIZATION</t>
    </r>
  </si>
  <si>
    <r>
      <rPr>
        <sz val="7"/>
        <rFont val="Courier New"/>
        <family val="3"/>
      </rPr>
      <t>FLAGGING</t>
    </r>
  </si>
  <si>
    <r>
      <rPr>
        <sz val="7"/>
        <rFont val="Courier New"/>
        <family val="3"/>
      </rPr>
      <t>MHR</t>
    </r>
  </si>
  <si>
    <r>
      <rPr>
        <sz val="7"/>
        <rFont val="Courier New"/>
        <family val="3"/>
      </rPr>
      <t>TRAFFIC CONTROL SIGNS</t>
    </r>
  </si>
  <si>
    <r>
      <rPr>
        <sz val="7"/>
        <rFont val="Courier New"/>
        <family val="3"/>
      </rPr>
      <t>PORTABLE RUMBLE STRIPS</t>
    </r>
  </si>
  <si>
    <r>
      <rPr>
        <sz val="7"/>
        <rFont val="Courier New"/>
        <family val="3"/>
      </rPr>
      <t>DELINEATOR DRUMS</t>
    </r>
  </si>
  <si>
    <r>
      <rPr>
        <sz val="7"/>
        <rFont val="Courier New"/>
        <family val="3"/>
      </rPr>
      <t>STACKABLE VERTICAL PANELS</t>
    </r>
  </si>
  <si>
    <r>
      <rPr>
        <sz val="7"/>
        <rFont val="Courier New"/>
        <family val="3"/>
      </rPr>
      <t>PILOT CAR</t>
    </r>
  </si>
  <si>
    <r>
      <rPr>
        <sz val="7"/>
        <rFont val="Courier New"/>
        <family val="3"/>
      </rPr>
      <t>HR</t>
    </r>
  </si>
  <si>
    <r>
      <rPr>
        <sz val="7"/>
        <rFont val="Courier New"/>
        <family val="3"/>
      </rPr>
      <t>FIELD OFFICE</t>
    </r>
  </si>
  <si>
    <r>
      <rPr>
        <sz val="7"/>
        <rFont val="Courier New"/>
        <family val="3"/>
      </rPr>
      <t>AGGREGATE LABORATORY</t>
    </r>
  </si>
  <si>
    <r>
      <rPr>
        <sz val="7"/>
        <rFont val="Courier New"/>
        <family val="3"/>
      </rPr>
      <t>BITUMINOUS LABORATORY</t>
    </r>
  </si>
  <si>
    <r>
      <rPr>
        <sz val="7"/>
        <rFont val="Courier New"/>
        <family val="3"/>
      </rPr>
      <t>CONTRACTOR'S LABORATORY</t>
    </r>
  </si>
  <si>
    <r>
      <rPr>
        <sz val="7"/>
        <rFont val="Courier New"/>
        <family val="3"/>
      </rPr>
      <t>PROJECT NO.: NH-4-052(104)141               00                      BID OPENING: 01/01/2025  JOB NBR: 0      ESTIMATE NUMBER: 23731</t>
    </r>
  </si>
  <si>
    <r>
      <rPr>
        <sz val="7"/>
        <rFont val="Courier New"/>
        <family val="3"/>
      </rPr>
      <t>GEOSYNTHETIC MATERIAL TYPE G</t>
    </r>
  </si>
  <si>
    <r>
      <rPr>
        <sz val="7"/>
        <rFont val="Courier New"/>
        <family val="3"/>
      </rPr>
      <t>SY</t>
    </r>
  </si>
  <si>
    <r>
      <rPr>
        <sz val="7"/>
        <rFont val="Courier New"/>
        <family val="3"/>
      </rPr>
      <t>FLAT SHEET FOR SIGNS-TYPE XI REFL SHEETING</t>
    </r>
  </si>
  <si>
    <r>
      <rPr>
        <sz val="7"/>
        <rFont val="Courier New"/>
        <family val="3"/>
      </rPr>
      <t>SF</t>
    </r>
  </si>
  <si>
    <r>
      <rPr>
        <sz val="7"/>
        <rFont val="Courier New"/>
        <family val="3"/>
      </rPr>
      <t>FLAT SHEET FOR SIGNS-TYPE IV REFL SHEETING</t>
    </r>
  </si>
  <si>
    <r>
      <rPr>
        <sz val="7"/>
        <rFont val="Courier New"/>
        <family val="3"/>
      </rPr>
      <t>STEEL GALV POSTS-TELESCOPING PERFORATED TUBE</t>
    </r>
  </si>
  <si>
    <r>
      <rPr>
        <sz val="7"/>
        <rFont val="Courier New"/>
        <family val="3"/>
      </rPr>
      <t>LF</t>
    </r>
  </si>
  <si>
    <r>
      <rPr>
        <sz val="7"/>
        <rFont val="Courier New"/>
        <family val="3"/>
      </rPr>
      <t>RESET SIGN PANEL</t>
    </r>
  </si>
  <si>
    <r>
      <rPr>
        <sz val="7"/>
        <rFont val="Courier New"/>
        <family val="3"/>
      </rPr>
      <t>SINUSOIDAL RUMBLE STRIP - ASPHALT SHOULDER</t>
    </r>
  </si>
  <si>
    <r>
      <rPr>
        <sz val="7"/>
        <rFont val="Courier New"/>
        <family val="3"/>
      </rPr>
      <t>SINUSOIDAL RUMBLE STRIP - ASPHALT CENTERLINE</t>
    </r>
  </si>
  <si>
    <r>
      <rPr>
        <sz val="7"/>
        <rFont val="Courier New"/>
        <family val="3"/>
      </rPr>
      <t>EPOXY PVMT MK MESSAGE</t>
    </r>
  </si>
  <si>
    <r>
      <rPr>
        <sz val="7"/>
        <rFont val="Courier New"/>
        <family val="3"/>
      </rPr>
      <t>EPOXY PVMT MK 6IN LINE</t>
    </r>
  </si>
  <si>
    <r>
      <rPr>
        <sz val="7"/>
        <rFont val="Courier New"/>
        <family val="3"/>
      </rPr>
      <t>SHORT TERM 6IN LINE-TYPE NR</t>
    </r>
  </si>
  <si>
    <r>
      <rPr>
        <sz val="7"/>
        <rFont val="Courier New"/>
        <family val="3"/>
      </rPr>
      <t>W-BEAM GUARDRAIL</t>
    </r>
  </si>
  <si>
    <r>
      <rPr>
        <sz val="7"/>
        <rFont val="Courier New"/>
        <family val="3"/>
      </rPr>
      <t>W-BEAM GUARDRAIL END TERMINAL</t>
    </r>
  </si>
  <si>
    <r>
      <rPr>
        <sz val="7"/>
        <rFont val="Courier New"/>
        <family val="3"/>
      </rPr>
      <t>REMOVE W-BEAM GUARDRAIL &amp; POSTS</t>
    </r>
  </si>
  <si>
    <r>
      <rPr>
        <sz val="7"/>
        <rFont val="Courier New"/>
        <family val="3"/>
      </rPr>
      <t>RESET W-BEAM GUARDRAIL</t>
    </r>
  </si>
  <si>
    <r>
      <rPr>
        <sz val="7"/>
        <rFont val="Courier New"/>
        <family val="3"/>
      </rPr>
      <t>REMOVE END TREATMENT &amp; TRANSITION</t>
    </r>
  </si>
  <si>
    <r>
      <rPr>
        <sz val="7"/>
        <rFont val="Courier New"/>
        <family val="3"/>
      </rPr>
      <t>SUB TOTAL</t>
    </r>
  </si>
  <si>
    <r>
      <rPr>
        <sz val="7"/>
        <rFont val="Courier New"/>
        <family val="3"/>
      </rPr>
      <t>10% ENGINEERING COST</t>
    </r>
  </si>
  <si>
    <r>
      <rPr>
        <sz val="7"/>
        <rFont val="Courier New"/>
        <family val="3"/>
      </rPr>
      <t>TOTAL BID</t>
    </r>
  </si>
  <si>
    <t>Annual Truck VMT</t>
  </si>
  <si>
    <t>Annual Auto VMT</t>
  </si>
  <si>
    <t>Build Auto Cost Per Mile</t>
  </si>
  <si>
    <t>Build Truck Cost Per Mile</t>
  </si>
  <si>
    <t>Build Costs</t>
  </si>
  <si>
    <t>Build Speed</t>
  </si>
  <si>
    <t>ROAD SURFACE ROUGHNESS VEHICLE MAINTENANCE SAVINGS - US 52</t>
  </si>
  <si>
    <t>ECONOMIC COMPETITIVENESS - US 52</t>
  </si>
  <si>
    <t>OBJECTID *</t>
  </si>
  <si>
    <t>Shape *</t>
  </si>
  <si>
    <t>Join_Count</t>
  </si>
  <si>
    <t>TARGET_FID</t>
  </si>
  <si>
    <t>CRASH_NO</t>
  </si>
  <si>
    <t>COUNTY</t>
  </si>
  <si>
    <t>COUNTY_DESCR</t>
  </si>
  <si>
    <t>OBSERVATIONS</t>
  </si>
  <si>
    <t>OBSER_DESCR</t>
  </si>
  <si>
    <t>AGENCY_TYPE</t>
  </si>
  <si>
    <t>AGENCY_DESCR</t>
  </si>
  <si>
    <t>LIGHT</t>
  </si>
  <si>
    <t>LIGHT_DESCR</t>
  </si>
  <si>
    <t>FIRST_HARMFUL_EVNT</t>
  </si>
  <si>
    <t>FIRST_HARMFUL_EVNT_DESCR</t>
  </si>
  <si>
    <t>CITY</t>
  </si>
  <si>
    <t>CITY_DESCR</t>
  </si>
  <si>
    <t>REPORT_TYPE</t>
  </si>
  <si>
    <t>REPORT_TYPE_DESCR</t>
  </si>
  <si>
    <t>CRASH_TYPE</t>
  </si>
  <si>
    <t>CRASH_TYPE_DESCR</t>
  </si>
  <si>
    <t>ACCESS_CNTRL</t>
  </si>
  <si>
    <t>ACCESS_CNTRL_DESCR</t>
  </si>
  <si>
    <t>WEATHER</t>
  </si>
  <si>
    <t>WEATHER_DESCR</t>
  </si>
  <si>
    <t>RELATION_TO_ROAD</t>
  </si>
  <si>
    <t>RELATION_TO_ROAD_DESCR</t>
  </si>
  <si>
    <t>ROAD_COND</t>
  </si>
  <si>
    <t>ROAD_COND_DESCR</t>
  </si>
  <si>
    <t>SURFACE_COND</t>
  </si>
  <si>
    <t>SURFACE_COND_DESCR</t>
  </si>
  <si>
    <t>RELATION_TO_JUNCTI</t>
  </si>
  <si>
    <t>RELATION_TO_JUNCTI_DESCR</t>
  </si>
  <si>
    <t>CRASH_SEVERITY</t>
  </si>
  <si>
    <t>CRASH_SEVERITY_DESCR</t>
  </si>
  <si>
    <t>INTER_TYPE</t>
  </si>
  <si>
    <t>INTER_TYPE_DESCR</t>
  </si>
  <si>
    <t>MANNER_OF_COLL</t>
  </si>
  <si>
    <t>MANNER_OF_COLL_DESCR</t>
  </si>
  <si>
    <t>SURFACE_TYPE</t>
  </si>
  <si>
    <t>SURFACE_TYPE_DESCR</t>
  </si>
  <si>
    <t>ROAD_GEOM</t>
  </si>
  <si>
    <t>ROAD_GEOM_DESCR</t>
  </si>
  <si>
    <t>FUNC_CLASS</t>
  </si>
  <si>
    <t>RURAL_URBAN</t>
  </si>
  <si>
    <t>CRASH_DATE</t>
  </si>
  <si>
    <t>CRASH_TIME</t>
  </si>
  <si>
    <t>DATE_ENTERED</t>
  </si>
  <si>
    <t>HIT_RUN</t>
  </si>
  <si>
    <t>ANIMAL_MV_WINDOW</t>
  </si>
  <si>
    <t>DATE_POLICE_NOTIFI</t>
  </si>
  <si>
    <t>TIME_POLICE_NOTIFI</t>
  </si>
  <si>
    <t>EMERGENCY_UNIT</t>
  </si>
  <si>
    <t>EMERGENCY_UNIT_NO</t>
  </si>
  <si>
    <t>AGENCY_REPORT_NO</t>
  </si>
  <si>
    <t>LATITUDE</t>
  </si>
  <si>
    <t>LONGITUDE</t>
  </si>
  <si>
    <t>NHS</t>
  </si>
  <si>
    <t>HIGHWAY</t>
  </si>
  <si>
    <t>HUND_MILES</t>
  </si>
  <si>
    <t>HUND_KILOMETER</t>
  </si>
  <si>
    <t>FROM_REF_POINT</t>
  </si>
  <si>
    <t>TO_REF_POINT</t>
  </si>
  <si>
    <t>TOWNSHIP</t>
  </si>
  <si>
    <t>RANGE</t>
  </si>
  <si>
    <t>ROUTE</t>
  </si>
  <si>
    <t>FROM_NODE</t>
  </si>
  <si>
    <t>TO_NODE</t>
  </si>
  <si>
    <t>STREET1</t>
  </si>
  <si>
    <t>STREET2</t>
  </si>
  <si>
    <t>FROM_FEET</t>
  </si>
  <si>
    <t>FROM_METERS</t>
  </si>
  <si>
    <t>FROM_INTERSECTION</t>
  </si>
  <si>
    <t>TO_INTERSECTION</t>
  </si>
  <si>
    <t>OTHER_PROP_DAMAGE</t>
  </si>
  <si>
    <t>POSTED_PROOF_FR</t>
  </si>
  <si>
    <t>CRASH_VALIDATED</t>
  </si>
  <si>
    <t>FROM_NODE_STREET</t>
  </si>
  <si>
    <t>CRASH_DAY</t>
  </si>
  <si>
    <t>WZR_LOCATION_DESCR</t>
  </si>
  <si>
    <t>WZR_TYPE_OF_ZONE_DESCR</t>
  </si>
  <si>
    <t>YOUNG_DRIVER_UNDER_21</t>
  </si>
  <si>
    <t>SPEED_INVOLVED</t>
  </si>
  <si>
    <t>ALCOHOL_INVOLVED</t>
  </si>
  <si>
    <t>LANE_DEPARTURE</t>
  </si>
  <si>
    <t>UNBELTED_VEHICLE_OCCUPANTS</t>
  </si>
  <si>
    <t>UNIT_CONFIG_DESCR_V1</t>
  </si>
  <si>
    <t>TRAFFICWAY_DESCR_V1</t>
  </si>
  <si>
    <t>EVASIVE_ACT_DESCR_D1</t>
  </si>
  <si>
    <t>ALCOHOL_TEST_DESCR_D1</t>
  </si>
  <si>
    <t>TRAFFIC_CONTROL_DESCR_V1</t>
  </si>
  <si>
    <t>DIR_OF_TRAVEL_DESCR_V1</t>
  </si>
  <si>
    <t>VEH_MOVEMENT_DESCR_V1</t>
  </si>
  <si>
    <t>MOST_HARMFUL_EVENT_DESCR_V1</t>
  </si>
  <si>
    <t>OP_AGE_D1</t>
  </si>
  <si>
    <t>OP_SEX_D1</t>
  </si>
  <si>
    <t>OP_CITY_D1</t>
  </si>
  <si>
    <t>OP_STATE_D1</t>
  </si>
  <si>
    <t>ALCOHOL_DRUG_DESCR_D1</t>
  </si>
  <si>
    <t>SAFETY_EQUIP_DESCR_V1</t>
  </si>
  <si>
    <t>CONTRIB_FACT_DESCR_D1</t>
  </si>
  <si>
    <t>CITATION_DESCR_D1</t>
  </si>
  <si>
    <t>EJECT_EXTR_DESCR_D1</t>
  </si>
  <si>
    <t>SPEED_LIMIT_D1</t>
  </si>
  <si>
    <t>VISUAL_OBSTRUCT_DESCR_D1</t>
  </si>
  <si>
    <t>UNIT_CONFIG_DESCR_V2</t>
  </si>
  <si>
    <t>DIR_OF_TRAVEL_DESCR_V2</t>
  </si>
  <si>
    <t>TRAFFIC_CONTROL_DESCR_V2</t>
  </si>
  <si>
    <t>VEH_MOVEMENT_DESCR_V2</t>
  </si>
  <si>
    <t>MOST_HARMFUL_EVENT_DESCR_V2</t>
  </si>
  <si>
    <t>OP_AGE_D2</t>
  </si>
  <si>
    <t>OP_SEX_D2</t>
  </si>
  <si>
    <t>OP_CITY_D2</t>
  </si>
  <si>
    <t>OP_STATE_D2</t>
  </si>
  <si>
    <t>ALCOHOL_DRUG_DESCR_D2</t>
  </si>
  <si>
    <t>SAFETY_EQUIP_DESCR_V2</t>
  </si>
  <si>
    <t>CONTRIB_FACT_DESCR_D2</t>
  </si>
  <si>
    <t>CITATION_DESCR_D2</t>
  </si>
  <si>
    <t>EJECT_EXTR_DESCR_D2</t>
  </si>
  <si>
    <t>SPEED_LIMIT_D2</t>
  </si>
  <si>
    <t>VISUAL_OBSTRUCT_DESCR_D2</t>
  </si>
  <si>
    <t>UNIT_CONFIG_DESCR_V3</t>
  </si>
  <si>
    <t>DIR_OF_TRAVEL_DESCR_V3</t>
  </si>
  <si>
    <t>TRAFFIC_CONTROL_DESCR_V3</t>
  </si>
  <si>
    <t>VEH_MOVEMENT_DESCR_V3</t>
  </si>
  <si>
    <t>MOST_HARMFUL_EVENT_DESCR_V3</t>
  </si>
  <si>
    <t>OP_AGE_D3</t>
  </si>
  <si>
    <t>OP_SEX_D3</t>
  </si>
  <si>
    <t>OP_CITY_D3</t>
  </si>
  <si>
    <t>OP_STATE_D3</t>
  </si>
  <si>
    <t>ALCOHOL_DRUG_DESCR_D3</t>
  </si>
  <si>
    <t>SAFETY_EQUIP_DESCR_V3</t>
  </si>
  <si>
    <t>CONTRIB_FACTOR_DESCR_D3</t>
  </si>
  <si>
    <t>CITATION_DESCR_D3</t>
  </si>
  <si>
    <t>EJECT_EXTR_DESCR_D3</t>
  </si>
  <si>
    <t>SPEED_LIMIT_D3</t>
  </si>
  <si>
    <t>VISUAL_OBSTRUCT_DESCR_D3</t>
  </si>
  <si>
    <t>CRASH_HOUR</t>
  </si>
  <si>
    <t>Name</t>
  </si>
  <si>
    <t>FolderPath</t>
  </si>
  <si>
    <t>SymbolID</t>
  </si>
  <si>
    <t>AltMode</t>
  </si>
  <si>
    <t>Base</t>
  </si>
  <si>
    <t>Clamped</t>
  </si>
  <si>
    <t>Extruded</t>
  </si>
  <si>
    <t>Snippet</t>
  </si>
  <si>
    <t>PopupInfo</t>
  </si>
  <si>
    <t>Point Z</t>
  </si>
  <si>
    <t>McHenry</t>
  </si>
  <si>
    <t>None</t>
  </si>
  <si>
    <t>County Sheriff</t>
  </si>
  <si>
    <t>Dark(Road Unlighted)</t>
  </si>
  <si>
    <t>MV in Transport</t>
  </si>
  <si>
    <t>&lt;Null&gt;</t>
  </si>
  <si>
    <t>Original</t>
  </si>
  <si>
    <t>Traffic</t>
  </si>
  <si>
    <t>No Control</t>
  </si>
  <si>
    <t>Clear</t>
  </si>
  <si>
    <t>On Roadway</t>
  </si>
  <si>
    <t>Normal</t>
  </si>
  <si>
    <t>Dry</t>
  </si>
  <si>
    <t>Railroad Crossing</t>
  </si>
  <si>
    <t>PDO</t>
  </si>
  <si>
    <t>Non-intersection</t>
  </si>
  <si>
    <t>Rear End</t>
  </si>
  <si>
    <t>Asphalt</t>
  </si>
  <si>
    <t>Curve (on Grade)</t>
  </si>
  <si>
    <t>M</t>
  </si>
  <si>
    <t>Y</t>
  </si>
  <si>
    <t>Sunday</t>
  </si>
  <si>
    <t>Not Applicable</t>
  </si>
  <si>
    <t xml:space="preserve">No </t>
  </si>
  <si>
    <t>Truck Tractor</t>
  </si>
  <si>
    <t>Not Divided</t>
  </si>
  <si>
    <t>Accelerated</t>
  </si>
  <si>
    <t>Test Not Given</t>
  </si>
  <si>
    <t>RR Signals with Gates</t>
  </si>
  <si>
    <t>East</t>
  </si>
  <si>
    <t>Backing</t>
  </si>
  <si>
    <t>CRASOBY</t>
  </si>
  <si>
    <t>ND</t>
  </si>
  <si>
    <t>Neither Present</t>
  </si>
  <si>
    <t>Restraint Use Unknown</t>
  </si>
  <si>
    <t>No Clear</t>
  </si>
  <si>
    <t>Not Ejected</t>
  </si>
  <si>
    <t>Stopped</t>
  </si>
  <si>
    <t>ROCKY FACE</t>
  </si>
  <si>
    <t>GA</t>
  </si>
  <si>
    <t>Site 5: Accel.Decel. Lanes RP 120.5</t>
  </si>
  <si>
    <t>NDDOT MPDG.kmz/NDDOT MPDG</t>
  </si>
  <si>
    <t>Overturn / Rollover</t>
  </si>
  <si>
    <t>Shoulder-right</t>
  </si>
  <si>
    <t>Non-junction</t>
  </si>
  <si>
    <t>Non-Coll. w/Motor Veh.</t>
  </si>
  <si>
    <t>Straight (on Level)</t>
  </si>
  <si>
    <t>Saturday</t>
  </si>
  <si>
    <t>Yes</t>
  </si>
  <si>
    <t>3+ Axle</t>
  </si>
  <si>
    <t>Turned Right</t>
  </si>
  <si>
    <t>Going Straight</t>
  </si>
  <si>
    <t>Not in Use</t>
  </si>
  <si>
    <t>MV Mechanical Failure</t>
  </si>
  <si>
    <t>Site 7: Accel.Decel. Lanes RP 143.5</t>
  </si>
  <si>
    <t>Highway Patrol</t>
  </si>
  <si>
    <t>Ran Off Roadway</t>
  </si>
  <si>
    <t>Cloudy</t>
  </si>
  <si>
    <t>Ice / Compacted Snow</t>
  </si>
  <si>
    <t>Curve (on Level)</t>
  </si>
  <si>
    <t>Tuesday</t>
  </si>
  <si>
    <t>Passenger Car</t>
  </si>
  <si>
    <t>Did Nothing</t>
  </si>
  <si>
    <t>Negotiating Curve</t>
  </si>
  <si>
    <t>F</t>
  </si>
  <si>
    <t>VELVA</t>
  </si>
  <si>
    <t>Lap and Shoulder</t>
  </si>
  <si>
    <t>To Fast for Conditions</t>
  </si>
  <si>
    <t>Care Required</t>
  </si>
  <si>
    <t>Daylight</t>
  </si>
  <si>
    <t>Severe Wind</t>
  </si>
  <si>
    <t>Pickup - Van - Utility</t>
  </si>
  <si>
    <t>Slowed/Stopped</t>
  </si>
  <si>
    <t>West</t>
  </si>
  <si>
    <t>BATTLEFORD'</t>
  </si>
  <si>
    <t>SK</t>
  </si>
  <si>
    <t>Weather</t>
  </si>
  <si>
    <t>Site 8: Turn Lanes EB &amp; WB RP 149.9</t>
  </si>
  <si>
    <t>Other Object (Not Fixed)</t>
  </si>
  <si>
    <t>Monday</t>
  </si>
  <si>
    <t>Hit and Run</t>
  </si>
  <si>
    <t>Thrown/Falling Object</t>
  </si>
  <si>
    <t>Other</t>
  </si>
  <si>
    <t>MOORETON</t>
  </si>
  <si>
    <t xml:space="preserve">Shoulder-left </t>
  </si>
  <si>
    <t>Slowing/Stopping</t>
  </si>
  <si>
    <t>Other Non-Collision</t>
  </si>
  <si>
    <t>FORRESTON</t>
  </si>
  <si>
    <t>IL</t>
  </si>
  <si>
    <t>Defective Equipment</t>
  </si>
  <si>
    <t>Other Post/Pole/Support</t>
  </si>
  <si>
    <t>Sleet/Hail/Freezing Rain</t>
  </si>
  <si>
    <t>HWY 52 MM 120</t>
  </si>
  <si>
    <t>42ND ST</t>
  </si>
  <si>
    <t>Wednesday</t>
  </si>
  <si>
    <t>CALGARY</t>
  </si>
  <si>
    <t>AB</t>
  </si>
  <si>
    <t>Dark(Road Lighted)</t>
  </si>
  <si>
    <t>Train</t>
  </si>
  <si>
    <t>Incapacitating Injury</t>
  </si>
  <si>
    <t>BALFOUR</t>
  </si>
  <si>
    <t>Yes (Alcohol)</t>
  </si>
  <si>
    <t>Failed to Yield</t>
  </si>
  <si>
    <t>D.U.I. (Alcohol)</t>
  </si>
  <si>
    <t>Unknown</t>
  </si>
  <si>
    <t>Traffic Signal Support</t>
  </si>
  <si>
    <t>Concrete</t>
  </si>
  <si>
    <t xml:space="preserve">Control Not Visible/brok </t>
  </si>
  <si>
    <t>U</t>
  </si>
  <si>
    <t>Drake</t>
  </si>
  <si>
    <t>Snow</t>
  </si>
  <si>
    <t>Slush</t>
  </si>
  <si>
    <t>Thursday</t>
  </si>
  <si>
    <t>SUMTER</t>
  </si>
  <si>
    <t>SC</t>
  </si>
  <si>
    <t>Burke</t>
  </si>
  <si>
    <t>Shoulder</t>
  </si>
  <si>
    <t>Friday</t>
  </si>
  <si>
    <t>South</t>
  </si>
  <si>
    <t>FLAXTON</t>
  </si>
  <si>
    <t>Site 1: Accel.Decel. Lanes RP 6.9</t>
  </si>
  <si>
    <t>Non-incapacitating injury</t>
  </si>
  <si>
    <t>North</t>
  </si>
  <si>
    <t>FLACTON</t>
  </si>
  <si>
    <t>BOONE</t>
  </si>
  <si>
    <t>IA</t>
  </si>
  <si>
    <t>Dawn</t>
  </si>
  <si>
    <t>PORTAL</t>
  </si>
  <si>
    <t>OXBOW</t>
  </si>
  <si>
    <t>Other Traffic Barrier</t>
  </si>
  <si>
    <t>IRMO</t>
  </si>
  <si>
    <t>Disregard Road Markings</t>
  </si>
  <si>
    <t>LIGNITE</t>
  </si>
  <si>
    <t>Following too Close</t>
  </si>
  <si>
    <t>CARLYLE</t>
  </si>
  <si>
    <t>Rain</t>
  </si>
  <si>
    <t>Wet</t>
  </si>
  <si>
    <t>TOLLEY</t>
  </si>
  <si>
    <t>Following</t>
  </si>
  <si>
    <t>SASKATTON</t>
  </si>
  <si>
    <t>Site 2: Accel.Decel. Lanes RP 20.6</t>
  </si>
  <si>
    <t>Obstruction / Flood</t>
  </si>
  <si>
    <t>Turned Left</t>
  </si>
  <si>
    <t>MINOT</t>
  </si>
  <si>
    <t>Alley/Driveway</t>
  </si>
  <si>
    <t>Sideswipe (same dir.)</t>
  </si>
  <si>
    <t xml:space="preserve"> Divided Highway </t>
  </si>
  <si>
    <t>NEW ROCKFORD</t>
  </si>
  <si>
    <t>Improper Overtaking</t>
  </si>
  <si>
    <t>Turning Left</t>
  </si>
  <si>
    <t>BOWBELLS</t>
  </si>
  <si>
    <t>Williams</t>
  </si>
  <si>
    <t>City Police</t>
  </si>
  <si>
    <t xml:space="preserve">Columbus            </t>
  </si>
  <si>
    <t>Site 3: Accel.Decel. Lanes RP 40.1</t>
  </si>
  <si>
    <t>Ward</t>
  </si>
  <si>
    <t>Straight (on Grade)</t>
  </si>
  <si>
    <t>Activity Area</t>
  </si>
  <si>
    <t>Lane Closure</t>
  </si>
  <si>
    <t>Unknown Heavy Truck</t>
  </si>
  <si>
    <t>Officer/Flagperson</t>
  </si>
  <si>
    <t>FARGO</t>
  </si>
  <si>
    <t xml:space="preserve">Speed </t>
  </si>
  <si>
    <t>Other Fixed Object</t>
  </si>
  <si>
    <t>BEASLEY</t>
  </si>
  <si>
    <t>TX</t>
  </si>
  <si>
    <t>Column Labels</t>
  </si>
  <si>
    <t>Grand Total</t>
  </si>
  <si>
    <t>Row Labels</t>
  </si>
  <si>
    <t>2019</t>
  </si>
  <si>
    <t>2020</t>
  </si>
  <si>
    <t>2022</t>
  </si>
  <si>
    <t>2023</t>
  </si>
  <si>
    <t>Count of CRASH_SEVERITY_DESCR</t>
  </si>
  <si>
    <t>Entering AADT</t>
  </si>
  <si>
    <t>Non-Col</t>
  </si>
  <si>
    <t>Project Areas</t>
  </si>
  <si>
    <t>Rear-End</t>
  </si>
  <si>
    <t>Sides Swipe</t>
  </si>
  <si>
    <t>All</t>
  </si>
  <si>
    <t>Est AADT</t>
  </si>
  <si>
    <t>AADT Total</t>
  </si>
  <si>
    <t>Rates</t>
  </si>
  <si>
    <t>Site 1</t>
  </si>
  <si>
    <t>Site 5</t>
  </si>
  <si>
    <t>Site3</t>
  </si>
  <si>
    <t>Site 7</t>
  </si>
  <si>
    <t>Site 8</t>
  </si>
  <si>
    <t>Site 3</t>
  </si>
  <si>
    <t>Crash Severity</t>
  </si>
  <si>
    <t>Recommended Value</t>
  </si>
  <si>
    <t>SAFETY - CRASH COST SAVINGS</t>
  </si>
  <si>
    <t>No Build Crash Cost</t>
  </si>
  <si>
    <t>Build Crash Cost</t>
  </si>
  <si>
    <t>Build Crash Savings</t>
  </si>
  <si>
    <t>Corridor</t>
  </si>
  <si>
    <t>Crash Cost</t>
  </si>
  <si>
    <t>CMF</t>
  </si>
  <si>
    <t>Source</t>
  </si>
  <si>
    <t>Table 2 - AADTs at Site Locations</t>
  </si>
  <si>
    <t xml:space="preserve">Constant Dollar RCV </t>
  </si>
  <si>
    <t>Site 6</t>
  </si>
  <si>
    <t>Passenger</t>
  </si>
  <si>
    <t>Truck</t>
  </si>
  <si>
    <t>IRI in/mi</t>
  </si>
  <si>
    <t>IRI m/km</t>
  </si>
  <si>
    <t>From</t>
  </si>
  <si>
    <t>To</t>
  </si>
  <si>
    <t>Weighted Average IRI m/km</t>
  </si>
  <si>
    <t>No Build Annual Truck VHT</t>
  </si>
  <si>
    <t>No Build Annual Auto VHT</t>
  </si>
  <si>
    <t>Build Annual Truck VHT</t>
  </si>
  <si>
    <t>Build Annual Auto VHT</t>
  </si>
  <si>
    <t>A</t>
  </si>
  <si>
    <t>https://www.oregon.gov/odot/Engineering/ARTS/CRF-Manual.pdf page 113.</t>
  </si>
  <si>
    <t>Total CMF</t>
  </si>
  <si>
    <t>Estimated Speed Reduction (mph)</t>
  </si>
  <si>
    <t>Acceleration/Deceleration Lane CMF</t>
  </si>
  <si>
    <t>Deceleration Lane CMF</t>
  </si>
  <si>
    <t>K</t>
  </si>
  <si>
    <t>B</t>
  </si>
  <si>
    <t>C</t>
  </si>
  <si>
    <t>O (PDO)</t>
  </si>
  <si>
    <r>
      <rPr>
        <sz val="8"/>
        <rFont val="Arial"/>
        <family val="2"/>
      </rPr>
      <t>Design Accumulated One-way Flexible ESALs: 3,038,450</t>
    </r>
  </si>
  <si>
    <r>
      <rPr>
        <sz val="8"/>
        <rFont val="Arial"/>
        <family val="2"/>
      </rPr>
      <t>Pavement Design Life 20 (years)</t>
    </r>
  </si>
  <si>
    <r>
      <rPr>
        <sz val="8"/>
        <rFont val="Arial"/>
        <family val="2"/>
      </rPr>
      <t>Sight Dist. for No Passing Zone:  N/A</t>
    </r>
  </si>
  <si>
    <r>
      <rPr>
        <sz val="8"/>
        <rFont val="Arial"/>
        <family val="2"/>
      </rPr>
      <t>Bridges:  N/A</t>
    </r>
  </si>
  <si>
    <r>
      <rPr>
        <sz val="8"/>
        <rFont val="Arial"/>
        <family val="2"/>
      </rPr>
      <t>Minimum Sight Dist. for Stopping:  N/A</t>
    </r>
  </si>
  <si>
    <r>
      <rPr>
        <sz val="8"/>
        <rFont val="Arial"/>
        <family val="2"/>
      </rPr>
      <t>Design Speed (Site 9):  45 MPH</t>
    </r>
  </si>
  <si>
    <r>
      <rPr>
        <sz val="8"/>
        <rFont val="Arial"/>
        <family val="2"/>
      </rPr>
      <t>Clear Zone Distance (Site 9):  18'</t>
    </r>
  </si>
  <si>
    <r>
      <rPr>
        <sz val="8"/>
        <rFont val="Arial"/>
        <family val="2"/>
      </rPr>
      <t>Clear Zone Distance (Sites 3-8):  32'</t>
    </r>
  </si>
  <si>
    <r>
      <rPr>
        <sz val="8"/>
        <rFont val="Arial"/>
        <family val="2"/>
      </rPr>
      <t>Design Speed (Sites 1-8):  65 M</t>
    </r>
  </si>
  <si>
    <r>
      <rPr>
        <sz val="8"/>
        <rFont val="Arial"/>
        <family val="2"/>
      </rPr>
      <t>Clear Zone Distance (Sites 1-2):  26'</t>
    </r>
  </si>
  <si>
    <r>
      <rPr>
        <sz val="8"/>
        <rFont val="Arial"/>
        <family val="2"/>
      </rPr>
      <t>Total:  3,745</t>
    </r>
  </si>
  <si>
    <r>
      <rPr>
        <sz val="8"/>
        <rFont val="Arial"/>
        <family val="2"/>
      </rPr>
      <t>Trucks:  925</t>
    </r>
  </si>
  <si>
    <r>
      <rPr>
        <sz val="8"/>
        <rFont val="Arial"/>
        <family val="2"/>
      </rPr>
      <t>Pass:  2,820</t>
    </r>
  </si>
  <si>
    <r>
      <rPr>
        <sz val="8"/>
        <rFont val="Arial"/>
        <family val="2"/>
      </rPr>
      <t>Forecast  2042</t>
    </r>
  </si>
  <si>
    <r>
      <rPr>
        <sz val="8"/>
        <rFont val="Arial"/>
        <family val="2"/>
      </rPr>
      <t>Total:  2,900</t>
    </r>
  </si>
  <si>
    <r>
      <rPr>
        <sz val="8"/>
        <rFont val="Arial"/>
        <family val="2"/>
      </rPr>
      <t>Trucks:  715</t>
    </r>
  </si>
  <si>
    <r>
      <rPr>
        <sz val="8"/>
        <rFont val="Arial"/>
        <family val="2"/>
      </rPr>
      <t>Pass:  2,185</t>
    </r>
  </si>
  <si>
    <r>
      <rPr>
        <sz val="8"/>
        <rFont val="Arial"/>
        <family val="2"/>
      </rPr>
      <t>Current   2022</t>
    </r>
  </si>
  <si>
    <r>
      <rPr>
        <sz val="8"/>
        <rFont val="Arial"/>
        <family val="2"/>
      </rPr>
      <t>Total:  2,570</t>
    </r>
  </si>
  <si>
    <r>
      <rPr>
        <sz val="8"/>
        <rFont val="Arial"/>
        <family val="2"/>
      </rPr>
      <t>Trucks:  950</t>
    </r>
  </si>
  <si>
    <r>
      <rPr>
        <sz val="8"/>
        <rFont val="Arial"/>
        <family val="2"/>
      </rPr>
      <t>Pass:  1,620</t>
    </r>
  </si>
  <si>
    <r>
      <rPr>
        <sz val="8"/>
        <rFont val="Arial"/>
        <family val="2"/>
      </rPr>
      <t>Forecast  2041</t>
    </r>
  </si>
  <si>
    <r>
      <rPr>
        <sz val="8"/>
        <rFont val="Arial"/>
        <family val="2"/>
      </rPr>
      <t>Total:  1,835</t>
    </r>
  </si>
  <si>
    <r>
      <rPr>
        <sz val="8"/>
        <rFont val="Arial"/>
        <family val="2"/>
      </rPr>
      <t>Trucks:  635</t>
    </r>
  </si>
  <si>
    <r>
      <rPr>
        <sz val="8"/>
        <rFont val="Arial"/>
        <family val="2"/>
      </rPr>
      <t>Pass:  1,200</t>
    </r>
  </si>
  <si>
    <r>
      <rPr>
        <sz val="8"/>
        <rFont val="Arial"/>
        <family val="2"/>
      </rPr>
      <t>Current   2021</t>
    </r>
  </si>
  <si>
    <r>
      <rPr>
        <sz val="8"/>
        <rFont val="Arial"/>
        <family val="2"/>
      </rPr>
      <t>Total:  2,475</t>
    </r>
  </si>
  <si>
    <r>
      <rPr>
        <sz val="8"/>
        <rFont val="Arial"/>
        <family val="2"/>
      </rPr>
      <t>Trucks:  995</t>
    </r>
  </si>
  <si>
    <r>
      <rPr>
        <sz val="8"/>
        <rFont val="Arial"/>
        <family val="2"/>
      </rPr>
      <t>Pass:  1,480</t>
    </r>
  </si>
  <si>
    <r>
      <rPr>
        <sz val="8"/>
        <rFont val="Arial"/>
        <family val="2"/>
      </rPr>
      <t>Total:  1,880</t>
    </r>
  </si>
  <si>
    <r>
      <rPr>
        <sz val="8"/>
        <rFont val="Arial"/>
        <family val="2"/>
      </rPr>
      <t>Trucks:  735</t>
    </r>
  </si>
  <si>
    <r>
      <rPr>
        <sz val="8"/>
        <rFont val="Arial"/>
        <family val="2"/>
      </rPr>
      <t>Pass:  1,145</t>
    </r>
  </si>
  <si>
    <r>
      <rPr>
        <sz val="8"/>
        <rFont val="Arial"/>
        <family val="2"/>
      </rPr>
      <t>Site 5: RP 120.5</t>
    </r>
  </si>
  <si>
    <r>
      <rPr>
        <sz val="8"/>
        <rFont val="Arial"/>
        <family val="2"/>
      </rPr>
      <t>Site 4: RP 118.5</t>
    </r>
  </si>
  <si>
    <r>
      <rPr>
        <sz val="8"/>
        <rFont val="Arial"/>
        <family val="2"/>
      </rPr>
      <t>Total:  3,065</t>
    </r>
  </si>
  <si>
    <r>
      <rPr>
        <sz val="8"/>
        <rFont val="Arial"/>
        <family val="2"/>
      </rPr>
      <t>Trucks:  1,175</t>
    </r>
  </si>
  <si>
    <r>
      <rPr>
        <sz val="8"/>
        <rFont val="Arial"/>
        <family val="2"/>
      </rPr>
      <t>Pass:  1,890</t>
    </r>
  </si>
  <si>
    <r>
      <rPr>
        <sz val="8"/>
        <rFont val="Arial"/>
        <family val="2"/>
      </rPr>
      <t>Total:  2,220</t>
    </r>
  </si>
  <si>
    <r>
      <rPr>
        <sz val="8"/>
        <rFont val="Arial"/>
        <family val="2"/>
      </rPr>
      <t>Trucks:  820</t>
    </r>
  </si>
  <si>
    <r>
      <rPr>
        <sz val="8"/>
        <rFont val="Arial"/>
        <family val="2"/>
      </rPr>
      <t>Pass:  1,400</t>
    </r>
  </si>
  <si>
    <r>
      <rPr>
        <sz val="8"/>
        <rFont val="Arial"/>
        <family val="2"/>
      </rPr>
      <t>Site 3: RP 40.4</t>
    </r>
  </si>
  <si>
    <r>
      <rPr>
        <sz val="8"/>
        <rFont val="Arial"/>
        <family val="2"/>
      </rPr>
      <t>Trucks:  690</t>
    </r>
  </si>
  <si>
    <r>
      <rPr>
        <sz val="8"/>
        <rFont val="Arial"/>
        <family val="2"/>
      </rPr>
      <t>Pass:  1,530</t>
    </r>
  </si>
  <si>
    <r>
      <rPr>
        <sz val="8"/>
        <rFont val="Arial"/>
        <family val="2"/>
      </rPr>
      <t>Total:  1,695</t>
    </r>
  </si>
  <si>
    <r>
      <rPr>
        <sz val="8"/>
        <rFont val="Arial"/>
        <family val="2"/>
      </rPr>
      <t>Trucks:  510</t>
    </r>
  </si>
  <si>
    <r>
      <rPr>
        <sz val="8"/>
        <rFont val="Arial"/>
        <family val="2"/>
      </rPr>
      <t>Pass:  1,185</t>
    </r>
  </si>
  <si>
    <r>
      <rPr>
        <sz val="8"/>
        <rFont val="Arial"/>
        <family val="2"/>
      </rPr>
      <t>Site 2: RP 20.6</t>
    </r>
  </si>
  <si>
    <r>
      <rPr>
        <sz val="8"/>
        <rFont val="Arial"/>
        <family val="2"/>
      </rPr>
      <t>Total:  1,570</t>
    </r>
  </si>
  <si>
    <r>
      <rPr>
        <sz val="8"/>
        <rFont val="Arial"/>
        <family val="2"/>
      </rPr>
      <t>Trucks:  775</t>
    </r>
  </si>
  <si>
    <r>
      <rPr>
        <sz val="8"/>
        <rFont val="Arial"/>
        <family val="2"/>
      </rPr>
      <t>Pass:  795</t>
    </r>
  </si>
  <si>
    <r>
      <rPr>
        <sz val="8"/>
        <rFont val="Arial"/>
        <family val="2"/>
      </rPr>
      <t>Total:  1,215</t>
    </r>
  </si>
  <si>
    <r>
      <rPr>
        <sz val="8"/>
        <rFont val="Arial"/>
        <family val="2"/>
      </rPr>
      <t>Trucks:  600</t>
    </r>
  </si>
  <si>
    <r>
      <rPr>
        <sz val="8"/>
        <rFont val="Arial"/>
        <family val="2"/>
      </rPr>
      <t>Pass:  615</t>
    </r>
  </si>
  <si>
    <r>
      <rPr>
        <sz val="8"/>
        <rFont val="Arial"/>
        <family val="2"/>
      </rPr>
      <t>Site 1: RP 6.9</t>
    </r>
  </si>
  <si>
    <r>
      <rPr>
        <sz val="8"/>
        <rFont val="Arial"/>
        <family val="2"/>
      </rPr>
      <t>Total:  1,045</t>
    </r>
  </si>
  <si>
    <r>
      <rPr>
        <sz val="8"/>
        <rFont val="Arial"/>
        <family val="2"/>
      </rPr>
      <t>Trucks:  755</t>
    </r>
  </si>
  <si>
    <r>
      <rPr>
        <sz val="8"/>
        <rFont val="Arial"/>
        <family val="2"/>
      </rPr>
      <t>Pass:  290</t>
    </r>
  </si>
  <si>
    <r>
      <rPr>
        <sz val="8"/>
        <rFont val="Arial"/>
        <family val="2"/>
      </rPr>
      <t>Total:  800</t>
    </r>
  </si>
  <si>
    <r>
      <rPr>
        <sz val="8"/>
        <rFont val="Arial"/>
        <family val="2"/>
      </rPr>
      <t>Trucks:  585</t>
    </r>
  </si>
  <si>
    <r>
      <rPr>
        <sz val="8"/>
        <rFont val="Arial"/>
        <family val="2"/>
      </rPr>
      <t>Pass:  215</t>
    </r>
  </si>
  <si>
    <t>Avg Growth</t>
  </si>
  <si>
    <t>Trucks</t>
  </si>
  <si>
    <r>
      <rPr>
        <sz val="8"/>
        <rFont val="Arial"/>
        <family val="2"/>
      </rPr>
      <t>Average Daily</t>
    </r>
  </si>
  <si>
    <r>
      <rPr>
        <sz val="8"/>
        <rFont val="Arial"/>
        <family val="2"/>
      </rPr>
      <t>Traffic</t>
    </r>
  </si>
  <si>
    <r>
      <rPr>
        <sz val="10"/>
        <rFont val="Arial"/>
        <family val="2"/>
      </rPr>
      <t>DESIGN DATA</t>
    </r>
  </si>
  <si>
    <t>https://www.oregon.gov/odot/Engineering/ARTS/CRF-Manual.pdf page 115.</t>
  </si>
  <si>
    <t>F(X) exp(-2.59*L)</t>
  </si>
  <si>
    <t>Lane Length (miles)</t>
  </si>
  <si>
    <t>Element</t>
  </si>
  <si>
    <t>Add Acceleration Lane of Length L (miles)</t>
  </si>
  <si>
    <t>Table 5 - Calculated and Combined CMFs</t>
  </si>
  <si>
    <t>Table 3 - Annual Incapacitating Injury Crashes (A) At Sites No Build</t>
  </si>
  <si>
    <t>Table 4 - Annual PDO Crashes (O) At Sites No Build</t>
  </si>
  <si>
    <t>Table 6 - Annual Incapacitating Injury Crashes (A) At Sites Build</t>
  </si>
  <si>
    <t>Table 7 - Annual PDO Crashes (O) At Sites Build</t>
  </si>
  <si>
    <t>Table 8 - Total I-494 Crash Cost Savings by Corridor</t>
  </si>
  <si>
    <t>Growth</t>
  </si>
  <si>
    <t>meter per kilometer</t>
  </si>
  <si>
    <t>inches per mile</t>
  </si>
  <si>
    <t>NDDOT Pavement Monitoring Records</t>
  </si>
  <si>
    <t>Table - Unit Conversion IRI</t>
  </si>
  <si>
    <t>Weighted Speed</t>
  </si>
  <si>
    <t>Table - Growth Rates for AADT</t>
  </si>
  <si>
    <t>Table - Estimated IRI in in/mi for study period</t>
  </si>
  <si>
    <t>Ratio</t>
  </si>
  <si>
    <t>Speed Ratio</t>
  </si>
  <si>
    <t>Target IRI (in/mi)</t>
  </si>
  <si>
    <t>Zero Discount</t>
  </si>
  <si>
    <t>Present Value</t>
  </si>
  <si>
    <t>Seal Coat</t>
  </si>
  <si>
    <t>TLO</t>
  </si>
  <si>
    <t>Build Maintenance</t>
  </si>
  <si>
    <t>No Build Maintenance</t>
  </si>
  <si>
    <t>Maintenance Cost</t>
  </si>
  <si>
    <t>Road Maintenance Cost Savings</t>
  </si>
  <si>
    <t>Pavement</t>
  </si>
  <si>
    <t>Length (miles)</t>
  </si>
  <si>
    <t>No Build Speed (mph)</t>
  </si>
  <si>
    <t>VHT Difference</t>
  </si>
  <si>
    <t>Target Vibration Rate in/sec</t>
  </si>
  <si>
    <t>The road surface that will be replaced as part of this project has sections that are already in mediocre condition. Without repaving, this section of US 52 will soon become rough enough that travelers will slow down in response to vibrations coming from their wheels. This assumption of slowing down once a road reaches a certain roughness was the basis for travel time savings estimated for the project.
NDDOT provided the current international roughness index (IRI) measurements for the relevant sections of US 52. IRI measures the distance an average car’s wheels move up and down as the car travels along one mile of road. The more the wheels move up and down, the rougher the road and the higher the IRI. In general, IRI units are either inches per mile or meters per kilometer. If a speed is set, then the IRI statistics can be further broken down to represent the number of inches an average wheel moves per second which corresponds to vibration felt by the driver. By solving for the miles traveled per second at the posted speed limit, 65 mph, that fraction of a mile is the fraction of the total IRI value the wheel moves in one second. To estimate how speed will change in the future as the road continues to degrade, present road deterioration rates were provide by NDDOT and these rates were used to fore IRI values for each section of road were estimated throughout the study period. Once estimated, these IRI values were used to find the speed that holds wheel vibration constant at 2.17 inches per second at that IRI. A wheel vibration rate of 2.17 inches was chosen because it reflects 120 IRI at 65 mph, which was the point at which motorists were expected to begin to slow down in response to road roughness. Drivers were expected to slow down to keep wheel vibration at or below 2.17 inches per second, the assumed comfortable limit, and so future comfortable travel speed was forecast according to the algebraic relationship between IRI, speed, and the targeted wheel vibration rate.</t>
  </si>
  <si>
    <t>Table 6 - Estimated Comfortable Driving Speed</t>
  </si>
  <si>
    <t>Table 7 - Forecast IRI Values by Section</t>
  </si>
  <si>
    <r>
      <t>Table 1 - Crash Data at Site Locations</t>
    </r>
    <r>
      <rPr>
        <b/>
        <vertAlign val="superscript"/>
        <sz val="9"/>
        <color theme="1"/>
        <rFont val="Aptos Narrow"/>
        <family val="2"/>
        <scheme val="minor"/>
      </rPr>
      <t>1</t>
    </r>
  </si>
  <si>
    <t>NDDOT Traffic Provided Counts</t>
  </si>
  <si>
    <r>
      <t xml:space="preserve">Table 8 - Crash Costs by Severity </t>
    </r>
    <r>
      <rPr>
        <b/>
        <vertAlign val="superscript"/>
        <sz val="9"/>
        <color theme="1"/>
        <rFont val="Aptos Narrow"/>
        <family val="2"/>
        <scheme val="minor"/>
      </rPr>
      <t>3</t>
    </r>
  </si>
  <si>
    <t>CMF from Oregon DOT research. The CMF Clearinghouse was searched and these CMFs were determined more appropriate for application in this case due to their general nature compared to others available. https://www.oregon.gov/odot/Engineering/ARTS/CRF-Manual.pdf page 113. https://www.oregon.gov/odot/Engineering/ARTS/CRF-Manual.pdf page 115.</t>
  </si>
  <si>
    <r>
      <t>Table 5 - CMF for Installing Accel/Decelerate Lanes</t>
    </r>
    <r>
      <rPr>
        <b/>
        <vertAlign val="superscript"/>
        <sz val="9"/>
        <color theme="1"/>
        <rFont val="Aptos Narrow"/>
        <family val="2"/>
        <scheme val="minor"/>
      </rPr>
      <t>2</t>
    </r>
  </si>
  <si>
    <t>Table - 1 Project Length</t>
  </si>
  <si>
    <t>Crash cost assumptions are consistent with values and methodologies published in USDOT BCA Guidance for Discretionary Grant Programs Updated December 2023 https://www.transportation.gov/mission/office-secretary/office-policy/transportation-policy/benefit-cost-analysis-guidance</t>
  </si>
  <si>
    <t>Declaration Lane</t>
  </si>
  <si>
    <t>MAINTENANCE COSTS</t>
  </si>
  <si>
    <t>Costs are per mile on a 2-lane highway and schedule provided by NDDOT. The assumption that maintenance costs will by 30 percent higher under No Build was recommended by NDDOT.</t>
  </si>
  <si>
    <r>
      <t>Table 2 - 20 Year Life Cycle Pavement Maintenance</t>
    </r>
    <r>
      <rPr>
        <b/>
        <vertAlign val="superscript"/>
        <sz val="9"/>
        <color theme="1"/>
        <rFont val="Calibri"/>
        <family val="2"/>
      </rPr>
      <t>1</t>
    </r>
  </si>
  <si>
    <r>
      <t>Table 2 - Construction Costs</t>
    </r>
    <r>
      <rPr>
        <b/>
        <vertAlign val="superscript"/>
        <sz val="9"/>
        <color theme="1"/>
        <rFont val="Calibri"/>
        <family val="2"/>
      </rPr>
      <t>1</t>
    </r>
  </si>
  <si>
    <r>
      <t>Table 3 - Remaining Capital Value Factors</t>
    </r>
    <r>
      <rPr>
        <b/>
        <vertAlign val="superscript"/>
        <sz val="9"/>
        <color theme="1"/>
        <rFont val="Calibri"/>
        <family val="2"/>
      </rPr>
      <t>1</t>
    </r>
  </si>
  <si>
    <r>
      <t>Table 4. Inflation Factor Calculations</t>
    </r>
    <r>
      <rPr>
        <b/>
        <vertAlign val="superscript"/>
        <sz val="9"/>
        <color theme="1"/>
        <rFont val="Calibri"/>
        <family val="2"/>
      </rPr>
      <t>2</t>
    </r>
  </si>
  <si>
    <t>Costs provided by NDDOT. Remaining capital value assumptions based on a conservative pavement service life of 25 years. Other costs were considered sunk.</t>
  </si>
  <si>
    <t>Inflation factors are sourced from sources recommended by USDOT BCA Guidance</t>
  </si>
  <si>
    <t>NDDOT Traffic Counts, See "Design Data" Sheet</t>
  </si>
  <si>
    <r>
      <t>Table 1. Vehicle Operating Cost Adjustment Factors for Roughness</t>
    </r>
    <r>
      <rPr>
        <b/>
        <vertAlign val="superscript"/>
        <sz val="9"/>
        <color theme="1"/>
        <rFont val="Calibri"/>
        <family val="2"/>
      </rPr>
      <t>1</t>
    </r>
  </si>
  <si>
    <r>
      <t>Table 2. US 52 Traffic Information</t>
    </r>
    <r>
      <rPr>
        <b/>
        <vertAlign val="superscript"/>
        <sz val="9"/>
        <color theme="1"/>
        <rFont val="Calibri"/>
        <family val="2"/>
      </rPr>
      <t>2</t>
    </r>
  </si>
  <si>
    <r>
      <rPr>
        <sz val="9"/>
        <rFont val="Calibri"/>
        <family val="2"/>
      </rPr>
      <t>Baseline Conditions
(¢/mi)</t>
    </r>
  </si>
  <si>
    <r>
      <rPr>
        <sz val="9"/>
        <rFont val="Calibri"/>
        <family val="2"/>
      </rPr>
      <t>56 km/h
(35 mph)</t>
    </r>
  </si>
  <si>
    <r>
      <rPr>
        <sz val="9"/>
        <rFont val="Calibri"/>
        <family val="2"/>
      </rPr>
      <t>88 km/h
(55 mph)</t>
    </r>
  </si>
  <si>
    <r>
      <rPr>
        <sz val="9"/>
        <rFont val="Calibri"/>
        <family val="2"/>
      </rPr>
      <t>112
km/h (70 mph)</t>
    </r>
  </si>
  <si>
    <r>
      <t>Table 2 - Fleet Composition</t>
    </r>
    <r>
      <rPr>
        <b/>
        <vertAlign val="superscript"/>
        <sz val="9"/>
        <color theme="1"/>
        <rFont val="Calibri"/>
        <family val="2"/>
      </rPr>
      <t>1</t>
    </r>
  </si>
  <si>
    <r>
      <t>Table 5 - Speed Change Parameters</t>
    </r>
    <r>
      <rPr>
        <b/>
        <vertAlign val="superscript"/>
        <sz val="9"/>
        <color theme="1"/>
        <rFont val="Calibri"/>
        <family val="2"/>
      </rPr>
      <t>3</t>
    </r>
  </si>
  <si>
    <t>USDOT BCA Guidance for Discretionary Grant Programs Updated December 2023 https://www.transportation.gov/mission/office-secretary/office-policy/transportation-policy/benefit-cost-analysis-guidance</t>
  </si>
  <si>
    <r>
      <t>Table 1 - Analysis Timeframe Assumptions</t>
    </r>
    <r>
      <rPr>
        <b/>
        <vertAlign val="superscript"/>
        <sz val="9"/>
        <color theme="1"/>
        <rFont val="Calibri"/>
        <family val="2"/>
      </rPr>
      <t>1</t>
    </r>
  </si>
  <si>
    <r>
      <t>Days in Traffic Analysis Year</t>
    </r>
    <r>
      <rPr>
        <vertAlign val="superscript"/>
        <sz val="9"/>
        <rFont val="Calibri"/>
        <family val="2"/>
      </rPr>
      <t>2</t>
    </r>
  </si>
  <si>
    <r>
      <t>Truck Percentage US 52</t>
    </r>
    <r>
      <rPr>
        <vertAlign val="superscript"/>
        <sz val="9"/>
        <rFont val="Calibri"/>
        <family val="2"/>
      </rPr>
      <t>3</t>
    </r>
  </si>
  <si>
    <r>
      <t>US 52 AADT</t>
    </r>
    <r>
      <rPr>
        <vertAlign val="superscript"/>
        <sz val="9"/>
        <rFont val="Calibri"/>
        <family val="2"/>
      </rPr>
      <t>3</t>
    </r>
  </si>
  <si>
    <r>
      <t>Table 3. US 52 AADT Growth</t>
    </r>
    <r>
      <rPr>
        <b/>
        <vertAlign val="superscript"/>
        <sz val="9"/>
        <color theme="1"/>
        <rFont val="Calibri"/>
        <family val="2"/>
      </rPr>
      <t>3</t>
    </r>
  </si>
  <si>
    <r>
      <t>Average IRI (m/km)</t>
    </r>
    <r>
      <rPr>
        <b/>
        <vertAlign val="superscript"/>
        <sz val="9"/>
        <color theme="1"/>
        <rFont val="Calibri"/>
        <family val="2"/>
      </rPr>
      <t>1</t>
    </r>
  </si>
  <si>
    <r>
      <t>No Build Truck Cost Per Mile</t>
    </r>
    <r>
      <rPr>
        <b/>
        <vertAlign val="superscript"/>
        <sz val="9"/>
        <color theme="1"/>
        <rFont val="Calibri"/>
        <family val="2"/>
      </rPr>
      <t>2</t>
    </r>
  </si>
  <si>
    <r>
      <t>No Build Auto Cost Per Mile</t>
    </r>
    <r>
      <rPr>
        <b/>
        <vertAlign val="superscript"/>
        <sz val="9"/>
        <color theme="1"/>
        <rFont val="Calibri"/>
        <family val="2"/>
      </rPr>
      <t>2</t>
    </r>
  </si>
  <si>
    <r>
      <t>Table 5 - Current Pavement Conditions</t>
    </r>
    <r>
      <rPr>
        <b/>
        <vertAlign val="superscript"/>
        <sz val="9"/>
        <color theme="1"/>
        <rFont val="Calibri"/>
        <family val="2"/>
      </rPr>
      <t>3</t>
    </r>
  </si>
  <si>
    <t>Average IRI in meters per kilometer is converted from inches per miles for calculations regarding roughness. These values were estimated based on pavement deterioration rates provided by NDDOT and the average value is weighted by the length of each of the sections</t>
  </si>
  <si>
    <t>Methodology estimates increased vehicle maintenance costs based on roughness data provided by NDDOT and estimated increases to maintenance cost resulting from rougher roads was sourced from National Academies of Sciences, Engineering, and Medicine. 2012. Estimating the Effects of Pavement Condition on Vehicle Operating Costs. Washington, DC: The National Academies Press. https://doi.org/10.17226/22808. Page 58 Table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</si>
</sst>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0.0"/>
    <numFmt numFmtId="167" formatCode="0.0%"/>
    <numFmt numFmtId="168" formatCode="_(&quot;$&quot;* #,##0_);_(&quot;$&quot;* \(#,##0\);_(&quot;$&quot;* &quot;-&quot;??_);_(@_)"/>
    <numFmt numFmtId="169" formatCode="_(* #,##0_);_(* \(#,##0\);_(* &quot;-&quot;??_);_(@_)"/>
    <numFmt numFmtId="170" formatCode="&quot;$&quot;#,##0.0"/>
    <numFmt numFmtId="171" formatCode="#,##0.000"/>
    <numFmt numFmtId="172" formatCode="0000"/>
    <numFmt numFmtId="173" formatCode="\$#,##0.00"/>
    <numFmt numFmtId="174" formatCode="\$0.00"/>
    <numFmt numFmtId="175" formatCode="0.00000"/>
    <numFmt numFmtId="176" formatCode="0.000"/>
  </numFmts>
  <fonts count="44" x14ac:knownFonts="1">
    <font>
      <sz val="11"/>
      <color theme="1"/>
      <name val="Aptos Narrow"/>
      <family val="2"/>
      <scheme val="minor"/>
    </font>
    <font>
      <sz val="11"/>
      <color theme="1"/>
      <name val="Aptos Narrow"/>
      <family val="2"/>
      <scheme val="minor"/>
    </font>
    <font>
      <b/>
      <sz val="9"/>
      <color theme="1"/>
      <name val="Aptos Narrow"/>
      <family val="2"/>
      <scheme val="minor"/>
    </font>
    <font>
      <sz val="9"/>
      <color theme="1"/>
      <name val="Aptos Narrow"/>
      <family val="2"/>
      <scheme val="minor"/>
    </font>
    <font>
      <b/>
      <vertAlign val="superscript"/>
      <sz val="9"/>
      <color theme="1"/>
      <name val="Aptos Narrow"/>
      <family val="2"/>
      <scheme val="minor"/>
    </font>
    <font>
      <sz val="9"/>
      <name val="Times New Roman"/>
      <family val="1"/>
    </font>
    <font>
      <sz val="9"/>
      <color rgb="FF000000"/>
      <name val="Times New Roman"/>
      <family val="2"/>
    </font>
    <font>
      <sz val="10"/>
      <name val="Arial"/>
      <family val="2"/>
    </font>
    <font>
      <sz val="10"/>
      <name val="Times New Roman"/>
      <family val="1"/>
    </font>
    <font>
      <vertAlign val="superscript"/>
      <sz val="10"/>
      <name val="Times New Roman"/>
      <family val="1"/>
    </font>
    <font>
      <sz val="12"/>
      <name val="Times New Roman"/>
      <family val="1"/>
    </font>
    <font>
      <vertAlign val="superscript"/>
      <sz val="9"/>
      <name val="Times New Roman"/>
      <family val="1"/>
    </font>
    <font>
      <sz val="11"/>
      <name val="Times New Roman"/>
      <family val="1"/>
    </font>
    <font>
      <sz val="9"/>
      <name val="Arial"/>
      <family val="2"/>
    </font>
    <font>
      <b/>
      <sz val="9"/>
      <name val="Arial"/>
      <family val="2"/>
    </font>
    <font>
      <sz val="9"/>
      <color rgb="FF000000"/>
      <name val="Arial"/>
      <family val="2"/>
    </font>
    <font>
      <vertAlign val="superscript"/>
      <sz val="10"/>
      <name val="Arial"/>
      <family val="2"/>
    </font>
    <font>
      <b/>
      <sz val="10"/>
      <name val="Arial"/>
      <family val="2"/>
    </font>
    <font>
      <b/>
      <sz val="12"/>
      <name val="Arial"/>
      <family val="2"/>
    </font>
    <font>
      <i/>
      <sz val="10"/>
      <name val="Arial"/>
      <family val="2"/>
    </font>
    <font>
      <b/>
      <vertAlign val="superscript"/>
      <sz val="9"/>
      <name val="Arial"/>
      <family val="2"/>
    </font>
    <font>
      <sz val="11"/>
      <name val="Calibri"/>
      <family val="2"/>
    </font>
    <font>
      <sz val="7"/>
      <name val="Courier New"/>
      <family val="3"/>
    </font>
    <font>
      <u/>
      <sz val="7"/>
      <name val="Courier New"/>
      <family val="3"/>
    </font>
    <font>
      <sz val="7"/>
      <color rgb="FF000000"/>
      <name val="Courier New"/>
      <family val="2"/>
    </font>
    <font>
      <sz val="10"/>
      <color rgb="FF000000"/>
      <name val="Times New Roman"/>
      <family val="1"/>
    </font>
    <font>
      <sz val="8"/>
      <name val="Arial"/>
      <family val="2"/>
    </font>
    <font>
      <sz val="11"/>
      <color rgb="FF9C6500"/>
      <name val="Aptos Narrow"/>
      <family val="2"/>
      <scheme val="minor"/>
    </font>
    <font>
      <sz val="9"/>
      <color theme="1"/>
      <name val="Calibri"/>
      <family val="2"/>
    </font>
    <font>
      <b/>
      <sz val="9"/>
      <color theme="1"/>
      <name val="Calibri"/>
      <family val="2"/>
    </font>
    <font>
      <b/>
      <vertAlign val="superscript"/>
      <sz val="9"/>
      <color theme="1"/>
      <name val="Calibri"/>
      <family val="2"/>
    </font>
    <font>
      <sz val="9"/>
      <name val="Calibri"/>
      <family val="2"/>
    </font>
    <font>
      <sz val="9"/>
      <color theme="0" tint="-0.249977111117893"/>
      <name val="Calibri"/>
      <family val="2"/>
    </font>
    <font>
      <b/>
      <sz val="9"/>
      <name val="Calibri"/>
      <family val="2"/>
    </font>
    <font>
      <b/>
      <sz val="9"/>
      <color rgb="FF231F20"/>
      <name val="Calibri"/>
      <family val="2"/>
    </font>
    <font>
      <sz val="9"/>
      <color rgb="FF000000"/>
      <name val="Calibri"/>
      <family val="2"/>
    </font>
    <font>
      <sz val="9"/>
      <color theme="2"/>
      <name val="Calibri"/>
      <family val="2"/>
    </font>
    <font>
      <sz val="9"/>
      <color rgb="FF0070C0"/>
      <name val="Calibri"/>
      <family val="2"/>
    </font>
    <font>
      <sz val="9"/>
      <color theme="0" tint="-0.34998626667073579"/>
      <name val="Calibri"/>
      <family val="2"/>
    </font>
    <font>
      <b/>
      <sz val="18"/>
      <color theme="1"/>
      <name val="Calibri"/>
      <family val="2"/>
    </font>
    <font>
      <sz val="9"/>
      <color rgb="FFFF0000"/>
      <name val="Calibri"/>
      <family val="2"/>
    </font>
    <font>
      <sz val="9"/>
      <color rgb="FF00B050"/>
      <name val="Calibri"/>
      <family val="2"/>
    </font>
    <font>
      <vertAlign val="superscript"/>
      <sz val="9"/>
      <name val="Calibri"/>
      <family val="2"/>
    </font>
    <font>
      <b/>
      <u/>
      <sz val="9"/>
      <color theme="1"/>
      <name val="Calibri"/>
      <family val="2"/>
    </font>
  </fonts>
  <fills count="4">
    <fill>
      <patternFill patternType="none"/>
    </fill>
    <fill>
      <patternFill patternType="gray125"/>
    </fill>
    <fill>
      <patternFill patternType="solid">
        <fgColor theme="0" tint="-0.249977111117893"/>
        <bgColor indexed="64"/>
      </patternFill>
    </fill>
    <fill>
      <patternFill patternType="solid">
        <fgColor rgb="FFFFEB9C"/>
      </patternFill>
    </fill>
  </fills>
  <borders count="93">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231F20"/>
      </left>
      <right style="thin">
        <color rgb="FF231F20"/>
      </right>
      <top style="thin">
        <color rgb="FF231F20"/>
      </top>
      <bottom/>
      <diagonal/>
    </border>
    <border>
      <left style="thin">
        <color rgb="FF231F20"/>
      </left>
      <right/>
      <top style="thin">
        <color rgb="FF231F20"/>
      </top>
      <bottom style="thin">
        <color rgb="FF231F20"/>
      </bottom>
      <diagonal/>
    </border>
    <border>
      <left/>
      <right/>
      <top style="thin">
        <color rgb="FF231F20"/>
      </top>
      <bottom style="thin">
        <color rgb="FF231F20"/>
      </bottom>
      <diagonal/>
    </border>
    <border>
      <left/>
      <right style="thin">
        <color rgb="FF231F20"/>
      </right>
      <top style="thin">
        <color rgb="FF231F20"/>
      </top>
      <bottom style="thin">
        <color rgb="FF231F20"/>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top/>
      <bottom/>
      <diagonal/>
    </border>
    <border>
      <left/>
      <right style="medium">
        <color indexed="64"/>
      </right>
      <top/>
      <bottom/>
      <diagonal/>
    </border>
    <border>
      <left/>
      <right style="thin">
        <color auto="1"/>
      </right>
      <top/>
      <bottom/>
      <diagonal/>
    </border>
    <border>
      <left style="thin">
        <color indexed="64"/>
      </left>
      <right style="medium">
        <color indexed="64"/>
      </right>
      <top/>
      <bottom/>
      <diagonal/>
    </border>
    <border>
      <left style="thin">
        <color rgb="FF231F20"/>
      </left>
      <right style="thin">
        <color rgb="FF231F20"/>
      </right>
      <top/>
      <bottom/>
      <diagonal/>
    </border>
    <border>
      <left style="thin">
        <color rgb="FF231F20"/>
      </left>
      <right style="thin">
        <color rgb="FF231F20"/>
      </right>
      <top style="thin">
        <color rgb="FF231F20"/>
      </top>
      <bottom style="thin">
        <color rgb="FF231F20"/>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rgb="FF231F20"/>
      </left>
      <right style="thin">
        <color rgb="FF231F20"/>
      </right>
      <top/>
      <bottom style="thin">
        <color rgb="FF231F2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indexed="64"/>
      </left>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1" fillId="0" borderId="0" applyFont="0" applyFill="0" applyBorder="0" applyAlignment="0" applyProtection="0"/>
    <xf numFmtId="43" fontId="7" fillId="0" borderId="0" applyFont="0" applyFill="0" applyBorder="0" applyAlignment="0" applyProtection="0"/>
    <xf numFmtId="0" fontId="7" fillId="0" borderId="0"/>
    <xf numFmtId="0" fontId="25" fillId="0" borderId="0"/>
    <xf numFmtId="0" fontId="27" fillId="3" borderId="0" applyNumberFormat="0" applyBorder="0" applyAlignment="0" applyProtection="0"/>
  </cellStyleXfs>
  <cellXfs count="666">
    <xf numFmtId="0" fontId="0" fillId="0" borderId="0" xfId="0"/>
    <xf numFmtId="0" fontId="2" fillId="0" borderId="0" xfId="0" applyFont="1"/>
    <xf numFmtId="0" fontId="3" fillId="0" borderId="0" xfId="0" applyFont="1"/>
    <xf numFmtId="165" fontId="3" fillId="0" borderId="47" xfId="0" applyNumberFormat="1" applyFont="1" applyBorder="1" applyAlignment="1">
      <alignment horizontal="center"/>
    </xf>
    <xf numFmtId="0" fontId="3" fillId="0" borderId="47" xfId="0" applyFont="1" applyBorder="1" applyAlignment="1">
      <alignment horizontal="center"/>
    </xf>
    <xf numFmtId="2" fontId="3" fillId="0" borderId="47" xfId="0" applyNumberFormat="1" applyFont="1" applyBorder="1" applyAlignment="1">
      <alignment horizontal="center"/>
    </xf>
    <xf numFmtId="0" fontId="5" fillId="0" borderId="0" xfId="0" applyFont="1" applyAlignment="1">
      <alignment horizontal="left" vertical="top"/>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right"/>
    </xf>
    <xf numFmtId="0" fontId="3" fillId="0" borderId="47" xfId="0" applyFont="1" applyBorder="1"/>
    <xf numFmtId="0" fontId="3" fillId="0" borderId="0" xfId="0" applyFont="1" applyAlignment="1">
      <alignment vertical="top" wrapText="1"/>
    </xf>
    <xf numFmtId="0" fontId="2" fillId="0" borderId="0" xfId="0" applyFont="1" applyAlignment="1">
      <alignment horizontal="left"/>
    </xf>
    <xf numFmtId="0" fontId="3" fillId="0" borderId="0" xfId="0" applyFont="1" applyAlignment="1">
      <alignment vertical="center"/>
    </xf>
    <xf numFmtId="164" fontId="3" fillId="0" borderId="47" xfId="0" applyNumberFormat="1" applyFont="1" applyBorder="1" applyAlignment="1">
      <alignment horizontal="center"/>
    </xf>
    <xf numFmtId="6" fontId="3" fillId="0" borderId="0" xfId="0" applyNumberFormat="1" applyFont="1"/>
    <xf numFmtId="164" fontId="3" fillId="0" borderId="0" xfId="0" applyNumberFormat="1" applyFont="1" applyAlignment="1">
      <alignment horizontal="center"/>
    </xf>
    <xf numFmtId="164" fontId="2" fillId="0" borderId="0" xfId="0" applyNumberFormat="1" applyFont="1"/>
    <xf numFmtId="0" fontId="2" fillId="0" borderId="0" xfId="0" applyFont="1" applyAlignment="1">
      <alignment horizontal="right"/>
    </xf>
    <xf numFmtId="2" fontId="3" fillId="0" borderId="0" xfId="0" applyNumberFormat="1" applyFont="1" applyAlignment="1">
      <alignment horizontal="center"/>
    </xf>
    <xf numFmtId="0" fontId="3" fillId="0" borderId="47" xfId="0" applyFont="1" applyBorder="1" applyAlignment="1">
      <alignment horizontal="left"/>
    </xf>
    <xf numFmtId="0" fontId="8"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top"/>
    </xf>
    <xf numFmtId="0" fontId="8" fillId="0" borderId="0" xfId="0" applyFont="1" applyAlignment="1">
      <alignment horizontal="left" vertical="top" indent="3"/>
    </xf>
    <xf numFmtId="1" fontId="6" fillId="0" borderId="0" xfId="0" applyNumberFormat="1" applyFont="1" applyAlignment="1">
      <alignment horizontal="center" vertical="top" shrinkToFit="1"/>
    </xf>
    <xf numFmtId="172" fontId="6" fillId="0" borderId="0" xfId="0" applyNumberFormat="1" applyFont="1" applyAlignment="1">
      <alignment horizontal="right" vertical="top" shrinkToFit="1"/>
    </xf>
    <xf numFmtId="0" fontId="5" fillId="0" borderId="0" xfId="0" applyFont="1" applyAlignment="1">
      <alignment horizontal="left" vertical="top" wrapText="1"/>
    </xf>
    <xf numFmtId="1" fontId="6" fillId="0" borderId="0" xfId="0" applyNumberFormat="1" applyFont="1" applyAlignment="1">
      <alignment horizontal="right" vertical="top" shrinkToFit="1"/>
    </xf>
    <xf numFmtId="173" fontId="6" fillId="0" borderId="0" xfId="0" applyNumberFormat="1" applyFont="1" applyAlignment="1">
      <alignment horizontal="right" vertical="top" indent="1" shrinkToFit="1"/>
    </xf>
    <xf numFmtId="173" fontId="6" fillId="0" borderId="0" xfId="0" applyNumberFormat="1" applyFont="1" applyAlignment="1">
      <alignment horizontal="right" vertical="top" shrinkToFit="1"/>
    </xf>
    <xf numFmtId="174" fontId="6" fillId="0" borderId="0" xfId="0" applyNumberFormat="1" applyFont="1" applyAlignment="1">
      <alignment horizontal="right" vertical="top" indent="1" shrinkToFit="1"/>
    </xf>
    <xf numFmtId="166" fontId="6" fillId="0" borderId="0" xfId="0" applyNumberFormat="1" applyFont="1" applyAlignment="1">
      <alignment horizontal="right" vertical="top" shrinkToFit="1"/>
    </xf>
    <xf numFmtId="174" fontId="6" fillId="0" borderId="0" xfId="0" applyNumberFormat="1" applyFont="1" applyAlignment="1">
      <alignment horizontal="right" vertical="top" shrinkToFit="1"/>
    </xf>
    <xf numFmtId="0" fontId="5" fillId="0" borderId="0" xfId="0" applyFont="1" applyAlignment="1">
      <alignment horizontal="left" vertical="top" wrapText="1" indent="2"/>
    </xf>
    <xf numFmtId="1" fontId="6" fillId="0" borderId="83" xfId="0" applyNumberFormat="1" applyFont="1" applyBorder="1" applyAlignment="1">
      <alignment horizontal="center" vertical="top" shrinkToFit="1"/>
    </xf>
    <xf numFmtId="172" fontId="6" fillId="0" borderId="83" xfId="0" applyNumberFormat="1" applyFont="1" applyBorder="1" applyAlignment="1">
      <alignment horizontal="right" vertical="top" shrinkToFit="1"/>
    </xf>
    <xf numFmtId="0" fontId="5" fillId="0" borderId="83" xfId="0" applyFont="1" applyBorder="1" applyAlignment="1">
      <alignment horizontal="left" vertical="top" wrapText="1" indent="2"/>
    </xf>
    <xf numFmtId="174" fontId="6" fillId="0" borderId="83" xfId="0" applyNumberFormat="1" applyFont="1" applyBorder="1" applyAlignment="1">
      <alignment horizontal="right" vertical="top" indent="1" shrinkToFit="1"/>
    </xf>
    <xf numFmtId="0" fontId="12" fillId="0" borderId="0" xfId="0" applyFont="1" applyAlignment="1">
      <alignment horizontal="left" vertical="top" indent="3"/>
    </xf>
    <xf numFmtId="0" fontId="13" fillId="0" borderId="47" xfId="0" applyFont="1" applyBorder="1" applyAlignment="1">
      <alignment vertical="center"/>
    </xf>
    <xf numFmtId="0" fontId="14" fillId="0" borderId="0" xfId="0" applyFont="1" applyAlignment="1">
      <alignment horizontal="left" vertical="top"/>
    </xf>
    <xf numFmtId="0" fontId="7" fillId="0" borderId="0" xfId="0" applyFont="1" applyAlignment="1">
      <alignment horizontal="left" vertical="top"/>
    </xf>
    <xf numFmtId="0" fontId="18" fillId="0" borderId="0" xfId="0" applyFont="1" applyAlignment="1">
      <alignment horizontal="left" vertical="top"/>
    </xf>
    <xf numFmtId="0" fontId="0" fillId="0" borderId="0" xfId="0" applyAlignment="1">
      <alignment horizontal="left" vertical="top" indent="3"/>
    </xf>
    <xf numFmtId="0" fontId="7" fillId="0" borderId="0" xfId="0" applyFont="1" applyAlignment="1">
      <alignment horizontal="left" vertical="top" indent="3"/>
    </xf>
    <xf numFmtId="0" fontId="14" fillId="0" borderId="85" xfId="0" applyFont="1" applyBorder="1" applyAlignment="1">
      <alignment horizontal="center" vertical="top" wrapText="1"/>
    </xf>
    <xf numFmtId="0" fontId="14" fillId="0" borderId="85" xfId="0" applyFont="1" applyBorder="1" applyAlignment="1">
      <alignment horizontal="left" vertical="top" wrapText="1"/>
    </xf>
    <xf numFmtId="0" fontId="14" fillId="0" borderId="85" xfId="0" applyFont="1" applyBorder="1" applyAlignment="1">
      <alignment horizontal="right" vertical="top" wrapText="1"/>
    </xf>
    <xf numFmtId="1" fontId="15" fillId="0" borderId="84" xfId="0" applyNumberFormat="1" applyFont="1" applyBorder="1" applyAlignment="1">
      <alignment horizontal="center" vertical="center" shrinkToFit="1"/>
    </xf>
    <xf numFmtId="172" fontId="15" fillId="0" borderId="84" xfId="0" applyNumberFormat="1" applyFont="1" applyBorder="1" applyAlignment="1">
      <alignment horizontal="left" vertical="center" shrinkToFit="1"/>
    </xf>
    <xf numFmtId="173" fontId="15" fillId="0" borderId="84" xfId="0" applyNumberFormat="1" applyFont="1" applyBorder="1" applyAlignment="1">
      <alignment horizontal="right" vertical="center" shrinkToFit="1"/>
    </xf>
    <xf numFmtId="1" fontId="15" fillId="0" borderId="0" xfId="0" applyNumberFormat="1" applyFont="1" applyAlignment="1">
      <alignment horizontal="center" vertical="top" shrinkToFit="1"/>
    </xf>
    <xf numFmtId="172" fontId="15" fillId="0" borderId="0" xfId="0" applyNumberFormat="1" applyFont="1" applyAlignment="1">
      <alignment horizontal="left" vertical="top" shrinkToFit="1"/>
    </xf>
    <xf numFmtId="0" fontId="13" fillId="0" borderId="0" xfId="0" applyFont="1" applyAlignment="1">
      <alignment horizontal="left" vertical="top" wrapText="1"/>
    </xf>
    <xf numFmtId="173" fontId="15" fillId="0" borderId="0" xfId="0" applyNumberFormat="1" applyFont="1" applyAlignment="1">
      <alignment horizontal="right" vertical="top" shrinkToFit="1"/>
    </xf>
    <xf numFmtId="174" fontId="15" fillId="0" borderId="0" xfId="0" applyNumberFormat="1" applyFont="1" applyAlignment="1">
      <alignment horizontal="right" vertical="top" shrinkToFit="1"/>
    </xf>
    <xf numFmtId="1" fontId="15" fillId="0" borderId="0" xfId="0" applyNumberFormat="1" applyFont="1" applyAlignment="1">
      <alignment horizontal="left" vertical="top" shrinkToFit="1"/>
    </xf>
    <xf numFmtId="1" fontId="15" fillId="0" borderId="0" xfId="0" applyNumberFormat="1" applyFont="1" applyAlignment="1">
      <alignment horizontal="right" vertical="top" shrinkToFit="1"/>
    </xf>
    <xf numFmtId="176" fontId="15" fillId="0" borderId="0" xfId="0" applyNumberFormat="1" applyFont="1" applyAlignment="1">
      <alignment horizontal="right" vertical="top" shrinkToFit="1"/>
    </xf>
    <xf numFmtId="1" fontId="15" fillId="0" borderId="83" xfId="0" applyNumberFormat="1" applyFont="1" applyBorder="1" applyAlignment="1">
      <alignment horizontal="center" vertical="top" shrinkToFit="1"/>
    </xf>
    <xf numFmtId="172" fontId="15" fillId="0" borderId="83" xfId="0" applyNumberFormat="1" applyFont="1" applyBorder="1" applyAlignment="1">
      <alignment horizontal="left" vertical="top" shrinkToFit="1"/>
    </xf>
    <xf numFmtId="0" fontId="13" fillId="0" borderId="83" xfId="0" applyFont="1" applyBorder="1" applyAlignment="1">
      <alignment horizontal="left" vertical="top" wrapText="1"/>
    </xf>
    <xf numFmtId="0" fontId="17" fillId="0" borderId="0" xfId="0" applyFont="1" applyAlignment="1">
      <alignment horizontal="left" vertical="top"/>
    </xf>
    <xf numFmtId="0" fontId="21" fillId="0" borderId="0" xfId="0" applyFont="1" applyAlignment="1">
      <alignment horizontal="left" vertical="top" indent="3"/>
    </xf>
    <xf numFmtId="0" fontId="22" fillId="0" borderId="0" xfId="0" applyFont="1" applyAlignment="1">
      <alignment horizontal="left" vertical="top"/>
    </xf>
    <xf numFmtId="0" fontId="0" fillId="0" borderId="83" xfId="0" applyBorder="1" applyAlignment="1">
      <alignment horizontal="left" vertical="top" wrapText="1"/>
    </xf>
    <xf numFmtId="0" fontId="22" fillId="0" borderId="83" xfId="0" applyFont="1" applyBorder="1" applyAlignment="1">
      <alignment horizontal="left" vertical="top" wrapText="1"/>
    </xf>
    <xf numFmtId="0" fontId="22" fillId="0" borderId="83" xfId="0" applyFont="1" applyBorder="1" applyAlignment="1">
      <alignment horizontal="left" vertical="center" wrapText="1" indent="8"/>
    </xf>
    <xf numFmtId="0" fontId="0" fillId="0" borderId="83" xfId="0" applyBorder="1" applyAlignment="1">
      <alignment horizontal="right" vertical="top" wrapText="1"/>
    </xf>
    <xf numFmtId="0" fontId="22" fillId="0" borderId="83" xfId="0" applyFont="1" applyBorder="1" applyAlignment="1">
      <alignment horizontal="left" vertical="center" wrapText="1"/>
    </xf>
    <xf numFmtId="0" fontId="22" fillId="0" borderId="83" xfId="0" applyFont="1" applyBorder="1" applyAlignment="1">
      <alignment horizontal="right" vertical="center" wrapText="1"/>
    </xf>
    <xf numFmtId="0" fontId="22" fillId="0" borderId="83" xfId="0" applyFont="1" applyBorder="1" applyAlignment="1">
      <alignment horizontal="left" vertical="center" wrapText="1" indent="1"/>
    </xf>
    <xf numFmtId="1" fontId="24" fillId="0" borderId="0" xfId="0" applyNumberFormat="1" applyFont="1" applyAlignment="1">
      <alignment horizontal="right" vertical="top" shrinkToFit="1"/>
    </xf>
    <xf numFmtId="0" fontId="22" fillId="0" borderId="0" xfId="0" applyFont="1" applyAlignment="1">
      <alignment horizontal="center" vertical="top" wrapText="1"/>
    </xf>
    <xf numFmtId="172" fontId="24" fillId="0" borderId="0" xfId="0" applyNumberFormat="1" applyFont="1" applyAlignment="1">
      <alignment horizontal="left" vertical="top" shrinkToFit="1"/>
    </xf>
    <xf numFmtId="0" fontId="22" fillId="0" borderId="0" xfId="0" applyFont="1" applyAlignment="1">
      <alignment horizontal="right" vertical="top" wrapText="1"/>
    </xf>
    <xf numFmtId="0" fontId="22" fillId="0" borderId="0" xfId="0" applyFont="1" applyAlignment="1">
      <alignment horizontal="left" vertical="top" wrapText="1"/>
    </xf>
    <xf numFmtId="176" fontId="24" fillId="0" borderId="0" xfId="0" applyNumberFormat="1" applyFont="1" applyAlignment="1">
      <alignment horizontal="right" vertical="top" shrinkToFit="1"/>
    </xf>
    <xf numFmtId="4" fontId="24" fillId="0" borderId="0" xfId="0" applyNumberFormat="1" applyFont="1" applyAlignment="1">
      <alignment horizontal="right" vertical="top" shrinkToFit="1"/>
    </xf>
    <xf numFmtId="0" fontId="0" fillId="0" borderId="0" xfId="0" applyAlignment="1">
      <alignment horizontal="left" wrapText="1"/>
    </xf>
    <xf numFmtId="1" fontId="24" fillId="0" borderId="0" xfId="0" applyNumberFormat="1" applyFont="1" applyAlignment="1">
      <alignment horizontal="left" vertical="top" shrinkToFit="1"/>
    </xf>
    <xf numFmtId="171" fontId="24" fillId="0" borderId="0" xfId="0" applyNumberFormat="1" applyFont="1" applyAlignment="1">
      <alignment horizontal="right" vertical="top" shrinkToFit="1"/>
    </xf>
    <xf numFmtId="2" fontId="24" fillId="0" borderId="0" xfId="0" applyNumberFormat="1" applyFont="1" applyAlignment="1">
      <alignment horizontal="right" vertical="top" shrinkToFit="1"/>
    </xf>
    <xf numFmtId="1" fontId="24" fillId="0" borderId="83" xfId="0" applyNumberFormat="1" applyFont="1" applyBorder="1" applyAlignment="1">
      <alignment horizontal="right" vertical="top" shrinkToFit="1"/>
    </xf>
    <xf numFmtId="0" fontId="22" fillId="0" borderId="83" xfId="0" applyFont="1" applyBorder="1" applyAlignment="1">
      <alignment horizontal="center" vertical="top" wrapText="1"/>
    </xf>
    <xf numFmtId="1" fontId="24" fillId="0" borderId="83" xfId="0" applyNumberFormat="1" applyFont="1" applyBorder="1" applyAlignment="1">
      <alignment horizontal="left" vertical="top" shrinkToFit="1"/>
    </xf>
    <xf numFmtId="0" fontId="22" fillId="0" borderId="83" xfId="0" applyFont="1" applyBorder="1" applyAlignment="1">
      <alignment horizontal="right" vertical="top" wrapText="1"/>
    </xf>
    <xf numFmtId="176" fontId="24" fillId="0" borderId="83" xfId="0" applyNumberFormat="1" applyFont="1" applyBorder="1" applyAlignment="1">
      <alignment horizontal="right" vertical="top" shrinkToFit="1"/>
    </xf>
    <xf numFmtId="2" fontId="24" fillId="0" borderId="83" xfId="0" applyNumberFormat="1" applyFont="1" applyBorder="1" applyAlignment="1">
      <alignment horizontal="right" vertical="top" shrinkToFit="1"/>
    </xf>
    <xf numFmtId="4" fontId="24" fillId="0" borderId="83" xfId="0" applyNumberFormat="1" applyFont="1" applyBorder="1" applyAlignment="1">
      <alignment horizontal="right" vertical="top" shrinkToFit="1"/>
    </xf>
    <xf numFmtId="14" fontId="0" fillId="0" borderId="0" xfId="0" applyNumberFormat="1"/>
    <xf numFmtId="22"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 fillId="0" borderId="80" xfId="0" applyFont="1" applyBorder="1" applyAlignment="1">
      <alignment horizontal="center" vertical="center"/>
    </xf>
    <xf numFmtId="164" fontId="3" fillId="0" borderId="80" xfId="0" applyNumberFormat="1" applyFont="1" applyBorder="1" applyAlignment="1">
      <alignment horizontal="right" vertical="center"/>
    </xf>
    <xf numFmtId="164" fontId="3" fillId="0" borderId="2" xfId="1" applyNumberFormat="1" applyFont="1" applyBorder="1" applyAlignment="1">
      <alignment horizontal="right"/>
    </xf>
    <xf numFmtId="0" fontId="3" fillId="0" borderId="45" xfId="0" applyFont="1" applyBorder="1" applyAlignment="1">
      <alignment horizontal="center" vertical="center"/>
    </xf>
    <xf numFmtId="164" fontId="3" fillId="0" borderId="45" xfId="0" applyNumberFormat="1" applyFont="1" applyBorder="1" applyAlignment="1">
      <alignment horizontal="right" vertical="center"/>
    </xf>
    <xf numFmtId="164" fontId="3" fillId="0" borderId="51" xfId="0" applyNumberFormat="1" applyFont="1" applyBorder="1" applyAlignment="1">
      <alignment horizontal="right" vertical="center"/>
    </xf>
    <xf numFmtId="164" fontId="3" fillId="0" borderId="46" xfId="1" applyNumberFormat="1" applyFont="1" applyBorder="1" applyAlignment="1">
      <alignment horizontal="right"/>
    </xf>
    <xf numFmtId="6" fontId="2" fillId="0" borderId="0" xfId="0" applyNumberFormat="1" applyFont="1"/>
    <xf numFmtId="6" fontId="3" fillId="0" borderId="22" xfId="0" applyNumberFormat="1" applyFont="1" applyBorder="1" applyAlignment="1">
      <alignment horizontal="right"/>
    </xf>
    <xf numFmtId="1" fontId="3" fillId="0" borderId="47" xfId="0" applyNumberFormat="1" applyFont="1" applyBorder="1" applyAlignment="1">
      <alignment horizontal="center"/>
    </xf>
    <xf numFmtId="176" fontId="3" fillId="0" borderId="47" xfId="0" applyNumberFormat="1" applyFont="1" applyBorder="1" applyAlignment="1">
      <alignment horizontal="center"/>
    </xf>
    <xf numFmtId="0" fontId="2" fillId="0" borderId="47" xfId="0" applyFont="1" applyBorder="1" applyAlignment="1">
      <alignment horizontal="left"/>
    </xf>
    <xf numFmtId="164" fontId="2" fillId="0" borderId="47" xfId="0" applyNumberFormat="1" applyFont="1" applyBorder="1" applyAlignment="1">
      <alignment horizontal="center"/>
    </xf>
    <xf numFmtId="0" fontId="2" fillId="0" borderId="47" xfId="0" applyFont="1" applyBorder="1"/>
    <xf numFmtId="0" fontId="2" fillId="0" borderId="47" xfId="0" applyFont="1" applyBorder="1" applyAlignment="1">
      <alignment horizontal="center"/>
    </xf>
    <xf numFmtId="0" fontId="3" fillId="0" borderId="82" xfId="0" applyFont="1" applyBorder="1"/>
    <xf numFmtId="0" fontId="3" fillId="0" borderId="82" xfId="0" applyFont="1" applyBorder="1" applyAlignment="1">
      <alignment horizontal="center"/>
    </xf>
    <xf numFmtId="0" fontId="25" fillId="0" borderId="0" xfId="8" applyAlignment="1">
      <alignment horizontal="left" vertical="top"/>
    </xf>
    <xf numFmtId="0" fontId="25" fillId="0" borderId="91" xfId="8" applyBorder="1" applyAlignment="1">
      <alignment horizontal="left" wrapText="1"/>
    </xf>
    <xf numFmtId="0" fontId="26" fillId="0" borderId="91" xfId="8" applyFont="1" applyBorder="1" applyAlignment="1">
      <alignment horizontal="left" vertical="top" wrapText="1"/>
    </xf>
    <xf numFmtId="1" fontId="3" fillId="0" borderId="82" xfId="0" applyNumberFormat="1" applyFont="1" applyBorder="1" applyAlignment="1">
      <alignment horizontal="center"/>
    </xf>
    <xf numFmtId="44" fontId="0" fillId="0" borderId="0" xfId="2" applyFont="1" applyAlignment="1">
      <alignment horizontal="left" vertical="top"/>
    </xf>
    <xf numFmtId="168" fontId="0" fillId="0" borderId="0" xfId="2" applyNumberFormat="1" applyFont="1" applyAlignment="1">
      <alignment horizontal="left" vertical="top"/>
    </xf>
    <xf numFmtId="173" fontId="15" fillId="0" borderId="0" xfId="0" applyNumberFormat="1" applyFont="1" applyAlignment="1">
      <alignment vertical="top" shrinkToFit="1"/>
    </xf>
    <xf numFmtId="174" fontId="15" fillId="0" borderId="0" xfId="0" applyNumberFormat="1" applyFont="1" applyAlignment="1">
      <alignment vertical="top" shrinkToFit="1"/>
    </xf>
    <xf numFmtId="173" fontId="0" fillId="0" borderId="0" xfId="0" applyNumberFormat="1"/>
    <xf numFmtId="4" fontId="0" fillId="0" borderId="0" xfId="0" applyNumberFormat="1" applyAlignment="1">
      <alignment horizontal="left" wrapText="1"/>
    </xf>
    <xf numFmtId="4" fontId="0" fillId="0" borderId="0" xfId="0" applyNumberFormat="1" applyAlignment="1">
      <alignment horizontal="left" vertical="top"/>
    </xf>
    <xf numFmtId="0" fontId="3" fillId="0" borderId="0" xfId="0" applyFont="1" applyAlignment="1">
      <alignment horizontal="left" vertical="top" wrapText="1"/>
    </xf>
    <xf numFmtId="0" fontId="3" fillId="0" borderId="5" xfId="0" applyFont="1" applyBorder="1" applyAlignment="1">
      <alignment horizontal="center" vertical="center" wrapText="1"/>
    </xf>
    <xf numFmtId="0" fontId="3" fillId="0" borderId="0" xfId="0" applyFont="1" applyAlignment="1">
      <alignment horizontal="left" wrapText="1"/>
    </xf>
    <xf numFmtId="0" fontId="3" fillId="0" borderId="47" xfId="0" applyFont="1" applyBorder="1" applyAlignment="1">
      <alignment horizontal="center"/>
    </xf>
    <xf numFmtId="0" fontId="3" fillId="0" borderId="2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41" xfId="0" applyFont="1" applyBorder="1" applyAlignment="1">
      <alignment horizontal="center" vertical="center" wrapText="1"/>
    </xf>
    <xf numFmtId="0" fontId="5" fillId="0" borderId="0" xfId="0" applyFont="1" applyAlignment="1">
      <alignment horizontal="right" vertical="top" wrapText="1" indent="2"/>
    </xf>
    <xf numFmtId="173" fontId="6" fillId="0" borderId="0" xfId="0" applyNumberFormat="1" applyFont="1" applyAlignment="1">
      <alignment horizontal="right" vertical="top" indent="1" shrinkToFit="1"/>
    </xf>
    <xf numFmtId="0" fontId="5" fillId="0" borderId="0" xfId="0" applyFont="1" applyAlignment="1">
      <alignment horizontal="right" vertical="top" wrapText="1" indent="3"/>
    </xf>
    <xf numFmtId="174" fontId="6" fillId="0" borderId="0" xfId="0" applyNumberFormat="1" applyFont="1" applyAlignment="1">
      <alignment horizontal="right" vertical="top" indent="1" shrinkToFit="1"/>
    </xf>
    <xf numFmtId="0" fontId="5" fillId="0" borderId="0" xfId="0" applyFont="1" applyAlignment="1">
      <alignment horizontal="left" vertical="top" wrapText="1"/>
    </xf>
    <xf numFmtId="1" fontId="6" fillId="0" borderId="0" xfId="0" applyNumberFormat="1" applyFont="1" applyAlignment="1">
      <alignment horizontal="right" vertical="top" indent="1" shrinkToFit="1"/>
    </xf>
    <xf numFmtId="0" fontId="5" fillId="0" borderId="83" xfId="0" applyFont="1" applyBorder="1" applyAlignment="1">
      <alignment horizontal="left" vertical="top" wrapText="1"/>
    </xf>
    <xf numFmtId="1" fontId="6" fillId="0" borderId="83" xfId="0" applyNumberFormat="1" applyFont="1" applyBorder="1" applyAlignment="1">
      <alignment horizontal="right" vertical="top" indent="1" shrinkToFit="1"/>
    </xf>
    <xf numFmtId="0" fontId="14" fillId="0" borderId="85" xfId="0" applyFont="1" applyBorder="1" applyAlignment="1">
      <alignment horizontal="left" vertical="top" wrapText="1" indent="1"/>
    </xf>
    <xf numFmtId="0" fontId="14" fillId="0" borderId="85" xfId="0" applyFont="1" applyBorder="1" applyAlignment="1">
      <alignment horizontal="right" vertical="top" wrapText="1" indent="1"/>
    </xf>
    <xf numFmtId="0" fontId="14" fillId="0" borderId="85" xfId="0" applyFont="1" applyBorder="1" applyAlignment="1">
      <alignment horizontal="right" vertical="top" wrapText="1"/>
    </xf>
    <xf numFmtId="0" fontId="13" fillId="0" borderId="84" xfId="0" applyFont="1" applyBorder="1" applyAlignment="1">
      <alignment horizontal="left" vertical="center" wrapText="1"/>
    </xf>
    <xf numFmtId="0" fontId="13" fillId="0" borderId="84" xfId="0" applyFont="1" applyBorder="1" applyAlignment="1">
      <alignment horizontal="right" vertical="center" wrapText="1" indent="1"/>
    </xf>
    <xf numFmtId="1" fontId="15" fillId="0" borderId="84" xfId="0" applyNumberFormat="1" applyFont="1" applyBorder="1" applyAlignment="1">
      <alignment horizontal="right" vertical="center" indent="1" shrinkToFit="1"/>
    </xf>
    <xf numFmtId="0" fontId="13" fillId="0" borderId="0" xfId="0" applyFont="1" applyAlignment="1">
      <alignment horizontal="left" vertical="top" wrapText="1"/>
    </xf>
    <xf numFmtId="0" fontId="13" fillId="0" borderId="0" xfId="0" applyFont="1" applyAlignment="1">
      <alignment horizontal="right" vertical="top" wrapText="1" indent="1"/>
    </xf>
    <xf numFmtId="1" fontId="15" fillId="0" borderId="0" xfId="0" applyNumberFormat="1" applyFont="1" applyAlignment="1">
      <alignment horizontal="right" vertical="top" indent="1" shrinkToFit="1"/>
    </xf>
    <xf numFmtId="0" fontId="13" fillId="0" borderId="0" xfId="0" applyFont="1" applyAlignment="1">
      <alignment horizontal="left" vertical="top" wrapText="1" indent="4"/>
    </xf>
    <xf numFmtId="2" fontId="15" fillId="0" borderId="0" xfId="0" applyNumberFormat="1" applyFont="1" applyAlignment="1">
      <alignment horizontal="right" vertical="top" indent="1" shrinkToFit="1"/>
    </xf>
    <xf numFmtId="0" fontId="13" fillId="0" borderId="0" xfId="0" applyFont="1" applyAlignment="1">
      <alignment horizontal="left" vertical="top" wrapText="1" indent="3"/>
    </xf>
    <xf numFmtId="0" fontId="13" fillId="0" borderId="0" xfId="0" applyFont="1" applyAlignment="1">
      <alignment horizontal="center" vertical="top" wrapText="1"/>
    </xf>
    <xf numFmtId="174" fontId="15" fillId="0" borderId="0" xfId="0" applyNumberFormat="1" applyFont="1" applyAlignment="1">
      <alignment horizontal="right" vertical="top" shrinkToFit="1"/>
    </xf>
    <xf numFmtId="0" fontId="13" fillId="0" borderId="0" xfId="0" applyFont="1" applyAlignment="1">
      <alignment horizontal="left" vertical="top" wrapText="1" indent="2"/>
    </xf>
    <xf numFmtId="0" fontId="13" fillId="0" borderId="0" xfId="0" applyFont="1" applyAlignment="1">
      <alignment horizontal="left" vertical="top" wrapText="1" indent="1"/>
    </xf>
    <xf numFmtId="4" fontId="15" fillId="0" borderId="0" xfId="0" applyNumberFormat="1" applyFont="1" applyAlignment="1">
      <alignment horizontal="right" vertical="top" shrinkToFit="1"/>
    </xf>
    <xf numFmtId="173" fontId="15" fillId="0" borderId="0" xfId="0" applyNumberFormat="1" applyFont="1" applyAlignment="1">
      <alignment horizontal="right" vertical="top" shrinkToFit="1"/>
    </xf>
    <xf numFmtId="0" fontId="13" fillId="0" borderId="0" xfId="0" applyFont="1" applyAlignment="1">
      <alignment horizontal="left" vertical="top" wrapText="1" indent="7"/>
    </xf>
    <xf numFmtId="0" fontId="13" fillId="0" borderId="0" xfId="0" applyFont="1" applyAlignment="1">
      <alignment horizontal="right" vertical="top" wrapText="1" indent="2"/>
    </xf>
    <xf numFmtId="0" fontId="13" fillId="0" borderId="83" xfId="0" applyFont="1" applyBorder="1" applyAlignment="1">
      <alignment horizontal="left" vertical="top" wrapText="1" indent="7"/>
    </xf>
    <xf numFmtId="1" fontId="15" fillId="0" borderId="83" xfId="0" applyNumberFormat="1" applyFont="1" applyBorder="1" applyAlignment="1">
      <alignment horizontal="right" vertical="top" indent="1" shrinkToFit="1"/>
    </xf>
    <xf numFmtId="0" fontId="22" fillId="0" borderId="0" xfId="0" applyFont="1" applyAlignment="1">
      <alignment horizontal="right" vertical="top" wrapText="1"/>
    </xf>
    <xf numFmtId="0" fontId="0" fillId="0" borderId="83" xfId="0" applyBorder="1" applyAlignment="1">
      <alignment horizontal="right" vertical="top" wrapText="1"/>
    </xf>
    <xf numFmtId="0" fontId="22" fillId="0" borderId="0" xfId="0" applyFont="1" applyAlignment="1">
      <alignment horizontal="left" vertical="top" wrapText="1"/>
    </xf>
    <xf numFmtId="0" fontId="22" fillId="0" borderId="83" xfId="0" applyFont="1" applyBorder="1" applyAlignment="1">
      <alignment horizontal="left" vertical="center" wrapText="1" indent="8"/>
    </xf>
    <xf numFmtId="0" fontId="0" fillId="0" borderId="0" xfId="0" applyAlignment="1">
      <alignment horizontal="left" wrapText="1"/>
    </xf>
    <xf numFmtId="0" fontId="22" fillId="0" borderId="83" xfId="0" applyFont="1" applyBorder="1" applyAlignment="1">
      <alignment horizontal="left" vertical="top" wrapText="1"/>
    </xf>
    <xf numFmtId="0" fontId="22" fillId="0" borderId="0" xfId="0" applyFont="1" applyAlignment="1">
      <alignment horizontal="right" vertical="center" wrapText="1" indent="1"/>
    </xf>
    <xf numFmtId="4" fontId="24" fillId="0" borderId="0" xfId="0" applyNumberFormat="1" applyFont="1" applyAlignment="1">
      <alignment horizontal="center" vertical="center" shrinkToFit="1"/>
    </xf>
    <xf numFmtId="0" fontId="22" fillId="0" borderId="0" xfId="0" applyFont="1" applyAlignment="1">
      <alignment horizontal="right" vertical="top" wrapText="1" indent="1"/>
    </xf>
    <xf numFmtId="4" fontId="24" fillId="0" borderId="0" xfId="0" applyNumberFormat="1" applyFont="1" applyAlignment="1">
      <alignment horizontal="center" vertical="top" shrinkToFit="1"/>
    </xf>
    <xf numFmtId="0" fontId="7" fillId="0" borderId="90" xfId="8" applyFont="1" applyBorder="1" applyAlignment="1">
      <alignment horizontal="center" vertical="top" wrapText="1"/>
    </xf>
    <xf numFmtId="0" fontId="7" fillId="0" borderId="85" xfId="8" applyFont="1" applyBorder="1" applyAlignment="1">
      <alignment horizontal="center" vertical="top" wrapText="1"/>
    </xf>
    <xf numFmtId="0" fontId="7" fillId="0" borderId="89" xfId="8" applyFont="1" applyBorder="1" applyAlignment="1">
      <alignment horizontal="center" vertical="top" wrapText="1"/>
    </xf>
    <xf numFmtId="0" fontId="26" fillId="0" borderId="90" xfId="8" applyFont="1" applyBorder="1" applyAlignment="1">
      <alignment horizontal="center" vertical="top" wrapText="1"/>
    </xf>
    <xf numFmtId="0" fontId="26" fillId="0" borderId="85" xfId="8" applyFont="1" applyBorder="1" applyAlignment="1">
      <alignment horizontal="center" vertical="top" wrapText="1"/>
    </xf>
    <xf numFmtId="0" fontId="26" fillId="0" borderId="89" xfId="8" applyFont="1" applyBorder="1" applyAlignment="1">
      <alignment horizontal="center" vertical="top" wrapText="1"/>
    </xf>
    <xf numFmtId="0" fontId="26" fillId="0" borderId="90" xfId="8" applyFont="1" applyBorder="1" applyAlignment="1">
      <alignment horizontal="left" vertical="top" wrapText="1"/>
    </xf>
    <xf numFmtId="0" fontId="26" fillId="0" borderId="89" xfId="8" applyFont="1" applyBorder="1" applyAlignment="1">
      <alignment horizontal="left" vertical="top" wrapText="1"/>
    </xf>
    <xf numFmtId="0" fontId="26" fillId="0" borderId="85" xfId="8" applyFont="1" applyBorder="1" applyAlignment="1">
      <alignment horizontal="left" vertical="top" wrapText="1"/>
    </xf>
    <xf numFmtId="0" fontId="25" fillId="0" borderId="90" xfId="8" applyBorder="1" applyAlignment="1">
      <alignment horizontal="left" wrapText="1"/>
    </xf>
    <xf numFmtId="0" fontId="25" fillId="0" borderId="85" xfId="8" applyBorder="1" applyAlignment="1">
      <alignment horizontal="left" wrapText="1"/>
    </xf>
    <xf numFmtId="0" fontId="25" fillId="0" borderId="89" xfId="8" applyBorder="1" applyAlignment="1">
      <alignment horizontal="left" wrapText="1"/>
    </xf>
    <xf numFmtId="0" fontId="26" fillId="0" borderId="88" xfId="8" applyFont="1" applyBorder="1" applyAlignment="1">
      <alignment horizontal="left" vertical="top" wrapText="1"/>
    </xf>
    <xf numFmtId="0" fontId="26" fillId="0" borderId="84" xfId="8" applyFont="1" applyBorder="1" applyAlignment="1">
      <alignment horizontal="left" vertical="top" wrapText="1"/>
    </xf>
    <xf numFmtId="0" fontId="26" fillId="0" borderId="87" xfId="8" applyFont="1" applyBorder="1" applyAlignment="1">
      <alignment horizontal="left" vertical="top" wrapText="1"/>
    </xf>
    <xf numFmtId="0" fontId="13" fillId="0" borderId="47" xfId="0" applyFont="1" applyFill="1" applyBorder="1" applyAlignment="1">
      <alignment vertical="center"/>
    </xf>
    <xf numFmtId="0" fontId="3" fillId="0" borderId="0" xfId="0" applyFont="1" applyAlignment="1">
      <alignment wrapText="1"/>
    </xf>
    <xf numFmtId="6" fontId="3" fillId="0" borderId="0" xfId="0" applyNumberFormat="1" applyFont="1" applyBorder="1" applyAlignment="1">
      <alignment horizontal="right"/>
    </xf>
    <xf numFmtId="0" fontId="28" fillId="0" borderId="0" xfId="0" applyFont="1"/>
    <xf numFmtId="0" fontId="29" fillId="0" borderId="0" xfId="0" applyFont="1"/>
    <xf numFmtId="0" fontId="28" fillId="0" borderId="2" xfId="0" applyFont="1" applyBorder="1" applyAlignment="1">
      <alignment horizontal="center" vertical="center" wrapText="1"/>
    </xf>
    <xf numFmtId="0" fontId="28" fillId="0" borderId="3" xfId="0" applyFont="1" applyBorder="1" applyAlignment="1">
      <alignment horizontal="center" wrapText="1"/>
    </xf>
    <xf numFmtId="0" fontId="28" fillId="0" borderId="39" xfId="0" applyFont="1" applyBorder="1" applyAlignment="1">
      <alignment horizontal="center" wrapText="1"/>
    </xf>
    <xf numFmtId="0" fontId="28" fillId="0" borderId="2" xfId="0" applyFont="1" applyBorder="1" applyAlignment="1">
      <alignment horizontal="center" wrapText="1"/>
    </xf>
    <xf numFmtId="0" fontId="28" fillId="0" borderId="4" xfId="0" applyFont="1" applyBorder="1" applyAlignment="1">
      <alignment horizontal="center" wrapText="1"/>
    </xf>
    <xf numFmtId="0" fontId="28" fillId="0" borderId="19" xfId="0" applyFont="1" applyBorder="1" applyAlignment="1">
      <alignment horizontal="center" vertical="center" wrapText="1"/>
    </xf>
    <xf numFmtId="0" fontId="28" fillId="0" borderId="20" xfId="0" applyFont="1" applyBorder="1" applyAlignment="1">
      <alignment horizontal="center" wrapText="1"/>
    </xf>
    <xf numFmtId="0" fontId="28" fillId="0" borderId="60" xfId="0" applyFont="1" applyBorder="1" applyAlignment="1">
      <alignment horizontal="center" wrapText="1"/>
    </xf>
    <xf numFmtId="0" fontId="28" fillId="0" borderId="19" xfId="0" applyFont="1" applyBorder="1" applyAlignment="1">
      <alignment horizontal="center" wrapText="1"/>
    </xf>
    <xf numFmtId="0" fontId="28" fillId="0" borderId="21" xfId="0" applyFont="1" applyBorder="1" applyAlignment="1">
      <alignment horizontal="center" wrapText="1"/>
    </xf>
    <xf numFmtId="0" fontId="28" fillId="0" borderId="79" xfId="0" applyFont="1" applyBorder="1" applyAlignment="1">
      <alignment horizontal="center"/>
    </xf>
    <xf numFmtId="0" fontId="28" fillId="0" borderId="36" xfId="0" applyFont="1" applyBorder="1" applyAlignment="1">
      <alignment horizontal="center" vertical="center"/>
    </xf>
    <xf numFmtId="164" fontId="28" fillId="0" borderId="37" xfId="2" applyNumberFormat="1" applyFont="1" applyBorder="1" applyAlignment="1">
      <alignment horizontal="center"/>
    </xf>
    <xf numFmtId="164" fontId="28" fillId="0" borderId="26" xfId="2" applyNumberFormat="1" applyFont="1" applyBorder="1" applyAlignment="1">
      <alignment horizontal="center"/>
    </xf>
    <xf numFmtId="164" fontId="28" fillId="0" borderId="36" xfId="0" applyNumberFormat="1" applyFont="1" applyBorder="1" applyAlignment="1">
      <alignment horizontal="center"/>
    </xf>
    <xf numFmtId="164" fontId="28" fillId="0" borderId="38" xfId="0" applyNumberFormat="1" applyFont="1" applyBorder="1" applyAlignment="1">
      <alignment horizontal="center"/>
    </xf>
    <xf numFmtId="0" fontId="28" fillId="0" borderId="46" xfId="0" applyFont="1" applyBorder="1" applyAlignment="1">
      <alignment horizontal="center" vertical="center"/>
    </xf>
    <xf numFmtId="164" fontId="28" fillId="0" borderId="47" xfId="2" applyNumberFormat="1" applyFont="1" applyBorder="1" applyAlignment="1">
      <alignment horizontal="center"/>
    </xf>
    <xf numFmtId="164" fontId="28" fillId="0" borderId="50" xfId="2" applyNumberFormat="1" applyFont="1" applyBorder="1" applyAlignment="1">
      <alignment horizontal="center"/>
    </xf>
    <xf numFmtId="164" fontId="28" fillId="0" borderId="46" xfId="0" applyNumberFormat="1" applyFont="1" applyBorder="1" applyAlignment="1">
      <alignment horizontal="center"/>
    </xf>
    <xf numFmtId="164" fontId="28" fillId="0" borderId="48" xfId="0" applyNumberFormat="1" applyFont="1" applyBorder="1" applyAlignment="1">
      <alignment horizontal="center"/>
    </xf>
    <xf numFmtId="0" fontId="28" fillId="0" borderId="2" xfId="0" applyFont="1" applyBorder="1"/>
    <xf numFmtId="0" fontId="28" fillId="0" borderId="3" xfId="0" applyFont="1" applyBorder="1" applyAlignment="1">
      <alignment horizontal="center"/>
    </xf>
    <xf numFmtId="0" fontId="28" fillId="0" borderId="4" xfId="0" applyFont="1" applyBorder="1" applyAlignment="1">
      <alignment horizontal="center"/>
    </xf>
    <xf numFmtId="0" fontId="28" fillId="0" borderId="46" xfId="0" applyFont="1" applyBorder="1"/>
    <xf numFmtId="0" fontId="28" fillId="0" borderId="47" xfId="0" applyFont="1" applyBorder="1" applyAlignment="1">
      <alignment horizontal="center"/>
    </xf>
    <xf numFmtId="164" fontId="28" fillId="0" borderId="47" xfId="0" applyNumberFormat="1" applyFont="1" applyBorder="1" applyAlignment="1">
      <alignment horizontal="center"/>
    </xf>
    <xf numFmtId="0" fontId="28" fillId="0" borderId="19" xfId="0" applyFont="1" applyBorder="1"/>
    <xf numFmtId="0" fontId="28" fillId="0" borderId="20" xfId="0" applyFont="1" applyBorder="1" applyAlignment="1">
      <alignment horizontal="center"/>
    </xf>
    <xf numFmtId="164" fontId="28" fillId="0" borderId="20" xfId="0" applyNumberFormat="1" applyFont="1" applyBorder="1" applyAlignment="1">
      <alignment horizontal="center"/>
    </xf>
    <xf numFmtId="164" fontId="28" fillId="0" borderId="21" xfId="0" applyNumberFormat="1" applyFont="1" applyBorder="1" applyAlignment="1">
      <alignment horizontal="center"/>
    </xf>
    <xf numFmtId="0" fontId="28" fillId="0" borderId="19" xfId="0" applyFont="1" applyBorder="1" applyAlignment="1">
      <alignment horizontal="center" vertical="center"/>
    </xf>
    <xf numFmtId="164" fontId="28" fillId="0" borderId="20" xfId="2" applyNumberFormat="1" applyFont="1" applyBorder="1" applyAlignment="1">
      <alignment horizontal="center"/>
    </xf>
    <xf numFmtId="164" fontId="28" fillId="0" borderId="60" xfId="2" applyNumberFormat="1" applyFont="1" applyBorder="1" applyAlignment="1">
      <alignment horizontal="center"/>
    </xf>
    <xf numFmtId="164" fontId="28" fillId="0" borderId="19" xfId="0" applyNumberFormat="1" applyFont="1" applyBorder="1" applyAlignment="1">
      <alignment horizontal="center"/>
    </xf>
    <xf numFmtId="164" fontId="28" fillId="0" borderId="0" xfId="0" applyNumberFormat="1" applyFont="1"/>
    <xf numFmtId="0" fontId="28" fillId="0" borderId="0" xfId="0" applyFont="1" applyAlignment="1">
      <alignment horizontal="right"/>
    </xf>
    <xf numFmtId="0" fontId="28" fillId="0" borderId="0" xfId="0" applyFont="1" applyAlignment="1">
      <alignment horizontal="left" wrapText="1"/>
    </xf>
    <xf numFmtId="0" fontId="29" fillId="0" borderId="10" xfId="0" applyFont="1" applyBorder="1" applyAlignment="1">
      <alignment horizontal="center"/>
    </xf>
    <xf numFmtId="0" fontId="29" fillId="0" borderId="12" xfId="0" applyFont="1" applyBorder="1" applyAlignment="1">
      <alignment horizontal="center"/>
    </xf>
    <xf numFmtId="0" fontId="31" fillId="0" borderId="47" xfId="0" applyFont="1" applyBorder="1" applyAlignment="1">
      <alignment vertical="center"/>
    </xf>
    <xf numFmtId="0" fontId="29" fillId="0" borderId="79" xfId="0" applyFont="1" applyBorder="1" applyAlignment="1">
      <alignment horizontal="center"/>
    </xf>
    <xf numFmtId="0" fontId="28" fillId="0" borderId="1" xfId="0" applyFont="1" applyBorder="1" applyAlignment="1">
      <alignment horizontal="center" vertical="center" wrapText="1"/>
    </xf>
    <xf numFmtId="0" fontId="28" fillId="0" borderId="74" xfId="0" applyFont="1" applyBorder="1" applyAlignment="1">
      <alignment horizontal="center" vertical="center"/>
    </xf>
    <xf numFmtId="0" fontId="28" fillId="0" borderId="74"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76" xfId="0" applyFont="1" applyBorder="1" applyAlignment="1">
      <alignment horizontal="center" vertical="center"/>
    </xf>
    <xf numFmtId="0" fontId="28" fillId="0" borderId="76" xfId="0" applyFont="1" applyBorder="1" applyAlignment="1">
      <alignment horizontal="center" vertical="center" wrapText="1"/>
    </xf>
    <xf numFmtId="0" fontId="28" fillId="0" borderId="80" xfId="0" applyFont="1" applyBorder="1" applyAlignment="1">
      <alignment horizontal="center" vertical="center" wrapText="1"/>
    </xf>
    <xf numFmtId="164" fontId="28" fillId="0" borderId="2" xfId="0" applyNumberFormat="1" applyFont="1" applyBorder="1" applyAlignment="1">
      <alignment horizontal="center" vertical="center"/>
    </xf>
    <xf numFmtId="164" fontId="28" fillId="0" borderId="4" xfId="0" applyNumberFormat="1" applyFont="1" applyBorder="1" applyAlignment="1">
      <alignment horizontal="center" vertical="center"/>
    </xf>
    <xf numFmtId="164" fontId="28" fillId="0" borderId="80" xfId="0" applyNumberFormat="1" applyFont="1" applyBorder="1" applyAlignment="1">
      <alignment horizontal="center" vertical="center" wrapText="1"/>
    </xf>
    <xf numFmtId="164" fontId="28" fillId="0" borderId="4" xfId="0" applyNumberFormat="1" applyFont="1" applyBorder="1" applyAlignment="1">
      <alignment horizontal="center" vertical="center" wrapText="1"/>
    </xf>
    <xf numFmtId="175" fontId="32" fillId="0" borderId="0" xfId="0" applyNumberFormat="1" applyFont="1"/>
    <xf numFmtId="0" fontId="33" fillId="0" borderId="55" xfId="0" applyFont="1" applyBorder="1" applyAlignment="1">
      <alignment horizontal="center" vertical="center"/>
    </xf>
    <xf numFmtId="0" fontId="33" fillId="0" borderId="55" xfId="0" applyFont="1" applyBorder="1" applyAlignment="1">
      <alignment horizontal="center" vertical="center" wrapText="1"/>
    </xf>
    <xf numFmtId="0" fontId="28" fillId="0" borderId="86" xfId="0" applyFont="1" applyBorder="1" applyAlignment="1">
      <alignment horizontal="center" vertical="center" wrapText="1"/>
    </xf>
    <xf numFmtId="164" fontId="28" fillId="0" borderId="54" xfId="0" applyNumberFormat="1" applyFont="1" applyBorder="1" applyAlignment="1">
      <alignment horizontal="center" vertical="center"/>
    </xf>
    <xf numFmtId="164" fontId="28" fillId="0" borderId="56" xfId="0" applyNumberFormat="1" applyFont="1" applyBorder="1" applyAlignment="1">
      <alignment horizontal="center" vertical="center"/>
    </xf>
    <xf numFmtId="164" fontId="28" fillId="0" borderId="62" xfId="0" applyNumberFormat="1" applyFont="1" applyBorder="1" applyAlignment="1">
      <alignment horizontal="center" vertical="center" wrapText="1"/>
    </xf>
    <xf numFmtId="164" fontId="28" fillId="0" borderId="21" xfId="0" applyNumberFormat="1" applyFont="1" applyBorder="1" applyAlignment="1">
      <alignment horizontal="center" vertical="center" wrapText="1"/>
    </xf>
    <xf numFmtId="0" fontId="32" fillId="0" borderId="0" xfId="0" applyFont="1"/>
    <xf numFmtId="0" fontId="33" fillId="0" borderId="25" xfId="0" applyFont="1" applyBorder="1" applyAlignment="1">
      <alignment horizontal="center" vertical="center"/>
    </xf>
    <xf numFmtId="0" fontId="33" fillId="0" borderId="25" xfId="0" applyFont="1" applyBorder="1" applyAlignment="1">
      <alignment horizontal="center" vertical="center" wrapText="1"/>
    </xf>
    <xf numFmtId="164" fontId="28" fillId="0" borderId="80" xfId="0" applyNumberFormat="1" applyFont="1" applyBorder="1" applyAlignment="1">
      <alignment horizontal="center" vertical="center"/>
    </xf>
    <xf numFmtId="164" fontId="28" fillId="0" borderId="80" xfId="0" applyNumberFormat="1" applyFont="1" applyBorder="1" applyAlignment="1">
      <alignment horizontal="center"/>
    </xf>
    <xf numFmtId="164" fontId="28" fillId="0" borderId="4" xfId="0" applyNumberFormat="1" applyFont="1" applyBorder="1" applyAlignment="1">
      <alignment horizontal="center"/>
    </xf>
    <xf numFmtId="0" fontId="33" fillId="0" borderId="37" xfId="0" applyFont="1" applyBorder="1" applyAlignment="1">
      <alignment horizontal="center" vertical="center"/>
    </xf>
    <xf numFmtId="0" fontId="33" fillId="0" borderId="37" xfId="0" applyFont="1" applyBorder="1" applyAlignment="1">
      <alignment horizontal="center" vertical="center" wrapText="1"/>
    </xf>
    <xf numFmtId="0" fontId="28" fillId="0" borderId="45" xfId="0" applyFont="1" applyBorder="1" applyAlignment="1">
      <alignment horizontal="center" vertical="center" wrapText="1"/>
    </xf>
    <xf numFmtId="164" fontId="28" fillId="0" borderId="45" xfId="0" applyNumberFormat="1" applyFont="1" applyBorder="1" applyAlignment="1">
      <alignment horizontal="center" vertical="center"/>
    </xf>
    <xf numFmtId="164" fontId="28" fillId="0" borderId="48" xfId="0" applyNumberFormat="1" applyFont="1" applyBorder="1" applyAlignment="1">
      <alignment horizontal="center" vertical="center"/>
    </xf>
    <xf numFmtId="164" fontId="28" fillId="0" borderId="45" xfId="0" applyNumberFormat="1" applyFont="1" applyBorder="1" applyAlignment="1">
      <alignment horizontal="center"/>
    </xf>
    <xf numFmtId="0" fontId="31" fillId="0" borderId="47" xfId="0" applyFont="1" applyFill="1" applyBorder="1" applyAlignment="1">
      <alignment vertical="center"/>
    </xf>
    <xf numFmtId="0" fontId="31" fillId="0" borderId="47" xfId="5" applyNumberFormat="1" applyFont="1" applyFill="1" applyBorder="1" applyAlignment="1">
      <alignment horizontal="center"/>
    </xf>
    <xf numFmtId="0" fontId="33" fillId="0" borderId="47" xfId="0" applyFont="1" applyFill="1" applyBorder="1" applyAlignment="1">
      <alignment horizontal="center" wrapText="1"/>
    </xf>
    <xf numFmtId="164" fontId="29" fillId="0" borderId="47" xfId="0" applyNumberFormat="1" applyFont="1" applyBorder="1" applyAlignment="1">
      <alignment horizontal="center"/>
    </xf>
    <xf numFmtId="164" fontId="33" fillId="0" borderId="47" xfId="5" applyNumberFormat="1" applyFont="1" applyFill="1" applyBorder="1" applyAlignment="1">
      <alignment horizontal="center"/>
    </xf>
    <xf numFmtId="0" fontId="33" fillId="0" borderId="47" xfId="0" applyFont="1" applyBorder="1" applyAlignment="1">
      <alignment horizontal="left" vertical="center"/>
    </xf>
    <xf numFmtId="0" fontId="33" fillId="0" borderId="47" xfId="7" applyFont="1" applyBorder="1" applyAlignment="1">
      <alignment horizontal="center" vertical="center"/>
    </xf>
    <xf numFmtId="0" fontId="33" fillId="0" borderId="0" xfId="7" applyFont="1" applyAlignment="1">
      <alignment horizontal="center" vertical="center"/>
    </xf>
    <xf numFmtId="44" fontId="28" fillId="0" borderId="0" xfId="0" applyNumberFormat="1" applyFont="1"/>
    <xf numFmtId="2" fontId="31" fillId="0" borderId="47" xfId="0" applyNumberFormat="1" applyFont="1" applyBorder="1" applyAlignment="1">
      <alignment horizontal="center"/>
    </xf>
    <xf numFmtId="164" fontId="28" fillId="0" borderId="47" xfId="0" applyNumberFormat="1" applyFont="1" applyBorder="1" applyAlignment="1">
      <alignment horizontal="center" vertical="center" wrapText="1"/>
    </xf>
    <xf numFmtId="168" fontId="31" fillId="0" borderId="0" xfId="5" applyNumberFormat="1" applyFont="1" applyFill="1" applyBorder="1" applyAlignment="1">
      <alignment horizontal="center"/>
    </xf>
    <xf numFmtId="164" fontId="31" fillId="0" borderId="47" xfId="5" applyNumberFormat="1" applyFont="1" applyFill="1" applyBorder="1" applyAlignment="1">
      <alignment horizontal="center" vertical="center"/>
    </xf>
    <xf numFmtId="0" fontId="33" fillId="0" borderId="47" xfId="0" applyFont="1" applyBorder="1" applyAlignment="1">
      <alignment horizontal="center" wrapText="1"/>
    </xf>
    <xf numFmtId="168" fontId="33" fillId="0" borderId="0" xfId="5" applyNumberFormat="1" applyFont="1" applyFill="1" applyBorder="1" applyAlignment="1">
      <alignment horizontal="center"/>
    </xf>
    <xf numFmtId="0" fontId="28" fillId="0" borderId="47" xfId="0" applyFont="1" applyBorder="1" applyAlignment="1">
      <alignment horizontal="left"/>
    </xf>
    <xf numFmtId="2" fontId="28" fillId="0" borderId="47" xfId="0" applyNumberFormat="1" applyFont="1" applyBorder="1" applyAlignment="1">
      <alignment horizontal="center"/>
    </xf>
    <xf numFmtId="0" fontId="31" fillId="0" borderId="47" xfId="0" applyFont="1" applyBorder="1" applyAlignment="1">
      <alignment horizontal="left" vertical="center"/>
    </xf>
    <xf numFmtId="176" fontId="28" fillId="0" borderId="47" xfId="0" applyNumberFormat="1" applyFont="1" applyBorder="1" applyAlignment="1">
      <alignment horizontal="center"/>
    </xf>
    <xf numFmtId="0" fontId="28" fillId="0" borderId="0" xfId="0" applyFont="1" applyAlignment="1">
      <alignment horizontal="left" vertical="top" wrapText="1"/>
    </xf>
    <xf numFmtId="0" fontId="28" fillId="0" borderId="62" xfId="0" applyFont="1" applyBorder="1" applyAlignment="1">
      <alignment horizontal="center" vertical="center" wrapText="1"/>
    </xf>
    <xf numFmtId="164" fontId="28" fillId="0" borderId="62" xfId="0" applyNumberFormat="1" applyFont="1" applyBorder="1" applyAlignment="1">
      <alignment horizontal="center" vertical="center"/>
    </xf>
    <xf numFmtId="164" fontId="28" fillId="0" borderId="21" xfId="0" applyNumberFormat="1" applyFont="1" applyBorder="1" applyAlignment="1">
      <alignment horizontal="center" vertical="center"/>
    </xf>
    <xf numFmtId="164" fontId="28" fillId="0" borderId="62" xfId="0" applyNumberFormat="1" applyFont="1" applyBorder="1" applyAlignment="1">
      <alignment horizontal="center"/>
    </xf>
    <xf numFmtId="0" fontId="29" fillId="0" borderId="0" xfId="0" applyFont="1" applyFill="1"/>
    <xf numFmtId="0" fontId="28" fillId="0" borderId="0" xfId="0" applyFont="1" applyFill="1"/>
    <xf numFmtId="0" fontId="31" fillId="0" borderId="47" xfId="0" applyFont="1" applyFill="1" applyBorder="1"/>
    <xf numFmtId="0" fontId="29" fillId="0" borderId="1"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0" xfId="0" applyFont="1" applyFill="1" applyAlignment="1">
      <alignment horizontal="center" vertical="center" wrapText="1"/>
    </xf>
    <xf numFmtId="0" fontId="31" fillId="0" borderId="47" xfId="0" applyFont="1" applyFill="1" applyBorder="1" applyAlignment="1">
      <alignment horizontal="center"/>
    </xf>
    <xf numFmtId="2" fontId="31" fillId="0" borderId="47" xfId="0" applyNumberFormat="1" applyFont="1" applyFill="1" applyBorder="1" applyAlignment="1">
      <alignment horizontal="center"/>
    </xf>
    <xf numFmtId="0" fontId="29" fillId="0" borderId="7" xfId="0" applyFont="1" applyFill="1" applyBorder="1" applyAlignment="1">
      <alignment horizontal="center"/>
    </xf>
    <xf numFmtId="0" fontId="29" fillId="0" borderId="8" xfId="0" applyFont="1" applyFill="1" applyBorder="1" applyAlignment="1">
      <alignment horizontal="center"/>
    </xf>
    <xf numFmtId="0" fontId="29" fillId="0" borderId="9" xfId="0" applyFont="1" applyFill="1" applyBorder="1" applyAlignment="1">
      <alignment horizontal="center"/>
    </xf>
    <xf numFmtId="0" fontId="29" fillId="0" borderId="11" xfId="0" applyFont="1" applyFill="1" applyBorder="1" applyAlignment="1">
      <alignment horizontal="center"/>
    </xf>
    <xf numFmtId="0" fontId="29" fillId="0" borderId="10" xfId="0" applyFont="1" applyFill="1" applyBorder="1" applyAlignment="1">
      <alignment horizontal="center"/>
    </xf>
    <xf numFmtId="0" fontId="29" fillId="0" borderId="11" xfId="0" applyFont="1" applyFill="1" applyBorder="1" applyAlignment="1">
      <alignment horizontal="center"/>
    </xf>
    <xf numFmtId="0" fontId="29" fillId="0" borderId="12" xfId="0" applyFont="1" applyFill="1" applyBorder="1" applyAlignment="1">
      <alignment horizontal="center"/>
    </xf>
    <xf numFmtId="0" fontId="29" fillId="0" borderId="13" xfId="0" applyFont="1" applyFill="1" applyBorder="1" applyAlignment="1">
      <alignment horizontal="center"/>
    </xf>
    <xf numFmtId="0" fontId="29" fillId="0" borderId="12" xfId="0" applyFont="1" applyFill="1" applyBorder="1" applyAlignment="1">
      <alignment horizontal="center"/>
    </xf>
    <xf numFmtId="0" fontId="29" fillId="0" borderId="18"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24" xfId="0" applyFont="1" applyFill="1" applyBorder="1" applyAlignment="1">
      <alignment horizontal="center"/>
    </xf>
    <xf numFmtId="0" fontId="29" fillId="0" borderId="25" xfId="0" applyFont="1" applyFill="1" applyBorder="1" applyAlignment="1">
      <alignment horizontal="center" wrapText="1"/>
    </xf>
    <xf numFmtId="0" fontId="29" fillId="0" borderId="26" xfId="0" applyFont="1" applyFill="1" applyBorder="1" applyAlignment="1">
      <alignment horizontal="center"/>
    </xf>
    <xf numFmtId="0" fontId="29" fillId="0" borderId="27" xfId="0" applyFont="1" applyFill="1" applyBorder="1" applyAlignment="1">
      <alignment horizontal="center"/>
    </xf>
    <xf numFmtId="0" fontId="29" fillId="0" borderId="28" xfId="0" applyFont="1" applyFill="1" applyBorder="1" applyAlignment="1">
      <alignment horizontal="center"/>
    </xf>
    <xf numFmtId="0" fontId="29" fillId="0" borderId="0" xfId="0" applyFont="1" applyFill="1" applyAlignment="1">
      <alignment horizontal="center"/>
    </xf>
    <xf numFmtId="0" fontId="29" fillId="0" borderId="29" xfId="0" applyFont="1" applyFill="1" applyBorder="1" applyAlignment="1">
      <alignment horizontal="center"/>
    </xf>
    <xf numFmtId="0" fontId="29" fillId="0" borderId="0" xfId="0" applyFont="1" applyFill="1" applyAlignment="1">
      <alignment horizontal="center"/>
    </xf>
    <xf numFmtId="0" fontId="29" fillId="0" borderId="30" xfId="0" applyFont="1" applyFill="1" applyBorder="1" applyAlignment="1">
      <alignment horizontal="center"/>
    </xf>
    <xf numFmtId="0" fontId="29" fillId="0" borderId="31" xfId="0" applyFont="1" applyFill="1" applyBorder="1" applyAlignment="1">
      <alignment horizontal="center" vertical="center"/>
    </xf>
    <xf numFmtId="0" fontId="29" fillId="0" borderId="32" xfId="0" applyFont="1" applyFill="1" applyBorder="1" applyAlignment="1">
      <alignment horizontal="center" vertical="center"/>
    </xf>
    <xf numFmtId="0" fontId="28" fillId="0" borderId="35" xfId="0" applyFont="1" applyFill="1" applyBorder="1" applyAlignment="1">
      <alignment horizontal="center"/>
    </xf>
    <xf numFmtId="2" fontId="28" fillId="0" borderId="35" xfId="0" applyNumberFormat="1" applyFont="1" applyFill="1" applyBorder="1" applyAlignment="1">
      <alignment horizontal="center"/>
    </xf>
    <xf numFmtId="165" fontId="28" fillId="0" borderId="35" xfId="2" applyNumberFormat="1" applyFont="1" applyFill="1" applyBorder="1" applyAlignment="1">
      <alignment horizontal="center"/>
    </xf>
    <xf numFmtId="165" fontId="28" fillId="0" borderId="35" xfId="0" applyNumberFormat="1" applyFont="1" applyFill="1" applyBorder="1" applyAlignment="1">
      <alignment horizontal="center"/>
    </xf>
    <xf numFmtId="3" fontId="28" fillId="0" borderId="36" xfId="1" applyNumberFormat="1" applyFont="1" applyFill="1" applyBorder="1" applyAlignment="1">
      <alignment horizontal="center"/>
    </xf>
    <xf numFmtId="3" fontId="28" fillId="0" borderId="37" xfId="1" applyNumberFormat="1" applyFont="1" applyFill="1" applyBorder="1" applyAlignment="1">
      <alignment horizontal="center"/>
    </xf>
    <xf numFmtId="3" fontId="28" fillId="0" borderId="38" xfId="1" applyNumberFormat="1" applyFont="1" applyFill="1" applyBorder="1" applyAlignment="1">
      <alignment horizontal="center"/>
    </xf>
    <xf numFmtId="3" fontId="28" fillId="0" borderId="27" xfId="1" applyNumberFormat="1" applyFont="1" applyFill="1" applyBorder="1" applyAlignment="1">
      <alignment horizontal="center"/>
    </xf>
    <xf numFmtId="3" fontId="28" fillId="0" borderId="3" xfId="1" applyNumberFormat="1" applyFont="1" applyFill="1" applyBorder="1" applyAlignment="1">
      <alignment horizontal="center"/>
    </xf>
    <xf numFmtId="164" fontId="28" fillId="0" borderId="27" xfId="1" applyNumberFormat="1" applyFont="1" applyFill="1" applyBorder="1" applyAlignment="1">
      <alignment horizontal="center"/>
    </xf>
    <xf numFmtId="164" fontId="28" fillId="0" borderId="39" xfId="1" applyNumberFormat="1" applyFont="1" applyFill="1" applyBorder="1" applyAlignment="1">
      <alignment horizontal="center"/>
    </xf>
    <xf numFmtId="164" fontId="28" fillId="0" borderId="40" xfId="0" applyNumberFormat="1" applyFont="1" applyFill="1" applyBorder="1" applyAlignment="1">
      <alignment horizontal="center"/>
    </xf>
    <xf numFmtId="164" fontId="28" fillId="0" borderId="35" xfId="0" applyNumberFormat="1" applyFont="1" applyFill="1" applyBorder="1" applyAlignment="1">
      <alignment horizontal="center"/>
    </xf>
    <xf numFmtId="164" fontId="28" fillId="0" borderId="36" xfId="1" applyNumberFormat="1" applyFont="1" applyFill="1" applyBorder="1" applyAlignment="1">
      <alignment horizontal="center"/>
    </xf>
    <xf numFmtId="164" fontId="28" fillId="0" borderId="38" xfId="1" applyNumberFormat="1" applyFont="1" applyFill="1" applyBorder="1" applyAlignment="1">
      <alignment horizontal="center"/>
    </xf>
    <xf numFmtId="164" fontId="28" fillId="0" borderId="0" xfId="1" applyNumberFormat="1" applyFont="1" applyFill="1" applyBorder="1" applyAlignment="1">
      <alignment horizontal="center"/>
    </xf>
    <xf numFmtId="0" fontId="29" fillId="0" borderId="41" xfId="0" applyFont="1" applyFill="1" applyBorder="1" applyAlignment="1">
      <alignment horizontal="center"/>
    </xf>
    <xf numFmtId="0" fontId="29" fillId="0" borderId="42" xfId="0" applyFont="1" applyFill="1" applyBorder="1" applyAlignment="1">
      <alignment horizontal="center" wrapText="1"/>
    </xf>
    <xf numFmtId="0" fontId="29" fillId="0" borderId="20" xfId="0" applyFont="1" applyFill="1" applyBorder="1" applyAlignment="1">
      <alignment horizontal="center"/>
    </xf>
    <xf numFmtId="0" fontId="29" fillId="0" borderId="21" xfId="0" applyFont="1" applyFill="1" applyBorder="1" applyAlignment="1">
      <alignment horizontal="center"/>
    </xf>
    <xf numFmtId="0" fontId="29" fillId="0" borderId="66" xfId="0" applyFont="1" applyFill="1" applyBorder="1" applyAlignment="1">
      <alignment horizontal="center"/>
    </xf>
    <xf numFmtId="0" fontId="29" fillId="0" borderId="7" xfId="0" applyFont="1" applyFill="1" applyBorder="1" applyAlignment="1">
      <alignment horizontal="center"/>
    </xf>
    <xf numFmtId="0" fontId="29" fillId="0" borderId="43" xfId="0" applyFont="1" applyFill="1" applyBorder="1" applyAlignment="1">
      <alignment horizontal="center"/>
    </xf>
    <xf numFmtId="0" fontId="29" fillId="0" borderId="8" xfId="0" applyFont="1" applyFill="1" applyBorder="1" applyAlignment="1">
      <alignment horizontal="center"/>
    </xf>
    <xf numFmtId="0" fontId="29" fillId="0" borderId="9" xfId="0" applyFont="1" applyFill="1" applyBorder="1" applyAlignment="1">
      <alignment horizontal="center"/>
    </xf>
    <xf numFmtId="0" fontId="29" fillId="0" borderId="44" xfId="0" applyFont="1" applyFill="1" applyBorder="1" applyAlignment="1">
      <alignment horizontal="center" vertical="center"/>
    </xf>
    <xf numFmtId="0" fontId="29" fillId="0" borderId="38" xfId="0" applyFont="1" applyFill="1" applyBorder="1" applyAlignment="1">
      <alignment horizontal="center" vertical="center"/>
    </xf>
    <xf numFmtId="0" fontId="28" fillId="0" borderId="45" xfId="0" applyFont="1" applyFill="1" applyBorder="1" applyAlignment="1">
      <alignment horizontal="center"/>
    </xf>
    <xf numFmtId="2" fontId="28" fillId="0" borderId="45" xfId="0" applyNumberFormat="1" applyFont="1" applyFill="1" applyBorder="1" applyAlignment="1">
      <alignment horizontal="center"/>
    </xf>
    <xf numFmtId="165" fontId="28" fillId="0" borderId="45" xfId="2" applyNumberFormat="1" applyFont="1" applyFill="1" applyBorder="1" applyAlignment="1">
      <alignment horizontal="center"/>
    </xf>
    <xf numFmtId="165" fontId="28" fillId="0" borderId="45" xfId="0" applyNumberFormat="1" applyFont="1" applyFill="1" applyBorder="1" applyAlignment="1">
      <alignment horizontal="center"/>
    </xf>
    <xf numFmtId="3" fontId="28" fillId="0" borderId="46" xfId="1" applyNumberFormat="1" applyFont="1" applyFill="1" applyBorder="1" applyAlignment="1">
      <alignment horizontal="center"/>
    </xf>
    <xf numFmtId="3" fontId="28" fillId="0" borderId="47" xfId="1" applyNumberFormat="1" applyFont="1" applyFill="1" applyBorder="1" applyAlignment="1">
      <alignment horizontal="center"/>
    </xf>
    <xf numFmtId="3" fontId="28" fillId="0" borderId="48" xfId="1" applyNumberFormat="1" applyFont="1" applyFill="1" applyBorder="1" applyAlignment="1">
      <alignment horizontal="center"/>
    </xf>
    <xf numFmtId="3" fontId="28" fillId="0" borderId="49" xfId="1" applyNumberFormat="1" applyFont="1" applyFill="1" applyBorder="1" applyAlignment="1">
      <alignment horizontal="center"/>
    </xf>
    <xf numFmtId="164" fontId="28" fillId="0" borderId="49" xfId="1" applyNumberFormat="1" applyFont="1" applyFill="1" applyBorder="1" applyAlignment="1">
      <alignment horizontal="center"/>
    </xf>
    <xf numFmtId="164" fontId="28" fillId="0" borderId="50" xfId="1" applyNumberFormat="1" applyFont="1" applyFill="1" applyBorder="1" applyAlignment="1">
      <alignment horizontal="center"/>
    </xf>
    <xf numFmtId="164" fontId="28" fillId="0" borderId="51" xfId="0" applyNumberFormat="1" applyFont="1" applyFill="1" applyBorder="1" applyAlignment="1">
      <alignment horizontal="center"/>
    </xf>
    <xf numFmtId="164" fontId="28" fillId="0" borderId="45" xfId="0" applyNumberFormat="1" applyFont="1" applyFill="1" applyBorder="1" applyAlignment="1">
      <alignment horizontal="center"/>
    </xf>
    <xf numFmtId="164" fontId="28" fillId="0" borderId="46" xfId="1" applyNumberFormat="1" applyFont="1" applyFill="1" applyBorder="1" applyAlignment="1">
      <alignment horizontal="center"/>
    </xf>
    <xf numFmtId="164" fontId="28" fillId="0" borderId="48" xfId="1" applyNumberFormat="1" applyFont="1" applyFill="1" applyBorder="1" applyAlignment="1">
      <alignment horizontal="center"/>
    </xf>
    <xf numFmtId="0" fontId="28" fillId="0" borderId="36" xfId="0" applyFont="1" applyFill="1" applyBorder="1"/>
    <xf numFmtId="165" fontId="28" fillId="0" borderId="37" xfId="2" applyNumberFormat="1" applyFont="1" applyFill="1" applyBorder="1" applyAlignment="1">
      <alignment horizontal="center"/>
    </xf>
    <xf numFmtId="9" fontId="28" fillId="0" borderId="37" xfId="3" applyFont="1" applyFill="1" applyBorder="1" applyAlignment="1">
      <alignment horizontal="center"/>
    </xf>
    <xf numFmtId="9" fontId="28" fillId="0" borderId="38" xfId="3" applyFont="1" applyFill="1" applyBorder="1" applyAlignment="1">
      <alignment horizontal="center"/>
    </xf>
    <xf numFmtId="165" fontId="28" fillId="0" borderId="27" xfId="0" applyNumberFormat="1" applyFont="1" applyFill="1" applyBorder="1" applyAlignment="1">
      <alignment horizontal="center"/>
    </xf>
    <xf numFmtId="165" fontId="28" fillId="0" borderId="36" xfId="0" applyNumberFormat="1" applyFont="1" applyFill="1" applyBorder="1" applyAlignment="1">
      <alignment horizontal="center"/>
    </xf>
    <xf numFmtId="165" fontId="28" fillId="0" borderId="26" xfId="0" applyNumberFormat="1" applyFont="1" applyFill="1" applyBorder="1" applyAlignment="1">
      <alignment horizontal="center"/>
    </xf>
    <xf numFmtId="165" fontId="28" fillId="0" borderId="37" xfId="0" applyNumberFormat="1" applyFont="1" applyFill="1" applyBorder="1" applyAlignment="1">
      <alignment horizontal="center"/>
    </xf>
    <xf numFmtId="165" fontId="28" fillId="0" borderId="38" xfId="0" applyNumberFormat="1" applyFont="1" applyFill="1" applyBorder="1" applyAlignment="1">
      <alignment horizontal="center"/>
    </xf>
    <xf numFmtId="165" fontId="28" fillId="0" borderId="52" xfId="0" applyNumberFormat="1" applyFont="1" applyFill="1" applyBorder="1" applyAlignment="1">
      <alignment horizontal="center"/>
    </xf>
    <xf numFmtId="165" fontId="28" fillId="0" borderId="48" xfId="2" applyNumberFormat="1" applyFont="1" applyFill="1" applyBorder="1" applyAlignment="1">
      <alignment horizontal="center"/>
    </xf>
    <xf numFmtId="0" fontId="28" fillId="0" borderId="46" xfId="0" applyFont="1" applyFill="1" applyBorder="1"/>
    <xf numFmtId="165" fontId="28" fillId="0" borderId="47" xfId="0" applyNumberFormat="1" applyFont="1" applyFill="1" applyBorder="1" applyAlignment="1">
      <alignment horizontal="center"/>
    </xf>
    <xf numFmtId="9" fontId="28" fillId="0" borderId="47" xfId="3" applyFont="1" applyFill="1" applyBorder="1" applyAlignment="1">
      <alignment horizontal="center"/>
    </xf>
    <xf numFmtId="9" fontId="28" fillId="0" borderId="48" xfId="3" applyFont="1" applyFill="1" applyBorder="1" applyAlignment="1">
      <alignment horizontal="center"/>
    </xf>
    <xf numFmtId="165" fontId="28" fillId="0" borderId="49" xfId="0" applyNumberFormat="1" applyFont="1" applyFill="1" applyBorder="1" applyAlignment="1">
      <alignment horizontal="center"/>
    </xf>
    <xf numFmtId="165" fontId="28" fillId="0" borderId="46" xfId="0" applyNumberFormat="1" applyFont="1" applyFill="1" applyBorder="1" applyAlignment="1">
      <alignment horizontal="center"/>
    </xf>
    <xf numFmtId="165" fontId="28" fillId="0" borderId="50" xfId="0" applyNumberFormat="1" applyFont="1" applyFill="1" applyBorder="1" applyAlignment="1">
      <alignment horizontal="center"/>
    </xf>
    <xf numFmtId="165" fontId="28" fillId="0" borderId="48" xfId="0" applyNumberFormat="1" applyFont="1" applyFill="1" applyBorder="1" applyAlignment="1">
      <alignment horizontal="center"/>
    </xf>
    <xf numFmtId="0" fontId="28" fillId="0" borderId="54" xfId="0" applyFont="1" applyFill="1" applyBorder="1"/>
    <xf numFmtId="9" fontId="28" fillId="0" borderId="55" xfId="3" applyFont="1" applyFill="1" applyBorder="1" applyAlignment="1">
      <alignment horizontal="center"/>
    </xf>
    <xf numFmtId="9" fontId="28" fillId="0" borderId="56" xfId="3" applyFont="1" applyFill="1" applyBorder="1" applyAlignment="1">
      <alignment horizontal="center"/>
    </xf>
    <xf numFmtId="165" fontId="28" fillId="0" borderId="82" xfId="0" applyNumberFormat="1" applyFont="1" applyFill="1" applyBorder="1" applyAlignment="1">
      <alignment horizontal="center"/>
    </xf>
    <xf numFmtId="165" fontId="28" fillId="0" borderId="54" xfId="0" applyNumberFormat="1" applyFont="1" applyFill="1" applyBorder="1" applyAlignment="1">
      <alignment horizontal="center"/>
    </xf>
    <xf numFmtId="165" fontId="28" fillId="0" borderId="57" xfId="0" applyNumberFormat="1" applyFont="1" applyFill="1" applyBorder="1" applyAlignment="1">
      <alignment horizontal="center"/>
    </xf>
    <xf numFmtId="165" fontId="28" fillId="0" borderId="20" xfId="0" applyNumberFormat="1" applyFont="1" applyFill="1" applyBorder="1" applyAlignment="1">
      <alignment horizontal="center"/>
    </xf>
    <xf numFmtId="165" fontId="28" fillId="0" borderId="55" xfId="0" applyNumberFormat="1" applyFont="1" applyFill="1" applyBorder="1" applyAlignment="1">
      <alignment horizontal="center"/>
    </xf>
    <xf numFmtId="165" fontId="28" fillId="0" borderId="56" xfId="0" applyNumberFormat="1" applyFont="1" applyFill="1" applyBorder="1" applyAlignment="1">
      <alignment horizontal="center"/>
    </xf>
    <xf numFmtId="165" fontId="28" fillId="0" borderId="58" xfId="0" applyNumberFormat="1" applyFont="1" applyFill="1" applyBorder="1" applyAlignment="1">
      <alignment horizontal="center"/>
    </xf>
    <xf numFmtId="165" fontId="28" fillId="0" borderId="56" xfId="2" applyNumberFormat="1" applyFont="1" applyFill="1" applyBorder="1" applyAlignment="1">
      <alignment horizontal="center"/>
    </xf>
    <xf numFmtId="164" fontId="28" fillId="0" borderId="0" xfId="0" applyNumberFormat="1" applyFont="1" applyFill="1"/>
    <xf numFmtId="0" fontId="29" fillId="0" borderId="2" xfId="0" applyFont="1" applyFill="1" applyBorder="1"/>
    <xf numFmtId="165" fontId="29" fillId="0" borderId="3" xfId="0" applyNumberFormat="1" applyFont="1" applyFill="1" applyBorder="1" applyAlignment="1">
      <alignment horizontal="center"/>
    </xf>
    <xf numFmtId="9" fontId="29" fillId="0" borderId="3" xfId="3" applyFont="1" applyFill="1" applyBorder="1" applyAlignment="1">
      <alignment horizontal="center"/>
    </xf>
    <xf numFmtId="9" fontId="29" fillId="0" borderId="4" xfId="3" applyFont="1" applyFill="1" applyBorder="1" applyAlignment="1">
      <alignment horizontal="center"/>
    </xf>
    <xf numFmtId="165" fontId="29" fillId="0" borderId="81" xfId="0" applyNumberFormat="1" applyFont="1" applyFill="1" applyBorder="1" applyAlignment="1">
      <alignment horizontal="center"/>
    </xf>
    <xf numFmtId="165" fontId="29" fillId="0" borderId="2" xfId="0" applyNumberFormat="1" applyFont="1" applyFill="1" applyBorder="1" applyAlignment="1">
      <alignment horizontal="center"/>
    </xf>
    <xf numFmtId="165" fontId="29" fillId="0" borderId="39" xfId="0" applyNumberFormat="1" applyFont="1" applyFill="1" applyBorder="1" applyAlignment="1">
      <alignment horizontal="center"/>
    </xf>
    <xf numFmtId="165" fontId="29" fillId="0" borderId="4" xfId="0" applyNumberFormat="1" applyFont="1" applyFill="1" applyBorder="1" applyAlignment="1">
      <alignment horizontal="center"/>
    </xf>
    <xf numFmtId="165" fontId="29" fillId="0" borderId="59" xfId="0" applyNumberFormat="1" applyFont="1" applyFill="1" applyBorder="1" applyAlignment="1">
      <alignment horizontal="center"/>
    </xf>
    <xf numFmtId="165" fontId="29" fillId="0" borderId="4" xfId="2" applyNumberFormat="1" applyFont="1" applyFill="1" applyBorder="1" applyAlignment="1">
      <alignment horizontal="center"/>
    </xf>
    <xf numFmtId="0" fontId="28" fillId="0" borderId="0" xfId="0" applyFont="1" applyFill="1" applyAlignment="1">
      <alignment horizontal="center"/>
    </xf>
    <xf numFmtId="0" fontId="29" fillId="0" borderId="19" xfId="0" applyFont="1" applyFill="1" applyBorder="1"/>
    <xf numFmtId="165" fontId="29" fillId="0" borderId="20" xfId="0" applyNumberFormat="1" applyFont="1" applyFill="1" applyBorder="1" applyAlignment="1">
      <alignment horizontal="center"/>
    </xf>
    <xf numFmtId="9" fontId="29" fillId="0" borderId="20" xfId="3" applyFont="1" applyFill="1" applyBorder="1" applyAlignment="1">
      <alignment horizontal="center"/>
    </xf>
    <xf numFmtId="9" fontId="29" fillId="0" borderId="21" xfId="3" applyFont="1" applyFill="1" applyBorder="1" applyAlignment="1">
      <alignment horizontal="center"/>
    </xf>
    <xf numFmtId="165" fontId="29" fillId="0" borderId="63" xfId="0" applyNumberFormat="1" applyFont="1" applyFill="1" applyBorder="1" applyAlignment="1">
      <alignment horizontal="center"/>
    </xf>
    <xf numFmtId="165" fontId="29" fillId="0" borderId="19" xfId="0" applyNumberFormat="1" applyFont="1" applyFill="1" applyBorder="1" applyAlignment="1">
      <alignment horizontal="center"/>
    </xf>
    <xf numFmtId="165" fontId="29" fillId="0" borderId="60" xfId="0" applyNumberFormat="1" applyFont="1" applyFill="1" applyBorder="1" applyAlignment="1">
      <alignment horizontal="center"/>
    </xf>
    <xf numFmtId="165" fontId="29" fillId="0" borderId="21" xfId="0" applyNumberFormat="1" applyFont="1" applyFill="1" applyBorder="1" applyAlignment="1">
      <alignment horizontal="center"/>
    </xf>
    <xf numFmtId="165" fontId="29" fillId="0" borderId="61" xfId="0" applyNumberFormat="1" applyFont="1" applyFill="1" applyBorder="1" applyAlignment="1">
      <alignment horizontal="center"/>
    </xf>
    <xf numFmtId="165" fontId="29" fillId="0" borderId="21" xfId="2" applyNumberFormat="1" applyFont="1" applyFill="1" applyBorder="1" applyAlignment="1">
      <alignment horizontal="center"/>
    </xf>
    <xf numFmtId="0" fontId="28" fillId="0" borderId="7" xfId="0" applyFont="1" applyFill="1" applyBorder="1" applyAlignment="1">
      <alignment horizontal="center"/>
    </xf>
    <xf numFmtId="0" fontId="31" fillId="0" borderId="8" xfId="0" applyFont="1" applyFill="1" applyBorder="1" applyAlignment="1">
      <alignment horizontal="center"/>
    </xf>
    <xf numFmtId="0" fontId="31" fillId="0" borderId="9" xfId="0" applyFont="1" applyFill="1" applyBorder="1" applyAlignment="1">
      <alignment horizontal="center"/>
    </xf>
    <xf numFmtId="0" fontId="28" fillId="0" borderId="5" xfId="0" applyFont="1" applyFill="1" applyBorder="1" applyAlignment="1">
      <alignment horizontal="center" vertical="center" wrapText="1"/>
    </xf>
    <xf numFmtId="0" fontId="28" fillId="0" borderId="2" xfId="0" applyFont="1" applyFill="1" applyBorder="1" applyAlignment="1">
      <alignment horizontal="center"/>
    </xf>
    <xf numFmtId="0" fontId="31" fillId="0" borderId="3" xfId="0" applyFont="1" applyFill="1" applyBorder="1" applyAlignment="1">
      <alignment horizontal="center"/>
    </xf>
    <xf numFmtId="0" fontId="31" fillId="0" borderId="4" xfId="0" applyFont="1" applyFill="1" applyBorder="1" applyAlignment="1">
      <alignment horizontal="center"/>
    </xf>
    <xf numFmtId="0" fontId="28" fillId="0" borderId="78" xfId="0" applyFont="1" applyFill="1" applyBorder="1" applyAlignment="1">
      <alignment horizontal="center" vertical="center" wrapText="1"/>
    </xf>
    <xf numFmtId="0" fontId="28" fillId="0" borderId="19" xfId="0" applyFont="1" applyFill="1" applyBorder="1" applyAlignment="1">
      <alignment horizontal="center"/>
    </xf>
    <xf numFmtId="0" fontId="31" fillId="0" borderId="20" xfId="0" applyFont="1" applyFill="1" applyBorder="1" applyAlignment="1">
      <alignment horizontal="center"/>
    </xf>
    <xf numFmtId="0" fontId="31" fillId="0" borderId="21" xfId="0" applyFont="1" applyFill="1" applyBorder="1" applyAlignment="1">
      <alignment horizontal="center"/>
    </xf>
    <xf numFmtId="0" fontId="28" fillId="0" borderId="92" xfId="0" applyFont="1" applyFill="1" applyBorder="1" applyAlignment="1">
      <alignment horizontal="center" vertical="center" wrapText="1"/>
    </xf>
    <xf numFmtId="0" fontId="29" fillId="0" borderId="7" xfId="0" applyFont="1" applyFill="1" applyBorder="1" applyAlignment="1">
      <alignment horizontal="left"/>
    </xf>
    <xf numFmtId="0" fontId="29" fillId="0" borderId="9" xfId="0" applyFont="1" applyFill="1" applyBorder="1" applyAlignment="1">
      <alignment horizontal="left"/>
    </xf>
    <xf numFmtId="0" fontId="28" fillId="0" borderId="36" xfId="0" applyFont="1" applyFill="1" applyBorder="1" applyAlignment="1">
      <alignment horizontal="center"/>
    </xf>
    <xf numFmtId="166" fontId="28" fillId="0" borderId="37" xfId="0" applyNumberFormat="1" applyFont="1" applyFill="1" applyBorder="1" applyAlignment="1">
      <alignment horizontal="center"/>
    </xf>
    <xf numFmtId="166" fontId="28" fillId="0" borderId="38" xfId="0" applyNumberFormat="1" applyFont="1" applyFill="1" applyBorder="1" applyAlignment="1">
      <alignment horizontal="center"/>
    </xf>
    <xf numFmtId="2" fontId="28" fillId="0" borderId="51" xfId="0" applyNumberFormat="1" applyFont="1" applyFill="1" applyBorder="1" applyAlignment="1">
      <alignment horizontal="center"/>
    </xf>
    <xf numFmtId="0" fontId="28" fillId="0" borderId="46" xfId="0" applyFont="1" applyFill="1" applyBorder="1" applyAlignment="1">
      <alignment horizontal="left"/>
    </xf>
    <xf numFmtId="0" fontId="28" fillId="0" borderId="48" xfId="0" applyFont="1" applyFill="1" applyBorder="1" applyAlignment="1">
      <alignment horizontal="center"/>
    </xf>
    <xf numFmtId="0" fontId="28" fillId="0" borderId="46" xfId="0" applyFont="1" applyFill="1" applyBorder="1" applyAlignment="1">
      <alignment horizontal="center"/>
    </xf>
    <xf numFmtId="166" fontId="28" fillId="0" borderId="47" xfId="0" applyNumberFormat="1" applyFont="1" applyFill="1" applyBorder="1" applyAlignment="1">
      <alignment horizontal="center"/>
    </xf>
    <xf numFmtId="166" fontId="28" fillId="0" borderId="48" xfId="0" applyNumberFormat="1" applyFont="1" applyFill="1" applyBorder="1" applyAlignment="1">
      <alignment horizontal="center"/>
    </xf>
    <xf numFmtId="0" fontId="34" fillId="0" borderId="0" xfId="0" applyFont="1" applyFill="1" applyAlignment="1">
      <alignment horizontal="left" vertical="top"/>
    </xf>
    <xf numFmtId="0" fontId="28" fillId="0" borderId="0" xfId="0" applyFont="1" applyFill="1" applyAlignment="1">
      <alignment horizontal="left" vertical="top"/>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17"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34" xfId="0" applyFont="1" applyFill="1" applyBorder="1" applyAlignment="1">
      <alignment horizontal="center" vertical="center"/>
    </xf>
    <xf numFmtId="0" fontId="28" fillId="0" borderId="34"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37" xfId="0" applyFont="1" applyFill="1" applyBorder="1" applyAlignment="1">
      <alignment horizontal="center" vertical="center"/>
    </xf>
    <xf numFmtId="1" fontId="28" fillId="0" borderId="37" xfId="0" applyNumberFormat="1" applyFont="1" applyFill="1" applyBorder="1" applyAlignment="1">
      <alignment horizontal="center" vertical="center"/>
    </xf>
    <xf numFmtId="9" fontId="28" fillId="0" borderId="38" xfId="0" applyNumberFormat="1" applyFont="1" applyFill="1" applyBorder="1" applyAlignment="1">
      <alignment horizontal="center"/>
    </xf>
    <xf numFmtId="0" fontId="31" fillId="0" borderId="53" xfId="0" applyFont="1" applyFill="1" applyBorder="1" applyAlignment="1">
      <alignment horizontal="center" vertical="center"/>
    </xf>
    <xf numFmtId="1" fontId="35" fillId="0" borderId="15" xfId="0" applyNumberFormat="1" applyFont="1" applyFill="1" applyBorder="1" applyAlignment="1">
      <alignment horizontal="center" vertical="top" shrinkToFit="1"/>
    </xf>
    <xf numFmtId="1" fontId="35" fillId="0" borderId="17" xfId="0" applyNumberFormat="1" applyFont="1" applyFill="1" applyBorder="1" applyAlignment="1">
      <alignment horizontal="center" vertical="top" shrinkToFit="1"/>
    </xf>
    <xf numFmtId="1" fontId="35" fillId="0" borderId="34" xfId="0" applyNumberFormat="1" applyFont="1" applyFill="1" applyBorder="1" applyAlignment="1">
      <alignment horizontal="center" vertical="top" shrinkToFit="1"/>
    </xf>
    <xf numFmtId="1" fontId="35" fillId="0" borderId="34" xfId="0" applyNumberFormat="1" applyFont="1" applyFill="1" applyBorder="1" applyAlignment="1">
      <alignment horizontal="left" vertical="top" shrinkToFit="1"/>
    </xf>
    <xf numFmtId="0" fontId="28" fillId="0" borderId="14" xfId="0" applyFont="1" applyFill="1" applyBorder="1" applyAlignment="1">
      <alignment horizontal="center" vertical="center"/>
    </xf>
    <xf numFmtId="0" fontId="31" fillId="0" borderId="34" xfId="0" applyFont="1" applyFill="1" applyBorder="1" applyAlignment="1">
      <alignment horizontal="left" vertical="top"/>
    </xf>
    <xf numFmtId="166" fontId="35" fillId="0" borderId="34" xfId="0" applyNumberFormat="1" applyFont="1" applyFill="1" applyBorder="1" applyAlignment="1">
      <alignment horizontal="left" vertical="top" shrinkToFit="1"/>
    </xf>
    <xf numFmtId="166" fontId="35" fillId="0" borderId="34" xfId="0" applyNumberFormat="1" applyFont="1" applyFill="1" applyBorder="1" applyAlignment="1">
      <alignment horizontal="center" vertical="top" shrinkToFit="1"/>
    </xf>
    <xf numFmtId="2" fontId="35" fillId="0" borderId="34" xfId="0" applyNumberFormat="1" applyFont="1" applyFill="1" applyBorder="1" applyAlignment="1">
      <alignment horizontal="center" vertical="top" shrinkToFit="1"/>
    </xf>
    <xf numFmtId="2" fontId="35" fillId="0" borderId="34" xfId="0" applyNumberFormat="1" applyFont="1" applyFill="1" applyBorder="1" applyAlignment="1">
      <alignment horizontal="left" vertical="top" shrinkToFit="1"/>
    </xf>
    <xf numFmtId="0" fontId="28" fillId="0" borderId="47" xfId="0" applyFont="1" applyFill="1" applyBorder="1"/>
    <xf numFmtId="0" fontId="28" fillId="0" borderId="33" xfId="0" applyFont="1" applyFill="1" applyBorder="1" applyAlignment="1">
      <alignment horizontal="center" vertical="center"/>
    </xf>
    <xf numFmtId="0" fontId="28" fillId="0" borderId="62" xfId="0" applyFont="1" applyFill="1" applyBorder="1" applyAlignment="1">
      <alignment horizontal="center"/>
    </xf>
    <xf numFmtId="2" fontId="28" fillId="0" borderId="62" xfId="0" applyNumberFormat="1" applyFont="1" applyFill="1" applyBorder="1" applyAlignment="1">
      <alignment horizontal="center"/>
    </xf>
    <xf numFmtId="165" fontId="28" fillId="0" borderId="62" xfId="2" applyNumberFormat="1" applyFont="1" applyFill="1" applyBorder="1" applyAlignment="1">
      <alignment horizontal="center"/>
    </xf>
    <xf numFmtId="165" fontId="28" fillId="0" borderId="62" xfId="0" applyNumberFormat="1" applyFont="1" applyFill="1" applyBorder="1" applyAlignment="1">
      <alignment horizontal="center"/>
    </xf>
    <xf numFmtId="3" fontId="28" fillId="0" borderId="19" xfId="1" applyNumberFormat="1" applyFont="1" applyFill="1" applyBorder="1" applyAlignment="1">
      <alignment horizontal="center"/>
    </xf>
    <xf numFmtId="3" fontId="28" fillId="0" borderId="20" xfId="1" applyNumberFormat="1" applyFont="1" applyFill="1" applyBorder="1" applyAlignment="1">
      <alignment horizontal="center"/>
    </xf>
    <xf numFmtId="3" fontId="28" fillId="0" borderId="21" xfId="1" applyNumberFormat="1" applyFont="1" applyFill="1" applyBorder="1" applyAlignment="1">
      <alignment horizontal="center"/>
    </xf>
    <xf numFmtId="3" fontId="28" fillId="0" borderId="63" xfId="1" applyNumberFormat="1" applyFont="1" applyFill="1" applyBorder="1" applyAlignment="1">
      <alignment horizontal="center"/>
    </xf>
    <xf numFmtId="164" fontId="28" fillId="0" borderId="63" xfId="1" applyNumberFormat="1" applyFont="1" applyFill="1" applyBorder="1" applyAlignment="1">
      <alignment horizontal="center"/>
    </xf>
    <xf numFmtId="164" fontId="28" fillId="0" borderId="60" xfId="1" applyNumberFormat="1" applyFont="1" applyFill="1" applyBorder="1" applyAlignment="1">
      <alignment horizontal="center"/>
    </xf>
    <xf numFmtId="164" fontId="28" fillId="0" borderId="64" xfId="0" applyNumberFormat="1" applyFont="1" applyFill="1" applyBorder="1" applyAlignment="1">
      <alignment horizontal="center"/>
    </xf>
    <xf numFmtId="164" fontId="28" fillId="0" borderId="62" xfId="0" applyNumberFormat="1" applyFont="1" applyFill="1" applyBorder="1" applyAlignment="1">
      <alignment horizontal="center"/>
    </xf>
    <xf numFmtId="164" fontId="28" fillId="0" borderId="19" xfId="1" applyNumberFormat="1" applyFont="1" applyFill="1" applyBorder="1" applyAlignment="1">
      <alignment horizontal="center"/>
    </xf>
    <xf numFmtId="164" fontId="28" fillId="0" borderId="21" xfId="1" applyNumberFormat="1" applyFont="1" applyFill="1" applyBorder="1" applyAlignment="1">
      <alignment horizontal="center"/>
    </xf>
    <xf numFmtId="1" fontId="28" fillId="0" borderId="47" xfId="0" applyNumberFormat="1" applyFont="1" applyFill="1" applyBorder="1"/>
    <xf numFmtId="0" fontId="28" fillId="0" borderId="53" xfId="0" applyFont="1" applyFill="1" applyBorder="1" applyAlignment="1">
      <alignment horizontal="center" vertical="center"/>
    </xf>
    <xf numFmtId="0" fontId="29" fillId="0" borderId="0" xfId="0" applyFont="1" applyFill="1" applyAlignment="1">
      <alignment horizontal="right"/>
    </xf>
    <xf numFmtId="0" fontId="28" fillId="0" borderId="14" xfId="0" applyFont="1" applyFill="1" applyBorder="1" applyAlignment="1">
      <alignment horizontal="center" vertical="center"/>
    </xf>
    <xf numFmtId="0" fontId="28" fillId="0" borderId="0" xfId="0" applyFont="1" applyFill="1" applyAlignment="1">
      <alignment horizontal="right"/>
    </xf>
    <xf numFmtId="0" fontId="28" fillId="0" borderId="0" xfId="0" applyFont="1" applyFill="1" applyAlignment="1">
      <alignment horizontal="left" vertical="top" wrapText="1"/>
    </xf>
    <xf numFmtId="0" fontId="28" fillId="0" borderId="33" xfId="0" applyFont="1" applyFill="1" applyBorder="1" applyAlignment="1">
      <alignment horizontal="center" vertical="center"/>
    </xf>
    <xf numFmtId="167" fontId="28" fillId="0" borderId="47" xfId="3" applyNumberFormat="1" applyFont="1" applyFill="1" applyBorder="1" applyAlignment="1"/>
    <xf numFmtId="0" fontId="28" fillId="0" borderId="53" xfId="0" applyFont="1" applyFill="1" applyBorder="1" applyAlignment="1">
      <alignment horizontal="center" vertical="center"/>
    </xf>
    <xf numFmtId="0" fontId="28" fillId="0" borderId="0" xfId="0" applyFont="1" applyFill="1" applyAlignment="1">
      <alignment horizontal="left" vertical="top" wrapText="1"/>
    </xf>
    <xf numFmtId="166" fontId="28" fillId="0" borderId="0" xfId="0" applyNumberFormat="1" applyFont="1" applyFill="1" applyAlignment="1">
      <alignment horizontal="center"/>
    </xf>
    <xf numFmtId="0" fontId="31" fillId="0" borderId="0" xfId="0" applyFont="1" applyFill="1" applyAlignment="1">
      <alignment horizontal="left" vertical="top"/>
    </xf>
    <xf numFmtId="166" fontId="28" fillId="0" borderId="20" xfId="0" applyNumberFormat="1" applyFont="1" applyFill="1" applyBorder="1" applyAlignment="1">
      <alignment horizontal="center"/>
    </xf>
    <xf numFmtId="166" fontId="28" fillId="0" borderId="21" xfId="0" applyNumberFormat="1" applyFont="1" applyFill="1" applyBorder="1" applyAlignment="1">
      <alignment horizontal="center"/>
    </xf>
    <xf numFmtId="2" fontId="28" fillId="0" borderId="64" xfId="0" applyNumberFormat="1" applyFont="1" applyFill="1" applyBorder="1" applyAlignment="1">
      <alignment horizontal="center"/>
    </xf>
    <xf numFmtId="2" fontId="28" fillId="0" borderId="0" xfId="0" applyNumberFormat="1" applyFont="1" applyFill="1" applyAlignment="1">
      <alignment horizontal="center"/>
    </xf>
    <xf numFmtId="1" fontId="28" fillId="0" borderId="0" xfId="0" applyNumberFormat="1" applyFont="1" applyFill="1" applyAlignment="1">
      <alignment horizontal="center"/>
    </xf>
    <xf numFmtId="0" fontId="28" fillId="0" borderId="2" xfId="0" applyFont="1" applyFill="1" applyBorder="1"/>
    <xf numFmtId="0" fontId="28" fillId="0" borderId="4" xfId="0" applyFont="1" applyFill="1" applyBorder="1"/>
    <xf numFmtId="0" fontId="28" fillId="0" borderId="19" xfId="0" applyFont="1" applyFill="1" applyBorder="1"/>
    <xf numFmtId="0" fontId="28" fillId="0" borderId="21" xfId="0" applyFont="1" applyFill="1" applyBorder="1"/>
    <xf numFmtId="1" fontId="28" fillId="0" borderId="0" xfId="0" applyNumberFormat="1" applyFont="1" applyFill="1"/>
    <xf numFmtId="0" fontId="28" fillId="0" borderId="0" xfId="0" applyFont="1" applyFill="1" applyAlignment="1">
      <alignment vertical="top" wrapText="1"/>
    </xf>
    <xf numFmtId="0" fontId="29" fillId="0" borderId="65" xfId="0" applyFont="1" applyFill="1" applyBorder="1" applyAlignment="1">
      <alignment horizontal="center" vertical="center" wrapText="1"/>
    </xf>
    <xf numFmtId="0" fontId="29" fillId="0" borderId="73"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75" xfId="0" applyFont="1" applyFill="1" applyBorder="1" applyAlignment="1">
      <alignment horizontal="center" vertical="center" wrapText="1"/>
    </xf>
    <xf numFmtId="0" fontId="29" fillId="0" borderId="74" xfId="0" applyFont="1" applyFill="1" applyBorder="1" applyAlignment="1">
      <alignment horizontal="center" vertical="center"/>
    </xf>
    <xf numFmtId="0" fontId="28" fillId="0" borderId="0" xfId="0" applyFont="1" applyFill="1" applyAlignment="1">
      <alignment horizontal="left"/>
    </xf>
    <xf numFmtId="0" fontId="29" fillId="0" borderId="42"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76"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76" xfId="0" applyFont="1" applyFill="1" applyBorder="1" applyAlignment="1">
      <alignment horizontal="center" vertical="center"/>
    </xf>
    <xf numFmtId="0" fontId="28" fillId="0" borderId="40" xfId="0" applyFont="1" applyFill="1" applyBorder="1" applyAlignment="1">
      <alignment horizontal="center"/>
    </xf>
    <xf numFmtId="37" fontId="28" fillId="0" borderId="59" xfId="1" applyNumberFormat="1" applyFont="1" applyFill="1" applyBorder="1" applyAlignment="1">
      <alignment horizontal="center"/>
    </xf>
    <xf numFmtId="2" fontId="28" fillId="0" borderId="48" xfId="0" applyNumberFormat="1" applyFont="1" applyFill="1" applyBorder="1" applyAlignment="1">
      <alignment horizontal="center"/>
    </xf>
    <xf numFmtId="37" fontId="28" fillId="0" borderId="2" xfId="1" applyNumberFormat="1" applyFont="1" applyFill="1" applyBorder="1" applyAlignment="1">
      <alignment horizontal="center"/>
    </xf>
    <xf numFmtId="37" fontId="28" fillId="0" borderId="39" xfId="1" applyNumberFormat="1" applyFont="1" applyFill="1" applyBorder="1" applyAlignment="1">
      <alignment horizontal="center"/>
    </xf>
    <xf numFmtId="37" fontId="28" fillId="0" borderId="3" xfId="1" applyNumberFormat="1" applyFont="1" applyFill="1" applyBorder="1" applyAlignment="1">
      <alignment horizontal="center"/>
    </xf>
    <xf numFmtId="3" fontId="28" fillId="0" borderId="4" xfId="1" applyNumberFormat="1" applyFont="1" applyFill="1" applyBorder="1" applyAlignment="1">
      <alignment horizontal="center"/>
    </xf>
    <xf numFmtId="164" fontId="28" fillId="0" borderId="59" xfId="1" applyNumberFormat="1" applyFont="1" applyFill="1" applyBorder="1" applyAlignment="1">
      <alignment horizontal="center"/>
    </xf>
    <xf numFmtId="164" fontId="28" fillId="0" borderId="4" xfId="0" applyNumberFormat="1" applyFont="1" applyFill="1" applyBorder="1" applyAlignment="1">
      <alignment horizontal="center"/>
    </xf>
    <xf numFmtId="0" fontId="29" fillId="0" borderId="0" xfId="0" applyFont="1" applyFill="1" applyAlignment="1">
      <alignment horizontal="left"/>
    </xf>
    <xf numFmtId="1" fontId="28" fillId="0" borderId="47" xfId="0" applyNumberFormat="1" applyFont="1" applyFill="1" applyBorder="1" applyAlignment="1">
      <alignment horizontal="center"/>
    </xf>
    <xf numFmtId="0" fontId="28" fillId="0" borderId="47" xfId="0" applyFont="1" applyFill="1" applyBorder="1" applyAlignment="1">
      <alignment horizontal="center"/>
    </xf>
    <xf numFmtId="0" fontId="28" fillId="0" borderId="51" xfId="0" applyFont="1" applyFill="1" applyBorder="1" applyAlignment="1">
      <alignment horizontal="center"/>
    </xf>
    <xf numFmtId="37" fontId="28" fillId="0" borderId="52" xfId="1" applyNumberFormat="1" applyFont="1" applyFill="1" applyBorder="1" applyAlignment="1">
      <alignment horizontal="center"/>
    </xf>
    <xf numFmtId="37" fontId="28" fillId="0" borderId="46" xfId="1" applyNumberFormat="1" applyFont="1" applyFill="1" applyBorder="1" applyAlignment="1">
      <alignment horizontal="center"/>
    </xf>
    <xf numFmtId="37" fontId="28" fillId="0" borderId="50" xfId="1" applyNumberFormat="1" applyFont="1" applyFill="1" applyBorder="1" applyAlignment="1">
      <alignment horizontal="center"/>
    </xf>
    <xf numFmtId="37" fontId="28" fillId="0" borderId="47" xfId="1" applyNumberFormat="1" applyFont="1" applyFill="1" applyBorder="1" applyAlignment="1">
      <alignment horizontal="center"/>
    </xf>
    <xf numFmtId="164" fontId="28" fillId="0" borderId="52" xfId="1" applyNumberFormat="1" applyFont="1" applyFill="1" applyBorder="1" applyAlignment="1">
      <alignment horizontal="center"/>
    </xf>
    <xf numFmtId="0" fontId="28" fillId="0" borderId="47" xfId="0" applyFont="1" applyFill="1" applyBorder="1" applyAlignment="1">
      <alignment horizontal="left"/>
    </xf>
    <xf numFmtId="2" fontId="28" fillId="0" borderId="47" xfId="0" applyNumberFormat="1" applyFont="1" applyFill="1" applyBorder="1" applyAlignment="1">
      <alignment horizontal="center"/>
    </xf>
    <xf numFmtId="165" fontId="28" fillId="0" borderId="47" xfId="5" applyNumberFormat="1" applyFont="1" applyFill="1" applyBorder="1" applyAlignment="1">
      <alignment horizontal="center"/>
    </xf>
    <xf numFmtId="165" fontId="28" fillId="0" borderId="0" xfId="5" applyNumberFormat="1" applyFont="1" applyFill="1" applyBorder="1" applyAlignment="1">
      <alignment horizontal="center"/>
    </xf>
    <xf numFmtId="167" fontId="28" fillId="0" borderId="47" xfId="3" applyNumberFormat="1" applyFont="1" applyFill="1" applyBorder="1" applyAlignment="1">
      <alignment horizontal="center"/>
    </xf>
    <xf numFmtId="44" fontId="28" fillId="0" borderId="0" xfId="5" applyFont="1" applyFill="1" applyBorder="1" applyAlignment="1">
      <alignment horizontal="center"/>
    </xf>
    <xf numFmtId="0" fontId="36" fillId="0" borderId="0" xfId="0" applyFont="1" applyFill="1"/>
    <xf numFmtId="2" fontId="28" fillId="0" borderId="47" xfId="3" applyNumberFormat="1" applyFont="1" applyFill="1" applyBorder="1" applyAlignment="1">
      <alignment horizontal="center"/>
    </xf>
    <xf numFmtId="0" fontId="29" fillId="0" borderId="0" xfId="0" applyFont="1" applyFill="1" applyAlignment="1">
      <alignment horizontal="left"/>
    </xf>
    <xf numFmtId="44" fontId="28" fillId="0" borderId="0" xfId="5" applyFont="1" applyFill="1" applyBorder="1"/>
    <xf numFmtId="0" fontId="28" fillId="0" borderId="64" xfId="0" applyFont="1" applyFill="1" applyBorder="1" applyAlignment="1">
      <alignment horizontal="center"/>
    </xf>
    <xf numFmtId="37" fontId="28" fillId="0" borderId="61" xfId="1" applyNumberFormat="1" applyFont="1" applyFill="1" applyBorder="1" applyAlignment="1">
      <alignment horizontal="center"/>
    </xf>
    <xf numFmtId="2" fontId="28" fillId="0" borderId="21" xfId="0" applyNumberFormat="1" applyFont="1" applyFill="1" applyBorder="1" applyAlignment="1">
      <alignment horizontal="center"/>
    </xf>
    <xf numFmtId="37" fontId="28" fillId="0" borderId="19" xfId="1" applyNumberFormat="1" applyFont="1" applyFill="1" applyBorder="1" applyAlignment="1">
      <alignment horizontal="center"/>
    </xf>
    <xf numFmtId="37" fontId="28" fillId="0" borderId="60" xfId="1" applyNumberFormat="1" applyFont="1" applyFill="1" applyBorder="1" applyAlignment="1">
      <alignment horizontal="center"/>
    </xf>
    <xf numFmtId="37" fontId="28" fillId="0" borderId="20" xfId="1" applyNumberFormat="1" applyFont="1" applyFill="1" applyBorder="1" applyAlignment="1">
      <alignment horizontal="center"/>
    </xf>
    <xf numFmtId="164" fontId="28" fillId="0" borderId="61" xfId="1" applyNumberFormat="1" applyFont="1" applyFill="1" applyBorder="1" applyAlignment="1">
      <alignment horizontal="center"/>
    </xf>
    <xf numFmtId="38" fontId="28" fillId="0" borderId="0" xfId="0" applyNumberFormat="1" applyFont="1" applyFill="1" applyAlignment="1">
      <alignment horizontal="right" indent="1"/>
    </xf>
    <xf numFmtId="2" fontId="28" fillId="0" borderId="0" xfId="0" applyNumberFormat="1" applyFont="1" applyFill="1" applyAlignment="1">
      <alignment horizontal="right" indent="1"/>
    </xf>
    <xf numFmtId="37" fontId="28" fillId="0" borderId="0" xfId="0" applyNumberFormat="1" applyFont="1" applyFill="1"/>
    <xf numFmtId="164" fontId="28" fillId="0" borderId="22" xfId="0" applyNumberFormat="1" applyFont="1" applyFill="1" applyBorder="1" applyAlignment="1">
      <alignment horizontal="center"/>
    </xf>
    <xf numFmtId="0" fontId="28" fillId="0" borderId="0" xfId="0" applyFont="1" applyFill="1" applyAlignment="1">
      <alignment horizontal="left" wrapText="1"/>
    </xf>
    <xf numFmtId="1" fontId="31" fillId="0" borderId="47" xfId="0" applyNumberFormat="1" applyFont="1" applyFill="1" applyBorder="1" applyAlignment="1">
      <alignment horizontal="center"/>
    </xf>
    <xf numFmtId="0" fontId="29" fillId="0" borderId="0" xfId="0" applyFont="1" applyAlignment="1">
      <alignment horizontal="left"/>
    </xf>
    <xf numFmtId="0" fontId="28" fillId="0" borderId="0" xfId="0" applyFont="1" applyAlignment="1">
      <alignment vertical="center"/>
    </xf>
    <xf numFmtId="164" fontId="29" fillId="0" borderId="10" xfId="0" applyNumberFormat="1" applyFont="1" applyBorder="1" applyAlignment="1">
      <alignment horizontal="center" vertical="center" wrapText="1"/>
    </xf>
    <xf numFmtId="164" fontId="29" fillId="0" borderId="11" xfId="0" applyNumberFormat="1" applyFont="1" applyBorder="1" applyAlignment="1">
      <alignment horizontal="center" vertical="center" wrapText="1"/>
    </xf>
    <xf numFmtId="164" fontId="29" fillId="0" borderId="12" xfId="0" applyNumberFormat="1" applyFont="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65"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9"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28" fillId="0" borderId="35" xfId="0" applyFont="1" applyBorder="1" applyAlignment="1">
      <alignment horizontal="center" vertical="center" wrapText="1"/>
    </xf>
    <xf numFmtId="164" fontId="28" fillId="0" borderId="36" xfId="0" applyNumberFormat="1" applyFont="1" applyBorder="1" applyAlignment="1">
      <alignment horizontal="center" vertical="center" wrapText="1"/>
    </xf>
    <xf numFmtId="164" fontId="28" fillId="0" borderId="37" xfId="0" applyNumberFormat="1" applyFont="1" applyBorder="1" applyAlignment="1">
      <alignment horizontal="center"/>
    </xf>
    <xf numFmtId="164" fontId="28" fillId="0" borderId="37" xfId="0" applyNumberFormat="1" applyFont="1" applyBorder="1" applyAlignment="1">
      <alignment horizontal="center" vertical="center" wrapText="1"/>
    </xf>
    <xf numFmtId="6" fontId="28" fillId="0" borderId="26" xfId="0" applyNumberFormat="1" applyFont="1" applyBorder="1" applyAlignment="1">
      <alignment horizontal="center" vertical="center" wrapText="1"/>
    </xf>
    <xf numFmtId="164" fontId="28" fillId="0" borderId="38" xfId="0" applyNumberFormat="1" applyFont="1" applyBorder="1" applyAlignment="1">
      <alignment horizontal="center" vertical="center" wrapText="1"/>
    </xf>
    <xf numFmtId="164" fontId="28" fillId="0" borderId="44" xfId="0" applyNumberFormat="1" applyFont="1" applyBorder="1" applyAlignment="1">
      <alignment horizontal="center" vertical="center" wrapText="1"/>
    </xf>
    <xf numFmtId="164" fontId="28" fillId="0" borderId="38" xfId="0" applyNumberFormat="1" applyFont="1" applyBorder="1" applyAlignment="1">
      <alignment horizontal="center" vertical="center"/>
    </xf>
    <xf numFmtId="164" fontId="28" fillId="0" borderId="46" xfId="0" applyNumberFormat="1" applyFont="1" applyBorder="1" applyAlignment="1">
      <alignment horizontal="center" vertical="center" wrapText="1"/>
    </xf>
    <xf numFmtId="6" fontId="28" fillId="0" borderId="50" xfId="0" applyNumberFormat="1" applyFont="1" applyBorder="1" applyAlignment="1">
      <alignment horizontal="center" vertical="center" wrapText="1"/>
    </xf>
    <xf numFmtId="164" fontId="28" fillId="0" borderId="48" xfId="0" applyNumberFormat="1" applyFont="1" applyBorder="1" applyAlignment="1">
      <alignment horizontal="center" vertical="center" wrapText="1"/>
    </xf>
    <xf numFmtId="164" fontId="28" fillId="0" borderId="52" xfId="0" applyNumberFormat="1" applyFont="1" applyBorder="1" applyAlignment="1">
      <alignment horizontal="center" vertical="center" wrapText="1"/>
    </xf>
    <xf numFmtId="0" fontId="28" fillId="0" borderId="45" xfId="0" applyFont="1" applyBorder="1" applyAlignment="1">
      <alignment horizontal="center"/>
    </xf>
    <xf numFmtId="6" fontId="28" fillId="0" borderId="50" xfId="0" applyNumberFormat="1" applyFont="1" applyBorder="1" applyAlignment="1">
      <alignment horizontal="center"/>
    </xf>
    <xf numFmtId="0" fontId="28" fillId="0" borderId="62" xfId="0" applyFont="1" applyBorder="1" applyAlignment="1">
      <alignment horizontal="center"/>
    </xf>
    <xf numFmtId="6" fontId="28" fillId="0" borderId="60" xfId="0" applyNumberFormat="1" applyFont="1" applyBorder="1" applyAlignment="1">
      <alignment horizontal="center"/>
    </xf>
    <xf numFmtId="164" fontId="28" fillId="0" borderId="61" xfId="0" applyNumberFormat="1" applyFont="1" applyBorder="1" applyAlignment="1">
      <alignment horizontal="center" vertical="center" wrapText="1"/>
    </xf>
    <xf numFmtId="0" fontId="28" fillId="0" borderId="0" xfId="0" applyFont="1" applyAlignment="1">
      <alignment horizontal="center"/>
    </xf>
    <xf numFmtId="164" fontId="37" fillId="0" borderId="0" xfId="0" applyNumberFormat="1" applyFont="1" applyAlignment="1">
      <alignment horizontal="center"/>
    </xf>
    <xf numFmtId="6" fontId="28" fillId="0" borderId="0" xfId="0" applyNumberFormat="1" applyFont="1"/>
    <xf numFmtId="0" fontId="29" fillId="0" borderId="0" xfId="0" applyFont="1" applyAlignment="1">
      <alignment horizontal="center"/>
    </xf>
    <xf numFmtId="164" fontId="28" fillId="0" borderId="0" xfId="0" applyNumberFormat="1" applyFont="1" applyAlignment="1">
      <alignment horizontal="center"/>
    </xf>
    <xf numFmtId="6" fontId="32" fillId="0" borderId="0" xfId="0" applyNumberFormat="1" applyFont="1" applyAlignment="1">
      <alignment horizontal="center"/>
    </xf>
    <xf numFmtId="164" fontId="32" fillId="0" borderId="0" xfId="0" applyNumberFormat="1" applyFont="1" applyAlignment="1">
      <alignment horizontal="center"/>
    </xf>
    <xf numFmtId="168" fontId="28" fillId="0" borderId="0" xfId="5" applyNumberFormat="1" applyFont="1" applyBorder="1" applyAlignment="1">
      <alignment horizontal="center"/>
    </xf>
    <xf numFmtId="1" fontId="28" fillId="0" borderId="0" xfId="0" applyNumberFormat="1" applyFont="1" applyAlignment="1">
      <alignment horizontal="center"/>
    </xf>
    <xf numFmtId="164" fontId="29" fillId="0" borderId="66" xfId="0" applyNumberFormat="1" applyFont="1" applyBorder="1"/>
    <xf numFmtId="164" fontId="29" fillId="0" borderId="0" xfId="0" applyNumberFormat="1" applyFont="1"/>
    <xf numFmtId="0" fontId="29" fillId="2" borderId="5" xfId="0" applyFont="1" applyFill="1" applyBorder="1" applyAlignment="1">
      <alignment horizontal="center" vertical="center" wrapText="1"/>
    </xf>
    <xf numFmtId="0" fontId="29" fillId="2" borderId="5" xfId="0" applyFont="1" applyFill="1" applyBorder="1" applyAlignment="1">
      <alignment horizontal="center" vertical="center"/>
    </xf>
    <xf numFmtId="0" fontId="28" fillId="0" borderId="29" xfId="0" applyFont="1" applyBorder="1" applyAlignment="1">
      <alignment horizontal="center" vertical="center"/>
    </xf>
    <xf numFmtId="0" fontId="29" fillId="2" borderId="22" xfId="0" applyFont="1" applyFill="1" applyBorder="1" applyAlignment="1">
      <alignment horizontal="center" vertical="center" wrapText="1"/>
    </xf>
    <xf numFmtId="0" fontId="29" fillId="2" borderId="22" xfId="0" applyFont="1" applyFill="1" applyBorder="1" applyAlignment="1">
      <alignment horizontal="center" vertical="center"/>
    </xf>
    <xf numFmtId="0" fontId="28" fillId="0" borderId="51" xfId="0" applyFont="1" applyBorder="1" applyAlignment="1">
      <alignment horizontal="center"/>
    </xf>
    <xf numFmtId="164" fontId="28" fillId="0" borderId="45" xfId="0" applyNumberFormat="1" applyFont="1" applyBorder="1" applyAlignment="1">
      <alignment horizontal="center" vertical="center" wrapText="1"/>
    </xf>
    <xf numFmtId="164" fontId="28" fillId="0" borderId="51" xfId="0" applyNumberFormat="1" applyFont="1" applyBorder="1" applyAlignment="1">
      <alignment horizontal="center" vertical="center"/>
    </xf>
    <xf numFmtId="0" fontId="28" fillId="0" borderId="64" xfId="0" applyFont="1" applyBorder="1" applyAlignment="1">
      <alignment horizontal="center"/>
    </xf>
    <xf numFmtId="164" fontId="28" fillId="0" borderId="64" xfId="0" applyNumberFormat="1" applyFont="1" applyBorder="1" applyAlignment="1">
      <alignment horizontal="center" vertical="center"/>
    </xf>
    <xf numFmtId="0" fontId="29" fillId="0" borderId="0" xfId="0" applyFont="1" applyAlignment="1">
      <alignment horizontal="right"/>
    </xf>
    <xf numFmtId="164" fontId="28" fillId="0" borderId="22" xfId="0" applyNumberFormat="1" applyFont="1" applyBorder="1" applyAlignment="1">
      <alignment horizontal="center"/>
    </xf>
    <xf numFmtId="164" fontId="38" fillId="0" borderId="0" xfId="0" applyNumberFormat="1" applyFont="1" applyAlignment="1">
      <alignment horizontal="center"/>
    </xf>
    <xf numFmtId="2" fontId="28" fillId="0" borderId="0" xfId="0" applyNumberFormat="1" applyFont="1" applyAlignment="1">
      <alignment horizontal="center"/>
    </xf>
    <xf numFmtId="0" fontId="28" fillId="0" borderId="10" xfId="0" applyFont="1" applyBorder="1"/>
    <xf numFmtId="9" fontId="29" fillId="2" borderId="9" xfId="0" applyNumberFormat="1" applyFont="1" applyFill="1" applyBorder="1" applyAlignment="1">
      <alignment horizontal="center"/>
    </xf>
    <xf numFmtId="9" fontId="29" fillId="0" borderId="0" xfId="0" applyNumberFormat="1" applyFont="1" applyAlignment="1">
      <alignment horizontal="center"/>
    </xf>
    <xf numFmtId="0" fontId="29" fillId="2" borderId="35" xfId="0" applyFont="1" applyFill="1" applyBorder="1"/>
    <xf numFmtId="0" fontId="29" fillId="2" borderId="67" xfId="0" applyFont="1" applyFill="1" applyBorder="1"/>
    <xf numFmtId="164" fontId="28" fillId="0" borderId="68" xfId="0" applyNumberFormat="1" applyFont="1" applyBorder="1" applyAlignment="1">
      <alignment horizontal="center"/>
    </xf>
    <xf numFmtId="0" fontId="29" fillId="2" borderId="69" xfId="0" applyFont="1" applyFill="1" applyBorder="1"/>
    <xf numFmtId="2" fontId="29" fillId="0" borderId="70" xfId="0" applyNumberFormat="1" applyFont="1" applyBorder="1" applyAlignment="1">
      <alignment horizontal="center"/>
    </xf>
    <xf numFmtId="0" fontId="29" fillId="2" borderId="19" xfId="0" applyFont="1" applyFill="1" applyBorder="1"/>
    <xf numFmtId="169" fontId="29" fillId="0" borderId="0" xfId="1" applyNumberFormat="1" applyFont="1"/>
    <xf numFmtId="0" fontId="28" fillId="0" borderId="7" xfId="0" applyFont="1" applyBorder="1"/>
    <xf numFmtId="9" fontId="29" fillId="2" borderId="12" xfId="0" applyNumberFormat="1" applyFont="1" applyFill="1" applyBorder="1" applyAlignment="1">
      <alignment horizontal="center"/>
    </xf>
    <xf numFmtId="0" fontId="29" fillId="2" borderId="36" xfId="0" applyFont="1" applyFill="1" applyBorder="1"/>
    <xf numFmtId="0" fontId="29" fillId="2" borderId="71" xfId="0" applyFont="1" applyFill="1" applyBorder="1"/>
    <xf numFmtId="0" fontId="29" fillId="2" borderId="72" xfId="0" applyFont="1" applyFill="1" applyBorder="1"/>
    <xf numFmtId="170" fontId="28" fillId="0" borderId="4" xfId="0" applyNumberFormat="1" applyFont="1" applyBorder="1" applyAlignment="1">
      <alignment horizontal="left"/>
    </xf>
    <xf numFmtId="170" fontId="28" fillId="0" borderId="68" xfId="0" applyNumberFormat="1" applyFont="1" applyBorder="1" applyAlignment="1">
      <alignment horizontal="left"/>
    </xf>
    <xf numFmtId="166" fontId="29" fillId="0" borderId="70" xfId="0" applyNumberFormat="1" applyFont="1" applyBorder="1" applyAlignment="1">
      <alignment horizontal="left"/>
    </xf>
    <xf numFmtId="170" fontId="28" fillId="0" borderId="21" xfId="0" applyNumberFormat="1" applyFont="1" applyBorder="1" applyAlignment="1">
      <alignment horizontal="left"/>
    </xf>
    <xf numFmtId="0" fontId="39" fillId="0" borderId="0" xfId="0" applyFont="1"/>
    <xf numFmtId="0" fontId="31" fillId="0" borderId="0" xfId="4" applyFont="1" applyAlignment="1">
      <alignment horizontal="left"/>
    </xf>
    <xf numFmtId="0" fontId="40" fillId="0" borderId="0" xfId="0" applyFont="1"/>
    <xf numFmtId="0" fontId="31" fillId="0" borderId="2" xfId="4" applyFont="1" applyBorder="1" applyAlignment="1">
      <alignment horizontal="left" vertical="center"/>
    </xf>
    <xf numFmtId="0" fontId="31" fillId="0" borderId="4" xfId="4" applyFont="1" applyBorder="1" applyAlignment="1">
      <alignment horizontal="center" vertical="center"/>
    </xf>
    <xf numFmtId="0" fontId="41" fillId="0" borderId="0" xfId="0" quotePrefix="1" applyFont="1"/>
    <xf numFmtId="0" fontId="31" fillId="0" borderId="46" xfId="4" applyFont="1" applyBorder="1" applyAlignment="1">
      <alignment horizontal="left" vertical="center"/>
    </xf>
    <xf numFmtId="0" fontId="40" fillId="0" borderId="0" xfId="0" quotePrefix="1" applyFont="1"/>
    <xf numFmtId="0" fontId="31" fillId="0" borderId="48" xfId="4" applyFont="1" applyBorder="1" applyAlignment="1">
      <alignment horizontal="center" vertical="center"/>
    </xf>
    <xf numFmtId="0" fontId="40" fillId="0" borderId="0" xfId="0" quotePrefix="1" applyFont="1" applyAlignment="1">
      <alignment horizontal="center"/>
    </xf>
    <xf numFmtId="167" fontId="31" fillId="0" borderId="48" xfId="3" applyNumberFormat="1" applyFont="1" applyBorder="1" applyAlignment="1">
      <alignment horizontal="center" vertical="center"/>
    </xf>
    <xf numFmtId="9" fontId="31" fillId="0" borderId="48" xfId="3" applyFont="1" applyFill="1" applyBorder="1" applyAlignment="1">
      <alignment horizontal="center" vertical="center"/>
    </xf>
    <xf numFmtId="165" fontId="31" fillId="0" borderId="48" xfId="2" applyNumberFormat="1" applyFont="1" applyBorder="1" applyAlignment="1">
      <alignment horizontal="center" vertical="center"/>
    </xf>
    <xf numFmtId="165" fontId="31" fillId="0" borderId="48" xfId="4" applyNumberFormat="1" applyFont="1" applyBorder="1" applyAlignment="1">
      <alignment horizontal="center" vertical="center"/>
    </xf>
    <xf numFmtId="3" fontId="31" fillId="0" borderId="48" xfId="4" applyNumberFormat="1" applyFont="1" applyBorder="1" applyAlignment="1">
      <alignment horizontal="center" vertical="center"/>
    </xf>
    <xf numFmtId="0" fontId="31" fillId="0" borderId="19" xfId="4" applyFont="1" applyBorder="1" applyAlignment="1">
      <alignment horizontal="left" vertical="center"/>
    </xf>
    <xf numFmtId="1" fontId="31" fillId="0" borderId="21" xfId="3" applyNumberFormat="1" applyFont="1" applyBorder="1" applyAlignment="1">
      <alignment horizontal="center" vertical="center"/>
    </xf>
    <xf numFmtId="0" fontId="31" fillId="0" borderId="0" xfId="4" applyFont="1" applyAlignment="1">
      <alignment horizontal="left" vertical="center"/>
    </xf>
    <xf numFmtId="0" fontId="33" fillId="0" borderId="0" xfId="4" applyFont="1" applyAlignment="1">
      <alignment horizontal="left" vertical="center"/>
    </xf>
    <xf numFmtId="0" fontId="28" fillId="0" borderId="7" xfId="0" applyFont="1" applyBorder="1" applyAlignment="1">
      <alignment horizontal="left"/>
    </xf>
    <xf numFmtId="167" fontId="28" fillId="0" borderId="9" xfId="3" applyNumberFormat="1" applyFont="1" applyBorder="1" applyAlignment="1">
      <alignment horizontal="center"/>
    </xf>
    <xf numFmtId="0" fontId="28" fillId="0" borderId="0" xfId="0" applyFont="1" applyAlignment="1">
      <alignment horizontal="left"/>
    </xf>
    <xf numFmtId="167" fontId="28" fillId="0" borderId="0" xfId="3" applyNumberFormat="1" applyFont="1" applyBorder="1" applyAlignment="1">
      <alignment horizontal="center"/>
    </xf>
    <xf numFmtId="0" fontId="43" fillId="0" borderId="0" xfId="0" applyFont="1"/>
    <xf numFmtId="0" fontId="28" fillId="0" borderId="0" xfId="0" applyFont="1" applyAlignment="1">
      <alignment vertical="top" wrapText="1"/>
    </xf>
    <xf numFmtId="0" fontId="28" fillId="0" borderId="0" xfId="0" applyFont="1" applyAlignment="1">
      <alignment horizontal="left" vertical="center" wrapText="1"/>
    </xf>
    <xf numFmtId="0" fontId="31" fillId="0" borderId="48" xfId="4" applyFont="1" applyFill="1" applyBorder="1" applyAlignment="1">
      <alignment horizontal="center" vertical="center"/>
    </xf>
    <xf numFmtId="0" fontId="28" fillId="0" borderId="0" xfId="0" applyFont="1" applyFill="1" applyAlignment="1">
      <alignment wrapText="1"/>
    </xf>
    <xf numFmtId="173" fontId="15" fillId="0" borderId="83" xfId="0" applyNumberFormat="1" applyFont="1" applyBorder="1" applyAlignment="1">
      <alignment vertical="top" shrinkToFit="1"/>
    </xf>
  </cellXfs>
  <cellStyles count="10">
    <cellStyle name="Comma" xfId="1" builtinId="3"/>
    <cellStyle name="Comma 2" xfId="6" xr:uid="{2161C61C-1631-4823-8D89-860FEF59A6DF}"/>
    <cellStyle name="Currency" xfId="2" builtinId="4"/>
    <cellStyle name="Currency 2" xfId="5" xr:uid="{90709475-11D5-4506-A444-987171CAC62A}"/>
    <cellStyle name="Neutral 2" xfId="9" xr:uid="{7C5A7451-B348-47EB-AE9E-0B65117363D8}"/>
    <cellStyle name="Normal" xfId="0" builtinId="0"/>
    <cellStyle name="Normal 16" xfId="4" xr:uid="{BA6115EA-571A-433A-90A9-74D370104A72}"/>
    <cellStyle name="Normal 17" xfId="7" xr:uid="{61E743AD-7A66-480F-AFB8-38389ECDA165}"/>
    <cellStyle name="Normal 2" xfId="8" xr:uid="{BBA6A1EC-BADE-4290-A057-BA80071F7998}"/>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18</xdr:col>
      <xdr:colOff>49467</xdr:colOff>
      <xdr:row>21</xdr:row>
      <xdr:rowOff>140635</xdr:rowOff>
    </xdr:from>
    <xdr:to>
      <xdr:col>22</xdr:col>
      <xdr:colOff>517786</xdr:colOff>
      <xdr:row>50</xdr:row>
      <xdr:rowOff>71336</xdr:rowOff>
    </xdr:to>
    <xdr:pic>
      <xdr:nvPicPr>
        <xdr:cNvPr id="2" name="Picture 1" descr="A table of information with numbers and text&#10;&#10;Description automatically generated with medium confidence">
          <a:extLst>
            <a:ext uri="{FF2B5EF4-FFF2-40B4-BE49-F238E27FC236}">
              <a16:creationId xmlns:a16="http://schemas.microsoft.com/office/drawing/2014/main" id="{974D2DC4-CA66-4F63-B0D6-6D87AA20D98F}"/>
            </a:ext>
          </a:extLst>
        </xdr:cNvPr>
        <xdr:cNvPicPr>
          <a:picLocks noChangeAspect="1"/>
        </xdr:cNvPicPr>
      </xdr:nvPicPr>
      <xdr:blipFill>
        <a:blip xmlns:r="http://schemas.openxmlformats.org/officeDocument/2006/relationships" r:embed="rId1"/>
        <a:stretch>
          <a:fillRect/>
        </a:stretch>
      </xdr:blipFill>
      <xdr:spPr>
        <a:xfrm>
          <a:off x="20578643" y="3278282"/>
          <a:ext cx="3919731" cy="4510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106749</xdr:colOff>
      <xdr:row>27</xdr:row>
      <xdr:rowOff>109301</xdr:rowOff>
    </xdr:from>
    <xdr:to>
      <xdr:col>16</xdr:col>
      <xdr:colOff>314404</xdr:colOff>
      <xdr:row>36</xdr:row>
      <xdr:rowOff>144471</xdr:rowOff>
    </xdr:to>
    <xdr:pic>
      <xdr:nvPicPr>
        <xdr:cNvPr id="2" name="Picture 1">
          <a:extLst>
            <a:ext uri="{FF2B5EF4-FFF2-40B4-BE49-F238E27FC236}">
              <a16:creationId xmlns:a16="http://schemas.microsoft.com/office/drawing/2014/main" id="{202AC714-BA97-4AE9-9B98-BFDD1BDC08AD}"/>
            </a:ext>
          </a:extLst>
        </xdr:cNvPr>
        <xdr:cNvPicPr>
          <a:picLocks noChangeAspect="1"/>
        </xdr:cNvPicPr>
      </xdr:nvPicPr>
      <xdr:blipFill>
        <a:blip xmlns:r="http://schemas.openxmlformats.org/officeDocument/2006/relationships" r:embed="rId1"/>
        <a:stretch>
          <a:fillRect/>
        </a:stretch>
      </xdr:blipFill>
      <xdr:spPr>
        <a:xfrm>
          <a:off x="6034661" y="4389948"/>
          <a:ext cx="7906096" cy="14471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761</xdr:rowOff>
    </xdr:from>
    <xdr:ext cx="6861175" cy="0"/>
    <xdr:sp macro="" textlink="">
      <xdr:nvSpPr>
        <xdr:cNvPr id="2" name="Shape 2">
          <a:extLst>
            <a:ext uri="{FF2B5EF4-FFF2-40B4-BE49-F238E27FC236}">
              <a16:creationId xmlns:a16="http://schemas.microsoft.com/office/drawing/2014/main" id="{E9E79799-CE24-491C-A557-B368B7128CE8}"/>
            </a:ext>
          </a:extLst>
        </xdr:cNvPr>
        <xdr:cNvSpPr/>
      </xdr:nvSpPr>
      <xdr:spPr>
        <a:xfrm>
          <a:off x="0" y="1143761"/>
          <a:ext cx="6861175" cy="0"/>
        </a:xfrm>
        <a:custGeom>
          <a:avLst/>
          <a:gdLst/>
          <a:ahLst/>
          <a:cxnLst/>
          <a:rect l="0" t="0" r="0" b="0"/>
          <a:pathLst>
            <a:path w="6861175">
              <a:moveTo>
                <a:pt x="0" y="0"/>
              </a:moveTo>
              <a:lnTo>
                <a:pt x="6861048" y="0"/>
              </a:lnTo>
            </a:path>
          </a:pathLst>
        </a:custGeom>
        <a:ln w="3175">
          <a:solidFill>
            <a:srgbClr val="000000"/>
          </a:solidFill>
        </a:ln>
      </xdr:spPr>
    </xdr:sp>
    <xdr:clientData/>
  </xdr:oneCellAnchor>
  <xdr:oneCellAnchor>
    <xdr:from>
      <xdr:col>0</xdr:col>
      <xdr:colOff>0</xdr:colOff>
      <xdr:row>12</xdr:row>
      <xdr:rowOff>761</xdr:rowOff>
    </xdr:from>
    <xdr:ext cx="6861175" cy="0"/>
    <xdr:sp macro="" textlink="">
      <xdr:nvSpPr>
        <xdr:cNvPr id="3" name="Shape 3">
          <a:extLst>
            <a:ext uri="{FF2B5EF4-FFF2-40B4-BE49-F238E27FC236}">
              <a16:creationId xmlns:a16="http://schemas.microsoft.com/office/drawing/2014/main" id="{96199B26-6CD9-4EF6-B578-90BA7811A11C}"/>
            </a:ext>
          </a:extLst>
        </xdr:cNvPr>
        <xdr:cNvSpPr/>
      </xdr:nvSpPr>
      <xdr:spPr>
        <a:xfrm>
          <a:off x="0" y="2067686"/>
          <a:ext cx="6861175" cy="0"/>
        </a:xfrm>
        <a:custGeom>
          <a:avLst/>
          <a:gdLst/>
          <a:ahLst/>
          <a:cxnLst/>
          <a:rect l="0" t="0" r="0" b="0"/>
          <a:pathLst>
            <a:path w="6861175">
              <a:moveTo>
                <a:pt x="0" y="0"/>
              </a:moveTo>
              <a:lnTo>
                <a:pt x="6861048" y="0"/>
              </a:lnTo>
            </a:path>
          </a:pathLst>
        </a:custGeom>
        <a:ln w="3175">
          <a:solidFill>
            <a:srgbClr val="000000"/>
          </a:solidFill>
        </a:ln>
      </xdr:spPr>
    </xdr:sp>
    <xdr:clientData/>
  </xdr:oneCellAnchor>
  <xdr:oneCellAnchor>
    <xdr:from>
      <xdr:col>0</xdr:col>
      <xdr:colOff>0</xdr:colOff>
      <xdr:row>20</xdr:row>
      <xdr:rowOff>761</xdr:rowOff>
    </xdr:from>
    <xdr:ext cx="6861175" cy="0"/>
    <xdr:sp macro="" textlink="">
      <xdr:nvSpPr>
        <xdr:cNvPr id="4" name="Shape 4">
          <a:extLst>
            <a:ext uri="{FF2B5EF4-FFF2-40B4-BE49-F238E27FC236}">
              <a16:creationId xmlns:a16="http://schemas.microsoft.com/office/drawing/2014/main" id="{3E511C8F-C22D-49D9-8A3B-B6A4A57C5002}"/>
            </a:ext>
          </a:extLst>
        </xdr:cNvPr>
        <xdr:cNvSpPr/>
      </xdr:nvSpPr>
      <xdr:spPr>
        <a:xfrm>
          <a:off x="0" y="3086861"/>
          <a:ext cx="6861175" cy="0"/>
        </a:xfrm>
        <a:custGeom>
          <a:avLst/>
          <a:gdLst/>
          <a:ahLst/>
          <a:cxnLst/>
          <a:rect l="0" t="0" r="0" b="0"/>
          <a:pathLst>
            <a:path w="6861175">
              <a:moveTo>
                <a:pt x="0" y="0"/>
              </a:moveTo>
              <a:lnTo>
                <a:pt x="6861048" y="0"/>
              </a:lnTo>
            </a:path>
          </a:pathLst>
        </a:custGeom>
        <a:ln w="3175">
          <a:solidFill>
            <a:srgbClr val="000000"/>
          </a:solidFill>
        </a:ln>
      </xdr:spPr>
    </xdr:sp>
    <xdr:clientData/>
  </xdr:oneCellAnchor>
  <xdr:oneCellAnchor>
    <xdr:from>
      <xdr:col>0</xdr:col>
      <xdr:colOff>0</xdr:colOff>
      <xdr:row>18</xdr:row>
      <xdr:rowOff>761</xdr:rowOff>
    </xdr:from>
    <xdr:ext cx="6861175" cy="0"/>
    <xdr:sp macro="" textlink="">
      <xdr:nvSpPr>
        <xdr:cNvPr id="5" name="Shape 5">
          <a:extLst>
            <a:ext uri="{FF2B5EF4-FFF2-40B4-BE49-F238E27FC236}">
              <a16:creationId xmlns:a16="http://schemas.microsoft.com/office/drawing/2014/main" id="{ED1A5549-BA8E-4CFB-ABC5-531023051AAD}"/>
            </a:ext>
          </a:extLst>
        </xdr:cNvPr>
        <xdr:cNvSpPr/>
      </xdr:nvSpPr>
      <xdr:spPr>
        <a:xfrm>
          <a:off x="0" y="2915411"/>
          <a:ext cx="6861175" cy="0"/>
        </a:xfrm>
        <a:custGeom>
          <a:avLst/>
          <a:gdLst/>
          <a:ahLst/>
          <a:cxnLst/>
          <a:rect l="0" t="0" r="0" b="0"/>
          <a:pathLst>
            <a:path w="6861175">
              <a:moveTo>
                <a:pt x="0" y="0"/>
              </a:moveTo>
              <a:lnTo>
                <a:pt x="6861048" y="0"/>
              </a:lnTo>
            </a:path>
          </a:pathLst>
        </a:custGeom>
        <a:ln w="3175">
          <a:solidFill>
            <a:srgbClr val="000000"/>
          </a:solidFill>
        </a:ln>
      </xdr:spPr>
    </xdr:sp>
    <xdr:clientData/>
  </xdr:oneCellAnchor>
  <xdr:oneCellAnchor>
    <xdr:from>
      <xdr:col>0</xdr:col>
      <xdr:colOff>0</xdr:colOff>
      <xdr:row>79</xdr:row>
      <xdr:rowOff>762</xdr:rowOff>
    </xdr:from>
    <xdr:ext cx="6861175" cy="0"/>
    <xdr:sp macro="" textlink="">
      <xdr:nvSpPr>
        <xdr:cNvPr id="6" name="Shape 6">
          <a:extLst>
            <a:ext uri="{FF2B5EF4-FFF2-40B4-BE49-F238E27FC236}">
              <a16:creationId xmlns:a16="http://schemas.microsoft.com/office/drawing/2014/main" id="{530E09B9-F798-4A11-85DF-548D2C30B49D}"/>
            </a:ext>
          </a:extLst>
        </xdr:cNvPr>
        <xdr:cNvSpPr/>
      </xdr:nvSpPr>
      <xdr:spPr>
        <a:xfrm>
          <a:off x="0" y="14221587"/>
          <a:ext cx="6861175" cy="0"/>
        </a:xfrm>
        <a:custGeom>
          <a:avLst/>
          <a:gdLst/>
          <a:ahLst/>
          <a:cxnLst/>
          <a:rect l="0" t="0" r="0" b="0"/>
          <a:pathLst>
            <a:path w="6861175">
              <a:moveTo>
                <a:pt x="0" y="0"/>
              </a:moveTo>
              <a:lnTo>
                <a:pt x="6861048" y="0"/>
              </a:lnTo>
            </a:path>
          </a:pathLst>
        </a:custGeom>
        <a:ln w="3175">
          <a:solidFill>
            <a:srgbClr val="000000"/>
          </a:solidFill>
        </a:ln>
      </xdr:spPr>
    </xdr:sp>
    <xdr:clientData/>
  </xdr:oneCellAnchor>
  <xdr:oneCellAnchor>
    <xdr:from>
      <xdr:col>0</xdr:col>
      <xdr:colOff>0</xdr:colOff>
      <xdr:row>59</xdr:row>
      <xdr:rowOff>761</xdr:rowOff>
    </xdr:from>
    <xdr:ext cx="6861175" cy="0"/>
    <xdr:sp macro="" textlink="">
      <xdr:nvSpPr>
        <xdr:cNvPr id="7" name="Shape 7">
          <a:extLst>
            <a:ext uri="{FF2B5EF4-FFF2-40B4-BE49-F238E27FC236}">
              <a16:creationId xmlns:a16="http://schemas.microsoft.com/office/drawing/2014/main" id="{CECBF045-5033-4B91-815D-EA4E8E6F8383}"/>
            </a:ext>
          </a:extLst>
        </xdr:cNvPr>
        <xdr:cNvSpPr/>
      </xdr:nvSpPr>
      <xdr:spPr>
        <a:xfrm>
          <a:off x="0" y="10468736"/>
          <a:ext cx="6861175" cy="0"/>
        </a:xfrm>
        <a:custGeom>
          <a:avLst/>
          <a:gdLst/>
          <a:ahLst/>
          <a:cxnLst/>
          <a:rect l="0" t="0" r="0" b="0"/>
          <a:pathLst>
            <a:path w="6861175">
              <a:moveTo>
                <a:pt x="0" y="0"/>
              </a:moveTo>
              <a:lnTo>
                <a:pt x="6861048" y="0"/>
              </a:lnTo>
            </a:path>
          </a:pathLst>
        </a:custGeom>
        <a:ln w="3175">
          <a:solidFill>
            <a:srgbClr val="000000"/>
          </a:solidFill>
        </a:ln>
      </xdr:spPr>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4</xdr:row>
      <xdr:rowOff>1063</xdr:rowOff>
    </xdr:from>
    <xdr:ext cx="6830059" cy="0"/>
    <xdr:sp macro="" textlink="">
      <xdr:nvSpPr>
        <xdr:cNvPr id="2" name="Shape 2">
          <a:extLst>
            <a:ext uri="{FF2B5EF4-FFF2-40B4-BE49-F238E27FC236}">
              <a16:creationId xmlns:a16="http://schemas.microsoft.com/office/drawing/2014/main" id="{F3028708-6BDE-47D9-AAD7-A7C8296468B0}"/>
            </a:ext>
          </a:extLst>
        </xdr:cNvPr>
        <xdr:cNvSpPr/>
      </xdr:nvSpPr>
      <xdr:spPr>
        <a:xfrm>
          <a:off x="0" y="782113"/>
          <a:ext cx="6830059" cy="0"/>
        </a:xfrm>
        <a:custGeom>
          <a:avLst/>
          <a:gdLst/>
          <a:ahLst/>
          <a:cxnLst/>
          <a:rect l="0" t="0" r="0" b="0"/>
          <a:pathLst>
            <a:path w="6830059">
              <a:moveTo>
                <a:pt x="0" y="0"/>
              </a:moveTo>
              <a:lnTo>
                <a:pt x="6829933" y="0"/>
              </a:lnTo>
            </a:path>
          </a:pathLst>
        </a:custGeom>
        <a:ln w="3175">
          <a:solidFill>
            <a:srgbClr val="000000"/>
          </a:solidFill>
        </a:ln>
      </xdr:spPr>
    </xdr:sp>
    <xdr:clientData/>
  </xdr:oneCellAnchor>
  <xdr:twoCellAnchor editAs="oneCell">
    <xdr:from>
      <xdr:col>0</xdr:col>
      <xdr:colOff>0</xdr:colOff>
      <xdr:row>12</xdr:row>
      <xdr:rowOff>759</xdr:rowOff>
    </xdr:from>
    <xdr:to>
      <xdr:col>10</xdr:col>
      <xdr:colOff>337184</xdr:colOff>
      <xdr:row>12</xdr:row>
      <xdr:rowOff>759</xdr:rowOff>
    </xdr:to>
    <xdr:sp macro="" textlink="">
      <xdr:nvSpPr>
        <xdr:cNvPr id="3" name="Shape 3">
          <a:extLst>
            <a:ext uri="{FF2B5EF4-FFF2-40B4-BE49-F238E27FC236}">
              <a16:creationId xmlns:a16="http://schemas.microsoft.com/office/drawing/2014/main" id="{747B8AC7-A91E-430D-8B8A-6C2228EE97EF}"/>
            </a:ext>
          </a:extLst>
        </xdr:cNvPr>
        <xdr:cNvSpPr/>
      </xdr:nvSpPr>
      <xdr:spPr>
        <a:xfrm>
          <a:off x="0" y="2067684"/>
          <a:ext cx="7099934" cy="0"/>
        </a:xfrm>
        <a:custGeom>
          <a:avLst/>
          <a:gdLst/>
          <a:ahLst/>
          <a:cxnLst/>
          <a:rect l="0" t="0" r="0" b="0"/>
          <a:pathLst>
            <a:path w="6830059">
              <a:moveTo>
                <a:pt x="0" y="0"/>
              </a:moveTo>
              <a:lnTo>
                <a:pt x="6829933" y="0"/>
              </a:lnTo>
            </a:path>
          </a:pathLst>
        </a:custGeom>
        <a:ln w="3175">
          <a:solidFill>
            <a:srgbClr val="000000"/>
          </a:solidFill>
        </a:ln>
      </xdr:spPr>
    </xdr:sp>
    <xdr:clientData/>
  </xdr:twoCellAnchor>
  <xdr:oneCellAnchor>
    <xdr:from>
      <xdr:col>0</xdr:col>
      <xdr:colOff>0</xdr:colOff>
      <xdr:row>55</xdr:row>
      <xdr:rowOff>607</xdr:rowOff>
    </xdr:from>
    <xdr:ext cx="6830059" cy="0"/>
    <xdr:sp macro="" textlink="">
      <xdr:nvSpPr>
        <xdr:cNvPr id="4" name="Shape 4">
          <a:extLst>
            <a:ext uri="{FF2B5EF4-FFF2-40B4-BE49-F238E27FC236}">
              <a16:creationId xmlns:a16="http://schemas.microsoft.com/office/drawing/2014/main" id="{26B502B9-8FBA-4173-9099-372FA6B78E2F}"/>
            </a:ext>
          </a:extLst>
        </xdr:cNvPr>
        <xdr:cNvSpPr/>
      </xdr:nvSpPr>
      <xdr:spPr>
        <a:xfrm>
          <a:off x="0" y="10125682"/>
          <a:ext cx="6830059" cy="0"/>
        </a:xfrm>
        <a:custGeom>
          <a:avLst/>
          <a:gdLst/>
          <a:ahLst/>
          <a:cxnLst/>
          <a:rect l="0" t="0" r="0" b="0"/>
          <a:pathLst>
            <a:path w="6830059">
              <a:moveTo>
                <a:pt x="0" y="0"/>
              </a:moveTo>
              <a:lnTo>
                <a:pt x="6829933" y="0"/>
              </a:lnTo>
            </a:path>
          </a:pathLst>
        </a:custGeom>
        <a:ln w="3175">
          <a:solidFill>
            <a:srgbClr val="000000"/>
          </a:solidFill>
        </a:ln>
      </xdr:spPr>
    </xdr:sp>
    <xdr:clientData/>
  </xdr:oneCellAnchor>
  <xdr:oneCellAnchor>
    <xdr:from>
      <xdr:col>0</xdr:col>
      <xdr:colOff>0</xdr:colOff>
      <xdr:row>53</xdr:row>
      <xdr:rowOff>607</xdr:rowOff>
    </xdr:from>
    <xdr:ext cx="6830059" cy="0"/>
    <xdr:sp macro="" textlink="">
      <xdr:nvSpPr>
        <xdr:cNvPr id="5" name="Shape 5">
          <a:extLst>
            <a:ext uri="{FF2B5EF4-FFF2-40B4-BE49-F238E27FC236}">
              <a16:creationId xmlns:a16="http://schemas.microsoft.com/office/drawing/2014/main" id="{4FB92942-780A-4ECB-BDFF-FA0F8403C03A}"/>
            </a:ext>
          </a:extLst>
        </xdr:cNvPr>
        <xdr:cNvSpPr/>
      </xdr:nvSpPr>
      <xdr:spPr>
        <a:xfrm>
          <a:off x="0" y="9954232"/>
          <a:ext cx="6830059" cy="0"/>
        </a:xfrm>
        <a:custGeom>
          <a:avLst/>
          <a:gdLst/>
          <a:ahLst/>
          <a:cxnLst/>
          <a:rect l="0" t="0" r="0" b="0"/>
          <a:pathLst>
            <a:path w="6830059">
              <a:moveTo>
                <a:pt x="0" y="0"/>
              </a:moveTo>
              <a:lnTo>
                <a:pt x="6829933" y="0"/>
              </a:lnTo>
            </a:path>
          </a:pathLst>
        </a:custGeom>
        <a:ln w="3175">
          <a:solidFill>
            <a:srgbClr val="000000"/>
          </a:solidFill>
        </a:ln>
      </xdr:spPr>
    </xdr:sp>
    <xdr:clientData/>
  </xdr:oneCellAnchor>
  <xdr:oneCellAnchor>
    <xdr:from>
      <xdr:col>0</xdr:col>
      <xdr:colOff>0</xdr:colOff>
      <xdr:row>117</xdr:row>
      <xdr:rowOff>608</xdr:rowOff>
    </xdr:from>
    <xdr:ext cx="6830059" cy="0"/>
    <xdr:sp macro="" textlink="">
      <xdr:nvSpPr>
        <xdr:cNvPr id="6" name="Shape 6">
          <a:extLst>
            <a:ext uri="{FF2B5EF4-FFF2-40B4-BE49-F238E27FC236}">
              <a16:creationId xmlns:a16="http://schemas.microsoft.com/office/drawing/2014/main" id="{695D45E6-FC61-49ED-837B-EE6DB4F333E3}"/>
            </a:ext>
          </a:extLst>
        </xdr:cNvPr>
        <xdr:cNvSpPr/>
      </xdr:nvSpPr>
      <xdr:spPr>
        <a:xfrm>
          <a:off x="0" y="21650933"/>
          <a:ext cx="6830059" cy="0"/>
        </a:xfrm>
        <a:custGeom>
          <a:avLst/>
          <a:gdLst/>
          <a:ahLst/>
          <a:cxnLst/>
          <a:rect l="0" t="0" r="0" b="0"/>
          <a:pathLst>
            <a:path w="6830059">
              <a:moveTo>
                <a:pt x="0" y="0"/>
              </a:moveTo>
              <a:lnTo>
                <a:pt x="6829933" y="0"/>
              </a:lnTo>
            </a:path>
          </a:pathLst>
        </a:custGeom>
        <a:ln w="3175">
          <a:solidFill>
            <a:srgbClr val="000000"/>
          </a:solidFill>
        </a:ln>
      </xdr:spPr>
    </xdr:sp>
    <xdr:clientData/>
  </xdr:oneCellAnchor>
  <xdr:oneCellAnchor>
    <xdr:from>
      <xdr:col>0</xdr:col>
      <xdr:colOff>0</xdr:colOff>
      <xdr:row>103</xdr:row>
      <xdr:rowOff>608</xdr:rowOff>
    </xdr:from>
    <xdr:ext cx="6830059" cy="0"/>
    <xdr:sp macro="" textlink="">
      <xdr:nvSpPr>
        <xdr:cNvPr id="7" name="Shape 7">
          <a:extLst>
            <a:ext uri="{FF2B5EF4-FFF2-40B4-BE49-F238E27FC236}">
              <a16:creationId xmlns:a16="http://schemas.microsoft.com/office/drawing/2014/main" id="{B1793FA8-38FE-4CCD-9A9C-79C61A88053C}"/>
            </a:ext>
          </a:extLst>
        </xdr:cNvPr>
        <xdr:cNvSpPr/>
      </xdr:nvSpPr>
      <xdr:spPr>
        <a:xfrm>
          <a:off x="0" y="19745933"/>
          <a:ext cx="6830059" cy="0"/>
        </a:xfrm>
        <a:custGeom>
          <a:avLst/>
          <a:gdLst/>
          <a:ahLst/>
          <a:cxnLst/>
          <a:rect l="0" t="0" r="0" b="0"/>
          <a:pathLst>
            <a:path w="6830059">
              <a:moveTo>
                <a:pt x="0" y="0"/>
              </a:moveTo>
              <a:lnTo>
                <a:pt x="6829933" y="0"/>
              </a:lnTo>
            </a:path>
          </a:pathLst>
        </a:custGeom>
        <a:ln w="3175">
          <a:solidFill>
            <a:srgbClr val="000000"/>
          </a:solidFill>
        </a:ln>
      </xdr:spPr>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49910</xdr:colOff>
      <xdr:row>12</xdr:row>
      <xdr:rowOff>88391</xdr:rowOff>
    </xdr:from>
    <xdr:ext cx="787400" cy="2654300"/>
    <xdr:grpSp>
      <xdr:nvGrpSpPr>
        <xdr:cNvPr id="2" name="Group 2">
          <a:extLst>
            <a:ext uri="{FF2B5EF4-FFF2-40B4-BE49-F238E27FC236}">
              <a16:creationId xmlns:a16="http://schemas.microsoft.com/office/drawing/2014/main" id="{AEED2A7F-0797-43C9-B6FE-0AC294AE31CB}"/>
            </a:ext>
          </a:extLst>
        </xdr:cNvPr>
        <xdr:cNvGrpSpPr/>
      </xdr:nvGrpSpPr>
      <xdr:grpSpPr>
        <a:xfrm>
          <a:off x="3831335" y="2260091"/>
          <a:ext cx="787400" cy="2654300"/>
          <a:chOff x="0" y="0"/>
          <a:chExt cx="787400" cy="2654300"/>
        </a:xfrm>
      </xdr:grpSpPr>
      <xdr:sp macro="" textlink="">
        <xdr:nvSpPr>
          <xdr:cNvPr id="3" name="Shape 3">
            <a:extLst>
              <a:ext uri="{FF2B5EF4-FFF2-40B4-BE49-F238E27FC236}">
                <a16:creationId xmlns:a16="http://schemas.microsoft.com/office/drawing/2014/main" id="{A653ABD8-F7CE-8B77-BB19-B10CC6B13C92}"/>
              </a:ext>
            </a:extLst>
          </xdr:cNvPr>
          <xdr:cNvSpPr/>
        </xdr:nvSpPr>
        <xdr:spPr>
          <a:xfrm>
            <a:off x="51816" y="1455432"/>
            <a:ext cx="120650" cy="73660"/>
          </a:xfrm>
          <a:custGeom>
            <a:avLst/>
            <a:gdLst/>
            <a:ahLst/>
            <a:cxnLst/>
            <a:rect l="0" t="0" r="0" b="0"/>
            <a:pathLst>
              <a:path w="120650" h="73660">
                <a:moveTo>
                  <a:pt x="53340" y="18288"/>
                </a:moveTo>
                <a:lnTo>
                  <a:pt x="50292" y="12192"/>
                </a:lnTo>
                <a:lnTo>
                  <a:pt x="48768" y="7620"/>
                </a:lnTo>
                <a:lnTo>
                  <a:pt x="45720" y="4572"/>
                </a:lnTo>
                <a:lnTo>
                  <a:pt x="42672" y="3048"/>
                </a:lnTo>
                <a:lnTo>
                  <a:pt x="42672" y="15240"/>
                </a:lnTo>
                <a:lnTo>
                  <a:pt x="42672" y="25908"/>
                </a:lnTo>
                <a:lnTo>
                  <a:pt x="41148" y="30480"/>
                </a:lnTo>
                <a:lnTo>
                  <a:pt x="39624" y="30480"/>
                </a:lnTo>
                <a:lnTo>
                  <a:pt x="36576" y="33528"/>
                </a:lnTo>
                <a:lnTo>
                  <a:pt x="32004" y="35052"/>
                </a:lnTo>
                <a:lnTo>
                  <a:pt x="9144" y="35052"/>
                </a:lnTo>
                <a:lnTo>
                  <a:pt x="9144" y="9144"/>
                </a:lnTo>
                <a:lnTo>
                  <a:pt x="35052" y="9144"/>
                </a:lnTo>
                <a:lnTo>
                  <a:pt x="38100" y="10668"/>
                </a:lnTo>
                <a:lnTo>
                  <a:pt x="39624" y="12192"/>
                </a:lnTo>
                <a:lnTo>
                  <a:pt x="39624" y="15240"/>
                </a:lnTo>
                <a:lnTo>
                  <a:pt x="42672" y="15240"/>
                </a:lnTo>
                <a:lnTo>
                  <a:pt x="42672" y="3048"/>
                </a:lnTo>
                <a:lnTo>
                  <a:pt x="36576" y="0"/>
                </a:lnTo>
                <a:lnTo>
                  <a:pt x="0" y="0"/>
                </a:lnTo>
                <a:lnTo>
                  <a:pt x="0" y="73152"/>
                </a:lnTo>
                <a:lnTo>
                  <a:pt x="9144" y="73152"/>
                </a:lnTo>
                <a:lnTo>
                  <a:pt x="9144" y="44196"/>
                </a:lnTo>
                <a:lnTo>
                  <a:pt x="36576" y="44196"/>
                </a:lnTo>
                <a:lnTo>
                  <a:pt x="42672" y="41757"/>
                </a:lnTo>
                <a:lnTo>
                  <a:pt x="44196" y="41148"/>
                </a:lnTo>
                <a:lnTo>
                  <a:pt x="47244" y="38100"/>
                </a:lnTo>
                <a:lnTo>
                  <a:pt x="50292" y="32004"/>
                </a:lnTo>
                <a:lnTo>
                  <a:pt x="53340" y="27432"/>
                </a:lnTo>
                <a:lnTo>
                  <a:pt x="53340" y="18288"/>
                </a:lnTo>
              </a:path>
              <a:path w="120650" h="73660">
                <a:moveTo>
                  <a:pt x="120396" y="0"/>
                </a:moveTo>
                <a:lnTo>
                  <a:pt x="111252" y="0"/>
                </a:lnTo>
                <a:lnTo>
                  <a:pt x="111252" y="30480"/>
                </a:lnTo>
                <a:lnTo>
                  <a:pt x="74676" y="30480"/>
                </a:lnTo>
                <a:lnTo>
                  <a:pt x="74676" y="0"/>
                </a:lnTo>
                <a:lnTo>
                  <a:pt x="65532" y="0"/>
                </a:lnTo>
                <a:lnTo>
                  <a:pt x="65532" y="73152"/>
                </a:lnTo>
                <a:lnTo>
                  <a:pt x="74676" y="73152"/>
                </a:lnTo>
                <a:lnTo>
                  <a:pt x="74676" y="38100"/>
                </a:lnTo>
                <a:lnTo>
                  <a:pt x="111252" y="38100"/>
                </a:lnTo>
                <a:lnTo>
                  <a:pt x="111252" y="73152"/>
                </a:lnTo>
                <a:lnTo>
                  <a:pt x="120396" y="73152"/>
                </a:lnTo>
                <a:lnTo>
                  <a:pt x="120396" y="0"/>
                </a:lnTo>
              </a:path>
            </a:pathLst>
          </a:custGeom>
          <a:solidFill>
            <a:srgbClr val="000000"/>
          </a:solidFill>
        </xdr:spPr>
      </xdr:sp>
      <xdr:pic>
        <xdr:nvPicPr>
          <xdr:cNvPr id="4" name="image1.png">
            <a:extLst>
              <a:ext uri="{FF2B5EF4-FFF2-40B4-BE49-F238E27FC236}">
                <a16:creationId xmlns:a16="http://schemas.microsoft.com/office/drawing/2014/main" id="{F597910B-2FA4-3CBA-BB81-7527149A5A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68808"/>
            <a:ext cx="161544" cy="76200"/>
          </a:xfrm>
          <a:prstGeom prst="rect">
            <a:avLst/>
          </a:prstGeom>
        </xdr:spPr>
      </xdr:pic>
      <xdr:pic>
        <xdr:nvPicPr>
          <xdr:cNvPr id="5" name="image2.png">
            <a:extLst>
              <a:ext uri="{FF2B5EF4-FFF2-40B4-BE49-F238E27FC236}">
                <a16:creationId xmlns:a16="http://schemas.microsoft.com/office/drawing/2014/main" id="{E448DEDF-0948-B154-696F-4872189F2F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8120" y="371856"/>
            <a:ext cx="70104" cy="71628"/>
          </a:xfrm>
          <a:prstGeom prst="rect">
            <a:avLst/>
          </a:prstGeom>
        </xdr:spPr>
      </xdr:pic>
      <xdr:sp macro="" textlink="">
        <xdr:nvSpPr>
          <xdr:cNvPr id="6" name="Shape 6">
            <a:extLst>
              <a:ext uri="{FF2B5EF4-FFF2-40B4-BE49-F238E27FC236}">
                <a16:creationId xmlns:a16="http://schemas.microsoft.com/office/drawing/2014/main" id="{BFD89F9F-8041-8CE4-E52A-203D849C2994}"/>
              </a:ext>
            </a:extLst>
          </xdr:cNvPr>
          <xdr:cNvSpPr/>
        </xdr:nvSpPr>
        <xdr:spPr>
          <a:xfrm>
            <a:off x="313944" y="370344"/>
            <a:ext cx="196850" cy="73660"/>
          </a:xfrm>
          <a:custGeom>
            <a:avLst/>
            <a:gdLst/>
            <a:ahLst/>
            <a:cxnLst/>
            <a:rect l="0" t="0" r="0" b="0"/>
            <a:pathLst>
              <a:path w="196850" h="73660">
                <a:moveTo>
                  <a:pt x="59436" y="68580"/>
                </a:moveTo>
                <a:lnTo>
                  <a:pt x="50292" y="53340"/>
                </a:lnTo>
                <a:lnTo>
                  <a:pt x="47244" y="48768"/>
                </a:lnTo>
                <a:lnTo>
                  <a:pt x="44196" y="47244"/>
                </a:lnTo>
                <a:lnTo>
                  <a:pt x="42672" y="44196"/>
                </a:lnTo>
                <a:lnTo>
                  <a:pt x="41148" y="42672"/>
                </a:lnTo>
                <a:lnTo>
                  <a:pt x="38100" y="41148"/>
                </a:lnTo>
                <a:lnTo>
                  <a:pt x="36576" y="41148"/>
                </a:lnTo>
                <a:lnTo>
                  <a:pt x="44196" y="39624"/>
                </a:lnTo>
                <a:lnTo>
                  <a:pt x="47244" y="37592"/>
                </a:lnTo>
                <a:lnTo>
                  <a:pt x="48768" y="36576"/>
                </a:lnTo>
                <a:lnTo>
                  <a:pt x="54864" y="30480"/>
                </a:lnTo>
                <a:lnTo>
                  <a:pt x="56388" y="25908"/>
                </a:lnTo>
                <a:lnTo>
                  <a:pt x="56388" y="16764"/>
                </a:lnTo>
                <a:lnTo>
                  <a:pt x="54864" y="12192"/>
                </a:lnTo>
                <a:lnTo>
                  <a:pt x="51816" y="6096"/>
                </a:lnTo>
                <a:lnTo>
                  <a:pt x="48768" y="3048"/>
                </a:lnTo>
                <a:lnTo>
                  <a:pt x="47244" y="3048"/>
                </a:lnTo>
                <a:lnTo>
                  <a:pt x="47244" y="16764"/>
                </a:lnTo>
                <a:lnTo>
                  <a:pt x="47244" y="22860"/>
                </a:lnTo>
                <a:lnTo>
                  <a:pt x="45720" y="25908"/>
                </a:lnTo>
                <a:lnTo>
                  <a:pt x="44196" y="25908"/>
                </a:lnTo>
                <a:lnTo>
                  <a:pt x="44196" y="28956"/>
                </a:lnTo>
                <a:lnTo>
                  <a:pt x="42672" y="30480"/>
                </a:lnTo>
                <a:lnTo>
                  <a:pt x="36576" y="33528"/>
                </a:lnTo>
                <a:lnTo>
                  <a:pt x="9144" y="33528"/>
                </a:lnTo>
                <a:lnTo>
                  <a:pt x="9144" y="9144"/>
                </a:lnTo>
                <a:lnTo>
                  <a:pt x="36576" y="9144"/>
                </a:lnTo>
                <a:lnTo>
                  <a:pt x="41148" y="10668"/>
                </a:lnTo>
                <a:lnTo>
                  <a:pt x="44196" y="10668"/>
                </a:lnTo>
                <a:lnTo>
                  <a:pt x="47244" y="16764"/>
                </a:lnTo>
                <a:lnTo>
                  <a:pt x="47244" y="3048"/>
                </a:lnTo>
                <a:lnTo>
                  <a:pt x="45720" y="3048"/>
                </a:lnTo>
                <a:lnTo>
                  <a:pt x="42672" y="1524"/>
                </a:lnTo>
                <a:lnTo>
                  <a:pt x="36576" y="0"/>
                </a:lnTo>
                <a:lnTo>
                  <a:pt x="0" y="0"/>
                </a:lnTo>
                <a:lnTo>
                  <a:pt x="0" y="73152"/>
                </a:lnTo>
                <a:lnTo>
                  <a:pt x="9144" y="73152"/>
                </a:lnTo>
                <a:lnTo>
                  <a:pt x="9144" y="41148"/>
                </a:lnTo>
                <a:lnTo>
                  <a:pt x="27432" y="41148"/>
                </a:lnTo>
                <a:lnTo>
                  <a:pt x="30480" y="44196"/>
                </a:lnTo>
                <a:lnTo>
                  <a:pt x="33528" y="45720"/>
                </a:lnTo>
                <a:lnTo>
                  <a:pt x="35052" y="48768"/>
                </a:lnTo>
                <a:lnTo>
                  <a:pt x="36576" y="50292"/>
                </a:lnTo>
                <a:lnTo>
                  <a:pt x="38100" y="54864"/>
                </a:lnTo>
                <a:lnTo>
                  <a:pt x="41148" y="57912"/>
                </a:lnTo>
                <a:lnTo>
                  <a:pt x="50292" y="73152"/>
                </a:lnTo>
                <a:lnTo>
                  <a:pt x="59436" y="68580"/>
                </a:lnTo>
              </a:path>
              <a:path w="196850" h="73660">
                <a:moveTo>
                  <a:pt x="126492" y="18288"/>
                </a:moveTo>
                <a:lnTo>
                  <a:pt x="124968" y="15240"/>
                </a:lnTo>
                <a:lnTo>
                  <a:pt x="123444" y="10668"/>
                </a:lnTo>
                <a:lnTo>
                  <a:pt x="121920" y="9144"/>
                </a:lnTo>
                <a:lnTo>
                  <a:pt x="120396" y="6096"/>
                </a:lnTo>
                <a:lnTo>
                  <a:pt x="117348" y="4572"/>
                </a:lnTo>
                <a:lnTo>
                  <a:pt x="115824" y="3048"/>
                </a:lnTo>
                <a:lnTo>
                  <a:pt x="115824" y="16764"/>
                </a:lnTo>
                <a:lnTo>
                  <a:pt x="115824" y="25908"/>
                </a:lnTo>
                <a:lnTo>
                  <a:pt x="112776" y="32004"/>
                </a:lnTo>
                <a:lnTo>
                  <a:pt x="109728" y="33528"/>
                </a:lnTo>
                <a:lnTo>
                  <a:pt x="105156" y="35052"/>
                </a:lnTo>
                <a:lnTo>
                  <a:pt x="82296" y="35052"/>
                </a:lnTo>
                <a:lnTo>
                  <a:pt x="82296" y="9144"/>
                </a:lnTo>
                <a:lnTo>
                  <a:pt x="106680" y="9144"/>
                </a:lnTo>
                <a:lnTo>
                  <a:pt x="108204" y="10668"/>
                </a:lnTo>
                <a:lnTo>
                  <a:pt x="112776" y="10668"/>
                </a:lnTo>
                <a:lnTo>
                  <a:pt x="112776" y="13716"/>
                </a:lnTo>
                <a:lnTo>
                  <a:pt x="115824" y="16764"/>
                </a:lnTo>
                <a:lnTo>
                  <a:pt x="115824" y="3048"/>
                </a:lnTo>
                <a:lnTo>
                  <a:pt x="112776" y="1524"/>
                </a:lnTo>
                <a:lnTo>
                  <a:pt x="109728" y="1524"/>
                </a:lnTo>
                <a:lnTo>
                  <a:pt x="106680" y="0"/>
                </a:lnTo>
                <a:lnTo>
                  <a:pt x="71628" y="0"/>
                </a:lnTo>
                <a:lnTo>
                  <a:pt x="71628" y="73152"/>
                </a:lnTo>
                <a:lnTo>
                  <a:pt x="82296" y="73152"/>
                </a:lnTo>
                <a:lnTo>
                  <a:pt x="82296" y="44196"/>
                </a:lnTo>
                <a:lnTo>
                  <a:pt x="109728" y="44196"/>
                </a:lnTo>
                <a:lnTo>
                  <a:pt x="115824" y="41757"/>
                </a:lnTo>
                <a:lnTo>
                  <a:pt x="117348" y="41148"/>
                </a:lnTo>
                <a:lnTo>
                  <a:pt x="120396" y="38100"/>
                </a:lnTo>
                <a:lnTo>
                  <a:pt x="123444" y="33528"/>
                </a:lnTo>
                <a:lnTo>
                  <a:pt x="126492" y="27432"/>
                </a:lnTo>
                <a:lnTo>
                  <a:pt x="126492" y="18288"/>
                </a:lnTo>
              </a:path>
              <a:path w="196850" h="73660">
                <a:moveTo>
                  <a:pt x="196596" y="0"/>
                </a:moveTo>
                <a:lnTo>
                  <a:pt x="190500" y="0"/>
                </a:lnTo>
                <a:lnTo>
                  <a:pt x="187452" y="9144"/>
                </a:lnTo>
                <a:lnTo>
                  <a:pt x="182880" y="10668"/>
                </a:lnTo>
                <a:lnTo>
                  <a:pt x="179832" y="15240"/>
                </a:lnTo>
                <a:lnTo>
                  <a:pt x="175260" y="18288"/>
                </a:lnTo>
                <a:lnTo>
                  <a:pt x="170688" y="18288"/>
                </a:lnTo>
                <a:lnTo>
                  <a:pt x="170688" y="27432"/>
                </a:lnTo>
                <a:lnTo>
                  <a:pt x="173736" y="25908"/>
                </a:lnTo>
                <a:lnTo>
                  <a:pt x="175260" y="25908"/>
                </a:lnTo>
                <a:lnTo>
                  <a:pt x="179832" y="22860"/>
                </a:lnTo>
                <a:lnTo>
                  <a:pt x="182880" y="19812"/>
                </a:lnTo>
                <a:lnTo>
                  <a:pt x="185928" y="18288"/>
                </a:lnTo>
                <a:lnTo>
                  <a:pt x="187452" y="16764"/>
                </a:lnTo>
                <a:lnTo>
                  <a:pt x="187452" y="73152"/>
                </a:lnTo>
                <a:lnTo>
                  <a:pt x="196596" y="73152"/>
                </a:lnTo>
                <a:lnTo>
                  <a:pt x="196596" y="0"/>
                </a:lnTo>
              </a:path>
            </a:pathLst>
          </a:custGeom>
          <a:solidFill>
            <a:srgbClr val="000000"/>
          </a:solidFill>
        </xdr:spPr>
      </xdr:sp>
      <xdr:pic>
        <xdr:nvPicPr>
          <xdr:cNvPr id="7" name="image3.png">
            <a:extLst>
              <a:ext uri="{FF2B5EF4-FFF2-40B4-BE49-F238E27FC236}">
                <a16:creationId xmlns:a16="http://schemas.microsoft.com/office/drawing/2014/main" id="{D27F4300-6A61-9901-05E7-28CFA8B8692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0352" y="370332"/>
            <a:ext cx="187452" cy="74676"/>
          </a:xfrm>
          <a:prstGeom prst="rect">
            <a:avLst/>
          </a:prstGeom>
        </xdr:spPr>
      </xdr:pic>
      <xdr:pic>
        <xdr:nvPicPr>
          <xdr:cNvPr id="8" name="image4.png">
            <a:extLst>
              <a:ext uri="{FF2B5EF4-FFF2-40B4-BE49-F238E27FC236}">
                <a16:creationId xmlns:a16="http://schemas.microsoft.com/office/drawing/2014/main" id="{27BAAF13-005B-0065-10AA-EF36B9D9D2C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104900"/>
            <a:ext cx="161544" cy="76200"/>
          </a:xfrm>
          <a:prstGeom prst="rect">
            <a:avLst/>
          </a:prstGeom>
        </xdr:spPr>
      </xdr:pic>
      <xdr:pic>
        <xdr:nvPicPr>
          <xdr:cNvPr id="9" name="image5.png">
            <a:extLst>
              <a:ext uri="{FF2B5EF4-FFF2-40B4-BE49-F238E27FC236}">
                <a16:creationId xmlns:a16="http://schemas.microsoft.com/office/drawing/2014/main" id="{73164625-CEDF-D638-5F99-2FA12F786BC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9644" y="1104900"/>
            <a:ext cx="68580" cy="76200"/>
          </a:xfrm>
          <a:prstGeom prst="rect">
            <a:avLst/>
          </a:prstGeom>
        </xdr:spPr>
      </xdr:pic>
      <xdr:sp macro="" textlink="">
        <xdr:nvSpPr>
          <xdr:cNvPr id="10" name="Shape 10">
            <a:extLst>
              <a:ext uri="{FF2B5EF4-FFF2-40B4-BE49-F238E27FC236}">
                <a16:creationId xmlns:a16="http://schemas.microsoft.com/office/drawing/2014/main" id="{EDAA0428-37CE-B728-E24F-2CB450D35FB3}"/>
              </a:ext>
            </a:extLst>
          </xdr:cNvPr>
          <xdr:cNvSpPr/>
        </xdr:nvSpPr>
        <xdr:spPr>
          <a:xfrm>
            <a:off x="313944" y="1104912"/>
            <a:ext cx="127000" cy="74930"/>
          </a:xfrm>
          <a:custGeom>
            <a:avLst/>
            <a:gdLst/>
            <a:ahLst/>
            <a:cxnLst/>
            <a:rect l="0" t="0" r="0" b="0"/>
            <a:pathLst>
              <a:path w="127000" h="74930">
                <a:moveTo>
                  <a:pt x="59436" y="68580"/>
                </a:moveTo>
                <a:lnTo>
                  <a:pt x="50292" y="53340"/>
                </a:lnTo>
                <a:lnTo>
                  <a:pt x="47244" y="50292"/>
                </a:lnTo>
                <a:lnTo>
                  <a:pt x="44196" y="45720"/>
                </a:lnTo>
                <a:lnTo>
                  <a:pt x="41148" y="42672"/>
                </a:lnTo>
                <a:lnTo>
                  <a:pt x="38100" y="41148"/>
                </a:lnTo>
                <a:lnTo>
                  <a:pt x="36576" y="41148"/>
                </a:lnTo>
                <a:lnTo>
                  <a:pt x="44196" y="39624"/>
                </a:lnTo>
                <a:lnTo>
                  <a:pt x="47244" y="38608"/>
                </a:lnTo>
                <a:lnTo>
                  <a:pt x="48768" y="38100"/>
                </a:lnTo>
                <a:lnTo>
                  <a:pt x="51816" y="33528"/>
                </a:lnTo>
                <a:lnTo>
                  <a:pt x="54864" y="30480"/>
                </a:lnTo>
                <a:lnTo>
                  <a:pt x="56388" y="25908"/>
                </a:lnTo>
                <a:lnTo>
                  <a:pt x="56388" y="16764"/>
                </a:lnTo>
                <a:lnTo>
                  <a:pt x="54864" y="13716"/>
                </a:lnTo>
                <a:lnTo>
                  <a:pt x="53340" y="9144"/>
                </a:lnTo>
                <a:lnTo>
                  <a:pt x="51816" y="6096"/>
                </a:lnTo>
                <a:lnTo>
                  <a:pt x="47244" y="3810"/>
                </a:lnTo>
                <a:lnTo>
                  <a:pt x="47244" y="16764"/>
                </a:lnTo>
                <a:lnTo>
                  <a:pt x="47244" y="22860"/>
                </a:lnTo>
                <a:lnTo>
                  <a:pt x="45720" y="24384"/>
                </a:lnTo>
                <a:lnTo>
                  <a:pt x="44196" y="27432"/>
                </a:lnTo>
                <a:lnTo>
                  <a:pt x="44196" y="30480"/>
                </a:lnTo>
                <a:lnTo>
                  <a:pt x="42672" y="30480"/>
                </a:lnTo>
                <a:lnTo>
                  <a:pt x="39624" y="32004"/>
                </a:lnTo>
                <a:lnTo>
                  <a:pt x="36576" y="32004"/>
                </a:lnTo>
                <a:lnTo>
                  <a:pt x="33528" y="33528"/>
                </a:lnTo>
                <a:lnTo>
                  <a:pt x="9144" y="33528"/>
                </a:lnTo>
                <a:lnTo>
                  <a:pt x="9144" y="7620"/>
                </a:lnTo>
                <a:lnTo>
                  <a:pt x="36576" y="7620"/>
                </a:lnTo>
                <a:lnTo>
                  <a:pt x="41148" y="9144"/>
                </a:lnTo>
                <a:lnTo>
                  <a:pt x="44196" y="12192"/>
                </a:lnTo>
                <a:lnTo>
                  <a:pt x="45720" y="15240"/>
                </a:lnTo>
                <a:lnTo>
                  <a:pt x="47244" y="16764"/>
                </a:lnTo>
                <a:lnTo>
                  <a:pt x="47244" y="3810"/>
                </a:lnTo>
                <a:lnTo>
                  <a:pt x="42672" y="1524"/>
                </a:lnTo>
                <a:lnTo>
                  <a:pt x="36576" y="0"/>
                </a:lnTo>
                <a:lnTo>
                  <a:pt x="0" y="0"/>
                </a:lnTo>
                <a:lnTo>
                  <a:pt x="0" y="74676"/>
                </a:lnTo>
                <a:lnTo>
                  <a:pt x="9144" y="74676"/>
                </a:lnTo>
                <a:lnTo>
                  <a:pt x="9144" y="41148"/>
                </a:lnTo>
                <a:lnTo>
                  <a:pt x="25908" y="41148"/>
                </a:lnTo>
                <a:lnTo>
                  <a:pt x="27432" y="42672"/>
                </a:lnTo>
                <a:lnTo>
                  <a:pt x="28956" y="42672"/>
                </a:lnTo>
                <a:lnTo>
                  <a:pt x="28956" y="44196"/>
                </a:lnTo>
                <a:lnTo>
                  <a:pt x="30480" y="45720"/>
                </a:lnTo>
                <a:lnTo>
                  <a:pt x="33528" y="45720"/>
                </a:lnTo>
                <a:lnTo>
                  <a:pt x="36576" y="51816"/>
                </a:lnTo>
                <a:lnTo>
                  <a:pt x="38100" y="53340"/>
                </a:lnTo>
                <a:lnTo>
                  <a:pt x="41148" y="59436"/>
                </a:lnTo>
                <a:lnTo>
                  <a:pt x="50292" y="74676"/>
                </a:lnTo>
                <a:lnTo>
                  <a:pt x="59436" y="68580"/>
                </a:lnTo>
              </a:path>
              <a:path w="127000" h="74930">
                <a:moveTo>
                  <a:pt x="126492" y="18288"/>
                </a:moveTo>
                <a:lnTo>
                  <a:pt x="121920" y="9144"/>
                </a:lnTo>
                <a:lnTo>
                  <a:pt x="115824" y="3048"/>
                </a:lnTo>
                <a:lnTo>
                  <a:pt x="115824" y="16764"/>
                </a:lnTo>
                <a:lnTo>
                  <a:pt x="115824" y="25908"/>
                </a:lnTo>
                <a:lnTo>
                  <a:pt x="114300" y="30480"/>
                </a:lnTo>
                <a:lnTo>
                  <a:pt x="109728" y="35052"/>
                </a:lnTo>
                <a:lnTo>
                  <a:pt x="105156" y="36576"/>
                </a:lnTo>
                <a:lnTo>
                  <a:pt x="82296" y="36576"/>
                </a:lnTo>
                <a:lnTo>
                  <a:pt x="82296" y="9144"/>
                </a:lnTo>
                <a:lnTo>
                  <a:pt x="108204" y="9144"/>
                </a:lnTo>
                <a:lnTo>
                  <a:pt x="111252" y="10668"/>
                </a:lnTo>
                <a:lnTo>
                  <a:pt x="112776" y="12192"/>
                </a:lnTo>
                <a:lnTo>
                  <a:pt x="112776" y="15240"/>
                </a:lnTo>
                <a:lnTo>
                  <a:pt x="115824" y="16764"/>
                </a:lnTo>
                <a:lnTo>
                  <a:pt x="115824" y="3048"/>
                </a:lnTo>
                <a:lnTo>
                  <a:pt x="112776" y="1524"/>
                </a:lnTo>
                <a:lnTo>
                  <a:pt x="109728" y="1524"/>
                </a:lnTo>
                <a:lnTo>
                  <a:pt x="106680" y="0"/>
                </a:lnTo>
                <a:lnTo>
                  <a:pt x="71628" y="0"/>
                </a:lnTo>
                <a:lnTo>
                  <a:pt x="71628" y="74676"/>
                </a:lnTo>
                <a:lnTo>
                  <a:pt x="82296" y="74676"/>
                </a:lnTo>
                <a:lnTo>
                  <a:pt x="82296" y="44196"/>
                </a:lnTo>
                <a:lnTo>
                  <a:pt x="109728" y="44196"/>
                </a:lnTo>
                <a:lnTo>
                  <a:pt x="115824" y="42976"/>
                </a:lnTo>
                <a:lnTo>
                  <a:pt x="117348" y="42672"/>
                </a:lnTo>
                <a:lnTo>
                  <a:pt x="126492" y="28956"/>
                </a:lnTo>
                <a:lnTo>
                  <a:pt x="126492" y="18288"/>
                </a:lnTo>
              </a:path>
            </a:pathLst>
          </a:custGeom>
          <a:solidFill>
            <a:srgbClr val="000000"/>
          </a:solidFill>
        </xdr:spPr>
      </xdr:sp>
      <xdr:pic>
        <xdr:nvPicPr>
          <xdr:cNvPr id="11" name="image6.png">
            <a:extLst>
              <a:ext uri="{FF2B5EF4-FFF2-40B4-BE49-F238E27FC236}">
                <a16:creationId xmlns:a16="http://schemas.microsoft.com/office/drawing/2014/main" id="{ECF1AD91-160E-C624-AF34-06A328164E5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75488" y="1104900"/>
            <a:ext cx="240792" cy="76200"/>
          </a:xfrm>
          <a:prstGeom prst="rect">
            <a:avLst/>
          </a:prstGeom>
        </xdr:spPr>
      </xdr:pic>
      <xdr:pic>
        <xdr:nvPicPr>
          <xdr:cNvPr id="12" name="image7.png">
            <a:extLst>
              <a:ext uri="{FF2B5EF4-FFF2-40B4-BE49-F238E27FC236}">
                <a16:creationId xmlns:a16="http://schemas.microsoft.com/office/drawing/2014/main" id="{3EDAF9C5-9B3D-6685-369A-A6E59FC8AD8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553212"/>
            <a:ext cx="161544" cy="76200"/>
          </a:xfrm>
          <a:prstGeom prst="rect">
            <a:avLst/>
          </a:prstGeom>
        </xdr:spPr>
      </xdr:pic>
      <xdr:pic>
        <xdr:nvPicPr>
          <xdr:cNvPr id="13" name="image8.png">
            <a:extLst>
              <a:ext uri="{FF2B5EF4-FFF2-40B4-BE49-F238E27FC236}">
                <a16:creationId xmlns:a16="http://schemas.microsoft.com/office/drawing/2014/main" id="{E6B93390-1E5E-6E1A-5E85-C5921086B7C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98120" y="556260"/>
            <a:ext cx="70104" cy="71628"/>
          </a:xfrm>
          <a:prstGeom prst="rect">
            <a:avLst/>
          </a:prstGeom>
        </xdr:spPr>
      </xdr:pic>
      <xdr:sp macro="" textlink="">
        <xdr:nvSpPr>
          <xdr:cNvPr id="14" name="Shape 14">
            <a:extLst>
              <a:ext uri="{FF2B5EF4-FFF2-40B4-BE49-F238E27FC236}">
                <a16:creationId xmlns:a16="http://schemas.microsoft.com/office/drawing/2014/main" id="{092A0ECA-8E5F-65E7-5801-891854DC8B72}"/>
              </a:ext>
            </a:extLst>
          </xdr:cNvPr>
          <xdr:cNvSpPr/>
        </xdr:nvSpPr>
        <xdr:spPr>
          <a:xfrm>
            <a:off x="313944" y="554748"/>
            <a:ext cx="196850" cy="73660"/>
          </a:xfrm>
          <a:custGeom>
            <a:avLst/>
            <a:gdLst/>
            <a:ahLst/>
            <a:cxnLst/>
            <a:rect l="0" t="0" r="0" b="0"/>
            <a:pathLst>
              <a:path w="196850" h="73660">
                <a:moveTo>
                  <a:pt x="59436" y="68580"/>
                </a:moveTo>
                <a:lnTo>
                  <a:pt x="50292" y="53340"/>
                </a:lnTo>
                <a:lnTo>
                  <a:pt x="47244" y="48768"/>
                </a:lnTo>
                <a:lnTo>
                  <a:pt x="44196" y="45720"/>
                </a:lnTo>
                <a:lnTo>
                  <a:pt x="42672" y="42672"/>
                </a:lnTo>
                <a:lnTo>
                  <a:pt x="41148" y="41148"/>
                </a:lnTo>
                <a:lnTo>
                  <a:pt x="38100" y="39624"/>
                </a:lnTo>
                <a:lnTo>
                  <a:pt x="44196" y="39624"/>
                </a:lnTo>
                <a:lnTo>
                  <a:pt x="47244" y="37592"/>
                </a:lnTo>
                <a:lnTo>
                  <a:pt x="48768" y="36576"/>
                </a:lnTo>
                <a:lnTo>
                  <a:pt x="51816" y="32004"/>
                </a:lnTo>
                <a:lnTo>
                  <a:pt x="54864" y="28956"/>
                </a:lnTo>
                <a:lnTo>
                  <a:pt x="56388" y="24384"/>
                </a:lnTo>
                <a:lnTo>
                  <a:pt x="56388" y="16764"/>
                </a:lnTo>
                <a:lnTo>
                  <a:pt x="54864" y="12192"/>
                </a:lnTo>
                <a:lnTo>
                  <a:pt x="53340" y="9144"/>
                </a:lnTo>
                <a:lnTo>
                  <a:pt x="51816" y="4572"/>
                </a:lnTo>
                <a:lnTo>
                  <a:pt x="47244" y="2286"/>
                </a:lnTo>
                <a:lnTo>
                  <a:pt x="47244" y="16764"/>
                </a:lnTo>
                <a:lnTo>
                  <a:pt x="47244" y="22860"/>
                </a:lnTo>
                <a:lnTo>
                  <a:pt x="44196" y="25908"/>
                </a:lnTo>
                <a:lnTo>
                  <a:pt x="44196" y="28956"/>
                </a:lnTo>
                <a:lnTo>
                  <a:pt x="42672" y="30480"/>
                </a:lnTo>
                <a:lnTo>
                  <a:pt x="39624" y="32004"/>
                </a:lnTo>
                <a:lnTo>
                  <a:pt x="9144" y="32004"/>
                </a:lnTo>
                <a:lnTo>
                  <a:pt x="9144" y="7620"/>
                </a:lnTo>
                <a:lnTo>
                  <a:pt x="36576" y="7620"/>
                </a:lnTo>
                <a:lnTo>
                  <a:pt x="41148" y="9144"/>
                </a:lnTo>
                <a:lnTo>
                  <a:pt x="44196" y="10668"/>
                </a:lnTo>
                <a:lnTo>
                  <a:pt x="47244" y="16764"/>
                </a:lnTo>
                <a:lnTo>
                  <a:pt x="47244" y="2286"/>
                </a:lnTo>
                <a:lnTo>
                  <a:pt x="45720" y="1524"/>
                </a:lnTo>
                <a:lnTo>
                  <a:pt x="42672" y="1524"/>
                </a:lnTo>
                <a:lnTo>
                  <a:pt x="36576" y="0"/>
                </a:lnTo>
                <a:lnTo>
                  <a:pt x="0" y="0"/>
                </a:lnTo>
                <a:lnTo>
                  <a:pt x="0" y="73152"/>
                </a:lnTo>
                <a:lnTo>
                  <a:pt x="9144" y="73152"/>
                </a:lnTo>
                <a:lnTo>
                  <a:pt x="9144" y="39624"/>
                </a:lnTo>
                <a:lnTo>
                  <a:pt x="25908" y="39624"/>
                </a:lnTo>
                <a:lnTo>
                  <a:pt x="27432" y="41148"/>
                </a:lnTo>
                <a:lnTo>
                  <a:pt x="28956" y="41148"/>
                </a:lnTo>
                <a:lnTo>
                  <a:pt x="28956" y="42672"/>
                </a:lnTo>
                <a:lnTo>
                  <a:pt x="30480" y="44196"/>
                </a:lnTo>
                <a:lnTo>
                  <a:pt x="33528" y="45720"/>
                </a:lnTo>
                <a:lnTo>
                  <a:pt x="35052" y="47244"/>
                </a:lnTo>
                <a:lnTo>
                  <a:pt x="36576" y="50292"/>
                </a:lnTo>
                <a:lnTo>
                  <a:pt x="38100" y="53340"/>
                </a:lnTo>
                <a:lnTo>
                  <a:pt x="41148" y="57912"/>
                </a:lnTo>
                <a:lnTo>
                  <a:pt x="50292" y="73152"/>
                </a:lnTo>
                <a:lnTo>
                  <a:pt x="59436" y="68580"/>
                </a:lnTo>
              </a:path>
              <a:path w="196850" h="73660">
                <a:moveTo>
                  <a:pt x="126492" y="16764"/>
                </a:moveTo>
                <a:lnTo>
                  <a:pt x="121920" y="7620"/>
                </a:lnTo>
                <a:lnTo>
                  <a:pt x="115824" y="1524"/>
                </a:lnTo>
                <a:lnTo>
                  <a:pt x="115824" y="16764"/>
                </a:lnTo>
                <a:lnTo>
                  <a:pt x="115824" y="24384"/>
                </a:lnTo>
                <a:lnTo>
                  <a:pt x="114300" y="28956"/>
                </a:lnTo>
                <a:lnTo>
                  <a:pt x="112776" y="32004"/>
                </a:lnTo>
                <a:lnTo>
                  <a:pt x="109728" y="33528"/>
                </a:lnTo>
                <a:lnTo>
                  <a:pt x="105156" y="35052"/>
                </a:lnTo>
                <a:lnTo>
                  <a:pt x="82296" y="35052"/>
                </a:lnTo>
                <a:lnTo>
                  <a:pt x="82296" y="9144"/>
                </a:lnTo>
                <a:lnTo>
                  <a:pt x="111252" y="9144"/>
                </a:lnTo>
                <a:lnTo>
                  <a:pt x="112776" y="10668"/>
                </a:lnTo>
                <a:lnTo>
                  <a:pt x="112776" y="13716"/>
                </a:lnTo>
                <a:lnTo>
                  <a:pt x="115824" y="16764"/>
                </a:lnTo>
                <a:lnTo>
                  <a:pt x="115824" y="1524"/>
                </a:lnTo>
                <a:lnTo>
                  <a:pt x="109728" y="1524"/>
                </a:lnTo>
                <a:lnTo>
                  <a:pt x="106680" y="0"/>
                </a:lnTo>
                <a:lnTo>
                  <a:pt x="71628" y="0"/>
                </a:lnTo>
                <a:lnTo>
                  <a:pt x="71628" y="73152"/>
                </a:lnTo>
                <a:lnTo>
                  <a:pt x="82296" y="73152"/>
                </a:lnTo>
                <a:lnTo>
                  <a:pt x="82296" y="42672"/>
                </a:lnTo>
                <a:lnTo>
                  <a:pt x="109728" y="42672"/>
                </a:lnTo>
                <a:lnTo>
                  <a:pt x="115824" y="41452"/>
                </a:lnTo>
                <a:lnTo>
                  <a:pt x="117348" y="41148"/>
                </a:lnTo>
                <a:lnTo>
                  <a:pt x="126492" y="27432"/>
                </a:lnTo>
                <a:lnTo>
                  <a:pt x="126492" y="16764"/>
                </a:lnTo>
              </a:path>
              <a:path w="196850" h="73660">
                <a:moveTo>
                  <a:pt x="196596" y="0"/>
                </a:moveTo>
                <a:lnTo>
                  <a:pt x="190500" y="0"/>
                </a:lnTo>
                <a:lnTo>
                  <a:pt x="188976" y="3048"/>
                </a:lnTo>
                <a:lnTo>
                  <a:pt x="187452" y="7620"/>
                </a:lnTo>
                <a:lnTo>
                  <a:pt x="182880" y="10668"/>
                </a:lnTo>
                <a:lnTo>
                  <a:pt x="179832" y="15240"/>
                </a:lnTo>
                <a:lnTo>
                  <a:pt x="175260" y="16764"/>
                </a:lnTo>
                <a:lnTo>
                  <a:pt x="170688" y="16764"/>
                </a:lnTo>
                <a:lnTo>
                  <a:pt x="170688" y="25908"/>
                </a:lnTo>
                <a:lnTo>
                  <a:pt x="173736" y="24384"/>
                </a:lnTo>
                <a:lnTo>
                  <a:pt x="175260" y="24384"/>
                </a:lnTo>
                <a:lnTo>
                  <a:pt x="179832" y="22860"/>
                </a:lnTo>
                <a:lnTo>
                  <a:pt x="185928" y="16764"/>
                </a:lnTo>
                <a:lnTo>
                  <a:pt x="187452" y="16764"/>
                </a:lnTo>
                <a:lnTo>
                  <a:pt x="187452" y="73152"/>
                </a:lnTo>
                <a:lnTo>
                  <a:pt x="196596" y="73152"/>
                </a:lnTo>
                <a:lnTo>
                  <a:pt x="196596" y="0"/>
                </a:lnTo>
              </a:path>
            </a:pathLst>
          </a:custGeom>
          <a:solidFill>
            <a:srgbClr val="000000"/>
          </a:solidFill>
        </xdr:spPr>
      </xdr:sp>
      <xdr:pic>
        <xdr:nvPicPr>
          <xdr:cNvPr id="15" name="image9.png">
            <a:extLst>
              <a:ext uri="{FF2B5EF4-FFF2-40B4-BE49-F238E27FC236}">
                <a16:creationId xmlns:a16="http://schemas.microsoft.com/office/drawing/2014/main" id="{3909FFF3-9FBD-AD8C-25BE-89EA6DE6A68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30352" y="554736"/>
            <a:ext cx="187452" cy="74676"/>
          </a:xfrm>
          <a:prstGeom prst="rect">
            <a:avLst/>
          </a:prstGeom>
        </xdr:spPr>
      </xdr:pic>
      <xdr:pic>
        <xdr:nvPicPr>
          <xdr:cNvPr id="16" name="image10.png">
            <a:extLst>
              <a:ext uri="{FF2B5EF4-FFF2-40B4-BE49-F238E27FC236}">
                <a16:creationId xmlns:a16="http://schemas.microsoft.com/office/drawing/2014/main" id="{4B38069E-9FAD-F392-B50A-A68F12DE939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1272540"/>
            <a:ext cx="161544" cy="76200"/>
          </a:xfrm>
          <a:prstGeom prst="rect">
            <a:avLst/>
          </a:prstGeom>
        </xdr:spPr>
      </xdr:pic>
      <xdr:pic>
        <xdr:nvPicPr>
          <xdr:cNvPr id="17" name="image11.png">
            <a:extLst>
              <a:ext uri="{FF2B5EF4-FFF2-40B4-BE49-F238E27FC236}">
                <a16:creationId xmlns:a16="http://schemas.microsoft.com/office/drawing/2014/main" id="{9DB93DF0-6E72-DDEB-3DB1-0F3858DA7C4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99644" y="1274064"/>
            <a:ext cx="68580" cy="74676"/>
          </a:xfrm>
          <a:prstGeom prst="rect">
            <a:avLst/>
          </a:prstGeom>
        </xdr:spPr>
      </xdr:pic>
      <xdr:sp macro="" textlink="">
        <xdr:nvSpPr>
          <xdr:cNvPr id="18" name="Shape 18">
            <a:extLst>
              <a:ext uri="{FF2B5EF4-FFF2-40B4-BE49-F238E27FC236}">
                <a16:creationId xmlns:a16="http://schemas.microsoft.com/office/drawing/2014/main" id="{A0DBAD22-9C84-F97A-8880-92A86CFE29BA}"/>
              </a:ext>
            </a:extLst>
          </xdr:cNvPr>
          <xdr:cNvSpPr/>
        </xdr:nvSpPr>
        <xdr:spPr>
          <a:xfrm>
            <a:off x="313944" y="1274076"/>
            <a:ext cx="127000" cy="74930"/>
          </a:xfrm>
          <a:custGeom>
            <a:avLst/>
            <a:gdLst/>
            <a:ahLst/>
            <a:cxnLst/>
            <a:rect l="0" t="0" r="0" b="0"/>
            <a:pathLst>
              <a:path w="127000" h="74930">
                <a:moveTo>
                  <a:pt x="59436" y="68580"/>
                </a:moveTo>
                <a:lnTo>
                  <a:pt x="50292" y="53340"/>
                </a:lnTo>
                <a:lnTo>
                  <a:pt x="44196" y="47244"/>
                </a:lnTo>
                <a:lnTo>
                  <a:pt x="42672" y="44196"/>
                </a:lnTo>
                <a:lnTo>
                  <a:pt x="41148" y="44196"/>
                </a:lnTo>
                <a:lnTo>
                  <a:pt x="38100" y="42672"/>
                </a:lnTo>
                <a:lnTo>
                  <a:pt x="36576" y="41148"/>
                </a:lnTo>
                <a:lnTo>
                  <a:pt x="44196" y="39624"/>
                </a:lnTo>
                <a:lnTo>
                  <a:pt x="47244" y="37592"/>
                </a:lnTo>
                <a:lnTo>
                  <a:pt x="48768" y="36576"/>
                </a:lnTo>
                <a:lnTo>
                  <a:pt x="54864" y="30480"/>
                </a:lnTo>
                <a:lnTo>
                  <a:pt x="56388" y="25908"/>
                </a:lnTo>
                <a:lnTo>
                  <a:pt x="56388" y="16764"/>
                </a:lnTo>
                <a:lnTo>
                  <a:pt x="54864" y="13716"/>
                </a:lnTo>
                <a:lnTo>
                  <a:pt x="53340" y="9144"/>
                </a:lnTo>
                <a:lnTo>
                  <a:pt x="51816" y="6096"/>
                </a:lnTo>
                <a:lnTo>
                  <a:pt x="47244" y="3810"/>
                </a:lnTo>
                <a:lnTo>
                  <a:pt x="47244" y="16764"/>
                </a:lnTo>
                <a:lnTo>
                  <a:pt x="47244" y="22860"/>
                </a:lnTo>
                <a:lnTo>
                  <a:pt x="45720" y="25908"/>
                </a:lnTo>
                <a:lnTo>
                  <a:pt x="44196" y="27432"/>
                </a:lnTo>
                <a:lnTo>
                  <a:pt x="44196" y="28956"/>
                </a:lnTo>
                <a:lnTo>
                  <a:pt x="42672" y="30480"/>
                </a:lnTo>
                <a:lnTo>
                  <a:pt x="39624" y="32004"/>
                </a:lnTo>
                <a:lnTo>
                  <a:pt x="36576" y="32004"/>
                </a:lnTo>
                <a:lnTo>
                  <a:pt x="33528" y="33528"/>
                </a:lnTo>
                <a:lnTo>
                  <a:pt x="9144" y="33528"/>
                </a:lnTo>
                <a:lnTo>
                  <a:pt x="9144" y="9144"/>
                </a:lnTo>
                <a:lnTo>
                  <a:pt x="36576" y="9144"/>
                </a:lnTo>
                <a:lnTo>
                  <a:pt x="41148" y="10668"/>
                </a:lnTo>
                <a:lnTo>
                  <a:pt x="44196" y="12192"/>
                </a:lnTo>
                <a:lnTo>
                  <a:pt x="45720" y="13716"/>
                </a:lnTo>
                <a:lnTo>
                  <a:pt x="47244" y="16764"/>
                </a:lnTo>
                <a:lnTo>
                  <a:pt x="47244" y="3810"/>
                </a:lnTo>
                <a:lnTo>
                  <a:pt x="42672" y="1524"/>
                </a:lnTo>
                <a:lnTo>
                  <a:pt x="36576" y="0"/>
                </a:lnTo>
                <a:lnTo>
                  <a:pt x="0" y="0"/>
                </a:lnTo>
                <a:lnTo>
                  <a:pt x="0" y="74676"/>
                </a:lnTo>
                <a:lnTo>
                  <a:pt x="9144" y="74676"/>
                </a:lnTo>
                <a:lnTo>
                  <a:pt x="9144" y="41148"/>
                </a:lnTo>
                <a:lnTo>
                  <a:pt x="24384" y="41148"/>
                </a:lnTo>
                <a:lnTo>
                  <a:pt x="25908" y="42672"/>
                </a:lnTo>
                <a:lnTo>
                  <a:pt x="28956" y="42672"/>
                </a:lnTo>
                <a:lnTo>
                  <a:pt x="28956" y="44196"/>
                </a:lnTo>
                <a:lnTo>
                  <a:pt x="30480" y="44196"/>
                </a:lnTo>
                <a:lnTo>
                  <a:pt x="33528" y="45720"/>
                </a:lnTo>
                <a:lnTo>
                  <a:pt x="36576" y="51816"/>
                </a:lnTo>
                <a:lnTo>
                  <a:pt x="38100" y="53340"/>
                </a:lnTo>
                <a:lnTo>
                  <a:pt x="41148" y="59436"/>
                </a:lnTo>
                <a:lnTo>
                  <a:pt x="50292" y="74676"/>
                </a:lnTo>
                <a:lnTo>
                  <a:pt x="59436" y="68580"/>
                </a:lnTo>
              </a:path>
              <a:path w="127000" h="74930">
                <a:moveTo>
                  <a:pt x="126492" y="18288"/>
                </a:moveTo>
                <a:lnTo>
                  <a:pt x="124968" y="13716"/>
                </a:lnTo>
                <a:lnTo>
                  <a:pt x="123444" y="12192"/>
                </a:lnTo>
                <a:lnTo>
                  <a:pt x="120396" y="6096"/>
                </a:lnTo>
                <a:lnTo>
                  <a:pt x="117348" y="4572"/>
                </a:lnTo>
                <a:lnTo>
                  <a:pt x="115824" y="3048"/>
                </a:lnTo>
                <a:lnTo>
                  <a:pt x="115824" y="16764"/>
                </a:lnTo>
                <a:lnTo>
                  <a:pt x="115824" y="27432"/>
                </a:lnTo>
                <a:lnTo>
                  <a:pt x="114300" y="28956"/>
                </a:lnTo>
                <a:lnTo>
                  <a:pt x="112776" y="32004"/>
                </a:lnTo>
                <a:lnTo>
                  <a:pt x="109728" y="35052"/>
                </a:lnTo>
                <a:lnTo>
                  <a:pt x="105156" y="36576"/>
                </a:lnTo>
                <a:lnTo>
                  <a:pt x="82296" y="36576"/>
                </a:lnTo>
                <a:lnTo>
                  <a:pt x="82296" y="9144"/>
                </a:lnTo>
                <a:lnTo>
                  <a:pt x="106680" y="9144"/>
                </a:lnTo>
                <a:lnTo>
                  <a:pt x="108204" y="10668"/>
                </a:lnTo>
                <a:lnTo>
                  <a:pt x="111252" y="10668"/>
                </a:lnTo>
                <a:lnTo>
                  <a:pt x="112776" y="12192"/>
                </a:lnTo>
                <a:lnTo>
                  <a:pt x="112776" y="13716"/>
                </a:lnTo>
                <a:lnTo>
                  <a:pt x="115824" y="16764"/>
                </a:lnTo>
                <a:lnTo>
                  <a:pt x="115824" y="3048"/>
                </a:lnTo>
                <a:lnTo>
                  <a:pt x="112776" y="1524"/>
                </a:lnTo>
                <a:lnTo>
                  <a:pt x="109728" y="1524"/>
                </a:lnTo>
                <a:lnTo>
                  <a:pt x="106680" y="0"/>
                </a:lnTo>
                <a:lnTo>
                  <a:pt x="71628" y="0"/>
                </a:lnTo>
                <a:lnTo>
                  <a:pt x="71628" y="74676"/>
                </a:lnTo>
                <a:lnTo>
                  <a:pt x="82296" y="74676"/>
                </a:lnTo>
                <a:lnTo>
                  <a:pt x="82296" y="44196"/>
                </a:lnTo>
                <a:lnTo>
                  <a:pt x="109728" y="44196"/>
                </a:lnTo>
                <a:lnTo>
                  <a:pt x="115824" y="42976"/>
                </a:lnTo>
                <a:lnTo>
                  <a:pt x="117348" y="42672"/>
                </a:lnTo>
                <a:lnTo>
                  <a:pt x="120396" y="36576"/>
                </a:lnTo>
                <a:lnTo>
                  <a:pt x="123444" y="33528"/>
                </a:lnTo>
                <a:lnTo>
                  <a:pt x="126492" y="28956"/>
                </a:lnTo>
                <a:lnTo>
                  <a:pt x="126492" y="18288"/>
                </a:lnTo>
              </a:path>
            </a:pathLst>
          </a:custGeom>
          <a:solidFill>
            <a:srgbClr val="000000"/>
          </a:solidFill>
        </xdr:spPr>
      </xdr:sp>
      <xdr:pic>
        <xdr:nvPicPr>
          <xdr:cNvPr id="19" name="image12.png">
            <a:extLst>
              <a:ext uri="{FF2B5EF4-FFF2-40B4-BE49-F238E27FC236}">
                <a16:creationId xmlns:a16="http://schemas.microsoft.com/office/drawing/2014/main" id="{999CA78E-E784-1CA5-8B72-1E16BEB61D0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75488" y="1274064"/>
            <a:ext cx="240792" cy="74676"/>
          </a:xfrm>
          <a:prstGeom prst="rect">
            <a:avLst/>
          </a:prstGeom>
        </xdr:spPr>
      </xdr:pic>
      <xdr:pic>
        <xdr:nvPicPr>
          <xdr:cNvPr id="20" name="image13.png">
            <a:extLst>
              <a:ext uri="{FF2B5EF4-FFF2-40B4-BE49-F238E27FC236}">
                <a16:creationId xmlns:a16="http://schemas.microsoft.com/office/drawing/2014/main" id="{99FE8398-6F77-7A41-74CB-1C816731C61D}"/>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0" y="736092"/>
            <a:ext cx="161544" cy="76200"/>
          </a:xfrm>
          <a:prstGeom prst="rect">
            <a:avLst/>
          </a:prstGeom>
        </xdr:spPr>
      </xdr:pic>
      <xdr:pic>
        <xdr:nvPicPr>
          <xdr:cNvPr id="21" name="image14.png">
            <a:extLst>
              <a:ext uri="{FF2B5EF4-FFF2-40B4-BE49-F238E27FC236}">
                <a16:creationId xmlns:a16="http://schemas.microsoft.com/office/drawing/2014/main" id="{887A16F9-B7CB-7CF8-DC2B-5CCA291CE18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98120" y="737616"/>
            <a:ext cx="70104" cy="76200"/>
          </a:xfrm>
          <a:prstGeom prst="rect">
            <a:avLst/>
          </a:prstGeom>
        </xdr:spPr>
      </xdr:pic>
      <xdr:sp macro="" textlink="">
        <xdr:nvSpPr>
          <xdr:cNvPr id="22" name="Shape 22">
            <a:extLst>
              <a:ext uri="{FF2B5EF4-FFF2-40B4-BE49-F238E27FC236}">
                <a16:creationId xmlns:a16="http://schemas.microsoft.com/office/drawing/2014/main" id="{83E64438-704D-CE50-75C1-A887BCD1E311}"/>
              </a:ext>
            </a:extLst>
          </xdr:cNvPr>
          <xdr:cNvSpPr/>
        </xdr:nvSpPr>
        <xdr:spPr>
          <a:xfrm>
            <a:off x="313944" y="737628"/>
            <a:ext cx="196850" cy="73660"/>
          </a:xfrm>
          <a:custGeom>
            <a:avLst/>
            <a:gdLst/>
            <a:ahLst/>
            <a:cxnLst/>
            <a:rect l="0" t="0" r="0" b="0"/>
            <a:pathLst>
              <a:path w="196850" h="73660">
                <a:moveTo>
                  <a:pt x="59436" y="68580"/>
                </a:moveTo>
                <a:lnTo>
                  <a:pt x="47244" y="50292"/>
                </a:lnTo>
                <a:lnTo>
                  <a:pt x="44196" y="47244"/>
                </a:lnTo>
                <a:lnTo>
                  <a:pt x="42672" y="44196"/>
                </a:lnTo>
                <a:lnTo>
                  <a:pt x="39624" y="41148"/>
                </a:lnTo>
                <a:lnTo>
                  <a:pt x="36576" y="39624"/>
                </a:lnTo>
                <a:lnTo>
                  <a:pt x="44196" y="39624"/>
                </a:lnTo>
                <a:lnTo>
                  <a:pt x="47244" y="38608"/>
                </a:lnTo>
                <a:lnTo>
                  <a:pt x="48768" y="38100"/>
                </a:lnTo>
                <a:lnTo>
                  <a:pt x="51816" y="33528"/>
                </a:lnTo>
                <a:lnTo>
                  <a:pt x="54864" y="30480"/>
                </a:lnTo>
                <a:lnTo>
                  <a:pt x="56388" y="25908"/>
                </a:lnTo>
                <a:lnTo>
                  <a:pt x="56388" y="16764"/>
                </a:lnTo>
                <a:lnTo>
                  <a:pt x="54864" y="12192"/>
                </a:lnTo>
                <a:lnTo>
                  <a:pt x="51816" y="6096"/>
                </a:lnTo>
                <a:lnTo>
                  <a:pt x="48768" y="3048"/>
                </a:lnTo>
                <a:lnTo>
                  <a:pt x="47244" y="2286"/>
                </a:lnTo>
                <a:lnTo>
                  <a:pt x="47244" y="16764"/>
                </a:lnTo>
                <a:lnTo>
                  <a:pt x="47244" y="22860"/>
                </a:lnTo>
                <a:lnTo>
                  <a:pt x="45720" y="24384"/>
                </a:lnTo>
                <a:lnTo>
                  <a:pt x="44196" y="27432"/>
                </a:lnTo>
                <a:lnTo>
                  <a:pt x="44196" y="28956"/>
                </a:lnTo>
                <a:lnTo>
                  <a:pt x="42672" y="30480"/>
                </a:lnTo>
                <a:lnTo>
                  <a:pt x="39624" y="32004"/>
                </a:lnTo>
                <a:lnTo>
                  <a:pt x="9144" y="32004"/>
                </a:lnTo>
                <a:lnTo>
                  <a:pt x="9144" y="9144"/>
                </a:lnTo>
                <a:lnTo>
                  <a:pt x="41148" y="9144"/>
                </a:lnTo>
                <a:lnTo>
                  <a:pt x="44196" y="12192"/>
                </a:lnTo>
                <a:lnTo>
                  <a:pt x="45720" y="15240"/>
                </a:lnTo>
                <a:lnTo>
                  <a:pt x="47244" y="16764"/>
                </a:lnTo>
                <a:lnTo>
                  <a:pt x="47244" y="2286"/>
                </a:lnTo>
                <a:lnTo>
                  <a:pt x="45720" y="1524"/>
                </a:lnTo>
                <a:lnTo>
                  <a:pt x="0" y="1524"/>
                </a:lnTo>
                <a:lnTo>
                  <a:pt x="0" y="73152"/>
                </a:lnTo>
                <a:lnTo>
                  <a:pt x="9144" y="73152"/>
                </a:lnTo>
                <a:lnTo>
                  <a:pt x="9144" y="41148"/>
                </a:lnTo>
                <a:lnTo>
                  <a:pt x="27432" y="41148"/>
                </a:lnTo>
                <a:lnTo>
                  <a:pt x="28956" y="42672"/>
                </a:lnTo>
                <a:lnTo>
                  <a:pt x="28956" y="44196"/>
                </a:lnTo>
                <a:lnTo>
                  <a:pt x="30480" y="44196"/>
                </a:lnTo>
                <a:lnTo>
                  <a:pt x="33528" y="47244"/>
                </a:lnTo>
                <a:lnTo>
                  <a:pt x="35052" y="47244"/>
                </a:lnTo>
                <a:lnTo>
                  <a:pt x="36576" y="50292"/>
                </a:lnTo>
                <a:lnTo>
                  <a:pt x="38100" y="54864"/>
                </a:lnTo>
                <a:lnTo>
                  <a:pt x="41148" y="57912"/>
                </a:lnTo>
                <a:lnTo>
                  <a:pt x="50292" y="73152"/>
                </a:lnTo>
                <a:lnTo>
                  <a:pt x="59436" y="68580"/>
                </a:lnTo>
              </a:path>
              <a:path w="196850" h="73660">
                <a:moveTo>
                  <a:pt x="126492" y="18288"/>
                </a:moveTo>
                <a:lnTo>
                  <a:pt x="120396" y="6096"/>
                </a:lnTo>
                <a:lnTo>
                  <a:pt x="118872" y="4572"/>
                </a:lnTo>
                <a:lnTo>
                  <a:pt x="115824" y="3048"/>
                </a:lnTo>
                <a:lnTo>
                  <a:pt x="115824" y="16764"/>
                </a:lnTo>
                <a:lnTo>
                  <a:pt x="115824" y="25908"/>
                </a:lnTo>
                <a:lnTo>
                  <a:pt x="114300" y="30480"/>
                </a:lnTo>
                <a:lnTo>
                  <a:pt x="112776" y="32004"/>
                </a:lnTo>
                <a:lnTo>
                  <a:pt x="109728" y="33528"/>
                </a:lnTo>
                <a:lnTo>
                  <a:pt x="105156" y="35052"/>
                </a:lnTo>
                <a:lnTo>
                  <a:pt x="82296" y="35052"/>
                </a:lnTo>
                <a:lnTo>
                  <a:pt x="82296" y="9144"/>
                </a:lnTo>
                <a:lnTo>
                  <a:pt x="108204" y="9144"/>
                </a:lnTo>
                <a:lnTo>
                  <a:pt x="111252" y="10668"/>
                </a:lnTo>
                <a:lnTo>
                  <a:pt x="112776" y="12192"/>
                </a:lnTo>
                <a:lnTo>
                  <a:pt x="112776" y="15240"/>
                </a:lnTo>
                <a:lnTo>
                  <a:pt x="115824" y="16764"/>
                </a:lnTo>
                <a:lnTo>
                  <a:pt x="115824" y="3048"/>
                </a:lnTo>
                <a:lnTo>
                  <a:pt x="112776" y="1524"/>
                </a:lnTo>
                <a:lnTo>
                  <a:pt x="73152" y="1524"/>
                </a:lnTo>
                <a:lnTo>
                  <a:pt x="73152" y="73152"/>
                </a:lnTo>
                <a:lnTo>
                  <a:pt x="82296" y="73152"/>
                </a:lnTo>
                <a:lnTo>
                  <a:pt x="82296" y="44196"/>
                </a:lnTo>
                <a:lnTo>
                  <a:pt x="109728" y="44196"/>
                </a:lnTo>
                <a:lnTo>
                  <a:pt x="115824" y="41757"/>
                </a:lnTo>
                <a:lnTo>
                  <a:pt x="117348" y="41148"/>
                </a:lnTo>
                <a:lnTo>
                  <a:pt x="120396" y="38100"/>
                </a:lnTo>
                <a:lnTo>
                  <a:pt x="123444" y="32004"/>
                </a:lnTo>
                <a:lnTo>
                  <a:pt x="126492" y="27432"/>
                </a:lnTo>
                <a:lnTo>
                  <a:pt x="126492" y="18288"/>
                </a:lnTo>
              </a:path>
              <a:path w="196850" h="73660">
                <a:moveTo>
                  <a:pt x="196596" y="0"/>
                </a:moveTo>
                <a:lnTo>
                  <a:pt x="190500" y="0"/>
                </a:lnTo>
                <a:lnTo>
                  <a:pt x="187452" y="9144"/>
                </a:lnTo>
                <a:lnTo>
                  <a:pt x="182880" y="12192"/>
                </a:lnTo>
                <a:lnTo>
                  <a:pt x="179832" y="15240"/>
                </a:lnTo>
                <a:lnTo>
                  <a:pt x="170688" y="18288"/>
                </a:lnTo>
                <a:lnTo>
                  <a:pt x="170688" y="27432"/>
                </a:lnTo>
                <a:lnTo>
                  <a:pt x="173736" y="25908"/>
                </a:lnTo>
                <a:lnTo>
                  <a:pt x="175260" y="24384"/>
                </a:lnTo>
                <a:lnTo>
                  <a:pt x="179832" y="22860"/>
                </a:lnTo>
                <a:lnTo>
                  <a:pt x="182880" y="21336"/>
                </a:lnTo>
                <a:lnTo>
                  <a:pt x="185928" y="18288"/>
                </a:lnTo>
                <a:lnTo>
                  <a:pt x="188976" y="16764"/>
                </a:lnTo>
                <a:lnTo>
                  <a:pt x="188976" y="73152"/>
                </a:lnTo>
                <a:lnTo>
                  <a:pt x="196596" y="73152"/>
                </a:lnTo>
                <a:lnTo>
                  <a:pt x="196596" y="0"/>
                </a:lnTo>
              </a:path>
            </a:pathLst>
          </a:custGeom>
          <a:solidFill>
            <a:srgbClr val="000000"/>
          </a:solidFill>
        </xdr:spPr>
      </xdr:sp>
      <xdr:pic>
        <xdr:nvPicPr>
          <xdr:cNvPr id="23" name="image15.png">
            <a:extLst>
              <a:ext uri="{FF2B5EF4-FFF2-40B4-BE49-F238E27FC236}">
                <a16:creationId xmlns:a16="http://schemas.microsoft.com/office/drawing/2014/main" id="{E3EFBAD7-76CC-ED40-C40F-4C29ED5C6713}"/>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30352" y="737616"/>
            <a:ext cx="185928" cy="74676"/>
          </a:xfrm>
          <a:prstGeom prst="rect">
            <a:avLst/>
          </a:prstGeom>
        </xdr:spPr>
      </xdr:pic>
      <xdr:pic>
        <xdr:nvPicPr>
          <xdr:cNvPr id="24" name="image16.png">
            <a:extLst>
              <a:ext uri="{FF2B5EF4-FFF2-40B4-BE49-F238E27FC236}">
                <a16:creationId xmlns:a16="http://schemas.microsoft.com/office/drawing/2014/main" id="{CFB8A6C9-7869-AC3E-8BB6-84C8306567F5}"/>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0" y="1524"/>
            <a:ext cx="161544" cy="76200"/>
          </a:xfrm>
          <a:prstGeom prst="rect">
            <a:avLst/>
          </a:prstGeom>
        </xdr:spPr>
      </xdr:pic>
      <xdr:pic>
        <xdr:nvPicPr>
          <xdr:cNvPr id="25" name="image17.png">
            <a:extLst>
              <a:ext uri="{FF2B5EF4-FFF2-40B4-BE49-F238E27FC236}">
                <a16:creationId xmlns:a16="http://schemas.microsoft.com/office/drawing/2014/main" id="{BAC24AA8-E194-C8B9-A3CB-80026FDADE9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98120" y="3048"/>
            <a:ext cx="70104" cy="74676"/>
          </a:xfrm>
          <a:prstGeom prst="rect">
            <a:avLst/>
          </a:prstGeom>
        </xdr:spPr>
      </xdr:pic>
      <xdr:sp macro="" textlink="">
        <xdr:nvSpPr>
          <xdr:cNvPr id="26" name="Shape 26">
            <a:extLst>
              <a:ext uri="{FF2B5EF4-FFF2-40B4-BE49-F238E27FC236}">
                <a16:creationId xmlns:a16="http://schemas.microsoft.com/office/drawing/2014/main" id="{1E4126E8-B25B-8038-B3F2-4A7DF9061CCB}"/>
              </a:ext>
            </a:extLst>
          </xdr:cNvPr>
          <xdr:cNvSpPr/>
        </xdr:nvSpPr>
        <xdr:spPr>
          <a:xfrm>
            <a:off x="313944" y="3060"/>
            <a:ext cx="196850" cy="73660"/>
          </a:xfrm>
          <a:custGeom>
            <a:avLst/>
            <a:gdLst/>
            <a:ahLst/>
            <a:cxnLst/>
            <a:rect l="0" t="0" r="0" b="0"/>
            <a:pathLst>
              <a:path w="196850" h="73660">
                <a:moveTo>
                  <a:pt x="59436" y="68580"/>
                </a:moveTo>
                <a:lnTo>
                  <a:pt x="50292" y="53340"/>
                </a:lnTo>
                <a:lnTo>
                  <a:pt x="47244" y="50292"/>
                </a:lnTo>
                <a:lnTo>
                  <a:pt x="44196" y="45720"/>
                </a:lnTo>
                <a:lnTo>
                  <a:pt x="42672" y="42672"/>
                </a:lnTo>
                <a:lnTo>
                  <a:pt x="41148" y="42672"/>
                </a:lnTo>
                <a:lnTo>
                  <a:pt x="39624" y="41148"/>
                </a:lnTo>
                <a:lnTo>
                  <a:pt x="36576" y="41148"/>
                </a:lnTo>
                <a:lnTo>
                  <a:pt x="44196" y="39624"/>
                </a:lnTo>
                <a:lnTo>
                  <a:pt x="47244" y="37592"/>
                </a:lnTo>
                <a:lnTo>
                  <a:pt x="48768" y="36576"/>
                </a:lnTo>
                <a:lnTo>
                  <a:pt x="51816" y="33528"/>
                </a:lnTo>
                <a:lnTo>
                  <a:pt x="54864" y="28956"/>
                </a:lnTo>
                <a:lnTo>
                  <a:pt x="56388" y="25908"/>
                </a:lnTo>
                <a:lnTo>
                  <a:pt x="56388" y="16764"/>
                </a:lnTo>
                <a:lnTo>
                  <a:pt x="54864" y="12192"/>
                </a:lnTo>
                <a:lnTo>
                  <a:pt x="53340" y="9144"/>
                </a:lnTo>
                <a:lnTo>
                  <a:pt x="51816" y="4572"/>
                </a:lnTo>
                <a:lnTo>
                  <a:pt x="48768" y="4572"/>
                </a:lnTo>
                <a:lnTo>
                  <a:pt x="47244" y="3810"/>
                </a:lnTo>
                <a:lnTo>
                  <a:pt x="47244" y="16764"/>
                </a:lnTo>
                <a:lnTo>
                  <a:pt x="47244" y="22860"/>
                </a:lnTo>
                <a:lnTo>
                  <a:pt x="45720" y="24384"/>
                </a:lnTo>
                <a:lnTo>
                  <a:pt x="44196" y="27432"/>
                </a:lnTo>
                <a:lnTo>
                  <a:pt x="44196" y="28956"/>
                </a:lnTo>
                <a:lnTo>
                  <a:pt x="42672" y="30480"/>
                </a:lnTo>
                <a:lnTo>
                  <a:pt x="39624" y="30480"/>
                </a:lnTo>
                <a:lnTo>
                  <a:pt x="33528" y="33528"/>
                </a:lnTo>
                <a:lnTo>
                  <a:pt x="9144" y="33528"/>
                </a:lnTo>
                <a:lnTo>
                  <a:pt x="9144" y="7620"/>
                </a:lnTo>
                <a:lnTo>
                  <a:pt x="36576" y="7620"/>
                </a:lnTo>
                <a:lnTo>
                  <a:pt x="41148" y="9144"/>
                </a:lnTo>
                <a:lnTo>
                  <a:pt x="45720" y="13716"/>
                </a:lnTo>
                <a:lnTo>
                  <a:pt x="47244" y="16764"/>
                </a:lnTo>
                <a:lnTo>
                  <a:pt x="47244" y="3810"/>
                </a:lnTo>
                <a:lnTo>
                  <a:pt x="45720" y="3048"/>
                </a:lnTo>
                <a:lnTo>
                  <a:pt x="42672" y="0"/>
                </a:lnTo>
                <a:lnTo>
                  <a:pt x="0" y="0"/>
                </a:lnTo>
                <a:lnTo>
                  <a:pt x="0" y="73152"/>
                </a:lnTo>
                <a:lnTo>
                  <a:pt x="9144" y="73152"/>
                </a:lnTo>
                <a:lnTo>
                  <a:pt x="9144" y="41148"/>
                </a:lnTo>
                <a:lnTo>
                  <a:pt x="25908" y="41148"/>
                </a:lnTo>
                <a:lnTo>
                  <a:pt x="27432" y="42672"/>
                </a:lnTo>
                <a:lnTo>
                  <a:pt x="28956" y="42672"/>
                </a:lnTo>
                <a:lnTo>
                  <a:pt x="30480" y="44196"/>
                </a:lnTo>
                <a:lnTo>
                  <a:pt x="33528" y="45720"/>
                </a:lnTo>
                <a:lnTo>
                  <a:pt x="35052" y="48768"/>
                </a:lnTo>
                <a:lnTo>
                  <a:pt x="36576" y="50292"/>
                </a:lnTo>
                <a:lnTo>
                  <a:pt x="38100" y="53340"/>
                </a:lnTo>
                <a:lnTo>
                  <a:pt x="41148" y="57912"/>
                </a:lnTo>
                <a:lnTo>
                  <a:pt x="50292" y="73152"/>
                </a:lnTo>
                <a:lnTo>
                  <a:pt x="59436" y="68580"/>
                </a:lnTo>
              </a:path>
              <a:path w="196850" h="73660">
                <a:moveTo>
                  <a:pt x="126492" y="18288"/>
                </a:moveTo>
                <a:lnTo>
                  <a:pt x="124968" y="13716"/>
                </a:lnTo>
                <a:lnTo>
                  <a:pt x="123444" y="12192"/>
                </a:lnTo>
                <a:lnTo>
                  <a:pt x="121920" y="7620"/>
                </a:lnTo>
                <a:lnTo>
                  <a:pt x="118872" y="4572"/>
                </a:lnTo>
                <a:lnTo>
                  <a:pt x="115824" y="3048"/>
                </a:lnTo>
                <a:lnTo>
                  <a:pt x="115824" y="16764"/>
                </a:lnTo>
                <a:lnTo>
                  <a:pt x="115824" y="25908"/>
                </a:lnTo>
                <a:lnTo>
                  <a:pt x="112776" y="32004"/>
                </a:lnTo>
                <a:lnTo>
                  <a:pt x="109728" y="35052"/>
                </a:lnTo>
                <a:lnTo>
                  <a:pt x="82296" y="35052"/>
                </a:lnTo>
                <a:lnTo>
                  <a:pt x="82296" y="9144"/>
                </a:lnTo>
                <a:lnTo>
                  <a:pt x="108204" y="9144"/>
                </a:lnTo>
                <a:lnTo>
                  <a:pt x="111252" y="10668"/>
                </a:lnTo>
                <a:lnTo>
                  <a:pt x="112776" y="12192"/>
                </a:lnTo>
                <a:lnTo>
                  <a:pt x="112776" y="13716"/>
                </a:lnTo>
                <a:lnTo>
                  <a:pt x="115824" y="16764"/>
                </a:lnTo>
                <a:lnTo>
                  <a:pt x="115824" y="3048"/>
                </a:lnTo>
                <a:lnTo>
                  <a:pt x="112776" y="1524"/>
                </a:lnTo>
                <a:lnTo>
                  <a:pt x="109728" y="1524"/>
                </a:lnTo>
                <a:lnTo>
                  <a:pt x="106680" y="0"/>
                </a:lnTo>
                <a:lnTo>
                  <a:pt x="73152" y="0"/>
                </a:lnTo>
                <a:lnTo>
                  <a:pt x="73152" y="73152"/>
                </a:lnTo>
                <a:lnTo>
                  <a:pt x="82296" y="73152"/>
                </a:lnTo>
                <a:lnTo>
                  <a:pt x="82296" y="42672"/>
                </a:lnTo>
                <a:lnTo>
                  <a:pt x="115824" y="42672"/>
                </a:lnTo>
                <a:lnTo>
                  <a:pt x="117348" y="42672"/>
                </a:lnTo>
                <a:lnTo>
                  <a:pt x="120396" y="36576"/>
                </a:lnTo>
                <a:lnTo>
                  <a:pt x="123444" y="33528"/>
                </a:lnTo>
                <a:lnTo>
                  <a:pt x="126492" y="27432"/>
                </a:lnTo>
                <a:lnTo>
                  <a:pt x="126492" y="18288"/>
                </a:lnTo>
              </a:path>
              <a:path w="196850" h="73660">
                <a:moveTo>
                  <a:pt x="196596" y="0"/>
                </a:moveTo>
                <a:lnTo>
                  <a:pt x="190500" y="0"/>
                </a:lnTo>
                <a:lnTo>
                  <a:pt x="188976" y="4572"/>
                </a:lnTo>
                <a:lnTo>
                  <a:pt x="187452" y="7620"/>
                </a:lnTo>
                <a:lnTo>
                  <a:pt x="179832" y="15240"/>
                </a:lnTo>
                <a:lnTo>
                  <a:pt x="175260" y="18288"/>
                </a:lnTo>
                <a:lnTo>
                  <a:pt x="170688" y="18288"/>
                </a:lnTo>
                <a:lnTo>
                  <a:pt x="170688" y="27432"/>
                </a:lnTo>
                <a:lnTo>
                  <a:pt x="173736" y="25908"/>
                </a:lnTo>
                <a:lnTo>
                  <a:pt x="175260" y="24384"/>
                </a:lnTo>
                <a:lnTo>
                  <a:pt x="179832" y="22860"/>
                </a:lnTo>
                <a:lnTo>
                  <a:pt x="182880" y="19812"/>
                </a:lnTo>
                <a:lnTo>
                  <a:pt x="188976" y="16764"/>
                </a:lnTo>
                <a:lnTo>
                  <a:pt x="188976" y="73152"/>
                </a:lnTo>
                <a:lnTo>
                  <a:pt x="196596" y="73152"/>
                </a:lnTo>
                <a:lnTo>
                  <a:pt x="196596" y="0"/>
                </a:lnTo>
              </a:path>
            </a:pathLst>
          </a:custGeom>
          <a:solidFill>
            <a:srgbClr val="000000"/>
          </a:solidFill>
        </xdr:spPr>
      </xdr:sp>
      <xdr:pic>
        <xdr:nvPicPr>
          <xdr:cNvPr id="27" name="image18.png">
            <a:extLst>
              <a:ext uri="{FF2B5EF4-FFF2-40B4-BE49-F238E27FC236}">
                <a16:creationId xmlns:a16="http://schemas.microsoft.com/office/drawing/2014/main" id="{5772CF36-3EF8-60D3-3C12-13193CD9695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31876" y="3048"/>
            <a:ext cx="184404" cy="74676"/>
          </a:xfrm>
          <a:prstGeom prst="rect">
            <a:avLst/>
          </a:prstGeom>
        </xdr:spPr>
      </xdr:pic>
      <xdr:pic>
        <xdr:nvPicPr>
          <xdr:cNvPr id="28" name="image19.png">
            <a:extLst>
              <a:ext uri="{FF2B5EF4-FFF2-40B4-BE49-F238E27FC236}">
                <a16:creationId xmlns:a16="http://schemas.microsoft.com/office/drawing/2014/main" id="{9CEFDD6C-CA56-A059-984A-6854A0D289E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0" y="184404"/>
            <a:ext cx="161544" cy="76200"/>
          </a:xfrm>
          <a:prstGeom prst="rect">
            <a:avLst/>
          </a:prstGeom>
        </xdr:spPr>
      </xdr:pic>
      <xdr:pic>
        <xdr:nvPicPr>
          <xdr:cNvPr id="29" name="image20.png">
            <a:extLst>
              <a:ext uri="{FF2B5EF4-FFF2-40B4-BE49-F238E27FC236}">
                <a16:creationId xmlns:a16="http://schemas.microsoft.com/office/drawing/2014/main" id="{E6E32448-3A36-9CD4-4299-A1E53A002A71}"/>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98120" y="185928"/>
            <a:ext cx="70104" cy="74676"/>
          </a:xfrm>
          <a:prstGeom prst="rect">
            <a:avLst/>
          </a:prstGeom>
        </xdr:spPr>
      </xdr:pic>
      <xdr:sp macro="" textlink="">
        <xdr:nvSpPr>
          <xdr:cNvPr id="30" name="Shape 30">
            <a:extLst>
              <a:ext uri="{FF2B5EF4-FFF2-40B4-BE49-F238E27FC236}">
                <a16:creationId xmlns:a16="http://schemas.microsoft.com/office/drawing/2014/main" id="{AD53DCD6-3DF5-6D42-DBE5-37792BF823EB}"/>
              </a:ext>
            </a:extLst>
          </xdr:cNvPr>
          <xdr:cNvSpPr/>
        </xdr:nvSpPr>
        <xdr:spPr>
          <a:xfrm>
            <a:off x="313944" y="185940"/>
            <a:ext cx="196850" cy="73660"/>
          </a:xfrm>
          <a:custGeom>
            <a:avLst/>
            <a:gdLst/>
            <a:ahLst/>
            <a:cxnLst/>
            <a:rect l="0" t="0" r="0" b="0"/>
            <a:pathLst>
              <a:path w="196850" h="73660">
                <a:moveTo>
                  <a:pt x="59436" y="68580"/>
                </a:moveTo>
                <a:lnTo>
                  <a:pt x="47244" y="50292"/>
                </a:lnTo>
                <a:lnTo>
                  <a:pt x="44196" y="47244"/>
                </a:lnTo>
                <a:lnTo>
                  <a:pt x="42672" y="44196"/>
                </a:lnTo>
                <a:lnTo>
                  <a:pt x="41148" y="42672"/>
                </a:lnTo>
                <a:lnTo>
                  <a:pt x="39624" y="42672"/>
                </a:lnTo>
                <a:lnTo>
                  <a:pt x="36576" y="41148"/>
                </a:lnTo>
                <a:lnTo>
                  <a:pt x="44196" y="39624"/>
                </a:lnTo>
                <a:lnTo>
                  <a:pt x="47244" y="38608"/>
                </a:lnTo>
                <a:lnTo>
                  <a:pt x="48768" y="38100"/>
                </a:lnTo>
                <a:lnTo>
                  <a:pt x="51816" y="35052"/>
                </a:lnTo>
                <a:lnTo>
                  <a:pt x="54864" y="30480"/>
                </a:lnTo>
                <a:lnTo>
                  <a:pt x="56388" y="27432"/>
                </a:lnTo>
                <a:lnTo>
                  <a:pt x="56388" y="16764"/>
                </a:lnTo>
                <a:lnTo>
                  <a:pt x="54864" y="12192"/>
                </a:lnTo>
                <a:lnTo>
                  <a:pt x="53340" y="10668"/>
                </a:lnTo>
                <a:lnTo>
                  <a:pt x="51816" y="6096"/>
                </a:lnTo>
                <a:lnTo>
                  <a:pt x="47244" y="3810"/>
                </a:lnTo>
                <a:lnTo>
                  <a:pt x="47244" y="18288"/>
                </a:lnTo>
                <a:lnTo>
                  <a:pt x="47244" y="22860"/>
                </a:lnTo>
                <a:lnTo>
                  <a:pt x="45720" y="25908"/>
                </a:lnTo>
                <a:lnTo>
                  <a:pt x="44196" y="27432"/>
                </a:lnTo>
                <a:lnTo>
                  <a:pt x="44196" y="28956"/>
                </a:lnTo>
                <a:lnTo>
                  <a:pt x="42672" y="30480"/>
                </a:lnTo>
                <a:lnTo>
                  <a:pt x="36576" y="33528"/>
                </a:lnTo>
                <a:lnTo>
                  <a:pt x="9144" y="33528"/>
                </a:lnTo>
                <a:lnTo>
                  <a:pt x="9144" y="9144"/>
                </a:lnTo>
                <a:lnTo>
                  <a:pt x="36576" y="9144"/>
                </a:lnTo>
                <a:lnTo>
                  <a:pt x="41148" y="10668"/>
                </a:lnTo>
                <a:lnTo>
                  <a:pt x="44196" y="12192"/>
                </a:lnTo>
                <a:lnTo>
                  <a:pt x="47244" y="18288"/>
                </a:lnTo>
                <a:lnTo>
                  <a:pt x="47244" y="3810"/>
                </a:lnTo>
                <a:lnTo>
                  <a:pt x="42672" y="1524"/>
                </a:lnTo>
                <a:lnTo>
                  <a:pt x="0" y="1524"/>
                </a:lnTo>
                <a:lnTo>
                  <a:pt x="0" y="73152"/>
                </a:lnTo>
                <a:lnTo>
                  <a:pt x="9144" y="73152"/>
                </a:lnTo>
                <a:lnTo>
                  <a:pt x="9144" y="42672"/>
                </a:lnTo>
                <a:lnTo>
                  <a:pt x="28956" y="42672"/>
                </a:lnTo>
                <a:lnTo>
                  <a:pt x="28956" y="44196"/>
                </a:lnTo>
                <a:lnTo>
                  <a:pt x="30480" y="44196"/>
                </a:lnTo>
                <a:lnTo>
                  <a:pt x="36576" y="50292"/>
                </a:lnTo>
                <a:lnTo>
                  <a:pt x="38100" y="54864"/>
                </a:lnTo>
                <a:lnTo>
                  <a:pt x="41148" y="57912"/>
                </a:lnTo>
                <a:lnTo>
                  <a:pt x="50292" y="73152"/>
                </a:lnTo>
                <a:lnTo>
                  <a:pt x="59436" y="68580"/>
                </a:lnTo>
              </a:path>
              <a:path w="196850" h="73660">
                <a:moveTo>
                  <a:pt x="126492" y="19812"/>
                </a:moveTo>
                <a:lnTo>
                  <a:pt x="124968" y="15240"/>
                </a:lnTo>
                <a:lnTo>
                  <a:pt x="120396" y="6096"/>
                </a:lnTo>
                <a:lnTo>
                  <a:pt x="118872" y="4572"/>
                </a:lnTo>
                <a:lnTo>
                  <a:pt x="115824" y="4572"/>
                </a:lnTo>
                <a:lnTo>
                  <a:pt x="115824" y="16764"/>
                </a:lnTo>
                <a:lnTo>
                  <a:pt x="115824" y="27432"/>
                </a:lnTo>
                <a:lnTo>
                  <a:pt x="114300" y="30480"/>
                </a:lnTo>
                <a:lnTo>
                  <a:pt x="109728" y="35052"/>
                </a:lnTo>
                <a:lnTo>
                  <a:pt x="82296" y="35052"/>
                </a:lnTo>
                <a:lnTo>
                  <a:pt x="82296" y="10668"/>
                </a:lnTo>
                <a:lnTo>
                  <a:pt x="108204" y="10668"/>
                </a:lnTo>
                <a:lnTo>
                  <a:pt x="111252" y="12192"/>
                </a:lnTo>
                <a:lnTo>
                  <a:pt x="112776" y="12192"/>
                </a:lnTo>
                <a:lnTo>
                  <a:pt x="112776" y="15240"/>
                </a:lnTo>
                <a:lnTo>
                  <a:pt x="115824" y="16764"/>
                </a:lnTo>
                <a:lnTo>
                  <a:pt x="115824" y="4572"/>
                </a:lnTo>
                <a:lnTo>
                  <a:pt x="109728" y="1524"/>
                </a:lnTo>
                <a:lnTo>
                  <a:pt x="73152" y="1524"/>
                </a:lnTo>
                <a:lnTo>
                  <a:pt x="73152" y="73152"/>
                </a:lnTo>
                <a:lnTo>
                  <a:pt x="82296" y="73152"/>
                </a:lnTo>
                <a:lnTo>
                  <a:pt x="82296" y="44196"/>
                </a:lnTo>
                <a:lnTo>
                  <a:pt x="109728" y="44196"/>
                </a:lnTo>
                <a:lnTo>
                  <a:pt x="115824" y="42976"/>
                </a:lnTo>
                <a:lnTo>
                  <a:pt x="117348" y="42672"/>
                </a:lnTo>
                <a:lnTo>
                  <a:pt x="123444" y="33528"/>
                </a:lnTo>
                <a:lnTo>
                  <a:pt x="126492" y="27432"/>
                </a:lnTo>
                <a:lnTo>
                  <a:pt x="126492" y="19812"/>
                </a:lnTo>
              </a:path>
              <a:path w="196850" h="73660">
                <a:moveTo>
                  <a:pt x="196596" y="0"/>
                </a:moveTo>
                <a:lnTo>
                  <a:pt x="190500" y="0"/>
                </a:lnTo>
                <a:lnTo>
                  <a:pt x="187452" y="9144"/>
                </a:lnTo>
                <a:lnTo>
                  <a:pt x="182880" y="12192"/>
                </a:lnTo>
                <a:lnTo>
                  <a:pt x="179832" y="15240"/>
                </a:lnTo>
                <a:lnTo>
                  <a:pt x="175260" y="18288"/>
                </a:lnTo>
                <a:lnTo>
                  <a:pt x="170688" y="19812"/>
                </a:lnTo>
                <a:lnTo>
                  <a:pt x="170688" y="27432"/>
                </a:lnTo>
                <a:lnTo>
                  <a:pt x="173736" y="27432"/>
                </a:lnTo>
                <a:lnTo>
                  <a:pt x="175260" y="25908"/>
                </a:lnTo>
                <a:lnTo>
                  <a:pt x="179832" y="22860"/>
                </a:lnTo>
                <a:lnTo>
                  <a:pt x="185928" y="19812"/>
                </a:lnTo>
                <a:lnTo>
                  <a:pt x="188976" y="16764"/>
                </a:lnTo>
                <a:lnTo>
                  <a:pt x="188976" y="73152"/>
                </a:lnTo>
                <a:lnTo>
                  <a:pt x="196596" y="73152"/>
                </a:lnTo>
                <a:lnTo>
                  <a:pt x="196596" y="0"/>
                </a:lnTo>
              </a:path>
            </a:pathLst>
          </a:custGeom>
          <a:solidFill>
            <a:srgbClr val="000000"/>
          </a:solidFill>
        </xdr:spPr>
      </xdr:sp>
      <xdr:pic>
        <xdr:nvPicPr>
          <xdr:cNvPr id="31" name="image21.png">
            <a:extLst>
              <a:ext uri="{FF2B5EF4-FFF2-40B4-BE49-F238E27FC236}">
                <a16:creationId xmlns:a16="http://schemas.microsoft.com/office/drawing/2014/main" id="{B493733E-3F71-B6D3-643A-CC8DC76ABCA5}"/>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31876" y="185928"/>
            <a:ext cx="184404" cy="74676"/>
          </a:xfrm>
          <a:prstGeom prst="rect">
            <a:avLst/>
          </a:prstGeom>
        </xdr:spPr>
      </xdr:pic>
      <xdr:pic>
        <xdr:nvPicPr>
          <xdr:cNvPr id="32" name="image22.png">
            <a:extLst>
              <a:ext uri="{FF2B5EF4-FFF2-40B4-BE49-F238E27FC236}">
                <a16:creationId xmlns:a16="http://schemas.microsoft.com/office/drawing/2014/main" id="{AD65ADC7-C252-CB65-967C-8852DF524D39}"/>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0" y="920496"/>
            <a:ext cx="161544" cy="76200"/>
          </a:xfrm>
          <a:prstGeom prst="rect">
            <a:avLst/>
          </a:prstGeom>
        </xdr:spPr>
      </xdr:pic>
      <xdr:pic>
        <xdr:nvPicPr>
          <xdr:cNvPr id="33" name="image23.png">
            <a:extLst>
              <a:ext uri="{FF2B5EF4-FFF2-40B4-BE49-F238E27FC236}">
                <a16:creationId xmlns:a16="http://schemas.microsoft.com/office/drawing/2014/main" id="{51CA2805-C7EB-3D27-980C-B05F12EAAE17}"/>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98120" y="922020"/>
            <a:ext cx="70104" cy="74676"/>
          </a:xfrm>
          <a:prstGeom prst="rect">
            <a:avLst/>
          </a:prstGeom>
        </xdr:spPr>
      </xdr:pic>
      <xdr:sp macro="" textlink="">
        <xdr:nvSpPr>
          <xdr:cNvPr id="34" name="Shape 34">
            <a:extLst>
              <a:ext uri="{FF2B5EF4-FFF2-40B4-BE49-F238E27FC236}">
                <a16:creationId xmlns:a16="http://schemas.microsoft.com/office/drawing/2014/main" id="{D9904450-FB03-80A9-7427-393D96079C0D}"/>
              </a:ext>
            </a:extLst>
          </xdr:cNvPr>
          <xdr:cNvSpPr/>
        </xdr:nvSpPr>
        <xdr:spPr>
          <a:xfrm>
            <a:off x="313944" y="922032"/>
            <a:ext cx="196850" cy="73660"/>
          </a:xfrm>
          <a:custGeom>
            <a:avLst/>
            <a:gdLst/>
            <a:ahLst/>
            <a:cxnLst/>
            <a:rect l="0" t="0" r="0" b="0"/>
            <a:pathLst>
              <a:path w="196850" h="73660">
                <a:moveTo>
                  <a:pt x="59436" y="68580"/>
                </a:moveTo>
                <a:lnTo>
                  <a:pt x="50292" y="53340"/>
                </a:lnTo>
                <a:lnTo>
                  <a:pt x="47244" y="48768"/>
                </a:lnTo>
                <a:lnTo>
                  <a:pt x="39624" y="41148"/>
                </a:lnTo>
                <a:lnTo>
                  <a:pt x="36576" y="39624"/>
                </a:lnTo>
                <a:lnTo>
                  <a:pt x="44196" y="38100"/>
                </a:lnTo>
                <a:lnTo>
                  <a:pt x="47244" y="37084"/>
                </a:lnTo>
                <a:lnTo>
                  <a:pt x="48768" y="36576"/>
                </a:lnTo>
                <a:lnTo>
                  <a:pt x="54864" y="30480"/>
                </a:lnTo>
                <a:lnTo>
                  <a:pt x="56388" y="24384"/>
                </a:lnTo>
                <a:lnTo>
                  <a:pt x="56388" y="15240"/>
                </a:lnTo>
                <a:lnTo>
                  <a:pt x="54864" y="12192"/>
                </a:lnTo>
                <a:lnTo>
                  <a:pt x="53340" y="7620"/>
                </a:lnTo>
                <a:lnTo>
                  <a:pt x="48768" y="3048"/>
                </a:lnTo>
                <a:lnTo>
                  <a:pt x="47244" y="2286"/>
                </a:lnTo>
                <a:lnTo>
                  <a:pt x="47244" y="15240"/>
                </a:lnTo>
                <a:lnTo>
                  <a:pt x="47244" y="22860"/>
                </a:lnTo>
                <a:lnTo>
                  <a:pt x="44196" y="25908"/>
                </a:lnTo>
                <a:lnTo>
                  <a:pt x="44196" y="28956"/>
                </a:lnTo>
                <a:lnTo>
                  <a:pt x="42672" y="30480"/>
                </a:lnTo>
                <a:lnTo>
                  <a:pt x="39624" y="30480"/>
                </a:lnTo>
                <a:lnTo>
                  <a:pt x="36576" y="32004"/>
                </a:lnTo>
                <a:lnTo>
                  <a:pt x="9144" y="32004"/>
                </a:lnTo>
                <a:lnTo>
                  <a:pt x="9144" y="7620"/>
                </a:lnTo>
                <a:lnTo>
                  <a:pt x="36576" y="7620"/>
                </a:lnTo>
                <a:lnTo>
                  <a:pt x="41148" y="9144"/>
                </a:lnTo>
                <a:lnTo>
                  <a:pt x="44196" y="10668"/>
                </a:lnTo>
                <a:lnTo>
                  <a:pt x="45720" y="13716"/>
                </a:lnTo>
                <a:lnTo>
                  <a:pt x="47244" y="15240"/>
                </a:lnTo>
                <a:lnTo>
                  <a:pt x="47244" y="2286"/>
                </a:lnTo>
                <a:lnTo>
                  <a:pt x="42672" y="0"/>
                </a:lnTo>
                <a:lnTo>
                  <a:pt x="0" y="0"/>
                </a:lnTo>
                <a:lnTo>
                  <a:pt x="0" y="73152"/>
                </a:lnTo>
                <a:lnTo>
                  <a:pt x="9144" y="73152"/>
                </a:lnTo>
                <a:lnTo>
                  <a:pt x="9144" y="39624"/>
                </a:lnTo>
                <a:lnTo>
                  <a:pt x="22860" y="39624"/>
                </a:lnTo>
                <a:lnTo>
                  <a:pt x="24384" y="41148"/>
                </a:lnTo>
                <a:lnTo>
                  <a:pt x="27432" y="41148"/>
                </a:lnTo>
                <a:lnTo>
                  <a:pt x="30480" y="44196"/>
                </a:lnTo>
                <a:lnTo>
                  <a:pt x="33528" y="45720"/>
                </a:lnTo>
                <a:lnTo>
                  <a:pt x="35052" y="47244"/>
                </a:lnTo>
                <a:lnTo>
                  <a:pt x="36576" y="50292"/>
                </a:lnTo>
                <a:lnTo>
                  <a:pt x="38100" y="53340"/>
                </a:lnTo>
                <a:lnTo>
                  <a:pt x="41148" y="57912"/>
                </a:lnTo>
                <a:lnTo>
                  <a:pt x="50292" y="73152"/>
                </a:lnTo>
                <a:lnTo>
                  <a:pt x="59436" y="68580"/>
                </a:lnTo>
              </a:path>
              <a:path w="196850" h="73660">
                <a:moveTo>
                  <a:pt x="126492" y="16764"/>
                </a:moveTo>
                <a:lnTo>
                  <a:pt x="124968" y="15240"/>
                </a:lnTo>
                <a:lnTo>
                  <a:pt x="123444" y="10668"/>
                </a:lnTo>
                <a:lnTo>
                  <a:pt x="121920" y="7620"/>
                </a:lnTo>
                <a:lnTo>
                  <a:pt x="115824" y="1524"/>
                </a:lnTo>
                <a:lnTo>
                  <a:pt x="115824" y="15240"/>
                </a:lnTo>
                <a:lnTo>
                  <a:pt x="115824" y="25908"/>
                </a:lnTo>
                <a:lnTo>
                  <a:pt x="114300" y="28956"/>
                </a:lnTo>
                <a:lnTo>
                  <a:pt x="109728" y="33528"/>
                </a:lnTo>
                <a:lnTo>
                  <a:pt x="105156" y="35052"/>
                </a:lnTo>
                <a:lnTo>
                  <a:pt x="82296" y="35052"/>
                </a:lnTo>
                <a:lnTo>
                  <a:pt x="82296" y="7620"/>
                </a:lnTo>
                <a:lnTo>
                  <a:pt x="106680" y="7620"/>
                </a:lnTo>
                <a:lnTo>
                  <a:pt x="108204" y="9144"/>
                </a:lnTo>
                <a:lnTo>
                  <a:pt x="111252" y="9144"/>
                </a:lnTo>
                <a:lnTo>
                  <a:pt x="112776" y="10668"/>
                </a:lnTo>
                <a:lnTo>
                  <a:pt x="112776" y="13716"/>
                </a:lnTo>
                <a:lnTo>
                  <a:pt x="115824" y="15240"/>
                </a:lnTo>
                <a:lnTo>
                  <a:pt x="115824" y="1524"/>
                </a:lnTo>
                <a:lnTo>
                  <a:pt x="112776" y="0"/>
                </a:lnTo>
                <a:lnTo>
                  <a:pt x="73152" y="0"/>
                </a:lnTo>
                <a:lnTo>
                  <a:pt x="73152" y="73152"/>
                </a:lnTo>
                <a:lnTo>
                  <a:pt x="82296" y="73152"/>
                </a:lnTo>
                <a:lnTo>
                  <a:pt x="82296" y="44196"/>
                </a:lnTo>
                <a:lnTo>
                  <a:pt x="109728" y="44196"/>
                </a:lnTo>
                <a:lnTo>
                  <a:pt x="115824" y="41757"/>
                </a:lnTo>
                <a:lnTo>
                  <a:pt x="117348" y="41148"/>
                </a:lnTo>
                <a:lnTo>
                  <a:pt x="120396" y="38100"/>
                </a:lnTo>
                <a:lnTo>
                  <a:pt x="123444" y="32004"/>
                </a:lnTo>
                <a:lnTo>
                  <a:pt x="126492" y="27432"/>
                </a:lnTo>
                <a:lnTo>
                  <a:pt x="126492" y="16764"/>
                </a:lnTo>
              </a:path>
              <a:path w="196850" h="73660">
                <a:moveTo>
                  <a:pt x="196596" y="0"/>
                </a:moveTo>
                <a:lnTo>
                  <a:pt x="190500" y="0"/>
                </a:lnTo>
                <a:lnTo>
                  <a:pt x="188976" y="4572"/>
                </a:lnTo>
                <a:lnTo>
                  <a:pt x="187452" y="7620"/>
                </a:lnTo>
                <a:lnTo>
                  <a:pt x="179832" y="15240"/>
                </a:lnTo>
                <a:lnTo>
                  <a:pt x="170688" y="18288"/>
                </a:lnTo>
                <a:lnTo>
                  <a:pt x="170688" y="27432"/>
                </a:lnTo>
                <a:lnTo>
                  <a:pt x="173736" y="25908"/>
                </a:lnTo>
                <a:lnTo>
                  <a:pt x="175260" y="24384"/>
                </a:lnTo>
                <a:lnTo>
                  <a:pt x="179832" y="22860"/>
                </a:lnTo>
                <a:lnTo>
                  <a:pt x="182880" y="19812"/>
                </a:lnTo>
                <a:lnTo>
                  <a:pt x="185928" y="18288"/>
                </a:lnTo>
                <a:lnTo>
                  <a:pt x="188976" y="15240"/>
                </a:lnTo>
                <a:lnTo>
                  <a:pt x="188976" y="73152"/>
                </a:lnTo>
                <a:lnTo>
                  <a:pt x="196596" y="73152"/>
                </a:lnTo>
                <a:lnTo>
                  <a:pt x="196596" y="0"/>
                </a:lnTo>
              </a:path>
            </a:pathLst>
          </a:custGeom>
          <a:solidFill>
            <a:srgbClr val="000000"/>
          </a:solidFill>
        </xdr:spPr>
      </xdr:sp>
      <xdr:pic>
        <xdr:nvPicPr>
          <xdr:cNvPr id="35" name="image24.png">
            <a:extLst>
              <a:ext uri="{FF2B5EF4-FFF2-40B4-BE49-F238E27FC236}">
                <a16:creationId xmlns:a16="http://schemas.microsoft.com/office/drawing/2014/main" id="{8EEB34F1-300F-5693-EBFE-07643992B023}"/>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530352" y="922020"/>
            <a:ext cx="185928" cy="74676"/>
          </a:xfrm>
          <a:prstGeom prst="rect">
            <a:avLst/>
          </a:prstGeom>
        </xdr:spPr>
      </xdr:pic>
      <xdr:pic>
        <xdr:nvPicPr>
          <xdr:cNvPr id="36" name="image25.png">
            <a:extLst>
              <a:ext uri="{FF2B5EF4-FFF2-40B4-BE49-F238E27FC236}">
                <a16:creationId xmlns:a16="http://schemas.microsoft.com/office/drawing/2014/main" id="{52328DC2-E51A-14AA-BB0C-5DBBC9C1106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0" y="0"/>
            <a:ext cx="787400" cy="2654300"/>
          </a:xfrm>
          <a:prstGeom prst="rect">
            <a:avLst/>
          </a:prstGeom>
        </xdr:spPr>
      </xdr:pic>
    </xdr:grpSp>
    <xdr:clientData/>
  </xdr:one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Kappelman" refreshedDate="45406.357640509261" createdVersion="8" refreshedVersion="8" minRefreshableVersion="3" recordCount="21" xr:uid="{89FA057A-1C92-4D99-A8BB-53A7BC4089E3}">
  <cacheSource type="worksheet">
    <worksheetSource ref="A1:ER22" sheet="Intersection Crashes"/>
  </cacheSource>
  <cacheFields count="151">
    <cacheField name="OBJECTID *" numFmtId="0">
      <sharedItems containsSemiMixedTypes="0" containsString="0" containsNumber="1" containsInteger="1" minValue="1" maxValue="21"/>
    </cacheField>
    <cacheField name="Shape *" numFmtId="0">
      <sharedItems/>
    </cacheField>
    <cacheField name="Join_Count" numFmtId="0">
      <sharedItems containsSemiMixedTypes="0" containsString="0" containsNumber="1" containsInteger="1" minValue="1" maxValue="1"/>
    </cacheField>
    <cacheField name="TARGET_FID" numFmtId="0">
      <sharedItems containsSemiMixedTypes="0" containsString="0" containsNumber="1" containsInteger="1" minValue="23" maxValue="3112"/>
    </cacheField>
    <cacheField name="OBJECTID *2" numFmtId="0">
      <sharedItems containsSemiMixedTypes="0" containsString="0" containsNumber="1" containsInteger="1" minValue="206889" maxValue="373642"/>
    </cacheField>
    <cacheField name="CRASH_NO" numFmtId="0">
      <sharedItems containsSemiMixedTypes="0" containsString="0" containsNumber="1" containsInteger="1" minValue="305923" maxValue="1145474"/>
    </cacheField>
    <cacheField name="COUNTY" numFmtId="0">
      <sharedItems containsSemiMixedTypes="0" containsString="0" containsNumber="1" containsInteger="1" minValue="7" maxValue="53"/>
    </cacheField>
    <cacheField name="COUNTY_DESCR" numFmtId="0">
      <sharedItems/>
    </cacheField>
    <cacheField name="OBSERVATIONS" numFmtId="0">
      <sharedItems containsSemiMixedTypes="0" containsString="0" containsNumber="1" containsInteger="1" minValue="0" maxValue="0"/>
    </cacheField>
    <cacheField name="OBSER_DESCR" numFmtId="0">
      <sharedItems/>
    </cacheField>
    <cacheField name="AGENCY_TYPE" numFmtId="0">
      <sharedItems containsSemiMixedTypes="0" containsString="0" containsNumber="1" containsInteger="1" minValue="1" maxValue="3"/>
    </cacheField>
    <cacheField name="AGENCY_DESCR" numFmtId="0">
      <sharedItems/>
    </cacheField>
    <cacheField name="LIGHT" numFmtId="0">
      <sharedItems containsSemiMixedTypes="0" containsString="0" containsNumber="1" containsInteger="1" minValue="0" maxValue="5"/>
    </cacheField>
    <cacheField name="LIGHT_DESCR" numFmtId="0">
      <sharedItems/>
    </cacheField>
    <cacheField name="FIRST_HARMFUL_EVNT" numFmtId="0">
      <sharedItems containsSemiMixedTypes="0" containsString="0" containsNumber="1" containsInteger="1" minValue="1" maxValue="52"/>
    </cacheField>
    <cacheField name="FIRST_HARMFUL_EVNT_DESCR" numFmtId="0">
      <sharedItems/>
    </cacheField>
    <cacheField name="CITY" numFmtId="0">
      <sharedItems containsMixedTypes="1" containsNumber="1" containsInteger="1" minValue="87" maxValue="87"/>
    </cacheField>
    <cacheField name="CITY_DESCR" numFmtId="0">
      <sharedItems/>
    </cacheField>
    <cacheField name="REPORT_TYPE" numFmtId="0">
      <sharedItems containsSemiMixedTypes="0" containsString="0" containsNumber="1" containsInteger="1" minValue="1" maxValue="1"/>
    </cacheField>
    <cacheField name="REPORT_TYPE_DESCR" numFmtId="0">
      <sharedItems/>
    </cacheField>
    <cacheField name="CRASH_TYPE" numFmtId="0">
      <sharedItems containsSemiMixedTypes="0" containsString="0" containsNumber="1" containsInteger="1" minValue="1" maxValue="1"/>
    </cacheField>
    <cacheField name="CRASH_TYPE_DESCR" numFmtId="0">
      <sharedItems/>
    </cacheField>
    <cacheField name="ACCESS_CNTRL" numFmtId="0">
      <sharedItems containsSemiMixedTypes="0" containsString="0" containsNumber="1" containsInteger="1" minValue="1" maxValue="1"/>
    </cacheField>
    <cacheField name="ACCESS_CNTRL_DESCR" numFmtId="0">
      <sharedItems/>
    </cacheField>
    <cacheField name="WEATHER" numFmtId="0">
      <sharedItems containsSemiMixedTypes="0" containsString="0" containsNumber="1" containsInteger="1" minValue="1" maxValue="8"/>
    </cacheField>
    <cacheField name="WEATHER_DESCR" numFmtId="0">
      <sharedItems/>
    </cacheField>
    <cacheField name="RELATION_TO_ROAD" numFmtId="0">
      <sharedItems containsSemiMixedTypes="0" containsString="0" containsNumber="1" containsInteger="1" minValue="0" maxValue="6"/>
    </cacheField>
    <cacheField name="RELATION_TO_ROAD_DESCR" numFmtId="0">
      <sharedItems/>
    </cacheField>
    <cacheField name="ROAD_COND" numFmtId="0">
      <sharedItems containsSemiMixedTypes="0" containsString="0" containsNumber="1" containsInteger="1" minValue="1" maxValue="4"/>
    </cacheField>
    <cacheField name="ROAD_COND_DESCR" numFmtId="0">
      <sharedItems/>
    </cacheField>
    <cacheField name="SURFACE_COND" numFmtId="0">
      <sharedItems containsSemiMixedTypes="0" containsString="0" containsNumber="1" containsInteger="1" minValue="1" maxValue="6"/>
    </cacheField>
    <cacheField name="SURFACE_COND_DESCR" numFmtId="0">
      <sharedItems/>
    </cacheField>
    <cacheField name="RELATION_TO_JUNCTI" numFmtId="0">
      <sharedItems containsSemiMixedTypes="0" containsString="0" containsNumber="1" containsInteger="1" minValue="1" maxValue="6"/>
    </cacheField>
    <cacheField name="RELATION_TO_JUNCTI_DESCR" numFmtId="0">
      <sharedItems/>
    </cacheField>
    <cacheField name="CRASH_SEVERITY" numFmtId="0">
      <sharedItems containsSemiMixedTypes="0" containsString="0" containsNumber="1" containsInteger="1" minValue="2" maxValue="4"/>
    </cacheField>
    <cacheField name="CRASH_SEVERITY_DESCR" numFmtId="0">
      <sharedItems count="3">
        <s v="PDO"/>
        <s v="Incapacitating Injury"/>
        <s v="Non-incapacitating injury"/>
      </sharedItems>
    </cacheField>
    <cacheField name="INTER_TYPE" numFmtId="0">
      <sharedItems containsSemiMixedTypes="0" containsString="0" containsNumber="1" containsInteger="1" minValue="1" maxValue="1"/>
    </cacheField>
    <cacheField name="INTER_TYPE_DESCR" numFmtId="0">
      <sharedItems/>
    </cacheField>
    <cacheField name="MANNER_OF_COLL" numFmtId="0">
      <sharedItems containsSemiMixedTypes="0" containsString="0" containsNumber="1" containsInteger="1" minValue="2" maxValue="7"/>
    </cacheField>
    <cacheField name="MANNER_OF_COLL_DESCR" numFmtId="0">
      <sharedItems count="3">
        <s v="Rear End"/>
        <s v="Non-Coll. w/Motor Veh."/>
        <s v="Sideswipe (same dir.)"/>
      </sharedItems>
    </cacheField>
    <cacheField name="SURFACE_TYPE" numFmtId="0">
      <sharedItems containsSemiMixedTypes="0" containsString="0" containsNumber="1" containsInteger="1" minValue="1" maxValue="2"/>
    </cacheField>
    <cacheField name="SURFACE_TYPE_DESCR" numFmtId="0">
      <sharedItems/>
    </cacheField>
    <cacheField name="ROAD_GEOM" numFmtId="0">
      <sharedItems containsSemiMixedTypes="0" containsString="0" containsNumber="1" containsInteger="1" minValue="1" maxValue="4"/>
    </cacheField>
    <cacheField name="ROAD_GEOM_DESCR" numFmtId="0">
      <sharedItems/>
    </cacheField>
    <cacheField name="FUNC_CLASS" numFmtId="0">
      <sharedItems containsSemiMixedTypes="0" containsString="0" containsNumber="1" containsInteger="1" minValue="0" maxValue="2"/>
    </cacheField>
    <cacheField name="RURAL_URBAN" numFmtId="0">
      <sharedItems containsSemiMixedTypes="0" containsString="0" containsNumber="1" containsInteger="1" minValue="1" maxValue="1"/>
    </cacheField>
    <cacheField name="CRASH_DATE" numFmtId="14">
      <sharedItems containsSemiMixedTypes="0" containsNonDate="0" containsDate="1" containsString="0" minDate="2014-06-17T00:00:00" maxDate="2023-10-27T00:00:00" count="20">
        <d v="2014-10-19T00:00:00"/>
        <d v="2014-12-13T00:00:00"/>
        <d v="2015-01-20T00:00:00"/>
        <d v="2015-07-28T00:00:00"/>
        <d v="2015-10-19T00:00:00"/>
        <d v="2017-08-22T00:00:00"/>
        <d v="2020-01-01T00:00:00"/>
        <d v="2022-03-05T00:00:00"/>
        <d v="2023-02-21T00:00:00"/>
        <d v="2023-10-26T00:00:00"/>
        <d v="2018-11-16T00:00:00"/>
        <d v="2017-08-29T00:00:00"/>
        <d v="2016-11-28T00:00:00"/>
        <d v="2022-10-07T00:00:00"/>
        <d v="2019-05-09T00:00:00"/>
        <d v="2016-06-29T00:00:00"/>
        <d v="2019-06-03T00:00:00"/>
        <d v="2014-06-17T00:00:00"/>
        <d v="2023-08-16T00:00:00"/>
        <d v="2015-01-12T00:00:00"/>
      </sharedItems>
      <fieldGroup par="150"/>
    </cacheField>
    <cacheField name="CRASH_TIME" numFmtId="0">
      <sharedItems containsSemiMixedTypes="0" containsNonDate="0" containsDate="1" containsString="0" minDate="2024-04-15T00:00:00" maxDate="2024-04-15T19:30:00"/>
    </cacheField>
    <cacheField name="DATE_ENTERED" numFmtId="14">
      <sharedItems containsSemiMixedTypes="0" containsNonDate="0" containsDate="1" containsString="0" minDate="2014-06-25T00:00:00" maxDate="2023-11-03T00:00:00"/>
    </cacheField>
    <cacheField name="HIT_RUN" numFmtId="0">
      <sharedItems containsSemiMixedTypes="0" containsString="0" containsNumber="1" containsInteger="1" minValue="1" maxValue="2"/>
    </cacheField>
    <cacheField name="ANIMAL_MV_WINDOW" numFmtId="0">
      <sharedItems/>
    </cacheField>
    <cacheField name="DATE_POLICE_NOTIFI" numFmtId="14">
      <sharedItems containsSemiMixedTypes="0" containsNonDate="0" containsDate="1" containsString="0" minDate="2014-06-17T00:00:00" maxDate="2023-10-27T00:00:00"/>
    </cacheField>
    <cacheField name="TIME_POLICE_NOTIFI" numFmtId="22">
      <sharedItems containsSemiMixedTypes="0" containsNonDate="0" containsDate="1" containsString="0" minDate="2024-04-15T03:45:00" maxDate="2024-04-15T20:30:00"/>
    </cacheField>
    <cacheField name="EMERGENCY_UNIT" numFmtId="0">
      <sharedItems/>
    </cacheField>
    <cacheField name="EMERGENCY_UNIT_NO" numFmtId="0">
      <sharedItems containsMixedTypes="1" containsNumber="1" containsInteger="1" minValue="61" maxValue="126"/>
    </cacheField>
    <cacheField name="AGENCY_REPORT_NO" numFmtId="0">
      <sharedItems containsMixedTypes="1" containsNumber="1" containsInteger="1" minValue="1" maxValue="23004946"/>
    </cacheField>
    <cacheField name="LATITUDE" numFmtId="0">
      <sharedItems containsSemiMixedTypes="0" containsString="0" containsNumber="1" minValue="47.893613000000002" maxValue="48.902304999999998"/>
    </cacheField>
    <cacheField name="LONGITUDE" numFmtId="0">
      <sharedItems containsSemiMixedTypes="0" containsString="0" containsNumber="1" minValue="-102.546027" maxValue="-100.27205499999999"/>
    </cacheField>
    <cacheField name="NHS" numFmtId="0">
      <sharedItems containsMixedTypes="1" containsNumber="1" containsInteger="1" minValue="1" maxValue="1"/>
    </cacheField>
    <cacheField name="HIGHWAY" numFmtId="0">
      <sharedItems containsMixedTypes="1" containsNumber="1" containsInteger="1" minValue="52" maxValue="52"/>
    </cacheField>
    <cacheField name="HUND_MILES" numFmtId="0">
      <sharedItems containsMixedTypes="1" containsNumber="1" containsInteger="1" minValue="50" maxValue="50"/>
    </cacheField>
    <cacheField name="HUND_KILOMETER" numFmtId="0">
      <sharedItems containsMixedTypes="1" containsNumber="1" minValue="80.466999999999999" maxValue="80.466999999999999"/>
    </cacheField>
    <cacheField name="FROM_REF_POINT" numFmtId="0">
      <sharedItems containsMixedTypes="1" containsNumber="1" minValue="2.839" maxValue="149.99"/>
    </cacheField>
    <cacheField name="TO_REF_POINT" numFmtId="0">
      <sharedItems containsMixedTypes="1" containsNumber="1" minValue="2.839" maxValue="149.99"/>
    </cacheField>
    <cacheField name="TOWNSHIP" numFmtId="0">
      <sharedItems containsMixedTypes="1" containsNumber="1" containsInteger="1" minValue="152" maxValue="152"/>
    </cacheField>
    <cacheField name="RANGE" numFmtId="0">
      <sharedItems containsMixedTypes="1" containsNumber="1" containsInteger="1" minValue="80" maxValue="80"/>
    </cacheField>
    <cacheField name="ROUTE" numFmtId="0">
      <sharedItems/>
    </cacheField>
    <cacheField name="FROM_NODE" numFmtId="0">
      <sharedItems/>
    </cacheField>
    <cacheField name="TO_NODE" numFmtId="0">
      <sharedItems/>
    </cacheField>
    <cacheField name="STREET1" numFmtId="0">
      <sharedItems/>
    </cacheField>
    <cacheField name="STREET2" numFmtId="0">
      <sharedItems/>
    </cacheField>
    <cacheField name="FROM_FEET" numFmtId="0">
      <sharedItems containsMixedTypes="1" containsNumber="1" containsInteger="1" minValue="0" maxValue="0"/>
    </cacheField>
    <cacheField name="FROM_METERS" numFmtId="0">
      <sharedItems containsMixedTypes="1" containsNumber="1" containsInteger="1" minValue="0" maxValue="0"/>
    </cacheField>
    <cacheField name="FROM_INTERSECTION" numFmtId="0">
      <sharedItems/>
    </cacheField>
    <cacheField name="TO_INTERSECTION" numFmtId="0">
      <sharedItems/>
    </cacheField>
    <cacheField name="OTHER_PROP_DAMAGE" numFmtId="0">
      <sharedItems containsSemiMixedTypes="0" containsString="0" containsNumber="1" containsInteger="1" minValue="0" maxValue="1000"/>
    </cacheField>
    <cacheField name="POSTED_PROOF_FR" numFmtId="0">
      <sharedItems/>
    </cacheField>
    <cacheField name="CRASH_VALIDATED" numFmtId="0">
      <sharedItems/>
    </cacheField>
    <cacheField name="FROM_NODE_STREET" numFmtId="0">
      <sharedItems/>
    </cacheField>
    <cacheField name="CRASH_DAY" numFmtId="0">
      <sharedItems/>
    </cacheField>
    <cacheField name="WZR_LOCATION_DESCR" numFmtId="0">
      <sharedItems/>
    </cacheField>
    <cacheField name="WZR_TYPE_OF_ZONE_DESCR" numFmtId="0">
      <sharedItems/>
    </cacheField>
    <cacheField name="YOUNG_DRIVER_UNDER_21" numFmtId="0">
      <sharedItems/>
    </cacheField>
    <cacheField name="SPEED_INVOLVED" numFmtId="0">
      <sharedItems/>
    </cacheField>
    <cacheField name="ALCOHOL_INVOLVED" numFmtId="0">
      <sharedItems/>
    </cacheField>
    <cacheField name="LANE_DEPARTURE" numFmtId="0">
      <sharedItems/>
    </cacheField>
    <cacheField name="UNBELTED_VEHICLE_OCCUPANTS" numFmtId="0">
      <sharedItems/>
    </cacheField>
    <cacheField name="UNIT_CONFIG_DESCR_V1" numFmtId="0">
      <sharedItems/>
    </cacheField>
    <cacheField name="TRAFFICWAY_DESCR_V1" numFmtId="0">
      <sharedItems/>
    </cacheField>
    <cacheField name="EVASIVE_ACT_DESCR_D1" numFmtId="0">
      <sharedItems/>
    </cacheField>
    <cacheField name="ALCOHOL_TEST_DESCR_D1" numFmtId="0">
      <sharedItems/>
    </cacheField>
    <cacheField name="TRAFFIC_CONTROL_DESCR_V1" numFmtId="0">
      <sharedItems/>
    </cacheField>
    <cacheField name="DIR_OF_TRAVEL_DESCR_V1" numFmtId="0">
      <sharedItems/>
    </cacheField>
    <cacheField name="VEH_MOVEMENT_DESCR_V1" numFmtId="0">
      <sharedItems/>
    </cacheField>
    <cacheField name="MOST_HARMFUL_EVENT_DESCR_V1" numFmtId="0">
      <sharedItems/>
    </cacheField>
    <cacheField name="OP_AGE_D1" numFmtId="0">
      <sharedItems containsMixedTypes="1" containsNumber="1" containsInteger="1" minValue="17" maxValue="76"/>
    </cacheField>
    <cacheField name="OP_SEX_D1" numFmtId="0">
      <sharedItems/>
    </cacheField>
    <cacheField name="OP_CITY_D1" numFmtId="0">
      <sharedItems/>
    </cacheField>
    <cacheField name="OP_STATE_D1" numFmtId="0">
      <sharedItems/>
    </cacheField>
    <cacheField name="ALCOHOL_DRUG_DESCR_D1" numFmtId="0">
      <sharedItems/>
    </cacheField>
    <cacheField name="SAFETY_EQUIP_DESCR_V1" numFmtId="0">
      <sharedItems/>
    </cacheField>
    <cacheField name="CONTRIB_FACT_DESCR_D1" numFmtId="0">
      <sharedItems/>
    </cacheField>
    <cacheField name="CITATION_DESCR_D1" numFmtId="0">
      <sharedItems/>
    </cacheField>
    <cacheField name="EJECT_EXTR_DESCR_D1" numFmtId="0">
      <sharedItems/>
    </cacheField>
    <cacheField name="SPEED_LIMIT_D1" numFmtId="0">
      <sharedItems containsMixedTypes="1" containsNumber="1" containsInteger="1" minValue="45" maxValue="65"/>
    </cacheField>
    <cacheField name="VISUAL_OBSTRUCT_DESCR_D1" numFmtId="0">
      <sharedItems/>
    </cacheField>
    <cacheField name="UNIT_CONFIG_DESCR_V2" numFmtId="0">
      <sharedItems/>
    </cacheField>
    <cacheField name="DIR_OF_TRAVEL_DESCR_V2" numFmtId="0">
      <sharedItems/>
    </cacheField>
    <cacheField name="TRAFFIC_CONTROL_DESCR_V2" numFmtId="0">
      <sharedItems/>
    </cacheField>
    <cacheField name="VEH_MOVEMENT_DESCR_V2" numFmtId="0">
      <sharedItems/>
    </cacheField>
    <cacheField name="MOST_HARMFUL_EVENT_DESCR_V2" numFmtId="0">
      <sharedItems/>
    </cacheField>
    <cacheField name="OP_AGE_D2" numFmtId="0">
      <sharedItems containsMixedTypes="1" containsNumber="1" containsInteger="1" minValue="38" maxValue="81"/>
    </cacheField>
    <cacheField name="OP_SEX_D2" numFmtId="0">
      <sharedItems/>
    </cacheField>
    <cacheField name="OP_CITY_D2" numFmtId="0">
      <sharedItems/>
    </cacheField>
    <cacheField name="OP_STATE_D2" numFmtId="0">
      <sharedItems/>
    </cacheField>
    <cacheField name="ALCOHOL_DRUG_DESCR_D2" numFmtId="0">
      <sharedItems/>
    </cacheField>
    <cacheField name="SAFETY_EQUIP_DESCR_V2" numFmtId="0">
      <sharedItems/>
    </cacheField>
    <cacheField name="CONTRIB_FACT_DESCR_D2" numFmtId="0">
      <sharedItems/>
    </cacheField>
    <cacheField name="CITATION_DESCR_D2" numFmtId="0">
      <sharedItems/>
    </cacheField>
    <cacheField name="EJECT_EXTR_DESCR_D2" numFmtId="0">
      <sharedItems/>
    </cacheField>
    <cacheField name="SPEED_LIMIT_D2" numFmtId="0">
      <sharedItems containsMixedTypes="1" containsNumber="1" containsInteger="1" minValue="45" maxValue="65"/>
    </cacheField>
    <cacheField name="VISUAL_OBSTRUCT_DESCR_D2" numFmtId="0">
      <sharedItems/>
    </cacheField>
    <cacheField name="UNIT_CONFIG_DESCR_V3" numFmtId="0">
      <sharedItems/>
    </cacheField>
    <cacheField name="DIR_OF_TRAVEL_DESCR_V3" numFmtId="0">
      <sharedItems/>
    </cacheField>
    <cacheField name="TRAFFIC_CONTROL_DESCR_V3" numFmtId="0">
      <sharedItems/>
    </cacheField>
    <cacheField name="VEH_MOVEMENT_DESCR_V3" numFmtId="0">
      <sharedItems/>
    </cacheField>
    <cacheField name="MOST_HARMFUL_EVENT_DESCR_V3" numFmtId="0">
      <sharedItems/>
    </cacheField>
    <cacheField name="OP_AGE_D3" numFmtId="0">
      <sharedItems/>
    </cacheField>
    <cacheField name="OP_SEX_D3" numFmtId="0">
      <sharedItems/>
    </cacheField>
    <cacheField name="OP_CITY_D3" numFmtId="0">
      <sharedItems/>
    </cacheField>
    <cacheField name="OP_STATE_D3" numFmtId="0">
      <sharedItems/>
    </cacheField>
    <cacheField name="ALCOHOL_DRUG_DESCR_D3" numFmtId="0">
      <sharedItems/>
    </cacheField>
    <cacheField name="SAFETY_EQUIP_DESCR_V3" numFmtId="0">
      <sharedItems/>
    </cacheField>
    <cacheField name="CONTRIB_FACTOR_DESCR_D3" numFmtId="0">
      <sharedItems/>
    </cacheField>
    <cacheField name="CITATION_DESCR_D3" numFmtId="0">
      <sharedItems/>
    </cacheField>
    <cacheField name="EJECT_EXTR_DESCR_D3" numFmtId="0">
      <sharedItems/>
    </cacheField>
    <cacheField name="SPEED_LIMIT_D3" numFmtId="0">
      <sharedItems/>
    </cacheField>
    <cacheField name="VISUAL_OBSTRUCT_DESCR_D3" numFmtId="0">
      <sharedItems/>
    </cacheField>
    <cacheField name="CRASH_HOUR" numFmtId="0">
      <sharedItems containsSemiMixedTypes="0" containsString="0" containsNumber="1" containsInteger="1" minValue="0" maxValue="19"/>
    </cacheField>
    <cacheField name="Name" numFmtId="0">
      <sharedItems count="6">
        <s v="Site 5: Accel.Decel. Lanes RP 120.5"/>
        <s v="Site 7: Accel.Decel. Lanes RP 143.5"/>
        <s v="Site 8: Turn Lanes EB &amp; WB RP 149.9"/>
        <s v="Site 1: Accel.Decel. Lanes RP 6.9"/>
        <s v="Site 2: Accel.Decel. Lanes RP 20.6"/>
        <s v="Site 3: Accel.Decel. Lanes RP 40.1"/>
      </sharedItems>
    </cacheField>
    <cacheField name="FolderPath" numFmtId="0">
      <sharedItems/>
    </cacheField>
    <cacheField name="SymbolID" numFmtId="0">
      <sharedItems containsSemiMixedTypes="0" containsString="0" containsNumber="1" containsInteger="1" minValue="0" maxValue="0"/>
    </cacheField>
    <cacheField name="AltMode" numFmtId="0">
      <sharedItems containsSemiMixedTypes="0" containsString="0" containsNumber="1" containsInteger="1" minValue="0" maxValue="0"/>
    </cacheField>
    <cacheField name="Base" numFmtId="0">
      <sharedItems containsSemiMixedTypes="0" containsString="0" containsNumber="1" containsInteger="1" minValue="0" maxValue="0"/>
    </cacheField>
    <cacheField name="Clamped" numFmtId="0">
      <sharedItems containsSemiMixedTypes="0" containsString="0" containsNumber="1" containsInteger="1" minValue="-1" maxValue="-1"/>
    </cacheField>
    <cacheField name="Extruded" numFmtId="0">
      <sharedItems containsSemiMixedTypes="0" containsString="0" containsNumber="1" containsInteger="1" minValue="0" maxValue="0"/>
    </cacheField>
    <cacheField name="Snippet" numFmtId="0">
      <sharedItems containsNonDate="0" containsString="0" containsBlank="1"/>
    </cacheField>
    <cacheField name="PopupInfo" numFmtId="0">
      <sharedItems containsNonDate="0" containsString="0" containsBlank="1"/>
    </cacheField>
    <cacheField name="Months (CRASH_DATE)" numFmtId="0" databaseField="0">
      <fieldGroup base="46">
        <rangePr groupBy="months" startDate="2014-06-17T00:00:00" endDate="2023-10-27T00:00:00"/>
        <groupItems count="14">
          <s v="&lt;6/17/2014"/>
          <s v="Jan"/>
          <s v="Feb"/>
          <s v="Mar"/>
          <s v="Apr"/>
          <s v="May"/>
          <s v="Jun"/>
          <s v="Jul"/>
          <s v="Aug"/>
          <s v="Sep"/>
          <s v="Oct"/>
          <s v="Nov"/>
          <s v="Dec"/>
          <s v="&gt;10/27/2023"/>
        </groupItems>
      </fieldGroup>
    </cacheField>
    <cacheField name="Quarters (CRASH_DATE)" numFmtId="0" databaseField="0">
      <fieldGroup base="46">
        <rangePr groupBy="quarters" startDate="2014-06-17T00:00:00" endDate="2023-10-27T00:00:00"/>
        <groupItems count="6">
          <s v="&lt;6/17/2014"/>
          <s v="Qtr1"/>
          <s v="Qtr2"/>
          <s v="Qtr3"/>
          <s v="Qtr4"/>
          <s v="&gt;10/27/2023"/>
        </groupItems>
      </fieldGroup>
    </cacheField>
    <cacheField name="Years (CRASH_DATE)" numFmtId="0" databaseField="0">
      <fieldGroup base="46">
        <rangePr groupBy="years" startDate="2014-06-17T00:00:00" endDate="2023-10-27T00:00:00"/>
        <groupItems count="12">
          <s v="&lt;6/17/2014"/>
          <s v="2014"/>
          <s v="2015"/>
          <s v="2016"/>
          <s v="2017"/>
          <s v="2018"/>
          <s v="2019"/>
          <s v="2020"/>
          <s v="2021"/>
          <s v="2022"/>
          <s v="2023"/>
          <s v="&gt;10/27/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n v="1"/>
    <s v="Point Z"/>
    <n v="1"/>
    <n v="23"/>
    <n v="213850"/>
    <n v="312939"/>
    <n v="25"/>
    <s v="McHenry"/>
    <n v="0"/>
    <s v="None"/>
    <n v="3"/>
    <s v="County Sheriff"/>
    <n v="5"/>
    <s v="Dark(Road Unlighted)"/>
    <n v="1"/>
    <s v="MV in Transport"/>
    <s v="&lt;Null&gt;"/>
    <s v="&lt;Null&gt;"/>
    <n v="1"/>
    <s v="Original"/>
    <n v="1"/>
    <s v="Traffic"/>
    <n v="1"/>
    <s v="No Control"/>
    <n v="1"/>
    <s v="Clear"/>
    <n v="0"/>
    <s v="On Roadway"/>
    <n v="1"/>
    <s v="Normal"/>
    <n v="1"/>
    <s v="Dry"/>
    <n v="6"/>
    <s v="Railroad Crossing"/>
    <n v="3"/>
    <x v="0"/>
    <n v="1"/>
    <s v="Non-intersection"/>
    <n v="2"/>
    <x v="0"/>
    <n v="2"/>
    <s v="Asphalt"/>
    <n v="4"/>
    <s v="Curve (on Grade)"/>
    <n v="2"/>
    <n v="1"/>
    <x v="0"/>
    <d v="2024-04-15T19:30:00"/>
    <d v="2014-10-20T00:00:00"/>
    <n v="2"/>
    <s v="M"/>
    <d v="2014-10-19T00:00:00"/>
    <d v="2024-04-15T19:35:00"/>
    <s v="&lt;Null&gt;"/>
    <s v="&lt;Null&gt;"/>
    <n v="450"/>
    <n v="48.021146000000002"/>
    <n v="-100.86924399999999"/>
    <n v="1"/>
    <n v="52"/>
    <s v="&lt;Null&gt;"/>
    <s v="&lt;Null&gt;"/>
    <n v="2.8690000000000002"/>
    <n v="2.8690000000000002"/>
    <s v="&lt;Null&gt;"/>
    <s v="&lt;Null&gt;"/>
    <s v="&lt;Null&gt;"/>
    <s v="&lt;Null&gt;"/>
    <s v="&lt;Null&gt;"/>
    <s v="&lt;Null&gt;"/>
    <s v="&lt;Null&gt;"/>
    <s v="&lt;Null&gt;"/>
    <s v="&lt;Null&gt;"/>
    <s v="&lt;Null&gt;"/>
    <s v="&lt;Null&gt;"/>
    <n v="0"/>
    <s v="Y"/>
    <s v="Y"/>
    <s v="&lt;Null&gt;"/>
    <s v="Sunday"/>
    <s v="Not Applicable"/>
    <s v="Not Applicable"/>
    <s v="No "/>
    <s v="No "/>
    <s v="No "/>
    <s v="No "/>
    <s v="No "/>
    <s v="Truck Tractor"/>
    <s v="Not Divided"/>
    <s v="Accelerated"/>
    <s v="Test Not Given"/>
    <s v="RR Signals with Gates"/>
    <s v="East"/>
    <s v="Backing"/>
    <s v="MV in Transport"/>
    <n v="49"/>
    <s v="M"/>
    <s v="CRASOBY"/>
    <s v="ND"/>
    <s v="Neither Present"/>
    <s v="Restraint Use Unknown"/>
    <s v="No Clear"/>
    <s v="None"/>
    <s v="Not Ejected"/>
    <n v="65"/>
    <s v="None"/>
    <s v="Truck Tractor"/>
    <s v="East"/>
    <s v="RR Signals with Gates"/>
    <s v="Stopped"/>
    <s v="MV in Transport"/>
    <n v="60"/>
    <s v="M"/>
    <s v="ROCKY FACE"/>
    <s v="GA"/>
    <s v="Neither Present"/>
    <s v="Restraint Use Unknown"/>
    <s v="No Clear"/>
    <s v="None"/>
    <s v="Not Ejected"/>
    <n v="65"/>
    <s v="None"/>
    <s v="&lt;Null&gt;"/>
    <s v="&lt;Null&gt;"/>
    <s v="&lt;Null&gt;"/>
    <s v="&lt;Null&gt;"/>
    <s v="&lt;Null&gt;"/>
    <s v="&lt;Null&gt;"/>
    <s v="&lt;Null&gt;"/>
    <s v="&lt;Null&gt;"/>
    <s v="&lt;Null&gt;"/>
    <s v="&lt;Null&gt;"/>
    <s v="&lt;Null&gt;"/>
    <s v="&lt;Null&gt;"/>
    <s v="&lt;Null&gt;"/>
    <s v="&lt;Null&gt;"/>
    <s v="&lt;Null&gt;"/>
    <s v="&lt;Null&gt;"/>
    <n v="19"/>
    <x v="0"/>
    <s v="NDDOT MPDG.kmz/NDDOT MPDG"/>
    <n v="0"/>
    <n v="0"/>
    <n v="0"/>
    <n v="-1"/>
    <n v="0"/>
    <m/>
    <m/>
  </r>
  <r>
    <n v="2"/>
    <s v="Point Z"/>
    <n v="1"/>
    <n v="38"/>
    <n v="218522"/>
    <n v="317654"/>
    <n v="25"/>
    <s v="McHenry"/>
    <n v="0"/>
    <s v="None"/>
    <n v="3"/>
    <s v="County Sheriff"/>
    <n v="5"/>
    <s v="Dark(Road Unlighted)"/>
    <n v="20"/>
    <s v="Overturn / Rollover"/>
    <s v="&lt;Null&gt;"/>
    <s v="&lt;Null&gt;"/>
    <n v="1"/>
    <s v="Original"/>
    <n v="1"/>
    <s v="Traffic"/>
    <n v="1"/>
    <s v="No Control"/>
    <n v="1"/>
    <s v="Clear"/>
    <n v="6"/>
    <s v="Shoulder-right"/>
    <n v="1"/>
    <s v="Normal"/>
    <n v="1"/>
    <s v="Dry"/>
    <n v="1"/>
    <s v="Non-junction"/>
    <n v="3"/>
    <x v="0"/>
    <n v="1"/>
    <s v="Non-intersection"/>
    <n v="7"/>
    <x v="1"/>
    <n v="2"/>
    <s v="Asphalt"/>
    <n v="1"/>
    <s v="Straight (on Level)"/>
    <n v="2"/>
    <n v="1"/>
    <x v="1"/>
    <d v="2024-04-15T18:50:00"/>
    <d v="2014-12-23T00:00:00"/>
    <n v="2"/>
    <s v="M"/>
    <d v="2014-12-13T00:00:00"/>
    <d v="2024-04-15T18:50:00"/>
    <s v="&lt;Null&gt;"/>
    <s v="&lt;Null&gt;"/>
    <n v="510"/>
    <n v="47.919939999999997"/>
    <n v="-100.402545"/>
    <n v="1"/>
    <n v="52"/>
    <s v="&lt;Null&gt;"/>
    <s v="&lt;Null&gt;"/>
    <n v="143.41"/>
    <n v="143.41"/>
    <s v="&lt;Null&gt;"/>
    <s v="&lt;Null&gt;"/>
    <s v="&lt;Null&gt;"/>
    <s v="&lt;Null&gt;"/>
    <s v="&lt;Null&gt;"/>
    <s v="&lt;Null&gt;"/>
    <s v="&lt;Null&gt;"/>
    <s v="&lt;Null&gt;"/>
    <s v="&lt;Null&gt;"/>
    <s v="&lt;Null&gt;"/>
    <s v="&lt;Null&gt;"/>
    <n v="0"/>
    <s v="Y"/>
    <s v="Y"/>
    <s v="&lt;Null&gt;"/>
    <s v="Saturday"/>
    <s v="Not Applicable"/>
    <s v="Not Applicable"/>
    <s v="Yes"/>
    <s v="No "/>
    <s v="No "/>
    <s v="Yes"/>
    <s v="Yes"/>
    <s v="3+ Axle"/>
    <s v="Not Divided"/>
    <s v="Turned Right"/>
    <s v="Test Not Given"/>
    <s v="None"/>
    <s v="East"/>
    <s v="Going Straight"/>
    <s v="MV in Transport"/>
    <n v="19"/>
    <s v="M"/>
    <s v="DRAKE"/>
    <s v="ND"/>
    <s v="Neither Present"/>
    <s v="Not in Use"/>
    <s v="MV Mechanical Failure"/>
    <s v="None"/>
    <s v="Not Ejected"/>
    <n v="65"/>
    <s v="Non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8"/>
    <x v="1"/>
    <s v="NDDOT MPDG.kmz/NDDOT MPDG"/>
    <n v="0"/>
    <n v="0"/>
    <n v="0"/>
    <n v="-1"/>
    <n v="0"/>
    <m/>
    <m/>
  </r>
  <r>
    <n v="3"/>
    <s v="Point Z"/>
    <n v="1"/>
    <n v="47"/>
    <n v="221137"/>
    <n v="320293"/>
    <n v="25"/>
    <s v="McHenry"/>
    <n v="0"/>
    <s v="None"/>
    <n v="1"/>
    <s v="Highway Patrol"/>
    <n v="5"/>
    <s v="Dark(Road Unlighted)"/>
    <n v="27"/>
    <s v="Ran Off Roadway"/>
    <s v="&lt;Null&gt;"/>
    <s v="&lt;Null&gt;"/>
    <n v="1"/>
    <s v="Original"/>
    <n v="1"/>
    <s v="Traffic"/>
    <n v="1"/>
    <s v="No Control"/>
    <n v="2"/>
    <s v="Cloudy"/>
    <n v="6"/>
    <s v="Shoulder-right"/>
    <n v="1"/>
    <s v="Normal"/>
    <n v="6"/>
    <s v="Ice / Compacted Snow"/>
    <n v="1"/>
    <s v="Non-junction"/>
    <n v="3"/>
    <x v="0"/>
    <n v="1"/>
    <s v="Non-intersection"/>
    <n v="7"/>
    <x v="1"/>
    <n v="2"/>
    <s v="Asphalt"/>
    <n v="3"/>
    <s v="Curve (on Level)"/>
    <n v="2"/>
    <n v="1"/>
    <x v="2"/>
    <d v="2024-04-15T05:10:00"/>
    <d v="2015-01-27T00:00:00"/>
    <n v="2"/>
    <s v="M"/>
    <d v="2015-01-20T00:00:00"/>
    <d v="2024-04-15T05:16:00"/>
    <s v="&lt;Null&gt;"/>
    <s v="&lt;Null&gt;"/>
    <n v="491"/>
    <n v="48.021234"/>
    <n v="-100.869776"/>
    <n v="1"/>
    <n v="52"/>
    <s v="&lt;Null&gt;"/>
    <s v="&lt;Null&gt;"/>
    <n v="2.839"/>
    <n v="2.839"/>
    <s v="&lt;Null&gt;"/>
    <s v="&lt;Null&gt;"/>
    <s v="&lt;Null&gt;"/>
    <s v="&lt;Null&gt;"/>
    <s v="&lt;Null&gt;"/>
    <s v="&lt;Null&gt;"/>
    <s v="&lt;Null&gt;"/>
    <s v="&lt;Null&gt;"/>
    <s v="&lt;Null&gt;"/>
    <s v="&lt;Null&gt;"/>
    <s v="&lt;Null&gt;"/>
    <n v="300"/>
    <s v="Y"/>
    <s v="Y"/>
    <s v="&lt;Null&gt;"/>
    <s v="Tuesday"/>
    <s v="Not Applicable"/>
    <s v="Not Applicable"/>
    <s v="Yes"/>
    <s v="Yes"/>
    <s v="No "/>
    <s v="Yes"/>
    <s v="No "/>
    <s v="Passenger Car"/>
    <s v="Not Divided"/>
    <s v="Did Nothing"/>
    <s v="Test Not Given"/>
    <s v="None"/>
    <s v="East"/>
    <s v="Negotiating Curve"/>
    <s v="Ran Off Roadway"/>
    <n v="20"/>
    <s v="F"/>
    <s v="VELVA"/>
    <s v="ND"/>
    <s v="Neither Present"/>
    <s v="Lap and Shoulder"/>
    <s v="To Fast for Conditions"/>
    <s v="Care Required"/>
    <s v="Not Ejected"/>
    <n v="65"/>
    <s v="Non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5"/>
    <x v="0"/>
    <s v="NDDOT MPDG.kmz/NDDOT MPDG"/>
    <n v="0"/>
    <n v="0"/>
    <n v="0"/>
    <n v="-1"/>
    <n v="0"/>
    <m/>
    <m/>
  </r>
  <r>
    <n v="4"/>
    <s v="Point Z"/>
    <n v="1"/>
    <n v="73"/>
    <n v="231926"/>
    <n v="331168"/>
    <n v="25"/>
    <s v="McHenry"/>
    <n v="0"/>
    <s v="None"/>
    <n v="3"/>
    <s v="County Sheriff"/>
    <n v="1"/>
    <s v="Daylight"/>
    <n v="20"/>
    <s v="Overturn / Rollover"/>
    <s v="&lt;Null&gt;"/>
    <s v="&lt;Null&gt;"/>
    <n v="1"/>
    <s v="Original"/>
    <n v="1"/>
    <s v="Traffic"/>
    <n v="1"/>
    <s v="No Control"/>
    <n v="8"/>
    <s v="Severe Wind"/>
    <n v="0"/>
    <s v="On Roadway"/>
    <n v="1"/>
    <s v="Normal"/>
    <n v="1"/>
    <s v="Dry"/>
    <n v="1"/>
    <s v="Non-junction"/>
    <n v="3"/>
    <x v="0"/>
    <n v="1"/>
    <s v="Non-intersection"/>
    <n v="7"/>
    <x v="1"/>
    <n v="2"/>
    <s v="Asphalt"/>
    <n v="1"/>
    <s v="Straight (on Level)"/>
    <n v="2"/>
    <n v="1"/>
    <x v="3"/>
    <d v="2024-04-15T19:00:00"/>
    <d v="2015-08-04T00:00:00"/>
    <n v="2"/>
    <s v="M"/>
    <d v="2015-07-28T00:00:00"/>
    <d v="2024-04-15T19:15:00"/>
    <s v="&lt;Null&gt;"/>
    <s v="&lt;Null&gt;"/>
    <n v="361"/>
    <n v="47.893613000000002"/>
    <n v="-100.27205499999999"/>
    <n v="1"/>
    <n v="52"/>
    <s v="&lt;Null&gt;"/>
    <s v="&lt;Null&gt;"/>
    <n v="149.99"/>
    <n v="149.99"/>
    <s v="&lt;Null&gt;"/>
    <s v="&lt;Null&gt;"/>
    <s v="&lt;Null&gt;"/>
    <s v="&lt;Null&gt;"/>
    <s v="&lt;Null&gt;"/>
    <s v="&lt;Null&gt;"/>
    <s v="&lt;Null&gt;"/>
    <s v="&lt;Null&gt;"/>
    <s v="&lt;Null&gt;"/>
    <s v="&lt;Null&gt;"/>
    <s v="&lt;Null&gt;"/>
    <n v="0"/>
    <s v="Y"/>
    <s v="Y"/>
    <s v="&lt;Null&gt;"/>
    <s v="Tuesday"/>
    <s v="Not Applicable"/>
    <s v="Not Applicable"/>
    <s v="No "/>
    <s v="No "/>
    <s v="No "/>
    <s v="Yes"/>
    <s v="No "/>
    <s v="Pickup - Van - Utility"/>
    <s v="Not Divided"/>
    <s v="Slowed/Stopped"/>
    <s v="Test Not Given"/>
    <s v="None"/>
    <s v="West"/>
    <s v="Going Straight"/>
    <s v="Overturn / Rollover"/>
    <n v="38"/>
    <s v="M"/>
    <s v="BATTLEFORD'"/>
    <s v="SK"/>
    <s v="Neither Present"/>
    <s v="Lap and Shoulder"/>
    <s v="Weather"/>
    <s v="None"/>
    <s v="Not Applicable"/>
    <n v="65"/>
    <s v="Non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9"/>
    <x v="2"/>
    <s v="NDDOT MPDG.kmz/NDDOT MPDG"/>
    <n v="0"/>
    <n v="0"/>
    <n v="0"/>
    <n v="-1"/>
    <n v="0"/>
    <m/>
    <m/>
  </r>
  <r>
    <n v="5"/>
    <s v="Point Z"/>
    <n v="1"/>
    <n v="81"/>
    <n v="235751"/>
    <n v="335008"/>
    <n v="25"/>
    <s v="McHenry"/>
    <n v="0"/>
    <s v="None"/>
    <n v="1"/>
    <s v="Highway Patrol"/>
    <n v="1"/>
    <s v="Daylight"/>
    <n v="11"/>
    <s v="Other Object (Not Fixed)"/>
    <s v="&lt;Null&gt;"/>
    <s v="&lt;Null&gt;"/>
    <n v="1"/>
    <s v="Original"/>
    <n v="1"/>
    <s v="Traffic"/>
    <n v="1"/>
    <s v="No Control"/>
    <n v="1"/>
    <s v="Clear"/>
    <n v="0"/>
    <s v="On Roadway"/>
    <n v="1"/>
    <s v="Normal"/>
    <n v="1"/>
    <s v="Dry"/>
    <n v="6"/>
    <s v="Railroad Crossing"/>
    <n v="3"/>
    <x v="0"/>
    <n v="1"/>
    <s v="Non-intersection"/>
    <n v="7"/>
    <x v="1"/>
    <n v="2"/>
    <s v="Asphalt"/>
    <n v="1"/>
    <s v="Straight (on Level)"/>
    <n v="2"/>
    <n v="1"/>
    <x v="4"/>
    <d v="2024-04-15T14:08:00"/>
    <d v="2015-10-28T00:00:00"/>
    <n v="1"/>
    <s v="M"/>
    <d v="2015-10-19T00:00:00"/>
    <d v="2024-04-15T14:28:00"/>
    <s v="&lt;Null&gt;"/>
    <s v="&lt;Null&gt;"/>
    <n v="15007335"/>
    <n v="48.020614999999999"/>
    <n v="-100.865236"/>
    <n v="1"/>
    <n v="52"/>
    <s v="&lt;Null&gt;"/>
    <s v="&lt;Null&gt;"/>
    <n v="3.0590000000000002"/>
    <n v="3.0590000000000002"/>
    <s v="&lt;Null&gt;"/>
    <s v="&lt;Null&gt;"/>
    <s v="&lt;Null&gt;"/>
    <s v="&lt;Null&gt;"/>
    <s v="&lt;Null&gt;"/>
    <s v="&lt;Null&gt;"/>
    <s v="&lt;Null&gt;"/>
    <s v="&lt;Null&gt;"/>
    <s v="&lt;Null&gt;"/>
    <s v="&lt;Null&gt;"/>
    <s v="&lt;Null&gt;"/>
    <n v="0"/>
    <s v="Y"/>
    <s v="Y"/>
    <s v="&lt;Null&gt;"/>
    <s v="Monday"/>
    <s v="Not Applicable"/>
    <s v="Not Applicable"/>
    <s v="No "/>
    <s v="No "/>
    <s v="No "/>
    <s v="No "/>
    <s v="No "/>
    <s v="Hit and Run"/>
    <s v="Not Divided"/>
    <s v="Did Nothing"/>
    <s v="&lt;Null&gt;"/>
    <s v="RR Signals with Gates"/>
    <s v="West"/>
    <s v="Going Straight"/>
    <s v="Thrown/Falling Object"/>
    <s v="&lt;Null&gt;"/>
    <s v="&lt;Null&gt;"/>
    <s v="&lt;Null&gt;"/>
    <s v="&lt;Null&gt;"/>
    <s v="&lt;Null&gt;"/>
    <s v="&lt;Null&gt;"/>
    <s v="Other"/>
    <s v="None"/>
    <s v="&lt;Null&gt;"/>
    <s v="&lt;Null&gt;"/>
    <s v="None"/>
    <s v="Pickup - Van - Utility"/>
    <s v="East"/>
    <s v="RR Signals with Gates"/>
    <s v="Going Straight"/>
    <s v="Other Object (Not Fixed)"/>
    <n v="54"/>
    <s v="M"/>
    <s v="MOORETON"/>
    <s v="ND"/>
    <s v="Neither Present"/>
    <s v="Lap and Shoulder"/>
    <s v="No Clear"/>
    <s v="None"/>
    <s v="Not Ejected"/>
    <n v="65"/>
    <s v="None"/>
    <s v="&lt;Null&gt;"/>
    <s v="&lt;Null&gt;"/>
    <s v="&lt;Null&gt;"/>
    <s v="&lt;Null&gt;"/>
    <s v="&lt;Null&gt;"/>
    <s v="&lt;Null&gt;"/>
    <s v="&lt;Null&gt;"/>
    <s v="&lt;Null&gt;"/>
    <s v="&lt;Null&gt;"/>
    <s v="&lt;Null&gt;"/>
    <s v="&lt;Null&gt;"/>
    <s v="&lt;Null&gt;"/>
    <s v="&lt;Null&gt;"/>
    <s v="&lt;Null&gt;"/>
    <s v="&lt;Null&gt;"/>
    <s v="&lt;Null&gt;"/>
    <n v="14"/>
    <x v="0"/>
    <s v="NDDOT MPDG.kmz/NDDOT MPDG"/>
    <n v="0"/>
    <n v="0"/>
    <n v="0"/>
    <n v="-1"/>
    <n v="0"/>
    <m/>
    <m/>
  </r>
  <r>
    <n v="6"/>
    <s v="Point Z"/>
    <n v="1"/>
    <n v="167"/>
    <n v="274692"/>
    <n v="1038803"/>
    <n v="25"/>
    <s v="McHenry"/>
    <n v="0"/>
    <s v="None"/>
    <n v="3"/>
    <s v="County Sheriff"/>
    <n v="1"/>
    <s v="Daylight"/>
    <n v="20"/>
    <s v="Overturn / Rollover"/>
    <s v="&lt;Null&gt;"/>
    <s v="&lt;Null&gt;"/>
    <n v="1"/>
    <s v="Original"/>
    <n v="1"/>
    <s v="Traffic"/>
    <n v="1"/>
    <s v="No Control"/>
    <n v="1"/>
    <s v="Clear"/>
    <n v="5"/>
    <s v="Shoulder-left "/>
    <n v="1"/>
    <s v="Normal"/>
    <n v="1"/>
    <s v="Dry"/>
    <n v="6"/>
    <s v="Railroad Crossing"/>
    <n v="3"/>
    <x v="0"/>
    <n v="1"/>
    <s v="Non-intersection"/>
    <n v="7"/>
    <x v="1"/>
    <n v="2"/>
    <s v="Asphalt"/>
    <n v="1"/>
    <s v="Straight (on Level)"/>
    <n v="2"/>
    <n v="1"/>
    <x v="5"/>
    <d v="2024-04-15T00:00:00"/>
    <d v="2017-08-24T00:00:00"/>
    <n v="2"/>
    <s v="M"/>
    <d v="2017-08-22T00:00:00"/>
    <d v="2024-04-15T12:45:00"/>
    <s v="&lt;Null&gt;"/>
    <s v="&lt;Null&gt;"/>
    <n v="88"/>
    <n v="47.919939999999997"/>
    <n v="-100.40289900000001"/>
    <n v="1"/>
    <n v="52"/>
    <s v="&lt;Null&gt;"/>
    <s v="&lt;Null&gt;"/>
    <n v="143.38999999999999"/>
    <n v="143.38999999999999"/>
    <s v="&lt;Null&gt;"/>
    <s v="&lt;Null&gt;"/>
    <s v="&lt;Null&gt;"/>
    <s v="&lt;Null&gt;"/>
    <s v="&lt;Null&gt;"/>
    <s v="&lt;Null&gt;"/>
    <s v="&lt;Null&gt;"/>
    <s v="&lt;Null&gt;"/>
    <s v="&lt;Null&gt;"/>
    <s v="&lt;Null&gt;"/>
    <s v="&lt;Null&gt;"/>
    <n v="0"/>
    <s v="Y"/>
    <s v="Y"/>
    <s v="&lt;Null&gt;"/>
    <s v="Tuesday"/>
    <s v="Not Applicable"/>
    <s v="Not Applicable"/>
    <s v="No "/>
    <s v="No "/>
    <s v="No "/>
    <s v="Yes"/>
    <s v="No "/>
    <s v="3+ Axle"/>
    <s v="Not Divided"/>
    <s v="Slowed/Stopped"/>
    <s v="Test Not Given"/>
    <s v="RR Signals with Gates"/>
    <s v="East"/>
    <s v="Slowing/Stopping"/>
    <s v="Other Non-Collision"/>
    <n v="54"/>
    <s v="M"/>
    <s v="FORRESTON"/>
    <s v="IL"/>
    <s v="Neither Present"/>
    <s v="Lap and Shoulder"/>
    <s v="Defective Equipment"/>
    <s v="None"/>
    <s v="Not Ejected"/>
    <n v="65"/>
    <s v="Non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2"/>
    <x v="1"/>
    <s v="NDDOT MPDG.kmz/NDDOT MPDG"/>
    <n v="0"/>
    <n v="0"/>
    <n v="0"/>
    <n v="-1"/>
    <n v="0"/>
    <m/>
    <m/>
  </r>
  <r>
    <n v="7"/>
    <s v="Point Z"/>
    <n v="1"/>
    <n v="238"/>
    <n v="321987"/>
    <n v="1089254"/>
    <n v="25"/>
    <s v="McHenry"/>
    <n v="0"/>
    <s v="None"/>
    <n v="3"/>
    <s v="County Sheriff"/>
    <n v="5"/>
    <s v="Dark(Road Unlighted)"/>
    <n v="41"/>
    <s v="Other Post/Pole/Support"/>
    <s v="&lt;Null&gt;"/>
    <s v="&lt;Null&gt;"/>
    <n v="1"/>
    <s v="Original"/>
    <n v="1"/>
    <s v="Traffic"/>
    <n v="1"/>
    <s v="No Control"/>
    <n v="6"/>
    <s v="Sleet/Hail/Freezing Rain"/>
    <n v="5"/>
    <s v="Shoulder-left "/>
    <n v="1"/>
    <s v="Normal"/>
    <n v="6"/>
    <s v="Ice / Compacted Snow"/>
    <n v="6"/>
    <s v="Railroad Crossing"/>
    <n v="3"/>
    <x v="0"/>
    <n v="1"/>
    <s v="Non-intersection"/>
    <n v="7"/>
    <x v="1"/>
    <n v="2"/>
    <s v="Asphalt"/>
    <n v="3"/>
    <s v="Curve (on Level)"/>
    <n v="0"/>
    <n v="1"/>
    <x v="6"/>
    <d v="2024-04-15T04:30:00"/>
    <d v="2020-01-03T00:00:00"/>
    <n v="2"/>
    <s v="M"/>
    <d v="2020-01-01T00:00:00"/>
    <d v="2024-04-15T04:35:00"/>
    <s v="&lt;Null&gt;"/>
    <s v="&lt;Null&gt;"/>
    <n v="1"/>
    <n v="48.021014000000001"/>
    <n v="-100.868315"/>
    <s v="&lt;Null&gt;"/>
    <s v="&lt;Null&gt;"/>
    <s v="&lt;Null&gt;"/>
    <s v="&lt;Null&gt;"/>
    <s v="&lt;Null&gt;"/>
    <s v="&lt;Null&gt;"/>
    <n v="152"/>
    <n v="80"/>
    <s v="&lt;Null&gt;"/>
    <s v="&lt;Null&gt;"/>
    <s v="&lt;Null&gt;"/>
    <s v="HWY 52 MM 120"/>
    <s v="42ND ST"/>
    <n v="0"/>
    <n v="0"/>
    <s v="&lt;Null&gt;"/>
    <s v="&lt;Null&gt;"/>
    <n v="0"/>
    <s v="Y"/>
    <s v="Y"/>
    <s v="&lt;Null&gt;"/>
    <s v="Wednesday"/>
    <s v="Not Applicable"/>
    <s v="Not Applicable"/>
    <s v="No "/>
    <s v="No "/>
    <s v="No "/>
    <s v="Yes"/>
    <s v="No "/>
    <s v="Truck Tractor"/>
    <s v="Not Divided"/>
    <s v="Slowed/Stopped"/>
    <s v="&lt;Null&gt;"/>
    <s v="None"/>
    <s v="West"/>
    <s v="Going Straight"/>
    <s v="MV in Transport"/>
    <n v="46"/>
    <s v="M"/>
    <s v="CALGARY"/>
    <s v="AB"/>
    <s v="Neither Present"/>
    <s v="Lap and Shoulder"/>
    <s v="Other"/>
    <s v="None"/>
    <s v="Not Ejected"/>
    <n v="65"/>
    <s v="Non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4"/>
    <x v="0"/>
    <s v="NDDOT MPDG.kmz/NDDOT MPDG"/>
    <n v="0"/>
    <n v="0"/>
    <n v="0"/>
    <n v="-1"/>
    <n v="0"/>
    <m/>
    <m/>
  </r>
  <r>
    <n v="8"/>
    <s v="Point Z"/>
    <n v="1"/>
    <n v="310"/>
    <n v="350973"/>
    <n v="1120788"/>
    <n v="25"/>
    <s v="McHenry"/>
    <n v="0"/>
    <s v="None"/>
    <n v="1"/>
    <s v="Highway Patrol"/>
    <n v="4"/>
    <s v="Dark(Road Lighted)"/>
    <n v="5"/>
    <s v="Train"/>
    <s v="&lt;Null&gt;"/>
    <s v="&lt;Null&gt;"/>
    <n v="1"/>
    <s v="Original"/>
    <n v="1"/>
    <s v="Traffic"/>
    <n v="1"/>
    <s v="No Control"/>
    <n v="2"/>
    <s v="Cloudy"/>
    <n v="0"/>
    <s v="On Roadway"/>
    <n v="1"/>
    <s v="Normal"/>
    <n v="6"/>
    <s v="Ice / Compacted Snow"/>
    <n v="6"/>
    <s v="Railroad Crossing"/>
    <n v="4"/>
    <x v="1"/>
    <n v="1"/>
    <s v="Non-intersection"/>
    <n v="7"/>
    <x v="1"/>
    <n v="2"/>
    <s v="Asphalt"/>
    <n v="1"/>
    <s v="Straight (on Level)"/>
    <n v="2"/>
    <n v="1"/>
    <x v="7"/>
    <d v="2024-04-15T03:39:00"/>
    <d v="2022-03-16T00:00:00"/>
    <n v="2"/>
    <s v="M"/>
    <d v="2022-03-05T00:00:00"/>
    <d v="2024-04-15T03:45:00"/>
    <s v="&lt;Null&gt;"/>
    <n v="126"/>
    <n v="22001504"/>
    <n v="48.020764"/>
    <n v="-100.86669500000001"/>
    <n v="1"/>
    <n v="52"/>
    <s v="&lt;Null&gt;"/>
    <s v="&lt;Null&gt;"/>
    <n v="120.66"/>
    <n v="120.66"/>
    <s v="&lt;Null&gt;"/>
    <s v="&lt;Null&gt;"/>
    <s v="&lt;Null&gt;"/>
    <s v="&lt;Null&gt;"/>
    <s v="&lt;Null&gt;"/>
    <s v="&lt;Null&gt;"/>
    <s v="&lt;Null&gt;"/>
    <s v="&lt;Null&gt;"/>
    <s v="&lt;Null&gt;"/>
    <s v="&lt;Null&gt;"/>
    <s v="&lt;Null&gt;"/>
    <n v="0"/>
    <s v="Y"/>
    <s v="Y"/>
    <s v="&lt;Null&gt;"/>
    <s v="Saturday"/>
    <s v="Not Applicable"/>
    <s v="Not Applicable"/>
    <s v="No "/>
    <s v="No "/>
    <s v="Yes"/>
    <s v="No "/>
    <s v="Yes"/>
    <s v="Pickup - Van - Utility"/>
    <s v="Not Divided"/>
    <s v="Did Nothing"/>
    <s v="&lt;Null&gt;"/>
    <s v="RR Signals with Gates"/>
    <s v="East"/>
    <s v="Going Straight"/>
    <s v="Train"/>
    <n v="60"/>
    <s v="M"/>
    <s v="BALFOUR"/>
    <s v="ND"/>
    <s v="Yes (Alcohol)"/>
    <s v="Not in Use"/>
    <s v="Failed to Yield"/>
    <s v="D.U.I. (Alcohol)"/>
    <s v="Not Ejected"/>
    <n v="65"/>
    <s v="Non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3"/>
    <x v="0"/>
    <s v="NDDOT MPDG.kmz/NDDOT MPDG"/>
    <n v="0"/>
    <n v="0"/>
    <n v="0"/>
    <n v="-1"/>
    <n v="0"/>
    <m/>
    <m/>
  </r>
  <r>
    <n v="9"/>
    <s v="Point Z"/>
    <n v="1"/>
    <n v="357"/>
    <n v="364293"/>
    <n v="1135175"/>
    <n v="25"/>
    <s v="McHenry"/>
    <n v="0"/>
    <s v="None"/>
    <n v="3"/>
    <s v="County Sheriff"/>
    <n v="0"/>
    <s v="Unknown"/>
    <n v="52"/>
    <s v="Traffic Signal Support"/>
    <s v="&lt;Null&gt;"/>
    <s v="&lt;Null&gt;"/>
    <n v="1"/>
    <s v="Original"/>
    <n v="1"/>
    <s v="Traffic"/>
    <n v="1"/>
    <s v="No Control"/>
    <n v="1"/>
    <s v="Clear"/>
    <n v="0"/>
    <s v="On Roadway"/>
    <n v="1"/>
    <s v="Normal"/>
    <n v="1"/>
    <s v="Dry"/>
    <n v="6"/>
    <s v="Railroad Crossing"/>
    <n v="3"/>
    <x v="0"/>
    <n v="1"/>
    <s v="Non-intersection"/>
    <n v="7"/>
    <x v="1"/>
    <n v="1"/>
    <s v="Concrete"/>
    <n v="1"/>
    <s v="Straight (on Level)"/>
    <n v="2"/>
    <n v="1"/>
    <x v="8"/>
    <d v="2024-04-15T00:00:00"/>
    <d v="2023-02-24T00:00:00"/>
    <n v="1"/>
    <s v="M"/>
    <d v="2023-02-21T00:00:00"/>
    <d v="2024-04-15T14:47:00"/>
    <s v="&lt;Null&gt;"/>
    <s v="&lt;Null&gt;"/>
    <n v="8"/>
    <n v="47.919944999999998"/>
    <n v="-100.405897"/>
    <n v="1"/>
    <n v="52"/>
    <s v="&lt;Null&gt;"/>
    <s v="&lt;Null&gt;"/>
    <n v="143.25"/>
    <n v="143.25"/>
    <s v="&lt;Null&gt;"/>
    <s v="&lt;Null&gt;"/>
    <s v="&lt;Null&gt;"/>
    <s v="&lt;Null&gt;"/>
    <s v="&lt;Null&gt;"/>
    <s v="&lt;Null&gt;"/>
    <s v="&lt;Null&gt;"/>
    <s v="&lt;Null&gt;"/>
    <s v="&lt;Null&gt;"/>
    <s v="&lt;Null&gt;"/>
    <s v="&lt;Null&gt;"/>
    <n v="0"/>
    <s v="Y"/>
    <s v="Y"/>
    <s v="&lt;Null&gt;"/>
    <s v="Tuesday"/>
    <s v="Not Applicable"/>
    <s v="Not Applicable"/>
    <s v="No "/>
    <s v="No "/>
    <s v="No "/>
    <s v="Yes"/>
    <s v="No "/>
    <s v="Hit and Run"/>
    <s v="Not Divided"/>
    <s v="Did Nothing"/>
    <s v="&lt;Null&gt;"/>
    <s v="Control Not Visible/brok "/>
    <s v="West"/>
    <s v="Going Straight"/>
    <s v="MV in Transport"/>
    <s v="&lt;Null&gt;"/>
    <s v="U"/>
    <s v="&lt;Null&gt;"/>
    <s v="&lt;Null&gt;"/>
    <s v="Unknown"/>
    <s v="Restraint Use Unknown"/>
    <s v="No Clear"/>
    <s v="None"/>
    <s v="Not Ejected"/>
    <n v="65"/>
    <s v="Non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x v="1"/>
    <s v="NDDOT MPDG.kmz/NDDOT MPDG"/>
    <n v="0"/>
    <n v="0"/>
    <n v="0"/>
    <n v="-1"/>
    <n v="0"/>
    <m/>
    <m/>
  </r>
  <r>
    <n v="10"/>
    <s v="Point Z"/>
    <n v="1"/>
    <n v="398"/>
    <n v="373642"/>
    <n v="1145474"/>
    <n v="25"/>
    <s v="McHenry"/>
    <n v="0"/>
    <s v="None"/>
    <n v="3"/>
    <s v="County Sheriff"/>
    <n v="1"/>
    <s v="Daylight"/>
    <n v="20"/>
    <s v="Overturn / Rollover"/>
    <n v="87"/>
    <s v="Drake"/>
    <n v="1"/>
    <s v="Original"/>
    <n v="1"/>
    <s v="Traffic"/>
    <n v="1"/>
    <s v="No Control"/>
    <n v="4"/>
    <s v="Snow"/>
    <n v="5"/>
    <s v="Shoulder-left "/>
    <n v="1"/>
    <s v="Normal"/>
    <n v="5"/>
    <s v="Slush"/>
    <n v="6"/>
    <s v="Railroad Crossing"/>
    <n v="3"/>
    <x v="0"/>
    <n v="1"/>
    <s v="Non-intersection"/>
    <n v="7"/>
    <x v="1"/>
    <n v="2"/>
    <s v="Asphalt"/>
    <n v="1"/>
    <s v="Straight (on Level)"/>
    <n v="2"/>
    <n v="1"/>
    <x v="9"/>
    <d v="2024-04-15T13:50:00"/>
    <d v="2023-11-02T00:00:00"/>
    <n v="2"/>
    <s v="M"/>
    <d v="2023-10-26T00:00:00"/>
    <d v="2024-04-15T13:55:00"/>
    <s v="&lt;Null&gt;"/>
    <s v="&lt;Null&gt;"/>
    <n v="50"/>
    <n v="47.919943000000004"/>
    <n v="-100.400265"/>
    <n v="1"/>
    <n v="52"/>
    <s v="&lt;Null&gt;"/>
    <s v="&lt;Null&gt;"/>
    <n v="143.59"/>
    <n v="143.59"/>
    <s v="&lt;Null&gt;"/>
    <s v="&lt;Null&gt;"/>
    <s v="&lt;Null&gt;"/>
    <s v="&lt;Null&gt;"/>
    <s v="&lt;Null&gt;"/>
    <s v="&lt;Null&gt;"/>
    <s v="&lt;Null&gt;"/>
    <s v="&lt;Null&gt;"/>
    <s v="&lt;Null&gt;"/>
    <s v="&lt;Null&gt;"/>
    <s v="&lt;Null&gt;"/>
    <n v="0"/>
    <s v="Y"/>
    <s v="Y"/>
    <s v="&lt;Null&gt;"/>
    <s v="Thursday"/>
    <s v="Not Applicable"/>
    <s v="Not Applicable"/>
    <s v="No "/>
    <s v="No "/>
    <s v="No "/>
    <s v="Yes"/>
    <s v="No "/>
    <s v="Pickup - Van - Utility"/>
    <s v="Not Divided"/>
    <s v="Did Nothing"/>
    <s v="&lt;Null&gt;"/>
    <s v="None"/>
    <s v="East"/>
    <s v="Going Straight"/>
    <s v="MV in Transport"/>
    <n v="57"/>
    <s v="M"/>
    <s v="SUMTER"/>
    <s v="SC"/>
    <s v="Neither Present"/>
    <s v="Lap and Shoulder"/>
    <s v="Weather"/>
    <s v="None"/>
    <s v="Not Ejected"/>
    <n v="65"/>
    <s v="Non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3"/>
    <x v="1"/>
    <s v="NDDOT MPDG.kmz/NDDOT MPDG"/>
    <n v="0"/>
    <n v="0"/>
    <n v="0"/>
    <n v="-1"/>
    <n v="0"/>
    <m/>
    <m/>
  </r>
  <r>
    <n v="11"/>
    <s v="Point Z"/>
    <n v="1"/>
    <n v="3042"/>
    <n v="299794"/>
    <n v="1065701"/>
    <n v="7"/>
    <s v="Burke"/>
    <n v="0"/>
    <s v="None"/>
    <n v="3"/>
    <s v="County Sheriff"/>
    <n v="1"/>
    <s v="Daylight"/>
    <n v="20"/>
    <s v="Overturn / Rollover"/>
    <s v="&lt;Null&gt;"/>
    <s v="&lt;Null&gt;"/>
    <n v="1"/>
    <s v="Original"/>
    <n v="1"/>
    <s v="Traffic"/>
    <n v="1"/>
    <s v="No Control"/>
    <n v="4"/>
    <s v="Snow"/>
    <n v="1"/>
    <s v="Shoulder"/>
    <n v="1"/>
    <s v="Normal"/>
    <n v="6"/>
    <s v="Ice / Compacted Snow"/>
    <n v="1"/>
    <s v="Non-junction"/>
    <n v="3"/>
    <x v="0"/>
    <n v="1"/>
    <s v="Non-intersection"/>
    <n v="7"/>
    <x v="1"/>
    <n v="2"/>
    <s v="Asphalt"/>
    <n v="1"/>
    <s v="Straight (on Level)"/>
    <n v="2"/>
    <n v="1"/>
    <x v="10"/>
    <d v="2024-04-15T12:09:00"/>
    <d v="2018-11-17T00:00:00"/>
    <n v="2"/>
    <s v="M"/>
    <d v="2018-11-16T00:00:00"/>
    <d v="2024-04-15T12:16:00"/>
    <s v="&lt;Null&gt;"/>
    <s v="&lt;Null&gt;"/>
    <s v="&lt;Null&gt;"/>
    <n v="48.898572000000001"/>
    <n v="-102.546027"/>
    <n v="1"/>
    <n v="52"/>
    <s v="&lt;Null&gt;"/>
    <s v="&lt;Null&gt;"/>
    <n v="7.12"/>
    <n v="7.12"/>
    <s v="&lt;Null&gt;"/>
    <s v="&lt;Null&gt;"/>
    <s v="&lt;Null&gt;"/>
    <s v="&lt;Null&gt;"/>
    <s v="&lt;Null&gt;"/>
    <s v="&lt;Null&gt;"/>
    <s v="&lt;Null&gt;"/>
    <s v="&lt;Null&gt;"/>
    <s v="&lt;Null&gt;"/>
    <s v="&lt;Null&gt;"/>
    <s v="&lt;Null&gt;"/>
    <n v="0"/>
    <s v="Y"/>
    <s v="Y"/>
    <s v="&lt;Null&gt;"/>
    <s v="Friday"/>
    <s v="Not Applicable"/>
    <s v="Not Applicable"/>
    <s v="No "/>
    <s v="No "/>
    <s v="No "/>
    <s v="Yes"/>
    <s v="No "/>
    <s v="Pickup - Van - Utility"/>
    <s v="Not Divided"/>
    <s v="Did Nothing"/>
    <s v="Test Not Given"/>
    <s v="None"/>
    <s v="South"/>
    <s v="Going Straight"/>
    <s v="MV in Transport"/>
    <n v="34"/>
    <s v="F"/>
    <s v="FLAXTON"/>
    <s v="ND"/>
    <s v="Neither Present"/>
    <s v="Lap and Shoulder"/>
    <s v="Weather"/>
    <s v="None"/>
    <s v="Not Ejected"/>
    <n v="65"/>
    <s v="Non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2"/>
    <x v="3"/>
    <s v="NDDOT MPDG.kmz/NDDOT MPDG"/>
    <n v="0"/>
    <n v="0"/>
    <n v="0"/>
    <n v="-1"/>
    <n v="0"/>
    <m/>
    <m/>
  </r>
  <r>
    <n v="12"/>
    <s v="Point Z"/>
    <n v="1"/>
    <n v="3043"/>
    <n v="275086"/>
    <n v="1039233"/>
    <n v="7"/>
    <s v="Burke"/>
    <n v="0"/>
    <s v="None"/>
    <n v="1"/>
    <s v="Highway Patrol"/>
    <n v="1"/>
    <s v="Daylight"/>
    <n v="1"/>
    <s v="MV in Transport"/>
    <s v="&lt;Null&gt;"/>
    <s v="&lt;Null&gt;"/>
    <n v="1"/>
    <s v="Original"/>
    <n v="1"/>
    <s v="Traffic"/>
    <n v="1"/>
    <s v="No Control"/>
    <n v="1"/>
    <s v="Clear"/>
    <n v="0"/>
    <s v="On Roadway"/>
    <n v="1"/>
    <s v="Normal"/>
    <n v="1"/>
    <s v="Dry"/>
    <n v="1"/>
    <s v="Non-junction"/>
    <n v="2"/>
    <x v="2"/>
    <n v="1"/>
    <s v="Non-intersection"/>
    <n v="2"/>
    <x v="0"/>
    <n v="2"/>
    <s v="Asphalt"/>
    <n v="1"/>
    <s v="Straight (on Level)"/>
    <n v="2"/>
    <n v="1"/>
    <x v="11"/>
    <d v="2024-04-15T12:00:00"/>
    <d v="2017-09-06T00:00:00"/>
    <n v="2"/>
    <s v="M"/>
    <d v="2017-08-29T00:00:00"/>
    <d v="2024-04-15T12:06:00"/>
    <s v="&lt;Null&gt;"/>
    <n v="105"/>
    <n v="17004778"/>
    <n v="48.900530000000003"/>
    <n v="-102.54601099999999"/>
    <n v="1"/>
    <n v="52"/>
    <s v="&lt;Null&gt;"/>
    <s v="&lt;Null&gt;"/>
    <n v="6.99"/>
    <n v="6.99"/>
    <s v="&lt;Null&gt;"/>
    <s v="&lt;Null&gt;"/>
    <s v="&lt;Null&gt;"/>
    <s v="&lt;Null&gt;"/>
    <s v="&lt;Null&gt;"/>
    <s v="&lt;Null&gt;"/>
    <s v="&lt;Null&gt;"/>
    <s v="&lt;Null&gt;"/>
    <s v="&lt;Null&gt;"/>
    <s v="&lt;Null&gt;"/>
    <s v="&lt;Null&gt;"/>
    <n v="0"/>
    <s v="Y"/>
    <s v="Y"/>
    <s v="&lt;Null&gt;"/>
    <s v="Tuesday"/>
    <s v="Not Applicable"/>
    <s v="Not Applicable"/>
    <s v="No "/>
    <s v="No "/>
    <s v="No "/>
    <s v="No "/>
    <s v="Yes"/>
    <s v="Pickup - Van - Utility"/>
    <s v="Not Divided"/>
    <s v="Turned Right"/>
    <s v="Test Not Given"/>
    <s v="None"/>
    <s v="North"/>
    <s v="Going Straight"/>
    <s v="MV in Transport"/>
    <n v="33"/>
    <s v="M"/>
    <s v="FLACTON"/>
    <s v="ND"/>
    <s v="Neither Present"/>
    <s v="Not in Use"/>
    <s v="No Clear"/>
    <s v="Other"/>
    <s v="Not Ejected"/>
    <n v="65"/>
    <s v="None"/>
    <s v="Pickup - Van - Utility"/>
    <s v="North"/>
    <s v="None"/>
    <s v="Going Straight"/>
    <s v="MV in Transport"/>
    <n v="71"/>
    <s v="M"/>
    <s v="BOONE"/>
    <s v="IA"/>
    <s v="Neither Present"/>
    <s v="Lap and Shoulder"/>
    <s v="No Clear"/>
    <s v="None"/>
    <s v="Not Ejected"/>
    <n v="65"/>
    <s v="None"/>
    <s v="&lt;Null&gt;"/>
    <s v="&lt;Null&gt;"/>
    <s v="&lt;Null&gt;"/>
    <s v="&lt;Null&gt;"/>
    <s v="&lt;Null&gt;"/>
    <s v="&lt;Null&gt;"/>
    <s v="&lt;Null&gt;"/>
    <s v="&lt;Null&gt;"/>
    <s v="&lt;Null&gt;"/>
    <s v="&lt;Null&gt;"/>
    <s v="&lt;Null&gt;"/>
    <s v="&lt;Null&gt;"/>
    <s v="&lt;Null&gt;"/>
    <s v="&lt;Null&gt;"/>
    <s v="&lt;Null&gt;"/>
    <s v="&lt;Null&gt;"/>
    <n v="12"/>
    <x v="3"/>
    <s v="NDDOT MPDG.kmz/NDDOT MPDG"/>
    <n v="0"/>
    <n v="0"/>
    <n v="0"/>
    <n v="-1"/>
    <n v="0"/>
    <m/>
    <m/>
  </r>
  <r>
    <n v="13"/>
    <s v="Point Z"/>
    <n v="1"/>
    <n v="3044"/>
    <n v="259378"/>
    <n v="1022441"/>
    <n v="7"/>
    <s v="Burke"/>
    <n v="0"/>
    <s v="None"/>
    <n v="3"/>
    <s v="County Sheriff"/>
    <n v="2"/>
    <s v="Dawn"/>
    <n v="1"/>
    <s v="MV in Transport"/>
    <s v="&lt;Null&gt;"/>
    <s v="&lt;Null&gt;"/>
    <n v="1"/>
    <s v="Original"/>
    <n v="1"/>
    <s v="Traffic"/>
    <n v="1"/>
    <s v="No Control"/>
    <n v="4"/>
    <s v="Snow"/>
    <n v="0"/>
    <s v="On Roadway"/>
    <n v="1"/>
    <s v="Normal"/>
    <n v="6"/>
    <s v="Ice / Compacted Snow"/>
    <n v="6"/>
    <s v="Railroad Crossing"/>
    <n v="3"/>
    <x v="0"/>
    <n v="1"/>
    <s v="Non-intersection"/>
    <n v="2"/>
    <x v="0"/>
    <n v="2"/>
    <s v="Asphalt"/>
    <n v="1"/>
    <s v="Straight (on Level)"/>
    <n v="2"/>
    <n v="1"/>
    <x v="12"/>
    <d v="2024-04-15T08:20:00"/>
    <d v="2016-12-12T00:00:00"/>
    <n v="2"/>
    <s v="M"/>
    <d v="2016-11-28T00:00:00"/>
    <d v="2024-04-15T08:23:00"/>
    <s v="&lt;Null&gt;"/>
    <s v="&lt;Null&gt;"/>
    <n v="214"/>
    <n v="48.900706"/>
    <n v="-102.54601"/>
    <n v="1"/>
    <n v="52"/>
    <s v="&lt;Null&gt;"/>
    <s v="&lt;Null&gt;"/>
    <n v="6.98"/>
    <n v="6.98"/>
    <s v="&lt;Null&gt;"/>
    <s v="&lt;Null&gt;"/>
    <s v="&lt;Null&gt;"/>
    <s v="&lt;Null&gt;"/>
    <s v="&lt;Null&gt;"/>
    <s v="&lt;Null&gt;"/>
    <s v="&lt;Null&gt;"/>
    <s v="&lt;Null&gt;"/>
    <s v="&lt;Null&gt;"/>
    <s v="&lt;Null&gt;"/>
    <s v="&lt;Null&gt;"/>
    <n v="0"/>
    <s v="Y"/>
    <s v="Y"/>
    <s v="&lt;Null&gt;"/>
    <s v="Monday"/>
    <s v="Not Applicable"/>
    <s v="Not Applicable"/>
    <s v="Yes"/>
    <s v="No "/>
    <s v="No "/>
    <s v="No "/>
    <s v="No "/>
    <s v="Pickup - Van - Utility"/>
    <s v="Not Divided"/>
    <s v="Slowed/Stopped"/>
    <s v="Test Not Given"/>
    <s v="RR Signals with Gates"/>
    <s v="East"/>
    <s v="Going Straight"/>
    <s v="MV in Transport"/>
    <n v="17"/>
    <s v="M"/>
    <s v="PORTAL"/>
    <s v="ND"/>
    <s v="Neither Present"/>
    <s v="Lap and Shoulder"/>
    <s v="Weather"/>
    <s v="None"/>
    <s v="Not Ejected"/>
    <n v="65"/>
    <s v="None"/>
    <s v="Truck Tractor"/>
    <s v="East"/>
    <s v="None"/>
    <s v="Stopped"/>
    <s v="MV in Transport"/>
    <n v="38"/>
    <s v="M"/>
    <s v="OXBOW"/>
    <s v="SK"/>
    <s v="Neither Present"/>
    <s v="Lap and Shoulder"/>
    <s v="No Clear"/>
    <s v="None"/>
    <s v="Not Ejected"/>
    <n v="65"/>
    <s v="None"/>
    <s v="&lt;Null&gt;"/>
    <s v="&lt;Null&gt;"/>
    <s v="&lt;Null&gt;"/>
    <s v="&lt;Null&gt;"/>
    <s v="&lt;Null&gt;"/>
    <s v="&lt;Null&gt;"/>
    <s v="&lt;Null&gt;"/>
    <s v="&lt;Null&gt;"/>
    <s v="&lt;Null&gt;"/>
    <s v="&lt;Null&gt;"/>
    <s v="&lt;Null&gt;"/>
    <s v="&lt;Null&gt;"/>
    <s v="&lt;Null&gt;"/>
    <s v="&lt;Null&gt;"/>
    <s v="&lt;Null&gt;"/>
    <s v="&lt;Null&gt;"/>
    <n v="8"/>
    <x v="3"/>
    <s v="NDDOT MPDG.kmz/NDDOT MPDG"/>
    <n v="0"/>
    <n v="0"/>
    <n v="0"/>
    <n v="-1"/>
    <n v="0"/>
    <m/>
    <m/>
  </r>
  <r>
    <n v="14"/>
    <s v="Point Z"/>
    <n v="1"/>
    <n v="3045"/>
    <n v="357855"/>
    <n v="1128384"/>
    <n v="7"/>
    <s v="Burke"/>
    <n v="0"/>
    <s v="None"/>
    <n v="3"/>
    <s v="County Sheriff"/>
    <n v="1"/>
    <s v="Daylight"/>
    <n v="51"/>
    <s v="Other Traffic Barrier"/>
    <s v="&lt;Null&gt;"/>
    <s v="&lt;Null&gt;"/>
    <n v="1"/>
    <s v="Original"/>
    <n v="1"/>
    <s v="Traffic"/>
    <n v="1"/>
    <s v="No Control"/>
    <n v="1"/>
    <s v="Clear"/>
    <n v="0"/>
    <s v="On Roadway"/>
    <n v="1"/>
    <s v="Normal"/>
    <n v="1"/>
    <s v="Dry"/>
    <n v="6"/>
    <s v="Railroad Crossing"/>
    <n v="3"/>
    <x v="0"/>
    <n v="1"/>
    <s v="Non-intersection"/>
    <n v="7"/>
    <x v="1"/>
    <n v="2"/>
    <s v="Asphalt"/>
    <n v="1"/>
    <s v="Straight (on Level)"/>
    <n v="2"/>
    <n v="1"/>
    <x v="13"/>
    <d v="2024-04-15T14:30:00"/>
    <d v="2022-10-11T00:00:00"/>
    <n v="2"/>
    <s v="M"/>
    <d v="2022-10-07T00:00:00"/>
    <d v="2024-04-15T14:33:00"/>
    <s v="&lt;Null&gt;"/>
    <s v="&lt;Null&gt;"/>
    <n v="128"/>
    <n v="48.901325"/>
    <n v="-102.546008"/>
    <n v="1"/>
    <n v="52"/>
    <s v="&lt;Null&gt;"/>
    <s v="&lt;Null&gt;"/>
    <n v="6.94"/>
    <n v="6.94"/>
    <s v="&lt;Null&gt;"/>
    <s v="&lt;Null&gt;"/>
    <s v="&lt;Null&gt;"/>
    <s v="&lt;Null&gt;"/>
    <s v="&lt;Null&gt;"/>
    <s v="&lt;Null&gt;"/>
    <s v="&lt;Null&gt;"/>
    <s v="&lt;Null&gt;"/>
    <s v="&lt;Null&gt;"/>
    <s v="&lt;Null&gt;"/>
    <s v="&lt;Null&gt;"/>
    <n v="0"/>
    <s v="Y"/>
    <s v="Y"/>
    <s v="&lt;Null&gt;"/>
    <s v="Friday"/>
    <s v="Not Applicable"/>
    <s v="Not Applicable"/>
    <s v="No "/>
    <s v="No "/>
    <s v="No "/>
    <s v="Yes"/>
    <s v="No "/>
    <s v="Passenger Car"/>
    <s v="Not Divided"/>
    <s v="Did Nothing"/>
    <s v="&lt;Null&gt;"/>
    <s v="RR Signals with Gates"/>
    <s v="South"/>
    <s v="Going Straight"/>
    <s v="Other Traffic Barrier"/>
    <n v="76"/>
    <s v="M"/>
    <s v="IRMO"/>
    <s v="SC"/>
    <s v="Neither Present"/>
    <s v="Lap and Shoulder"/>
    <s v="Disregard Road Markings"/>
    <s v="Other"/>
    <s v="Not Ejected"/>
    <n v="65"/>
    <s v="Non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4"/>
    <x v="3"/>
    <s v="NDDOT MPDG.kmz/NDDOT MPDG"/>
    <n v="0"/>
    <n v="0"/>
    <n v="0"/>
    <n v="-1"/>
    <n v="0"/>
    <m/>
    <m/>
  </r>
  <r>
    <n v="15"/>
    <s v="Point Z"/>
    <n v="1"/>
    <n v="3046"/>
    <n v="311187"/>
    <n v="1077784"/>
    <n v="7"/>
    <s v="Burke"/>
    <n v="0"/>
    <s v="None"/>
    <n v="3"/>
    <s v="County Sheriff"/>
    <n v="1"/>
    <s v="Daylight"/>
    <n v="1"/>
    <s v="MV in Transport"/>
    <s v="&lt;Null&gt;"/>
    <s v="&lt;Null&gt;"/>
    <n v="1"/>
    <s v="Original"/>
    <n v="1"/>
    <s v="Traffic"/>
    <n v="1"/>
    <s v="No Control"/>
    <n v="1"/>
    <s v="Clear"/>
    <n v="0"/>
    <s v="On Roadway"/>
    <n v="1"/>
    <s v="Normal"/>
    <n v="1"/>
    <s v="Dry"/>
    <n v="6"/>
    <s v="Railroad Crossing"/>
    <n v="3"/>
    <x v="0"/>
    <n v="1"/>
    <s v="Non-intersection"/>
    <n v="2"/>
    <x v="0"/>
    <n v="2"/>
    <s v="Asphalt"/>
    <n v="1"/>
    <s v="Straight (on Level)"/>
    <n v="2"/>
    <n v="1"/>
    <x v="14"/>
    <d v="2024-04-15T07:12:00"/>
    <d v="2019-05-10T00:00:00"/>
    <n v="2"/>
    <s v="M"/>
    <d v="2019-05-09T00:00:00"/>
    <d v="2024-04-15T07:20:00"/>
    <s v="&lt;Null&gt;"/>
    <s v="&lt;Null&gt;"/>
    <n v="61"/>
    <n v="48.902304999999998"/>
    <n v="-102.546004"/>
    <n v="1"/>
    <n v="52"/>
    <s v="&lt;Null&gt;"/>
    <s v="&lt;Null&gt;"/>
    <n v="6.87"/>
    <n v="6.87"/>
    <s v="&lt;Null&gt;"/>
    <s v="&lt;Null&gt;"/>
    <s v="&lt;Null&gt;"/>
    <s v="&lt;Null&gt;"/>
    <s v="&lt;Null&gt;"/>
    <s v="&lt;Null&gt;"/>
    <s v="&lt;Null&gt;"/>
    <s v="&lt;Null&gt;"/>
    <s v="&lt;Null&gt;"/>
    <s v="&lt;Null&gt;"/>
    <s v="&lt;Null&gt;"/>
    <n v="0"/>
    <s v="Y"/>
    <s v="Y"/>
    <s v="&lt;Null&gt;"/>
    <s v="Thursday"/>
    <s v="Not Applicable"/>
    <s v="Not Applicable"/>
    <s v="No "/>
    <s v="No "/>
    <s v="No "/>
    <s v="No "/>
    <s v="Yes"/>
    <s v="Pickup - Van - Utility"/>
    <s v="Not Divided"/>
    <s v="Slowed/Stopped"/>
    <s v="Test Not Given"/>
    <s v="None"/>
    <s v="South"/>
    <s v="Going Straight"/>
    <s v="MV in Transport"/>
    <n v="31"/>
    <s v="F"/>
    <s v="LIGNITE"/>
    <s v="ND"/>
    <s v="Neither Present"/>
    <s v="Not in Use"/>
    <s v="Following too Close"/>
    <s v="Care Required"/>
    <s v="Not Ejected"/>
    <n v="65"/>
    <s v="None"/>
    <s v="Truck Tractor"/>
    <s v="South"/>
    <s v="None"/>
    <s v="Going Straight"/>
    <s v="MV in Transport"/>
    <n v="65"/>
    <s v="M"/>
    <s v="CARLYLE"/>
    <s v="SK"/>
    <s v="Neither Present"/>
    <s v="Lap and Shoulder"/>
    <s v="No Clear"/>
    <s v="None"/>
    <s v="Not Ejected"/>
    <n v="65"/>
    <s v="None"/>
    <s v="&lt;Null&gt;"/>
    <s v="&lt;Null&gt;"/>
    <s v="&lt;Null&gt;"/>
    <s v="&lt;Null&gt;"/>
    <s v="&lt;Null&gt;"/>
    <s v="&lt;Null&gt;"/>
    <s v="&lt;Null&gt;"/>
    <s v="&lt;Null&gt;"/>
    <s v="&lt;Null&gt;"/>
    <s v="&lt;Null&gt;"/>
    <s v="&lt;Null&gt;"/>
    <s v="&lt;Null&gt;"/>
    <s v="&lt;Null&gt;"/>
    <s v="&lt;Null&gt;"/>
    <s v="&lt;Null&gt;"/>
    <s v="&lt;Null&gt;"/>
    <n v="7"/>
    <x v="3"/>
    <s v="NDDOT MPDG.kmz/NDDOT MPDG"/>
    <n v="0"/>
    <n v="0"/>
    <n v="0"/>
    <n v="-1"/>
    <n v="0"/>
    <m/>
    <m/>
  </r>
  <r>
    <n v="16"/>
    <s v="Point Z"/>
    <n v="1"/>
    <n v="3068"/>
    <n v="251284"/>
    <n v="1013664"/>
    <n v="7"/>
    <s v="Burke"/>
    <n v="0"/>
    <s v="None"/>
    <n v="1"/>
    <s v="Highway Patrol"/>
    <n v="1"/>
    <s v="Daylight"/>
    <n v="1"/>
    <s v="MV in Transport"/>
    <s v="&lt;Null&gt;"/>
    <s v="&lt;Null&gt;"/>
    <n v="1"/>
    <s v="Original"/>
    <n v="1"/>
    <s v="Traffic"/>
    <n v="1"/>
    <s v="No Control"/>
    <n v="3"/>
    <s v="Rain"/>
    <n v="0"/>
    <s v="On Roadway"/>
    <n v="1"/>
    <s v="Normal"/>
    <n v="2"/>
    <s v="Wet"/>
    <n v="1"/>
    <s v="Non-junction"/>
    <n v="2"/>
    <x v="2"/>
    <n v="1"/>
    <s v="Non-intersection"/>
    <n v="2"/>
    <x v="0"/>
    <n v="2"/>
    <s v="Asphalt"/>
    <n v="1"/>
    <s v="Straight (on Level)"/>
    <n v="2"/>
    <n v="1"/>
    <x v="15"/>
    <d v="2024-04-15T17:28:00"/>
    <d v="2016-07-07T00:00:00"/>
    <n v="2"/>
    <s v="M"/>
    <d v="2016-06-29T00:00:00"/>
    <d v="2024-04-15T17:29:00"/>
    <s v="&lt;Null&gt;"/>
    <s v="&lt;Null&gt;"/>
    <n v="16004579"/>
    <n v="48.894244999999998"/>
    <n v="-102.255492"/>
    <n v="1"/>
    <n v="52"/>
    <s v="&lt;Null&gt;"/>
    <s v="&lt;Null&gt;"/>
    <n v="20.651"/>
    <n v="20.651"/>
    <s v="&lt;Null&gt;"/>
    <s v="&lt;Null&gt;"/>
    <s v="&lt;Null&gt;"/>
    <s v="&lt;Null&gt;"/>
    <s v="&lt;Null&gt;"/>
    <s v="&lt;Null&gt;"/>
    <s v="&lt;Null&gt;"/>
    <s v="&lt;Null&gt;"/>
    <s v="&lt;Null&gt;"/>
    <s v="&lt;Null&gt;"/>
    <s v="&lt;Null&gt;"/>
    <n v="0"/>
    <s v="Y"/>
    <s v="Y"/>
    <s v="&lt;Null&gt;"/>
    <s v="Wednesday"/>
    <s v="Not Applicable"/>
    <s v="Not Applicable"/>
    <s v="No "/>
    <s v="No "/>
    <s v="No "/>
    <s v="No "/>
    <s v="Yes"/>
    <s v="Pickup - Van - Utility"/>
    <s v="Not Divided"/>
    <s v="Did Nothing"/>
    <s v="Test Not Given"/>
    <s v="None"/>
    <s v="East"/>
    <s v="Going Straight"/>
    <s v="MV in Transport"/>
    <n v="45"/>
    <s v="M"/>
    <s v="TOLLEY"/>
    <s v="ND"/>
    <s v="Neither Present"/>
    <s v="Not in Use"/>
    <s v="Following too Close"/>
    <s v="Following"/>
    <s v="Not Ejected"/>
    <n v="65"/>
    <s v="None"/>
    <s v="Pickup - Van - Utility"/>
    <s v="East"/>
    <s v="None"/>
    <s v="Going Straight"/>
    <s v="MV in Transport"/>
    <n v="39"/>
    <s v="M"/>
    <s v="SASKATTON"/>
    <s v="SK"/>
    <s v="Neither Present"/>
    <s v="Lap and Shoulder"/>
    <s v="No Clear"/>
    <s v="None"/>
    <s v="Not Ejected"/>
    <n v="65"/>
    <s v="None"/>
    <s v="&lt;Null&gt;"/>
    <s v="&lt;Null&gt;"/>
    <s v="&lt;Null&gt;"/>
    <s v="&lt;Null&gt;"/>
    <s v="&lt;Null&gt;"/>
    <s v="&lt;Null&gt;"/>
    <s v="&lt;Null&gt;"/>
    <s v="&lt;Null&gt;"/>
    <s v="&lt;Null&gt;"/>
    <s v="&lt;Null&gt;"/>
    <s v="&lt;Null&gt;"/>
    <s v="&lt;Null&gt;"/>
    <s v="&lt;Null&gt;"/>
    <s v="&lt;Null&gt;"/>
    <s v="&lt;Null&gt;"/>
    <s v="&lt;Null&gt;"/>
    <n v="17"/>
    <x v="4"/>
    <s v="NDDOT MPDG.kmz/NDDOT MPDG"/>
    <n v="0"/>
    <n v="0"/>
    <n v="0"/>
    <n v="-1"/>
    <n v="0"/>
    <m/>
    <m/>
  </r>
  <r>
    <n v="17"/>
    <s v="Point Z"/>
    <n v="1"/>
    <n v="3069"/>
    <n v="251288"/>
    <n v="1013668"/>
    <n v="7"/>
    <s v="Burke"/>
    <n v="0"/>
    <s v="None"/>
    <n v="3"/>
    <s v="County Sheriff"/>
    <n v="1"/>
    <s v="Daylight"/>
    <n v="1"/>
    <s v="MV in Transport"/>
    <s v="&lt;Null&gt;"/>
    <s v="&lt;Null&gt;"/>
    <n v="1"/>
    <s v="Original"/>
    <n v="1"/>
    <s v="Traffic"/>
    <n v="1"/>
    <s v="No Control"/>
    <n v="3"/>
    <s v="Rain"/>
    <n v="0"/>
    <s v="On Roadway"/>
    <n v="4"/>
    <s v="Obstruction / Flood"/>
    <n v="2"/>
    <s v="Wet"/>
    <n v="6"/>
    <s v="Railroad Crossing"/>
    <n v="3"/>
    <x v="0"/>
    <n v="1"/>
    <s v="Non-intersection"/>
    <n v="2"/>
    <x v="0"/>
    <n v="2"/>
    <s v="Asphalt"/>
    <n v="1"/>
    <s v="Straight (on Level)"/>
    <n v="2"/>
    <n v="1"/>
    <x v="15"/>
    <d v="2024-04-15T17:25:00"/>
    <d v="2016-07-02T00:00:00"/>
    <n v="2"/>
    <s v="M"/>
    <d v="2016-06-29T00:00:00"/>
    <d v="2024-04-15T17:29:00"/>
    <s v="&lt;Null&gt;"/>
    <s v="&lt;Null&gt;"/>
    <n v="126"/>
    <n v="48.894252000000002"/>
    <n v="-102.25196"/>
    <n v="1"/>
    <n v="52"/>
    <s v="&lt;Null&gt;"/>
    <s v="&lt;Null&gt;"/>
    <n v="21.18"/>
    <n v="21.18"/>
    <s v="&lt;Null&gt;"/>
    <s v="&lt;Null&gt;"/>
    <s v="&lt;Null&gt;"/>
    <s v="&lt;Null&gt;"/>
    <s v="&lt;Null&gt;"/>
    <s v="&lt;Null&gt;"/>
    <s v="&lt;Null&gt;"/>
    <s v="&lt;Null&gt;"/>
    <s v="&lt;Null&gt;"/>
    <s v="&lt;Null&gt;"/>
    <s v="&lt;Null&gt;"/>
    <n v="0"/>
    <s v="Y"/>
    <s v="Y"/>
    <s v="&lt;Null&gt;"/>
    <s v="Wednesday"/>
    <s v="Not Applicable"/>
    <s v="Not Applicable"/>
    <s v="Yes"/>
    <s v="Yes"/>
    <s v="No "/>
    <s v="No "/>
    <s v="Yes"/>
    <s v="Passenger Car"/>
    <s v="Not Divided"/>
    <s v="Turned Left"/>
    <s v="Test Not Given"/>
    <s v="RR Signals with Gates"/>
    <s v="East"/>
    <s v="Going Straight"/>
    <s v="MV in Transport"/>
    <n v="18"/>
    <s v="M"/>
    <s v="MINOT"/>
    <s v="ND"/>
    <s v="Neither Present"/>
    <s v="Not in Use"/>
    <s v="To Fast for Conditions"/>
    <s v="Other"/>
    <s v="Not Ejected"/>
    <n v="65"/>
    <s v="None"/>
    <s v="Pickup - Van - Utility"/>
    <s v="East"/>
    <s v="RR Signals with Gates"/>
    <s v="Going Straight"/>
    <s v="MV in Transport"/>
    <s v="&lt;Null&gt;"/>
    <s v="&lt;Null&gt;"/>
    <s v="&lt;Null&gt;"/>
    <s v="&lt;Null&gt;"/>
    <s v="&lt;Null&gt;"/>
    <s v="&lt;Null&gt;"/>
    <s v="Weather"/>
    <s v="None"/>
    <s v="&lt;Null&gt;"/>
    <n v="65"/>
    <s v="None"/>
    <s v="&lt;Null&gt;"/>
    <s v="&lt;Null&gt;"/>
    <s v="&lt;Null&gt;"/>
    <s v="&lt;Null&gt;"/>
    <s v="&lt;Null&gt;"/>
    <s v="&lt;Null&gt;"/>
    <s v="&lt;Null&gt;"/>
    <s v="&lt;Null&gt;"/>
    <s v="&lt;Null&gt;"/>
    <s v="&lt;Null&gt;"/>
    <s v="&lt;Null&gt;"/>
    <s v="&lt;Null&gt;"/>
    <s v="&lt;Null&gt;"/>
    <s v="&lt;Null&gt;"/>
    <s v="&lt;Null&gt;"/>
    <s v="&lt;Null&gt;"/>
    <n v="17"/>
    <x v="4"/>
    <s v="NDDOT MPDG.kmz/NDDOT MPDG"/>
    <n v="0"/>
    <n v="0"/>
    <n v="0"/>
    <n v="-1"/>
    <n v="0"/>
    <m/>
    <m/>
  </r>
  <r>
    <n v="18"/>
    <s v="Point Z"/>
    <n v="1"/>
    <n v="3070"/>
    <n v="312377"/>
    <n v="1079050"/>
    <n v="7"/>
    <s v="Burke"/>
    <n v="0"/>
    <s v="None"/>
    <n v="3"/>
    <s v="County Sheriff"/>
    <n v="1"/>
    <s v="Daylight"/>
    <n v="1"/>
    <s v="MV in Transport"/>
    <s v="&lt;Null&gt;"/>
    <s v="&lt;Null&gt;"/>
    <n v="1"/>
    <s v="Original"/>
    <n v="1"/>
    <s v="Traffic"/>
    <n v="1"/>
    <s v="No Control"/>
    <n v="1"/>
    <s v="Clear"/>
    <n v="1"/>
    <s v="Shoulder"/>
    <n v="1"/>
    <s v="Normal"/>
    <n v="1"/>
    <s v="Dry"/>
    <n v="4"/>
    <s v="Alley/Driveway"/>
    <n v="3"/>
    <x v="0"/>
    <n v="1"/>
    <s v="Non-intersection"/>
    <n v="4"/>
    <x v="2"/>
    <n v="2"/>
    <s v="Asphalt"/>
    <n v="1"/>
    <s v="Straight (on Level)"/>
    <n v="2"/>
    <n v="1"/>
    <x v="16"/>
    <d v="2024-04-15T12:05:00"/>
    <d v="2019-06-06T00:00:00"/>
    <n v="2"/>
    <s v="M"/>
    <d v="2019-06-03T00:00:00"/>
    <d v="2024-04-15T12:10:00"/>
    <s v="&lt;Null&gt;"/>
    <s v="&lt;Null&gt;"/>
    <n v="71"/>
    <n v="48.894258999999998"/>
    <n v="-102.247996"/>
    <n v="1"/>
    <n v="52"/>
    <s v="&lt;Null&gt;"/>
    <s v="&lt;Null&gt;"/>
    <n v="20.99"/>
    <n v="20.99"/>
    <s v="&lt;Null&gt;"/>
    <s v="&lt;Null&gt;"/>
    <s v="&lt;Null&gt;"/>
    <s v="&lt;Null&gt;"/>
    <s v="&lt;Null&gt;"/>
    <s v="&lt;Null&gt;"/>
    <s v="&lt;Null&gt;"/>
    <s v="&lt;Null&gt;"/>
    <s v="&lt;Null&gt;"/>
    <s v="&lt;Null&gt;"/>
    <s v="&lt;Null&gt;"/>
    <n v="0"/>
    <s v="Y"/>
    <s v="Y"/>
    <s v="&lt;Null&gt;"/>
    <s v="Monday"/>
    <s v="Not Applicable"/>
    <s v="Not Applicable"/>
    <s v="No "/>
    <s v="No "/>
    <s v="No "/>
    <s v="No "/>
    <s v="No "/>
    <s v="Truck Tractor"/>
    <s v=" Divided Highway "/>
    <s v="Slowed/Stopped"/>
    <s v="Test Not Given"/>
    <s v="None"/>
    <s v="East"/>
    <s v="Going Straight"/>
    <s v="MV in Transport"/>
    <n v="28"/>
    <s v="M"/>
    <s v="NEW ROCKFORD"/>
    <s v="ND"/>
    <s v="Neither Present"/>
    <s v="Lap and Shoulder"/>
    <s v="Improper Overtaking"/>
    <s v="Care Required"/>
    <s v="Not Ejected"/>
    <n v="65"/>
    <s v="None"/>
    <s v="Truck Tractor"/>
    <s v="East"/>
    <s v="None"/>
    <s v="Turning Left"/>
    <s v="MV in Transport"/>
    <n v="81"/>
    <s v="M"/>
    <s v="BOWBELLS"/>
    <s v="ND"/>
    <s v="Neither Present"/>
    <s v="Lap and Shoulder"/>
    <s v="No Clear"/>
    <s v="None"/>
    <s v="Not Ejected"/>
    <n v="65"/>
    <s v="None"/>
    <s v="&lt;Null&gt;"/>
    <s v="&lt;Null&gt;"/>
    <s v="&lt;Null&gt;"/>
    <s v="&lt;Null&gt;"/>
    <s v="&lt;Null&gt;"/>
    <s v="&lt;Null&gt;"/>
    <s v="&lt;Null&gt;"/>
    <s v="&lt;Null&gt;"/>
    <s v="&lt;Null&gt;"/>
    <s v="&lt;Null&gt;"/>
    <s v="&lt;Null&gt;"/>
    <s v="&lt;Null&gt;"/>
    <s v="&lt;Null&gt;"/>
    <s v="&lt;Null&gt;"/>
    <s v="&lt;Null&gt;"/>
    <s v="&lt;Null&gt;"/>
    <n v="12"/>
    <x v="4"/>
    <s v="NDDOT MPDG.kmz/NDDOT MPDG"/>
    <n v="0"/>
    <n v="0"/>
    <n v="0"/>
    <n v="-1"/>
    <n v="0"/>
    <m/>
    <m/>
  </r>
  <r>
    <n v="19"/>
    <s v="Point Z"/>
    <n v="1"/>
    <n v="3107"/>
    <n v="206889"/>
    <n v="305923"/>
    <n v="53"/>
    <s v="Williams"/>
    <n v="0"/>
    <s v="None"/>
    <n v="2"/>
    <s v="City Police"/>
    <n v="1"/>
    <s v="Daylight"/>
    <n v="29"/>
    <s v="Thrown/Falling Object"/>
    <s v="&lt;Null&gt;"/>
    <s v="&lt;Null&gt;"/>
    <n v="1"/>
    <s v="Original"/>
    <n v="1"/>
    <s v="Traffic"/>
    <n v="1"/>
    <s v="No Control"/>
    <n v="2"/>
    <s v="Cloudy"/>
    <n v="0"/>
    <s v="On Roadway"/>
    <n v="1"/>
    <s v="Normal"/>
    <n v="1"/>
    <s v="Dry"/>
    <n v="1"/>
    <s v="Non-junction"/>
    <n v="3"/>
    <x v="0"/>
    <n v="1"/>
    <s v="Non-intersection"/>
    <n v="7"/>
    <x v="1"/>
    <n v="2"/>
    <s v="Asphalt"/>
    <n v="1"/>
    <s v="Straight (on Level)"/>
    <n v="2"/>
    <n v="1"/>
    <x v="17"/>
    <d v="2024-04-15T18:25:00"/>
    <d v="2014-06-25T00:00:00"/>
    <n v="2"/>
    <s v="M"/>
    <d v="2014-06-17T00:00:00"/>
    <d v="2024-04-15T20:30:00"/>
    <s v="&lt;Null&gt;"/>
    <s v="&lt;Null&gt;"/>
    <n v="6814028"/>
    <n v="48.711300000000001"/>
    <n v="-102.0825"/>
    <n v="1"/>
    <n v="52"/>
    <n v="50"/>
    <n v="80.466999999999999"/>
    <n v="41.5"/>
    <n v="42"/>
    <s v="&lt;Null&gt;"/>
    <s v="&lt;Null&gt;"/>
    <s v="&lt;Null&gt;"/>
    <s v="&lt;Null&gt;"/>
    <s v="&lt;Null&gt;"/>
    <s v="&lt;Null&gt;"/>
    <s v="&lt;Null&gt;"/>
    <s v="&lt;Null&gt;"/>
    <s v="&lt;Null&gt;"/>
    <s v="&lt;Null&gt;"/>
    <s v="&lt;Null&gt;"/>
    <n v="0"/>
    <s v="Y"/>
    <s v="Y"/>
    <s v="&lt;Null&gt;"/>
    <s v="Tuesday"/>
    <s v="Not Applicable"/>
    <s v="Not Applicable"/>
    <s v="No "/>
    <s v="No "/>
    <s v="No "/>
    <s v="No "/>
    <s v="No "/>
    <s v="Pickup - Van - Utility"/>
    <s v=" Divided Highway "/>
    <s v="Did Nothing"/>
    <s v="Test Not Given"/>
    <s v="None"/>
    <s v="South"/>
    <s v="Going Straight"/>
    <s v="&lt;Null&gt;"/>
    <n v="37"/>
    <s v="M"/>
    <s v="Columbus            "/>
    <s v="ND"/>
    <s v="Neither Present"/>
    <s v="Lap and Shoulder"/>
    <s v="&lt;Null&gt;"/>
    <s v="None"/>
    <s v="Not Ejected"/>
    <n v="65"/>
    <s v="&lt;Null&gt;"/>
    <s v="Hit and Run"/>
    <s v="North"/>
    <s v="None"/>
    <s v="Going Straight"/>
    <s v="&lt;Null&gt;"/>
    <s v="&lt;Null&gt;"/>
    <s v="U"/>
    <s v="Unknown"/>
    <s v="&lt;Null&gt;"/>
    <s v="Neither Present"/>
    <s v="Restraint Use Unknown"/>
    <s v="&lt;Null&gt;"/>
    <s v="None"/>
    <s v="Unknown"/>
    <s v="&lt;Null&gt;"/>
    <s v="&lt;Null&gt;"/>
    <s v="&lt;Null&gt;"/>
    <s v="&lt;Null&gt;"/>
    <s v="&lt;Null&gt;"/>
    <s v="&lt;Null&gt;"/>
    <s v="&lt;Null&gt;"/>
    <s v="&lt;Null&gt;"/>
    <s v="&lt;Null&gt;"/>
    <s v="&lt;Null&gt;"/>
    <s v="&lt;Null&gt;"/>
    <s v="&lt;Null&gt;"/>
    <s v="&lt;Null&gt;"/>
    <s v="&lt;Null&gt;"/>
    <s v="&lt;Null&gt;"/>
    <s v="&lt;Null&gt;"/>
    <s v="&lt;Null&gt;"/>
    <s v="&lt;Null&gt;"/>
    <n v="18"/>
    <x v="5"/>
    <s v="NDDOT MPDG.kmz/NDDOT MPDG"/>
    <n v="0"/>
    <n v="0"/>
    <n v="0"/>
    <n v="-1"/>
    <n v="0"/>
    <m/>
    <m/>
  </r>
  <r>
    <n v="20"/>
    <s v="Point Z"/>
    <n v="1"/>
    <n v="3110"/>
    <n v="370890"/>
    <n v="1142333"/>
    <n v="51"/>
    <s v="Ward"/>
    <n v="0"/>
    <s v="None"/>
    <n v="1"/>
    <s v="Highway Patrol"/>
    <n v="1"/>
    <s v="Daylight"/>
    <n v="1"/>
    <s v="MV in Transport"/>
    <s v="&lt;Null&gt;"/>
    <s v="&lt;Null&gt;"/>
    <n v="1"/>
    <s v="Original"/>
    <n v="1"/>
    <s v="Traffic"/>
    <n v="1"/>
    <s v="No Control"/>
    <n v="1"/>
    <s v="Clear"/>
    <n v="0"/>
    <s v="On Roadway"/>
    <n v="4"/>
    <s v="Obstruction / Flood"/>
    <n v="1"/>
    <s v="Dry"/>
    <n v="1"/>
    <s v="Non-junction"/>
    <n v="4"/>
    <x v="1"/>
    <n v="1"/>
    <s v="Non-intersection"/>
    <n v="2"/>
    <x v="0"/>
    <n v="2"/>
    <s v="Asphalt"/>
    <n v="2"/>
    <s v="Straight (on Grade)"/>
    <n v="2"/>
    <n v="1"/>
    <x v="18"/>
    <d v="2024-04-15T11:00:00"/>
    <d v="2023-08-22T00:00:00"/>
    <n v="2"/>
    <s v="M"/>
    <d v="2023-08-16T00:00:00"/>
    <d v="2024-04-15T11:03:00"/>
    <s v="&lt;Null&gt;"/>
    <n v="61"/>
    <n v="23004946"/>
    <n v="48.707884"/>
    <n v="-102.08249600000001"/>
    <n v="1"/>
    <n v="52"/>
    <s v="&lt;Null&gt;"/>
    <s v="&lt;Null&gt;"/>
    <n v="40.74"/>
    <n v="40.74"/>
    <s v="&lt;Null&gt;"/>
    <s v="&lt;Null&gt;"/>
    <s v="&lt;Null&gt;"/>
    <s v="&lt;Null&gt;"/>
    <s v="&lt;Null&gt;"/>
    <s v="&lt;Null&gt;"/>
    <s v="&lt;Null&gt;"/>
    <s v="&lt;Null&gt;"/>
    <s v="&lt;Null&gt;"/>
    <s v="&lt;Null&gt;"/>
    <s v="&lt;Null&gt;"/>
    <n v="0"/>
    <s v="Y"/>
    <s v="Y"/>
    <s v="&lt;Null&gt;"/>
    <s v="Wednesday"/>
    <s v="Activity Area"/>
    <s v="Lane Closure"/>
    <s v="No "/>
    <s v="Yes"/>
    <s v="No "/>
    <s v="No "/>
    <s v="No "/>
    <s v="Unknown Heavy Truck"/>
    <s v="Not Divided"/>
    <s v="Turned Left"/>
    <s v="&lt;Null&gt;"/>
    <s v="Officer/Flagperson"/>
    <s v="North"/>
    <s v="Going Straight"/>
    <s v="MV in Transport"/>
    <n v="42"/>
    <s v="M"/>
    <s v="FARGO"/>
    <s v="ND"/>
    <s v="Unknown"/>
    <s v="Lap and Shoulder"/>
    <s v="Speed "/>
    <s v="Other"/>
    <s v="Not Ejected"/>
    <n v="45"/>
    <s v="None"/>
    <s v="Unknown Heavy Truck"/>
    <s v="North"/>
    <s v="Officer/Flagperson"/>
    <s v="Stopped"/>
    <s v="MV in Transport"/>
    <n v="67"/>
    <s v="M"/>
    <s v="BOWBELLS"/>
    <s v="ND"/>
    <s v="Neither Present"/>
    <s v="Lap and Shoulder"/>
    <s v="No Clear"/>
    <s v="None"/>
    <s v="Not Ejected"/>
    <n v="45"/>
    <s v="None"/>
    <s v="&lt;Null&gt;"/>
    <s v="&lt;Null&gt;"/>
    <s v="&lt;Null&gt;"/>
    <s v="&lt;Null&gt;"/>
    <s v="&lt;Null&gt;"/>
    <s v="&lt;Null&gt;"/>
    <s v="&lt;Null&gt;"/>
    <s v="&lt;Null&gt;"/>
    <s v="&lt;Null&gt;"/>
    <s v="&lt;Null&gt;"/>
    <s v="&lt;Null&gt;"/>
    <s v="&lt;Null&gt;"/>
    <s v="&lt;Null&gt;"/>
    <s v="&lt;Null&gt;"/>
    <s v="&lt;Null&gt;"/>
    <s v="&lt;Null&gt;"/>
    <n v="11"/>
    <x v="5"/>
    <s v="NDDOT MPDG.kmz/NDDOT MPDG"/>
    <n v="0"/>
    <n v="0"/>
    <n v="0"/>
    <n v="-1"/>
    <n v="0"/>
    <m/>
    <m/>
  </r>
  <r>
    <n v="21"/>
    <s v="Point Z"/>
    <n v="1"/>
    <n v="3112"/>
    <n v="220630"/>
    <n v="319784"/>
    <n v="51"/>
    <s v="Ward"/>
    <n v="0"/>
    <s v="None"/>
    <n v="1"/>
    <s v="Highway Patrol"/>
    <n v="1"/>
    <s v="Daylight"/>
    <n v="49"/>
    <s v="Other Fixed Object"/>
    <s v="&lt;Null&gt;"/>
    <s v="&lt;Null&gt;"/>
    <n v="1"/>
    <s v="Original"/>
    <n v="1"/>
    <s v="Traffic"/>
    <n v="1"/>
    <s v="No Control"/>
    <n v="1"/>
    <s v="Clear"/>
    <n v="0"/>
    <s v="On Roadway"/>
    <n v="1"/>
    <s v="Normal"/>
    <n v="1"/>
    <s v="Dry"/>
    <n v="6"/>
    <s v="Railroad Crossing"/>
    <n v="3"/>
    <x v="0"/>
    <n v="1"/>
    <s v="Non-intersection"/>
    <n v="7"/>
    <x v="1"/>
    <n v="2"/>
    <s v="Asphalt"/>
    <n v="1"/>
    <s v="Straight (on Level)"/>
    <n v="2"/>
    <n v="1"/>
    <x v="19"/>
    <d v="2024-04-15T14:30:00"/>
    <d v="2015-01-21T00:00:00"/>
    <n v="2"/>
    <s v="M"/>
    <d v="2015-01-12T00:00:00"/>
    <d v="2024-04-15T14:38:00"/>
    <s v="&lt;Null&gt;"/>
    <s v="&lt;Null&gt;"/>
    <n v="295"/>
    <n v="48.711965999999997"/>
    <n v="-102.08243"/>
    <n v="1"/>
    <n v="52"/>
    <s v="&lt;Null&gt;"/>
    <s v="&lt;Null&gt;"/>
    <n v="40.44"/>
    <n v="40.44"/>
    <s v="&lt;Null&gt;"/>
    <s v="&lt;Null&gt;"/>
    <s v="&lt;Null&gt;"/>
    <s v="&lt;Null&gt;"/>
    <s v="&lt;Null&gt;"/>
    <s v="&lt;Null&gt;"/>
    <s v="&lt;Null&gt;"/>
    <s v="&lt;Null&gt;"/>
    <s v="&lt;Null&gt;"/>
    <s v="&lt;Null&gt;"/>
    <s v="&lt;Null&gt;"/>
    <n v="1000"/>
    <s v="Y"/>
    <s v="Y"/>
    <s v="&lt;Null&gt;"/>
    <s v="Monday"/>
    <s v="Not Applicable"/>
    <s v="Not Applicable"/>
    <s v="No "/>
    <s v="No "/>
    <s v="No "/>
    <s v="Yes"/>
    <s v="No "/>
    <s v="Truck Tractor"/>
    <s v="Not Divided"/>
    <s v="Slowed/Stopped"/>
    <s v="Test Not Given"/>
    <s v="RR Signals with Gates"/>
    <s v="North"/>
    <s v="Going Straight"/>
    <s v="Other Fixed Object"/>
    <n v="54"/>
    <s v="M"/>
    <s v="BEASLEY"/>
    <s v="TX"/>
    <s v="Neither Present"/>
    <s v="Lap and Shoulder"/>
    <s v="Other"/>
    <s v="None"/>
    <s v="Not Ejected"/>
    <n v="65"/>
    <s v="Non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4"/>
    <x v="5"/>
    <s v="NDDOT MPDG.kmz/NDDOT MPDG"/>
    <n v="0"/>
    <n v="0"/>
    <n v="0"/>
    <n v="-1"/>
    <n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914855-6C42-4A28-87A7-B5FD6F109D9E}"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E27:H45" firstHeaderRow="1" firstDataRow="2" firstDataCol="1"/>
  <pivotFields count="15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x="0"/>
        <item t="default"/>
      </items>
    </pivotField>
    <pivotField showAll="0"/>
    <pivotField showAll="0"/>
    <pivotField showAll="0"/>
    <pivotField axis="axisRow" showAll="0">
      <items count="4">
        <item x="1"/>
        <item x="0"/>
        <item x="2"/>
        <item t="default"/>
      </items>
    </pivotField>
    <pivotField showAll="0"/>
    <pivotField showAll="0"/>
    <pivotField showAll="0"/>
    <pivotField showAll="0"/>
    <pivotField showAll="0"/>
    <pivotField showAll="0"/>
    <pivotField numFmtId="14" showAll="0">
      <items count="21">
        <item x="17"/>
        <item x="0"/>
        <item x="1"/>
        <item x="19"/>
        <item x="2"/>
        <item x="3"/>
        <item x="4"/>
        <item x="15"/>
        <item x="12"/>
        <item x="5"/>
        <item x="11"/>
        <item x="10"/>
        <item x="14"/>
        <item x="16"/>
        <item x="6"/>
        <item x="7"/>
        <item x="13"/>
        <item x="8"/>
        <item x="18"/>
        <item x="9"/>
        <item t="default"/>
      </items>
    </pivotField>
    <pivotField showAll="0"/>
    <pivotField numFmtId="14" showAll="0"/>
    <pivotField showAll="0"/>
    <pivotField showAll="0"/>
    <pivotField numFmtId="14"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3"/>
        <item x="4"/>
        <item x="5"/>
        <item x="0"/>
        <item x="1"/>
        <item x="2"/>
        <item t="default"/>
      </items>
    </pivotField>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axis="axisRow" showAll="0">
      <items count="13">
        <item h="1" x="0"/>
        <item h="1" sd="0" x="1"/>
        <item h="1" sd="0" x="2"/>
        <item h="1" sd="0" x="3"/>
        <item h="1" sd="0" x="4"/>
        <item h="1" sd="0" x="5"/>
        <item sd="0" x="6"/>
        <item sd="0" x="7"/>
        <item x="8"/>
        <item sd="0" x="9"/>
        <item sd="0" x="10"/>
        <item x="11"/>
        <item t="default"/>
      </items>
    </pivotField>
  </pivotFields>
  <rowFields count="3">
    <field x="39"/>
    <field x="139"/>
    <field x="150"/>
  </rowFields>
  <rowItems count="17">
    <i>
      <x/>
    </i>
    <i r="1">
      <x/>
    </i>
    <i r="2">
      <x v="9"/>
    </i>
    <i r="1">
      <x v="3"/>
    </i>
    <i r="2">
      <x v="7"/>
    </i>
    <i r="2">
      <x v="9"/>
    </i>
    <i r="1">
      <x v="4"/>
    </i>
    <i r="2">
      <x v="10"/>
    </i>
    <i>
      <x v="1"/>
    </i>
    <i r="1">
      <x/>
    </i>
    <i r="2">
      <x v="6"/>
    </i>
    <i r="1">
      <x v="2"/>
    </i>
    <i r="2">
      <x v="10"/>
    </i>
    <i>
      <x v="2"/>
    </i>
    <i r="1">
      <x v="1"/>
    </i>
    <i r="2">
      <x v="6"/>
    </i>
    <i t="grand">
      <x/>
    </i>
  </rowItems>
  <colFields count="1">
    <field x="35"/>
  </colFields>
  <colItems count="3">
    <i>
      <x/>
    </i>
    <i>
      <x v="2"/>
    </i>
    <i t="grand">
      <x/>
    </i>
  </colItems>
  <dataFields count="1">
    <dataField name="Count of CRASH_SEVERITY_DESCR" fld="3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regon.gov/odot/Engineering/ARTS/CRF-Manual.pdf%20page%20115." TargetMode="External"/><Relationship Id="rId1" Type="http://schemas.openxmlformats.org/officeDocument/2006/relationships/hyperlink" Target="https://www.oregon.gov/odot/Engineering/ARTS/CRF-Manual.pdf%20page%20113."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B02E0-DC1E-49AC-B4E2-1B1ED74E5422}">
  <sheetPr>
    <pageSetUpPr fitToPage="1"/>
  </sheetPr>
  <dimension ref="B2:F47"/>
  <sheetViews>
    <sheetView view="pageBreakPreview" zoomScaleNormal="100" zoomScaleSheetLayoutView="100" workbookViewId="0">
      <selection activeCell="J15" sqref="J15"/>
    </sheetView>
  </sheetViews>
  <sheetFormatPr defaultColWidth="9.140625" defaultRowHeight="12" x14ac:dyDescent="0.2"/>
  <cols>
    <col min="1" max="1" width="3.140625" style="190" customWidth="1"/>
    <col min="2" max="2" width="28.42578125" style="190" customWidth="1"/>
    <col min="3" max="3" width="13.42578125" style="190" customWidth="1"/>
    <col min="4" max="4" width="4.7109375" style="190" customWidth="1"/>
    <col min="5" max="16384" width="9.140625" style="190"/>
  </cols>
  <sheetData>
    <row r="2" spans="2:6" ht="15" thickBot="1" x14ac:dyDescent="0.25">
      <c r="B2" s="191" t="s">
        <v>959</v>
      </c>
      <c r="C2" s="638"/>
      <c r="E2" s="639"/>
    </row>
    <row r="3" spans="2:6" x14ac:dyDescent="0.2">
      <c r="B3" s="640" t="s">
        <v>73</v>
      </c>
      <c r="C3" s="641">
        <v>2022</v>
      </c>
      <c r="E3" s="642"/>
    </row>
    <row r="4" spans="2:6" x14ac:dyDescent="0.2">
      <c r="B4" s="643" t="s">
        <v>74</v>
      </c>
      <c r="C4" s="663">
        <v>2025</v>
      </c>
      <c r="E4" s="644"/>
    </row>
    <row r="5" spans="2:6" x14ac:dyDescent="0.2">
      <c r="B5" s="643" t="s">
        <v>75</v>
      </c>
      <c r="C5" s="645">
        <v>1</v>
      </c>
      <c r="E5" s="642"/>
    </row>
    <row r="6" spans="2:6" x14ac:dyDescent="0.2">
      <c r="B6" s="643" t="s">
        <v>76</v>
      </c>
      <c r="C6" s="645">
        <v>20</v>
      </c>
      <c r="E6" s="646"/>
      <c r="F6" s="593"/>
    </row>
    <row r="7" spans="2:6" x14ac:dyDescent="0.2">
      <c r="B7" s="643" t="s">
        <v>77</v>
      </c>
      <c r="C7" s="645">
        <f>C4+C5</f>
        <v>2026</v>
      </c>
    </row>
    <row r="8" spans="2:6" x14ac:dyDescent="0.2">
      <c r="B8" s="643" t="s">
        <v>78</v>
      </c>
      <c r="C8" s="645">
        <f>C7+20-1</f>
        <v>2045</v>
      </c>
    </row>
    <row r="9" spans="2:6" ht="14.25" x14ac:dyDescent="0.2">
      <c r="B9" s="643" t="s">
        <v>960</v>
      </c>
      <c r="C9" s="645">
        <v>365</v>
      </c>
    </row>
    <row r="10" spans="2:6" x14ac:dyDescent="0.2">
      <c r="B10" s="643" t="s">
        <v>79</v>
      </c>
      <c r="C10" s="647">
        <v>3.1E-2</v>
      </c>
    </row>
    <row r="11" spans="2:6" x14ac:dyDescent="0.2">
      <c r="B11" s="643" t="s">
        <v>80</v>
      </c>
      <c r="C11" s="647">
        <v>0.02</v>
      </c>
    </row>
    <row r="12" spans="2:6" ht="14.25" x14ac:dyDescent="0.2">
      <c r="B12" s="643" t="s">
        <v>961</v>
      </c>
      <c r="C12" s="648">
        <v>0.37</v>
      </c>
    </row>
    <row r="13" spans="2:6" x14ac:dyDescent="0.2">
      <c r="B13" s="643" t="s">
        <v>81</v>
      </c>
      <c r="C13" s="645">
        <v>1.67</v>
      </c>
    </row>
    <row r="14" spans="2:6" x14ac:dyDescent="0.2">
      <c r="B14" s="643" t="s">
        <v>82</v>
      </c>
      <c r="C14" s="645">
        <v>1</v>
      </c>
    </row>
    <row r="15" spans="2:6" x14ac:dyDescent="0.2">
      <c r="B15" s="643" t="s">
        <v>83</v>
      </c>
      <c r="C15" s="649">
        <v>19.600000000000001</v>
      </c>
    </row>
    <row r="16" spans="2:6" x14ac:dyDescent="0.2">
      <c r="B16" s="643" t="s">
        <v>84</v>
      </c>
      <c r="C16" s="649">
        <v>33.5</v>
      </c>
    </row>
    <row r="17" spans="2:3" x14ac:dyDescent="0.2">
      <c r="B17" s="643" t="s">
        <v>85</v>
      </c>
      <c r="C17" s="650">
        <v>0.52</v>
      </c>
    </row>
    <row r="18" spans="2:3" x14ac:dyDescent="0.2">
      <c r="B18" s="643" t="s">
        <v>86</v>
      </c>
      <c r="C18" s="650">
        <v>1.32</v>
      </c>
    </row>
    <row r="19" spans="2:3" x14ac:dyDescent="0.2">
      <c r="B19" s="643" t="s">
        <v>87</v>
      </c>
      <c r="C19" s="645">
        <v>44.5</v>
      </c>
    </row>
    <row r="20" spans="2:3" ht="14.25" x14ac:dyDescent="0.2">
      <c r="B20" s="643" t="s">
        <v>962</v>
      </c>
      <c r="C20" s="651">
        <v>1645</v>
      </c>
    </row>
    <row r="21" spans="2:3" ht="12.75" thickBot="1" x14ac:dyDescent="0.25">
      <c r="B21" s="652" t="s">
        <v>88</v>
      </c>
      <c r="C21" s="653">
        <v>2023</v>
      </c>
    </row>
    <row r="22" spans="2:3" x14ac:dyDescent="0.2">
      <c r="B22" s="654"/>
      <c r="C22" s="593"/>
    </row>
    <row r="23" spans="2:3" ht="12.75" thickBot="1" x14ac:dyDescent="0.25">
      <c r="B23" s="655" t="s">
        <v>89</v>
      </c>
    </row>
    <row r="24" spans="2:3" x14ac:dyDescent="0.2">
      <c r="B24" s="640" t="s">
        <v>90</v>
      </c>
      <c r="C24" s="641" t="s">
        <v>91</v>
      </c>
    </row>
    <row r="25" spans="2:3" x14ac:dyDescent="0.2">
      <c r="B25" s="216" t="s">
        <v>826</v>
      </c>
      <c r="C25" s="212">
        <v>12500000</v>
      </c>
    </row>
    <row r="26" spans="2:3" x14ac:dyDescent="0.2">
      <c r="B26" s="216" t="s">
        <v>820</v>
      </c>
      <c r="C26" s="212">
        <v>1188200</v>
      </c>
    </row>
    <row r="27" spans="2:3" x14ac:dyDescent="0.2">
      <c r="B27" s="216" t="s">
        <v>827</v>
      </c>
      <c r="C27" s="212">
        <v>233800</v>
      </c>
    </row>
    <row r="28" spans="2:3" x14ac:dyDescent="0.2">
      <c r="B28" s="216" t="s">
        <v>828</v>
      </c>
      <c r="C28" s="212">
        <v>111700</v>
      </c>
    </row>
    <row r="29" spans="2:3" ht="12.75" thickBot="1" x14ac:dyDescent="0.25">
      <c r="B29" s="219" t="s">
        <v>829</v>
      </c>
      <c r="C29" s="222">
        <v>5000</v>
      </c>
    </row>
    <row r="31" spans="2:3" ht="15" thickBot="1" x14ac:dyDescent="0.25">
      <c r="B31" s="561" t="s">
        <v>963</v>
      </c>
    </row>
    <row r="32" spans="2:3" ht="12.75" thickBot="1" x14ac:dyDescent="0.25">
      <c r="B32" s="656" t="s">
        <v>93</v>
      </c>
      <c r="C32" s="657">
        <f>'Design Data'!M3</f>
        <v>1.2869822558576702E-2</v>
      </c>
    </row>
    <row r="33" spans="2:3" x14ac:dyDescent="0.2">
      <c r="B33" s="658"/>
      <c r="C33" s="659"/>
    </row>
    <row r="34" spans="2:3" x14ac:dyDescent="0.2">
      <c r="B34" s="593"/>
      <c r="C34" s="593"/>
    </row>
    <row r="35" spans="2:3" x14ac:dyDescent="0.2">
      <c r="B35" s="660" t="s">
        <v>43</v>
      </c>
    </row>
    <row r="36" spans="2:3" ht="12" customHeight="1" x14ac:dyDescent="0.2">
      <c r="B36" s="662" t="s">
        <v>94</v>
      </c>
      <c r="C36" s="662"/>
    </row>
    <row r="37" spans="2:3" x14ac:dyDescent="0.2">
      <c r="B37" s="662"/>
      <c r="C37" s="662"/>
    </row>
    <row r="38" spans="2:3" x14ac:dyDescent="0.2">
      <c r="B38" s="662"/>
      <c r="C38" s="662"/>
    </row>
    <row r="39" spans="2:3" x14ac:dyDescent="0.2">
      <c r="B39" s="662"/>
      <c r="C39" s="662"/>
    </row>
    <row r="40" spans="2:3" x14ac:dyDescent="0.2">
      <c r="B40" s="190" t="s">
        <v>95</v>
      </c>
    </row>
    <row r="41" spans="2:3" x14ac:dyDescent="0.2">
      <c r="B41" s="284" t="s">
        <v>97</v>
      </c>
      <c r="C41" s="284"/>
    </row>
    <row r="42" spans="2:3" x14ac:dyDescent="0.2">
      <c r="B42" s="661"/>
      <c r="C42" s="661"/>
    </row>
    <row r="43" spans="2:3" x14ac:dyDescent="0.2">
      <c r="B43" s="661"/>
      <c r="C43" s="661"/>
    </row>
    <row r="45" spans="2:3" x14ac:dyDescent="0.2">
      <c r="B45" s="658"/>
      <c r="C45" s="658"/>
    </row>
    <row r="47" spans="2:3" x14ac:dyDescent="0.2">
      <c r="B47" s="658"/>
      <c r="C47" s="658"/>
    </row>
  </sheetData>
  <mergeCells count="1">
    <mergeCell ref="B36:C3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68B5-42B5-4CC0-AF75-A4759E6EFB68}">
  <sheetPr>
    <tabColor rgb="FF0070C0"/>
    <pageSetUpPr fitToPage="1"/>
  </sheetPr>
  <dimension ref="A1:R60"/>
  <sheetViews>
    <sheetView view="pageBreakPreview" topLeftCell="A22" zoomScaleNormal="100" zoomScaleSheetLayoutView="100" workbookViewId="0">
      <selection activeCell="G28" sqref="G28"/>
    </sheetView>
  </sheetViews>
  <sheetFormatPr defaultColWidth="9.140625" defaultRowHeight="12" x14ac:dyDescent="0.2"/>
  <cols>
    <col min="1" max="1" width="4.7109375" style="2" customWidth="1"/>
    <col min="2" max="2" width="8.5703125" style="2" customWidth="1"/>
    <col min="3" max="3" width="12.42578125" style="2" customWidth="1"/>
    <col min="4" max="4" width="12.85546875" style="2" customWidth="1"/>
    <col min="5" max="5" width="12" style="2" customWidth="1"/>
    <col min="6" max="6" width="11.5703125" style="2" customWidth="1"/>
    <col min="7" max="7" width="13" style="2" customWidth="1"/>
    <col min="8" max="8" width="11.85546875" style="2" customWidth="1"/>
    <col min="9" max="9" width="11.28515625" style="2" customWidth="1"/>
    <col min="10" max="10" width="15.7109375" style="2" customWidth="1"/>
    <col min="11" max="12" width="11.28515625" style="2" customWidth="1"/>
    <col min="13" max="13" width="12" style="2" customWidth="1"/>
    <col min="14" max="14" width="2.85546875" style="2" customWidth="1"/>
    <col min="15" max="16" width="9.140625" style="2"/>
    <col min="17" max="17" width="36.140625" style="2" bestFit="1" customWidth="1"/>
    <col min="18" max="18" width="14.28515625" style="2" bestFit="1" customWidth="1"/>
    <col min="19" max="16384" width="9.140625" style="2"/>
  </cols>
  <sheetData>
    <row r="1" spans="1:11" ht="23.25" x14ac:dyDescent="0.35">
      <c r="B1" s="637" t="s">
        <v>116</v>
      </c>
      <c r="C1" s="1"/>
    </row>
    <row r="2" spans="1:11" x14ac:dyDescent="0.2">
      <c r="A2" s="190"/>
      <c r="B2" s="190"/>
      <c r="C2" s="190"/>
      <c r="D2" s="190"/>
      <c r="E2" s="190"/>
      <c r="F2" s="190"/>
      <c r="G2" s="190"/>
      <c r="H2" s="190"/>
      <c r="I2" s="190"/>
      <c r="J2" s="190"/>
      <c r="K2" s="190"/>
    </row>
    <row r="3" spans="1:11" ht="12.75" thickBot="1" x14ac:dyDescent="0.25">
      <c r="A3" s="190"/>
      <c r="B3" s="561" t="s">
        <v>98</v>
      </c>
      <c r="C3" s="190"/>
      <c r="D3" s="190"/>
      <c r="E3" s="561"/>
      <c r="F3" s="190"/>
      <c r="G3" s="190"/>
      <c r="H3" s="190"/>
      <c r="I3" s="190"/>
      <c r="J3" s="190"/>
      <c r="K3" s="190"/>
    </row>
    <row r="4" spans="1:11" s="13" customFormat="1" ht="12.75" thickBot="1" x14ac:dyDescent="0.3">
      <c r="A4" s="562"/>
      <c r="B4" s="562"/>
      <c r="C4" s="563" t="s">
        <v>99</v>
      </c>
      <c r="D4" s="564"/>
      <c r="E4" s="564"/>
      <c r="F4" s="564"/>
      <c r="G4" s="565"/>
      <c r="H4" s="563" t="s">
        <v>100</v>
      </c>
      <c r="I4" s="565"/>
      <c r="J4" s="562"/>
      <c r="K4" s="562"/>
    </row>
    <row r="5" spans="1:11" ht="23.25" customHeight="1" x14ac:dyDescent="0.2">
      <c r="A5" s="190"/>
      <c r="B5" s="566" t="s">
        <v>1</v>
      </c>
      <c r="C5" s="567" t="s">
        <v>117</v>
      </c>
      <c r="D5" s="568" t="s">
        <v>118</v>
      </c>
      <c r="E5" s="568" t="s">
        <v>119</v>
      </c>
      <c r="F5" s="568" t="s">
        <v>924</v>
      </c>
      <c r="G5" s="569" t="s">
        <v>101</v>
      </c>
      <c r="H5" s="570" t="s">
        <v>102</v>
      </c>
      <c r="I5" s="569" t="s">
        <v>8</v>
      </c>
      <c r="J5" s="190"/>
      <c r="K5" s="190"/>
    </row>
    <row r="6" spans="1:11" ht="23.25" customHeight="1" thickBot="1" x14ac:dyDescent="0.25">
      <c r="A6" s="190"/>
      <c r="B6" s="571"/>
      <c r="C6" s="572"/>
      <c r="D6" s="573"/>
      <c r="E6" s="573"/>
      <c r="F6" s="573"/>
      <c r="G6" s="574"/>
      <c r="H6" s="575"/>
      <c r="I6" s="574"/>
      <c r="J6" s="190"/>
      <c r="K6" s="190"/>
    </row>
    <row r="7" spans="1:11" x14ac:dyDescent="0.2">
      <c r="A7" s="190"/>
      <c r="B7" s="576">
        <f>Assumptions!C7</f>
        <v>2026</v>
      </c>
      <c r="C7" s="577">
        <f>_xlfn.XLOOKUP($B7,Safety!$B$6:$B$25,Safety!$E$6:$E$25,0,0,1)</f>
        <v>385034.15281448094</v>
      </c>
      <c r="D7" s="578">
        <f>_xlfn.XLOOKUP($B7,'Travel Time - US52'!$B$6:$B$25,'Travel Time - US52'!$M$6:$M$25,0,0,1)</f>
        <v>3370.0377409979701</v>
      </c>
      <c r="E7" s="579">
        <f>_xlfn.XLOOKUP($B7,'Veh Maint Cost - US52'!$B$6:$B$25,'Veh Maint Cost - US52'!$R$6:$R$25,0,0,1)</f>
        <v>137676.37343112243</v>
      </c>
      <c r="F7" s="580">
        <f>-_xlfn.XLOOKUP($B7,'Maintenance Costs'!$B$6:$B$25,'Maintenance Costs'!$E$6:$E$25,0,0,1)</f>
        <v>2000000</v>
      </c>
      <c r="G7" s="581">
        <f>_xlfn.XLOOKUP($B7,'Capital Costs'!$B$8:$B$35,'Capital Costs'!$F$8:$F$35,0,0,1)</f>
        <v>0</v>
      </c>
      <c r="H7" s="582">
        <f>SUM(C7:F7)</f>
        <v>2526080.5639866013</v>
      </c>
      <c r="I7" s="583">
        <f>H7*((1+Assumptions!$C$10)^-(B7-Assumptions!$C$3))+G7</f>
        <v>2235694.9004734536</v>
      </c>
      <c r="J7" s="190"/>
      <c r="K7" s="190"/>
    </row>
    <row r="8" spans="1:11" x14ac:dyDescent="0.2">
      <c r="A8" s="190"/>
      <c r="B8" s="261">
        <f>B7+1</f>
        <v>2027</v>
      </c>
      <c r="C8" s="584">
        <f>_xlfn.XLOOKUP($B8,Safety!$B$6:$B$25,Safety!$E$6:$E$25,0,0,1)</f>
        <v>390700.81206757389</v>
      </c>
      <c r="D8" s="218">
        <f>_xlfn.XLOOKUP($B8,'Travel Time - US52'!$B$6:$B$25,'Travel Time - US52'!$M$6:$M$25,0,0,1)</f>
        <v>117029.8066085577</v>
      </c>
      <c r="E8" s="275">
        <f>_xlfn.XLOOKUP($B8,'Veh Maint Cost - US52'!$B$6:$B$25,'Veh Maint Cost - US52'!$R$6:$R$25,0,0,1)</f>
        <v>200634.06198707075</v>
      </c>
      <c r="F8" s="585">
        <f>-_xlfn.XLOOKUP($B8,'Maintenance Costs'!$B$6:$B$25,'Maintenance Costs'!$E$6:$E$25,0,0,1)</f>
        <v>0</v>
      </c>
      <c r="G8" s="586">
        <f>_xlfn.XLOOKUP($B8,'Capital Costs'!$B$8:$B$35,'Capital Costs'!$F$8:$F$35,0,0,1)</f>
        <v>0</v>
      </c>
      <c r="H8" s="587">
        <f t="shared" ref="H8:H26" si="0">SUM(C8:F8)</f>
        <v>708364.68066320231</v>
      </c>
      <c r="I8" s="263">
        <f>H8*((1+Assumptions!$C$10)^-(B8-Assumptions!$C$3))+G8</f>
        <v>608083.99469326262</v>
      </c>
      <c r="J8" s="190"/>
      <c r="K8" s="190"/>
    </row>
    <row r="9" spans="1:11" x14ac:dyDescent="0.2">
      <c r="A9" s="190"/>
      <c r="B9" s="588">
        <f>B8+1</f>
        <v>2028</v>
      </c>
      <c r="C9" s="211">
        <f>_xlfn.XLOOKUP($B9,Safety!$B$6:$B$25,Safety!$E$6:$E$25,0,0,1)</f>
        <v>396367.4713206673</v>
      </c>
      <c r="D9" s="218">
        <f>_xlfn.XLOOKUP($B9,'Travel Time - US52'!$B$6:$B$25,'Travel Time - US52'!$M$6:$M$25,0,0,1)</f>
        <v>244679.43538127095</v>
      </c>
      <c r="E9" s="218">
        <f>_xlfn.XLOOKUP($B9,'Veh Maint Cost - US52'!$B$6:$B$25,'Veh Maint Cost - US52'!$R$6:$R$25,0,0,1)</f>
        <v>263823.64911732019</v>
      </c>
      <c r="F9" s="589">
        <f>-_xlfn.XLOOKUP($B9,'Maintenance Costs'!$B$6:$B$25,'Maintenance Costs'!$E$6:$E$25,0,0,1)</f>
        <v>687798.67500000028</v>
      </c>
      <c r="G9" s="586">
        <f>_xlfn.XLOOKUP($B9,'Capital Costs'!$B$8:$B$35,'Capital Costs'!$F$8:$F$35,0,0,1)</f>
        <v>0</v>
      </c>
      <c r="H9" s="587">
        <f t="shared" si="0"/>
        <v>1592669.2308192588</v>
      </c>
      <c r="I9" s="263">
        <f>H9*((1+Assumptions!$C$10)^-(B9-Assumptions!$C$3))+G9</f>
        <v>1326091.8263403371</v>
      </c>
      <c r="J9" s="190"/>
      <c r="K9" s="190"/>
    </row>
    <row r="10" spans="1:11" x14ac:dyDescent="0.2">
      <c r="A10" s="190"/>
      <c r="B10" s="588">
        <f t="shared" ref="B10:B26" si="1">B9+1</f>
        <v>2029</v>
      </c>
      <c r="C10" s="211">
        <f>_xlfn.XLOOKUP($B10,Safety!$B$6:$B$25,Safety!$E$6:$E$25,0,0,1)</f>
        <v>402034.13057376025</v>
      </c>
      <c r="D10" s="218">
        <f>_xlfn.XLOOKUP($B10,'Travel Time - US52'!$B$6:$B$25,'Travel Time - US52'!$M$6:$M$25,0,0,1)</f>
        <v>474855.00968399644</v>
      </c>
      <c r="E10" s="218">
        <f>_xlfn.XLOOKUP($B10,'Veh Maint Cost - US52'!$B$6:$B$25,'Veh Maint Cost - US52'!$R$6:$R$25,0,0,1)</f>
        <v>323943.56172698049</v>
      </c>
      <c r="F10" s="589">
        <f>-_xlfn.XLOOKUP($B10,'Maintenance Costs'!$B$6:$B$25,'Maintenance Costs'!$E$6:$E$25,0,0,1)</f>
        <v>0</v>
      </c>
      <c r="G10" s="586">
        <f>_xlfn.XLOOKUP($B10,'Capital Costs'!$B$8:$B$35,'Capital Costs'!$F$8:$F$35,0,0,1)</f>
        <v>0</v>
      </c>
      <c r="H10" s="587">
        <f t="shared" si="0"/>
        <v>1200832.7019847371</v>
      </c>
      <c r="I10" s="263">
        <f>H10*((1+Assumptions!$C$10)^-(B10-Assumptions!$C$3))+G10</f>
        <v>969776.93215739273</v>
      </c>
      <c r="J10" s="190"/>
      <c r="K10" s="190"/>
    </row>
    <row r="11" spans="1:11" x14ac:dyDescent="0.2">
      <c r="A11" s="190"/>
      <c r="B11" s="588">
        <f t="shared" si="1"/>
        <v>2030</v>
      </c>
      <c r="C11" s="211">
        <f>_xlfn.XLOOKUP($B11,Safety!$B$6:$B$25,Safety!$E$6:$E$25,0,0,1)</f>
        <v>407700.7898268532</v>
      </c>
      <c r="D11" s="218">
        <f>_xlfn.XLOOKUP($B11,'Travel Time - US52'!$B$6:$B$25,'Travel Time - US52'!$M$6:$M$25,0,0,1)</f>
        <v>936146.71588594094</v>
      </c>
      <c r="E11" s="218">
        <f>_xlfn.XLOOKUP($B11,'Veh Maint Cost - US52'!$B$6:$B$25,'Veh Maint Cost - US52'!$R$6:$R$25,0,0,1)</f>
        <v>374429.66903623624</v>
      </c>
      <c r="F11" s="589">
        <f>-_xlfn.XLOOKUP($B11,'Maintenance Costs'!$B$6:$B$25,'Maintenance Costs'!$E$6:$E$25,0,0,1)</f>
        <v>0</v>
      </c>
      <c r="G11" s="586">
        <f>_xlfn.XLOOKUP($B11,'Capital Costs'!$B$8:$B$35,'Capital Costs'!$F$8:$F$35,0,0,1)</f>
        <v>0</v>
      </c>
      <c r="H11" s="587">
        <f t="shared" si="0"/>
        <v>1718277.1747490303</v>
      </c>
      <c r="I11" s="263">
        <f>H11*((1+Assumptions!$C$10)^-(B11-Assumptions!$C$3))+G11</f>
        <v>1345934.417421106</v>
      </c>
      <c r="J11" s="190"/>
      <c r="K11" s="190"/>
    </row>
    <row r="12" spans="1:11" x14ac:dyDescent="0.2">
      <c r="A12" s="190"/>
      <c r="B12" s="588">
        <f t="shared" si="1"/>
        <v>2031</v>
      </c>
      <c r="C12" s="211">
        <f>_xlfn.XLOOKUP($B12,Safety!$B$6:$B$25,Safety!$E$6:$E$25,0,0,1)</f>
        <v>413367.44907994661</v>
      </c>
      <c r="D12" s="218">
        <f>_xlfn.XLOOKUP($B12,'Travel Time - US52'!$B$6:$B$25,'Travel Time - US52'!$M$6:$M$25,0,0,1)</f>
        <v>1396275.2889277861</v>
      </c>
      <c r="E12" s="218">
        <f>_xlfn.XLOOKUP($B12,'Veh Maint Cost - US52'!$B$6:$B$25,'Veh Maint Cost - US52'!$R$6:$R$25,0,0,1)</f>
        <v>422574.73472466395</v>
      </c>
      <c r="F12" s="589">
        <f>-_xlfn.XLOOKUP($B12,'Maintenance Costs'!$B$6:$B$25,'Maintenance Costs'!$E$6:$E$25,0,0,1)</f>
        <v>0</v>
      </c>
      <c r="G12" s="586">
        <f>_xlfn.XLOOKUP($B12,'Capital Costs'!$B$8:$B$35,'Capital Costs'!$F$8:$F$35,0,0,1)</f>
        <v>0</v>
      </c>
      <c r="H12" s="587">
        <f t="shared" si="0"/>
        <v>2232217.4727323968</v>
      </c>
      <c r="I12" s="263">
        <f>H12*((1+Assumptions!$C$10)^-(B12-Assumptions!$C$3))+G12</f>
        <v>1695932.3158722406</v>
      </c>
      <c r="J12" s="190"/>
      <c r="K12" s="190"/>
    </row>
    <row r="13" spans="1:11" x14ac:dyDescent="0.2">
      <c r="A13" s="190"/>
      <c r="B13" s="588">
        <f t="shared" si="1"/>
        <v>2032</v>
      </c>
      <c r="C13" s="211">
        <f>_xlfn.XLOOKUP($B13,Safety!$B$6:$B$25,Safety!$E$6:$E$25,0,0,1)</f>
        <v>419034.10833304143</v>
      </c>
      <c r="D13" s="218">
        <f>_xlfn.XLOOKUP($B13,'Travel Time - US52'!$B$6:$B$25,'Travel Time - US52'!$M$6:$M$25,0,0,1)</f>
        <v>1855304.8888921067</v>
      </c>
      <c r="E13" s="218">
        <f>_xlfn.XLOOKUP($B13,'Veh Maint Cost - US52'!$B$6:$B$25,'Veh Maint Cost - US52'!$R$6:$R$25,0,0,1)</f>
        <v>468747.69607680454</v>
      </c>
      <c r="F13" s="589">
        <f>-_xlfn.XLOOKUP($B13,'Maintenance Costs'!$B$6:$B$25,'Maintenance Costs'!$E$6:$E$25,0,0,1)</f>
        <v>0</v>
      </c>
      <c r="G13" s="586">
        <f>_xlfn.XLOOKUP($B13,'Capital Costs'!$B$8:$B$35,'Capital Costs'!$F$8:$F$35,0,0,1)</f>
        <v>0</v>
      </c>
      <c r="H13" s="587">
        <f t="shared" si="0"/>
        <v>2743086.6933019524</v>
      </c>
      <c r="I13" s="263">
        <f>H13*((1+Assumptions!$C$10)^-(B13-Assumptions!$C$3))+G13</f>
        <v>2021402.8819853531</v>
      </c>
      <c r="J13" s="190"/>
      <c r="K13" s="190"/>
    </row>
    <row r="14" spans="1:11" x14ac:dyDescent="0.2">
      <c r="A14" s="190"/>
      <c r="B14" s="588">
        <f t="shared" si="1"/>
        <v>2033</v>
      </c>
      <c r="C14" s="211">
        <f>_xlfn.XLOOKUP($B14,Safety!$B$6:$B$25,Safety!$E$6:$E$25,0,0,1)</f>
        <v>424700.76758613484</v>
      </c>
      <c r="D14" s="218">
        <f>_xlfn.XLOOKUP($B14,'Travel Time - US52'!$B$6:$B$25,'Travel Time - US52'!$M$6:$M$25,0,0,1)</f>
        <v>2314329.0983408615</v>
      </c>
      <c r="E14" s="218">
        <f>_xlfn.XLOOKUP($B14,'Veh Maint Cost - US52'!$B$6:$B$25,'Veh Maint Cost - US52'!$R$6:$R$25,0,0,1)</f>
        <v>513206.51566493174</v>
      </c>
      <c r="F14" s="589">
        <f>-_xlfn.XLOOKUP($B14,'Maintenance Costs'!$B$6:$B$25,'Maintenance Costs'!$E$6:$E$25,0,0,1)</f>
        <v>964673.22199441725</v>
      </c>
      <c r="G14" s="586">
        <f>_xlfn.XLOOKUP($B14,'Capital Costs'!$B$8:$B$35,'Capital Costs'!$F$8:$F$35,0,0,1)</f>
        <v>0</v>
      </c>
      <c r="H14" s="587">
        <f t="shared" si="0"/>
        <v>4216909.6035863459</v>
      </c>
      <c r="I14" s="263">
        <f>H14*((1+Assumptions!$C$10)^-(B14-Assumptions!$C$3))+G14</f>
        <v>3014039.7330921241</v>
      </c>
      <c r="J14" s="190"/>
      <c r="K14" s="190"/>
    </row>
    <row r="15" spans="1:11" x14ac:dyDescent="0.2">
      <c r="A15" s="190"/>
      <c r="B15" s="588">
        <f t="shared" si="1"/>
        <v>2034</v>
      </c>
      <c r="C15" s="211">
        <f>_xlfn.XLOOKUP($B15,Safety!$B$6:$B$25,Safety!$E$6:$E$25,0,0,1)</f>
        <v>430367.42683922779</v>
      </c>
      <c r="D15" s="218">
        <f>_xlfn.XLOOKUP($B15,'Travel Time - US52'!$B$6:$B$25,'Travel Time - US52'!$M$6:$M$25,0,0,1)</f>
        <v>2825426.7146366835</v>
      </c>
      <c r="E15" s="218">
        <f>_xlfn.XLOOKUP($B15,'Veh Maint Cost - US52'!$B$6:$B$25,'Veh Maint Cost - US52'!$R$6:$R$25,0,0,1)</f>
        <v>553640.20591970545</v>
      </c>
      <c r="F15" s="589">
        <f>-_xlfn.XLOOKUP($B15,'Maintenance Costs'!$B$6:$B$25,'Maintenance Costs'!$E$6:$E$25,0,0,1)</f>
        <v>0</v>
      </c>
      <c r="G15" s="586">
        <f>_xlfn.XLOOKUP($B15,'Capital Costs'!$B$8:$B$35,'Capital Costs'!$F$8:$F$35,0,0,1)</f>
        <v>0</v>
      </c>
      <c r="H15" s="587">
        <f t="shared" si="0"/>
        <v>3809434.3473956166</v>
      </c>
      <c r="I15" s="263">
        <f>H15*((1+Assumptions!$C$10)^-(B15-Assumptions!$C$3))+G15</f>
        <v>2640927.6881207405</v>
      </c>
      <c r="J15" s="190"/>
      <c r="K15" s="190"/>
    </row>
    <row r="16" spans="1:11" x14ac:dyDescent="0.2">
      <c r="A16" s="190"/>
      <c r="B16" s="588">
        <f t="shared" si="1"/>
        <v>2035</v>
      </c>
      <c r="C16" s="211">
        <f>_xlfn.XLOOKUP($B16,Safety!$B$6:$B$25,Safety!$E$6:$E$25,0,0,1)</f>
        <v>436034.08609232074</v>
      </c>
      <c r="D16" s="218">
        <f>_xlfn.XLOOKUP($B16,'Travel Time - US52'!$B$6:$B$25,'Travel Time - US52'!$M$6:$M$25,0,0,1)</f>
        <v>3612104.3058299124</v>
      </c>
      <c r="E16" s="218">
        <f>_xlfn.XLOOKUP($B16,'Veh Maint Cost - US52'!$B$6:$B$25,'Veh Maint Cost - US52'!$R$6:$R$25,0,0,1)</f>
        <v>578904.09490306606</v>
      </c>
      <c r="F16" s="589">
        <f>-_xlfn.XLOOKUP($B16,'Maintenance Costs'!$B$6:$B$25,'Maintenance Costs'!$E$6:$E$25,0,0,1)</f>
        <v>0</v>
      </c>
      <c r="G16" s="586">
        <f>_xlfn.XLOOKUP($B16,'Capital Costs'!$B$8:$B$35,'Capital Costs'!$F$8:$F$35,0,0,1)</f>
        <v>0</v>
      </c>
      <c r="H16" s="587">
        <f t="shared" si="0"/>
        <v>4627042.4868252994</v>
      </c>
      <c r="I16" s="263">
        <f>H16*((1+Assumptions!$C$10)^-(B16-Assumptions!$C$3))+G16</f>
        <v>3111292.475386668</v>
      </c>
      <c r="J16" s="190"/>
      <c r="K16" s="190"/>
    </row>
    <row r="17" spans="1:18" x14ac:dyDescent="0.2">
      <c r="A17" s="190"/>
      <c r="B17" s="588">
        <f t="shared" si="1"/>
        <v>2036</v>
      </c>
      <c r="C17" s="211">
        <f>_xlfn.XLOOKUP($B17,Safety!$B$6:$B$25,Safety!$E$6:$E$25,0,0,1)</f>
        <v>441700.74534541415</v>
      </c>
      <c r="D17" s="218">
        <f>_xlfn.XLOOKUP($B17,'Travel Time - US52'!$B$6:$B$25,'Travel Time - US52'!$M$6:$M$25,0,0,1)</f>
        <v>4549605.2876654156</v>
      </c>
      <c r="E17" s="218">
        <f>_xlfn.XLOOKUP($B17,'Veh Maint Cost - US52'!$B$6:$B$25,'Veh Maint Cost - US52'!$R$6:$R$25,0,0,1)</f>
        <v>595330.152469408</v>
      </c>
      <c r="F17" s="589">
        <f>-_xlfn.XLOOKUP($B17,'Maintenance Costs'!$B$6:$B$25,'Maintenance Costs'!$E$6:$E$25,0,0,1)</f>
        <v>0</v>
      </c>
      <c r="G17" s="586">
        <f>_xlfn.XLOOKUP($B17,'Capital Costs'!$B$8:$B$35,'Capital Costs'!$F$8:$F$35,0,0,1)</f>
        <v>0</v>
      </c>
      <c r="H17" s="587">
        <f t="shared" si="0"/>
        <v>5586636.185480237</v>
      </c>
      <c r="I17" s="263">
        <f>H17*((1+Assumptions!$C$10)^-(B17-Assumptions!$C$3))+G17</f>
        <v>3643586.4310230608</v>
      </c>
      <c r="J17" s="190"/>
      <c r="K17" s="190"/>
    </row>
    <row r="18" spans="1:18" x14ac:dyDescent="0.2">
      <c r="A18" s="190"/>
      <c r="B18" s="588">
        <f t="shared" si="1"/>
        <v>2037</v>
      </c>
      <c r="C18" s="211">
        <f>_xlfn.XLOOKUP($B18,Safety!$B$6:$B$25,Safety!$E$6:$E$25,0,0,1)</f>
        <v>447367.4045985071</v>
      </c>
      <c r="D18" s="218">
        <f>_xlfn.XLOOKUP($B18,'Travel Time - US52'!$B$6:$B$25,'Travel Time - US52'!$M$6:$M$25,0,0,1)</f>
        <v>5512452.9065517522</v>
      </c>
      <c r="E18" s="218">
        <f>_xlfn.XLOOKUP($B18,'Veh Maint Cost - US52'!$B$6:$B$25,'Veh Maint Cost - US52'!$R$6:$R$25,0,0,1)</f>
        <v>609522.32247920102</v>
      </c>
      <c r="F18" s="589">
        <f>-_xlfn.XLOOKUP($B18,'Maintenance Costs'!$B$6:$B$25,'Maintenance Costs'!$E$6:$E$25,0,0,1)</f>
        <v>0</v>
      </c>
      <c r="G18" s="586">
        <f>_xlfn.XLOOKUP($B18,'Capital Costs'!$B$8:$B$35,'Capital Costs'!$F$8:$F$35,0,0,1)</f>
        <v>0</v>
      </c>
      <c r="H18" s="587">
        <f t="shared" si="0"/>
        <v>6569342.6336294599</v>
      </c>
      <c r="I18" s="263">
        <f>H18*((1+Assumptions!$C$10)^-(B18-Assumptions!$C$3))+G18</f>
        <v>4155678.4334924538</v>
      </c>
      <c r="J18" s="190"/>
      <c r="K18" s="190"/>
    </row>
    <row r="19" spans="1:18" x14ac:dyDescent="0.2">
      <c r="A19" s="190"/>
      <c r="B19" s="588">
        <f t="shared" si="1"/>
        <v>2038</v>
      </c>
      <c r="C19" s="211">
        <f>_xlfn.XLOOKUP($B19,Safety!$B$6:$B$25,Safety!$E$6:$E$25,0,0,1)</f>
        <v>453034.06385160005</v>
      </c>
      <c r="D19" s="218">
        <f>_xlfn.XLOOKUP($B19,'Travel Time - US52'!$B$6:$B$25,'Travel Time - US52'!$M$6:$M$25,0,0,1)</f>
        <v>6499730.334856756</v>
      </c>
      <c r="E19" s="218">
        <f>_xlfn.XLOOKUP($B19,'Veh Maint Cost - US52'!$B$6:$B$25,'Veh Maint Cost - US52'!$R$6:$R$25,0,0,1)</f>
        <v>621850.55442483723</v>
      </c>
      <c r="F19" s="589">
        <f>-_xlfn.XLOOKUP($B19,'Maintenance Costs'!$B$6:$B$25,'Maintenance Costs'!$E$6:$E$25,0,0,1)</f>
        <v>7216021.8510304801</v>
      </c>
      <c r="G19" s="586">
        <f>_xlfn.XLOOKUP($B19,'Capital Costs'!$B$8:$B$35,'Capital Costs'!$F$8:$F$35,0,0,1)</f>
        <v>0</v>
      </c>
      <c r="H19" s="587">
        <f t="shared" si="0"/>
        <v>14790636.804163674</v>
      </c>
      <c r="I19" s="263">
        <f>H19*((1+Assumptions!$C$10)^-(B19-Assumptions!$C$3))+G19</f>
        <v>9075033.3188170101</v>
      </c>
      <c r="J19" s="190"/>
      <c r="K19" s="190"/>
    </row>
    <row r="20" spans="1:18" x14ac:dyDescent="0.2">
      <c r="A20" s="190"/>
      <c r="B20" s="588">
        <f t="shared" si="1"/>
        <v>2039</v>
      </c>
      <c r="C20" s="211">
        <f>_xlfn.XLOOKUP($B20,Safety!$B$6:$B$25,Safety!$E$6:$E$25,0,0,1)</f>
        <v>458700.72310469532</v>
      </c>
      <c r="D20" s="218">
        <f>_xlfn.XLOOKUP($B20,'Travel Time - US52'!$B$6:$B$25,'Travel Time - US52'!$M$6:$M$25,0,0,1)</f>
        <v>7511482.0795686506</v>
      </c>
      <c r="E20" s="218">
        <f>_xlfn.XLOOKUP($B20,'Veh Maint Cost - US52'!$B$6:$B$25,'Veh Maint Cost - US52'!$R$6:$R$25,0,0,1)</f>
        <v>632582.32074427372</v>
      </c>
      <c r="F20" s="589">
        <f>-_xlfn.XLOOKUP($B20,'Maintenance Costs'!$B$6:$B$25,'Maintenance Costs'!$E$6:$E$25,0,0,1)</f>
        <v>0</v>
      </c>
      <c r="G20" s="586">
        <f>_xlfn.XLOOKUP($B20,'Capital Costs'!$B$8:$B$35,'Capital Costs'!$F$8:$F$35,0,0,1)</f>
        <v>0</v>
      </c>
      <c r="H20" s="587">
        <f t="shared" si="0"/>
        <v>8602765.1234176196</v>
      </c>
      <c r="I20" s="263">
        <f>H20*((1+Assumptions!$C$10)^-(B20-Assumptions!$C$3))+G20</f>
        <v>5119655.7065087203</v>
      </c>
      <c r="J20" s="190"/>
      <c r="K20" s="190"/>
    </row>
    <row r="21" spans="1:18" x14ac:dyDescent="0.2">
      <c r="A21" s="190"/>
      <c r="B21" s="588">
        <f t="shared" si="1"/>
        <v>2040</v>
      </c>
      <c r="C21" s="211">
        <f>_xlfn.XLOOKUP($B21,Safety!$B$6:$B$25,Safety!$E$6:$E$25,0,0,1)</f>
        <v>464367.38235778827</v>
      </c>
      <c r="D21" s="218">
        <f>_xlfn.XLOOKUP($B21,'Travel Time - US52'!$B$6:$B$25,'Travel Time - US52'!$M$6:$M$25,0,0,1)</f>
        <v>8547746.9728692286</v>
      </c>
      <c r="E21" s="218">
        <f>_xlfn.XLOOKUP($B21,'Veh Maint Cost - US52'!$B$6:$B$25,'Veh Maint Cost - US52'!$R$6:$R$25,0,0,1)</f>
        <v>641940.76987443329</v>
      </c>
      <c r="F21" s="589">
        <f>-_xlfn.XLOOKUP($B21,'Maintenance Costs'!$B$6:$B$25,'Maintenance Costs'!$E$6:$E$25,0,0,1)</f>
        <v>1549054.3907333994</v>
      </c>
      <c r="G21" s="586">
        <f>_xlfn.XLOOKUP($B21,'Capital Costs'!$B$8:$B$35,'Capital Costs'!$F$8:$F$35,0,0,1)</f>
        <v>0</v>
      </c>
      <c r="H21" s="587">
        <f t="shared" si="0"/>
        <v>11203109.515834849</v>
      </c>
      <c r="I21" s="263">
        <f>H21*((1+Assumptions!$C$10)^-(B21-Assumptions!$C$3))+G21</f>
        <v>6466698.3992074961</v>
      </c>
      <c r="J21" s="190"/>
      <c r="K21" s="190"/>
    </row>
    <row r="22" spans="1:18" x14ac:dyDescent="0.2">
      <c r="A22" s="190"/>
      <c r="B22" s="588">
        <f t="shared" si="1"/>
        <v>2041</v>
      </c>
      <c r="C22" s="211">
        <f>_xlfn.XLOOKUP($B22,Safety!$B$6:$B$25,Safety!$E$6:$E$25,0,0,1)</f>
        <v>470034.04161088122</v>
      </c>
      <c r="D22" s="218">
        <f>_xlfn.XLOOKUP($B22,'Travel Time - US52'!$B$6:$B$25,'Travel Time - US52'!$M$6:$M$25,0,0,1)</f>
        <v>9608559.0535910912</v>
      </c>
      <c r="E22" s="218">
        <f>_xlfn.XLOOKUP($B22,'Veh Maint Cost - US52'!$B$6:$B$25,'Veh Maint Cost - US52'!$R$6:$R$25,0,0,1)</f>
        <v>650113.12043881416</v>
      </c>
      <c r="F22" s="589">
        <f>-_xlfn.XLOOKUP($B22,'Maintenance Costs'!$B$6:$B$25,'Maintenance Costs'!$E$6:$E$25,0,0,1)</f>
        <v>0</v>
      </c>
      <c r="G22" s="586">
        <f>_xlfn.XLOOKUP($B22,'Capital Costs'!$B$8:$B$35,'Capital Costs'!$F$8:$F$35,0,0,1)</f>
        <v>0</v>
      </c>
      <c r="H22" s="587">
        <f t="shared" si="0"/>
        <v>10728706.215640787</v>
      </c>
      <c r="I22" s="263">
        <f>H22*((1+Assumptions!$C$10)^-(B22-Assumptions!$C$3))+G22</f>
        <v>6006655.3371276222</v>
      </c>
      <c r="J22" s="190"/>
      <c r="K22" s="190"/>
    </row>
    <row r="23" spans="1:18" x14ac:dyDescent="0.2">
      <c r="A23" s="190"/>
      <c r="B23" s="588">
        <f t="shared" si="1"/>
        <v>2042</v>
      </c>
      <c r="C23" s="211">
        <f>_xlfn.XLOOKUP($B23,Safety!$B$6:$B$25,Safety!$E$6:$E$25,0,0,1)</f>
        <v>475700.70086397463</v>
      </c>
      <c r="D23" s="218">
        <f>_xlfn.XLOOKUP($B23,'Travel Time - US52'!$B$6:$B$25,'Travel Time - US52'!$M$6:$M$25,0,0,1)</f>
        <v>10693948.288369328</v>
      </c>
      <c r="E23" s="218">
        <f>_xlfn.XLOOKUP($B23,'Veh Maint Cost - US52'!$B$6:$B$25,'Veh Maint Cost - US52'!$R$6:$R$25,0,0,1)</f>
        <v>657257.26868204051</v>
      </c>
      <c r="F23" s="589">
        <f>-_xlfn.XLOOKUP($B23,'Maintenance Costs'!$B$6:$B$25,'Maintenance Costs'!$E$6:$E$25,0,0,1)</f>
        <v>0</v>
      </c>
      <c r="G23" s="586">
        <f>_xlfn.XLOOKUP($B23,'Capital Costs'!$B$8:$B$35,'Capital Costs'!$F$8:$F$35,0,0,1)</f>
        <v>0</v>
      </c>
      <c r="H23" s="587">
        <f t="shared" si="0"/>
        <v>11826906.257915342</v>
      </c>
      <c r="I23" s="263">
        <f>H23*((1+Assumptions!$C$10)^-(B23-Assumptions!$C$3))+G23</f>
        <v>6422407.3652946102</v>
      </c>
      <c r="J23" s="190"/>
      <c r="K23" s="190"/>
    </row>
    <row r="24" spans="1:18" x14ac:dyDescent="0.2">
      <c r="A24" s="190"/>
      <c r="B24" s="588">
        <f t="shared" si="1"/>
        <v>2043</v>
      </c>
      <c r="C24" s="211">
        <f>_xlfn.XLOOKUP($B24,Safety!$B$6:$B$25,Safety!$E$6:$E$25,0,0,1)</f>
        <v>481367.36011706758</v>
      </c>
      <c r="D24" s="218">
        <f>_xlfn.XLOOKUP($B24,'Travel Time - US52'!$B$6:$B$25,'Travel Time - US52'!$M$6:$M$25,0,0,1)</f>
        <v>11803941.165712826</v>
      </c>
      <c r="E24" s="218">
        <f>_xlfn.XLOOKUP($B24,'Veh Maint Cost - US52'!$B$6:$B$25,'Veh Maint Cost - US52'!$R$6:$R$25,0,0,1)</f>
        <v>663507.03016960761</v>
      </c>
      <c r="F24" s="589">
        <f>-_xlfn.XLOOKUP($B24,'Maintenance Costs'!$B$6:$B$25,'Maintenance Costs'!$E$6:$E$25,0,0,1)</f>
        <v>0</v>
      </c>
      <c r="G24" s="586">
        <f>_xlfn.XLOOKUP($B24,'Capital Costs'!$B$8:$B$35,'Capital Costs'!$F$8:$F$35,0,0,1)</f>
        <v>0</v>
      </c>
      <c r="H24" s="587">
        <f t="shared" si="0"/>
        <v>12948815.555999501</v>
      </c>
      <c r="I24" s="263">
        <f>H24*((1+Assumptions!$C$10)^-(B24-Assumptions!$C$3))+G24</f>
        <v>6820215.1301907245</v>
      </c>
      <c r="J24" s="190"/>
      <c r="K24" s="190"/>
    </row>
    <row r="25" spans="1:18" x14ac:dyDescent="0.2">
      <c r="A25" s="190"/>
      <c r="B25" s="588">
        <f t="shared" si="1"/>
        <v>2044</v>
      </c>
      <c r="C25" s="211">
        <f>_xlfn.XLOOKUP($B25,Safety!$B$6:$B$25,Safety!$E$6:$E$25,0,0,1)</f>
        <v>487034.019370161</v>
      </c>
      <c r="D25" s="218">
        <f>_xlfn.XLOOKUP($B25,'Travel Time - US52'!$B$6:$B$25,'Travel Time - US52'!$M$6:$M$25,0,0,1)</f>
        <v>12938561.188523732</v>
      </c>
      <c r="E25" s="218">
        <f>_xlfn.XLOOKUP($B25,'Veh Maint Cost - US52'!$B$6:$B$25,'Veh Maint Cost - US52'!$R$6:$R$25,0,0,1)</f>
        <v>668976.32834335242</v>
      </c>
      <c r="F25" s="589">
        <f>-_xlfn.XLOOKUP($B25,'Maintenance Costs'!$B$6:$B$25,'Maintenance Costs'!$E$6:$E$25,0,0,1)</f>
        <v>0</v>
      </c>
      <c r="G25" s="586">
        <f>_xlfn.XLOOKUP($B25,'Capital Costs'!$B$8:$B$35,'Capital Costs'!$F$8:$F$35,0,0,1)</f>
        <v>0</v>
      </c>
      <c r="H25" s="587">
        <f t="shared" si="0"/>
        <v>14094571.536237245</v>
      </c>
      <c r="I25" s="263">
        <f>H25*((1+Assumptions!$C$10)^-(B25-Assumptions!$C$3))+G25</f>
        <v>7200476.5768274385</v>
      </c>
      <c r="J25" s="190"/>
      <c r="K25" s="190"/>
    </row>
    <row r="26" spans="1:18" ht="12.75" thickBot="1" x14ac:dyDescent="0.25">
      <c r="A26" s="190"/>
      <c r="B26" s="590">
        <f t="shared" si="1"/>
        <v>2045</v>
      </c>
      <c r="C26" s="226">
        <f>_xlfn.XLOOKUP($B26,Safety!$B$6:$B$25,Safety!$E$6:$E$25,0,0,1)</f>
        <v>492700.67862325581</v>
      </c>
      <c r="D26" s="221">
        <f>_xlfn.XLOOKUP($B26,'Travel Time - US52'!$B$6:$B$25,'Travel Time - US52'!$M$6:$M$25,0,0,1)</f>
        <v>14097829.284860149</v>
      </c>
      <c r="E26" s="221">
        <f>_xlfn.XLOOKUP($B26,'Veh Maint Cost - US52'!$B$6:$B$25,'Veh Maint Cost - US52'!$R$6:$R$25,0,0,1)</f>
        <v>673762.56429376244</v>
      </c>
      <c r="F26" s="591">
        <f>-_xlfn.XLOOKUP($B26,'Maintenance Costs'!$B$6:$B$25,'Maintenance Costs'!$E$6:$E$25,0,0,1)</f>
        <v>0</v>
      </c>
      <c r="G26" s="252">
        <f>_xlfn.XLOOKUP($B26,'Capital Costs'!$B$8:$B$35,'Capital Costs'!$F$8:$F$35,0,0,1)</f>
        <v>2412372.1357324915</v>
      </c>
      <c r="H26" s="592">
        <f t="shared" si="0"/>
        <v>15264292.527777167</v>
      </c>
      <c r="I26" s="287">
        <f>H26*((1+Assumptions!$C$10)^-(B26-Assumptions!$C$3))+G26</f>
        <v>9975951.6834232397</v>
      </c>
      <c r="J26" s="190"/>
      <c r="K26" s="190"/>
    </row>
    <row r="27" spans="1:18" x14ac:dyDescent="0.2">
      <c r="A27" s="190"/>
      <c r="B27" s="593"/>
      <c r="C27" s="593"/>
      <c r="D27" s="593"/>
      <c r="E27" s="593"/>
      <c r="F27" s="594"/>
      <c r="G27" s="595"/>
      <c r="H27" s="596" t="s">
        <v>42</v>
      </c>
      <c r="I27" s="597">
        <f>SUM(I7:I26)</f>
        <v>83855535.547455043</v>
      </c>
      <c r="J27" s="190"/>
      <c r="K27" s="190"/>
    </row>
    <row r="28" spans="1:18" x14ac:dyDescent="0.2">
      <c r="A28" s="190"/>
      <c r="B28" s="593"/>
      <c r="C28" s="190"/>
      <c r="D28" s="190"/>
      <c r="E28" s="190"/>
      <c r="F28" s="190"/>
      <c r="G28" s="190"/>
      <c r="H28" s="598"/>
      <c r="I28" s="598">
        <f>SUM('Travel Time - US52'!N26,'Veh Maint Cost - US52'!S26,Safety!F26,'Capital Costs'!F36,-'Maintenance Costs'!F26)</f>
        <v>83855535.547455058</v>
      </c>
      <c r="J28" s="190"/>
      <c r="K28" s="190"/>
    </row>
    <row r="29" spans="1:18" x14ac:dyDescent="0.2">
      <c r="A29" s="190"/>
      <c r="B29" s="593"/>
      <c r="C29" s="190"/>
      <c r="D29" s="190"/>
      <c r="E29" s="190"/>
      <c r="F29" s="190"/>
      <c r="G29" s="190"/>
      <c r="H29" s="599"/>
      <c r="I29" s="595">
        <f>I27-I28</f>
        <v>0</v>
      </c>
      <c r="J29" s="190"/>
      <c r="K29" s="190"/>
    </row>
    <row r="30" spans="1:18" x14ac:dyDescent="0.2">
      <c r="A30" s="190"/>
      <c r="B30" s="593"/>
      <c r="C30" s="593"/>
      <c r="D30" s="190"/>
      <c r="E30" s="593"/>
      <c r="F30" s="593"/>
      <c r="G30" s="600"/>
      <c r="H30" s="600"/>
      <c r="I30" s="600"/>
      <c r="J30" s="190"/>
      <c r="K30" s="190"/>
    </row>
    <row r="31" spans="1:18" x14ac:dyDescent="0.2">
      <c r="A31" s="190"/>
      <c r="B31" s="561" t="s">
        <v>103</v>
      </c>
      <c r="C31" s="601"/>
      <c r="D31" s="601"/>
      <c r="E31" s="561"/>
      <c r="F31" s="190"/>
      <c r="G31" s="190"/>
      <c r="H31" s="601"/>
      <c r="I31" s="597"/>
      <c r="J31" s="597"/>
      <c r="K31" s="597"/>
      <c r="L31" s="16"/>
      <c r="M31" s="16"/>
      <c r="Q31" s="15"/>
    </row>
    <row r="32" spans="1:18" ht="12.75" thickBot="1" x14ac:dyDescent="0.25">
      <c r="A32" s="190"/>
      <c r="B32" s="190"/>
      <c r="C32" s="190"/>
      <c r="D32" s="602"/>
      <c r="E32" s="603"/>
      <c r="F32" s="190"/>
      <c r="G32" s="190"/>
      <c r="H32" s="603"/>
      <c r="I32" s="603"/>
      <c r="J32" s="603"/>
      <c r="K32" s="603"/>
      <c r="L32" s="17"/>
      <c r="R32" s="15"/>
    </row>
    <row r="33" spans="1:18" x14ac:dyDescent="0.2">
      <c r="A33" s="190"/>
      <c r="B33" s="604" t="s">
        <v>1</v>
      </c>
      <c r="C33" s="604" t="s">
        <v>104</v>
      </c>
      <c r="D33" s="605" t="s">
        <v>105</v>
      </c>
      <c r="E33" s="606"/>
      <c r="F33" s="190"/>
      <c r="G33" s="190"/>
      <c r="H33" s="190"/>
      <c r="I33" s="190"/>
      <c r="J33" s="190"/>
      <c r="K33" s="190"/>
      <c r="R33" s="15"/>
    </row>
    <row r="34" spans="1:18" ht="12.75" thickBot="1" x14ac:dyDescent="0.25">
      <c r="A34" s="190"/>
      <c r="B34" s="607"/>
      <c r="C34" s="607"/>
      <c r="D34" s="608"/>
      <c r="E34" s="606"/>
      <c r="F34" s="190"/>
      <c r="G34" s="190"/>
      <c r="H34" s="190"/>
      <c r="I34" s="190"/>
      <c r="J34" s="190"/>
      <c r="K34" s="190"/>
      <c r="R34" s="15"/>
    </row>
    <row r="35" spans="1:18" x14ac:dyDescent="0.2">
      <c r="A35" s="190"/>
      <c r="B35" s="609">
        <f>Assumptions!C4</f>
        <v>2025</v>
      </c>
      <c r="C35" s="610">
        <f>'Capital Costs'!C11</f>
        <v>31282578.242107619</v>
      </c>
      <c r="D35" s="611">
        <f>C35*(1+Assumptions!$C$10)^-(B35-Assumptions!$C$3)</f>
        <v>28544769.710701939</v>
      </c>
      <c r="E35" s="597"/>
      <c r="F35" s="190"/>
      <c r="G35" s="190"/>
      <c r="H35" s="190"/>
      <c r="I35" s="190"/>
      <c r="J35" s="190"/>
      <c r="K35" s="190"/>
      <c r="R35" s="15"/>
    </row>
    <row r="36" spans="1:18" ht="12.75" thickBot="1" x14ac:dyDescent="0.25">
      <c r="A36" s="190"/>
      <c r="B36" s="612">
        <f t="shared" ref="B36" si="2">B35+1</f>
        <v>2026</v>
      </c>
      <c r="C36" s="251"/>
      <c r="D36" s="613">
        <f>C36*(1+Assumptions!$C$10)^-(B36-Assumptions!$C$3)</f>
        <v>0</v>
      </c>
      <c r="E36" s="597"/>
      <c r="F36" s="190"/>
      <c r="G36" s="190"/>
      <c r="H36" s="190"/>
      <c r="I36" s="190"/>
      <c r="J36" s="190"/>
      <c r="K36" s="190"/>
      <c r="R36" s="15"/>
    </row>
    <row r="37" spans="1:18" ht="12.75" thickBot="1" x14ac:dyDescent="0.25">
      <c r="A37" s="190"/>
      <c r="B37" s="190"/>
      <c r="C37" s="614" t="s">
        <v>106</v>
      </c>
      <c r="D37" s="615">
        <f>SUM(D35:D36)</f>
        <v>28544769.710701939</v>
      </c>
      <c r="E37" s="616"/>
      <c r="F37" s="190"/>
      <c r="G37" s="190"/>
      <c r="H37" s="597"/>
      <c r="I37" s="597"/>
      <c r="J37" s="597"/>
      <c r="K37" s="597"/>
      <c r="L37" s="16"/>
    </row>
    <row r="38" spans="1:18" x14ac:dyDescent="0.2">
      <c r="A38" s="190"/>
      <c r="B38" s="190"/>
      <c r="C38" s="190"/>
      <c r="D38" s="190"/>
      <c r="E38" s="597"/>
      <c r="F38" s="190"/>
      <c r="G38" s="190"/>
      <c r="H38" s="597"/>
      <c r="I38" s="617"/>
      <c r="J38" s="617"/>
      <c r="K38" s="617"/>
      <c r="L38" s="19"/>
    </row>
    <row r="39" spans="1:18" x14ac:dyDescent="0.2">
      <c r="A39" s="190"/>
      <c r="B39" s="561" t="s">
        <v>107</v>
      </c>
      <c r="C39" s="596"/>
      <c r="D39" s="190"/>
      <c r="E39" s="617"/>
      <c r="F39" s="190"/>
      <c r="G39" s="190"/>
      <c r="H39" s="617"/>
      <c r="I39" s="617"/>
      <c r="J39" s="617"/>
      <c r="K39" s="617"/>
      <c r="L39" s="19"/>
    </row>
    <row r="40" spans="1:18" ht="12.75" thickBot="1" x14ac:dyDescent="0.25">
      <c r="A40" s="190"/>
      <c r="B40" s="190"/>
      <c r="C40" s="190"/>
      <c r="D40" s="190"/>
      <c r="E40" s="190"/>
      <c r="F40" s="190"/>
      <c r="G40" s="190"/>
      <c r="H40" s="190"/>
      <c r="I40" s="190"/>
      <c r="J40" s="190"/>
      <c r="K40" s="190"/>
    </row>
    <row r="41" spans="1:18" ht="12.75" thickBot="1" x14ac:dyDescent="0.25">
      <c r="A41" s="190"/>
      <c r="B41" s="618"/>
      <c r="C41" s="619" t="s">
        <v>108</v>
      </c>
      <c r="D41" s="620"/>
      <c r="E41" s="190"/>
      <c r="F41" s="190"/>
      <c r="G41" s="190"/>
      <c r="H41" s="190"/>
      <c r="I41" s="190"/>
      <c r="J41" s="190"/>
      <c r="K41" s="190"/>
    </row>
    <row r="42" spans="1:18" x14ac:dyDescent="0.2">
      <c r="A42" s="190"/>
      <c r="B42" s="621" t="s">
        <v>109</v>
      </c>
      <c r="C42" s="207">
        <f>I27</f>
        <v>83855535.547455043</v>
      </c>
      <c r="D42" s="190"/>
      <c r="E42" s="190"/>
      <c r="F42" s="190"/>
      <c r="G42" s="190"/>
      <c r="H42" s="190"/>
      <c r="I42" s="190"/>
      <c r="J42" s="190"/>
      <c r="K42" s="190"/>
    </row>
    <row r="43" spans="1:18" ht="12.75" thickBot="1" x14ac:dyDescent="0.25">
      <c r="A43" s="190"/>
      <c r="B43" s="622" t="s">
        <v>110</v>
      </c>
      <c r="C43" s="623">
        <f>+D37</f>
        <v>28544769.710701939</v>
      </c>
      <c r="D43" s="190"/>
      <c r="E43" s="190"/>
      <c r="F43" s="190"/>
      <c r="G43" s="190"/>
      <c r="H43" s="190"/>
      <c r="I43" s="190"/>
      <c r="J43" s="190"/>
      <c r="K43" s="190"/>
    </row>
    <row r="44" spans="1:18" ht="12.75" thickTop="1" x14ac:dyDescent="0.2">
      <c r="A44" s="190"/>
      <c r="B44" s="624" t="s">
        <v>111</v>
      </c>
      <c r="C44" s="625">
        <f>+C42/C43</f>
        <v>2.9376847806908781</v>
      </c>
      <c r="D44" s="190"/>
      <c r="E44" s="190"/>
      <c r="F44" s="190"/>
      <c r="G44" s="190"/>
      <c r="H44" s="190"/>
      <c r="I44" s="190"/>
      <c r="J44" s="190"/>
      <c r="K44" s="190"/>
    </row>
    <row r="45" spans="1:18" ht="12.75" thickBot="1" x14ac:dyDescent="0.25">
      <c r="A45" s="190"/>
      <c r="B45" s="626" t="s">
        <v>112</v>
      </c>
      <c r="C45" s="222">
        <f>C42-C43</f>
        <v>55310765.8367531</v>
      </c>
      <c r="D45" s="190"/>
      <c r="E45" s="190"/>
      <c r="F45" s="190"/>
      <c r="G45" s="190"/>
      <c r="H45" s="190"/>
      <c r="I45" s="190"/>
      <c r="J45" s="190"/>
      <c r="K45" s="190"/>
    </row>
    <row r="46" spans="1:18" x14ac:dyDescent="0.2">
      <c r="A46" s="190"/>
      <c r="B46" s="190"/>
      <c r="C46" s="190"/>
      <c r="D46" s="190"/>
      <c r="E46" s="190"/>
      <c r="F46" s="190"/>
      <c r="G46" s="190"/>
      <c r="H46" s="190"/>
      <c r="I46" s="190"/>
      <c r="J46" s="190"/>
      <c r="K46" s="190"/>
    </row>
    <row r="47" spans="1:18" ht="12.75" thickBot="1" x14ac:dyDescent="0.25">
      <c r="A47" s="190"/>
      <c r="B47" s="627"/>
      <c r="C47" s="627"/>
      <c r="D47" s="627"/>
      <c r="E47" s="190"/>
      <c r="F47" s="190"/>
      <c r="G47" s="190"/>
      <c r="H47" s="190"/>
      <c r="I47" s="190"/>
      <c r="J47" s="190"/>
      <c r="K47" s="190"/>
    </row>
    <row r="48" spans="1:18" ht="12.75" thickBot="1" x14ac:dyDescent="0.25">
      <c r="A48" s="190"/>
      <c r="B48" s="628"/>
      <c r="C48" s="629" t="s">
        <v>108</v>
      </c>
      <c r="D48" s="190"/>
      <c r="E48" s="190"/>
      <c r="F48" s="190"/>
      <c r="G48" s="190"/>
      <c r="H48" s="190"/>
      <c r="I48" s="190"/>
      <c r="J48" s="190"/>
      <c r="K48" s="190"/>
    </row>
    <row r="49" spans="1:11" x14ac:dyDescent="0.2">
      <c r="A49" s="190"/>
      <c r="B49" s="630" t="s">
        <v>109</v>
      </c>
      <c r="C49" s="258">
        <f>MROUND(C42,100000)</f>
        <v>83900000</v>
      </c>
      <c r="D49" s="190"/>
      <c r="E49" s="595"/>
      <c r="F49" s="190"/>
      <c r="G49" s="190"/>
      <c r="H49" s="227"/>
      <c r="I49" s="190"/>
      <c r="J49" s="190"/>
      <c r="K49" s="190"/>
    </row>
    <row r="50" spans="1:11" ht="12.75" thickBot="1" x14ac:dyDescent="0.25">
      <c r="A50" s="190"/>
      <c r="B50" s="631" t="s">
        <v>110</v>
      </c>
      <c r="C50" s="623">
        <f>MROUND(C43,100000)</f>
        <v>28500000</v>
      </c>
      <c r="D50" s="190"/>
      <c r="E50" s="227"/>
      <c r="F50" s="190"/>
      <c r="G50" s="190"/>
      <c r="H50" s="227"/>
      <c r="I50" s="190"/>
      <c r="J50" s="190"/>
      <c r="K50" s="190"/>
    </row>
    <row r="51" spans="1:11" ht="12.75" thickTop="1" x14ac:dyDescent="0.2">
      <c r="A51" s="190"/>
      <c r="B51" s="632" t="s">
        <v>111</v>
      </c>
      <c r="C51" s="625">
        <f>+C49/C50</f>
        <v>2.9438596491228068</v>
      </c>
      <c r="D51" s="190"/>
      <c r="E51" s="190"/>
      <c r="F51" s="190"/>
      <c r="G51" s="190"/>
      <c r="H51" s="190"/>
      <c r="I51" s="190"/>
      <c r="J51" s="190"/>
      <c r="K51" s="190"/>
    </row>
    <row r="52" spans="1:11" ht="12.75" thickBot="1" x14ac:dyDescent="0.25">
      <c r="A52" s="190"/>
      <c r="B52" s="626" t="s">
        <v>112</v>
      </c>
      <c r="C52" s="222">
        <f>C49-C50</f>
        <v>55400000</v>
      </c>
      <c r="D52" s="190"/>
      <c r="E52" s="190"/>
      <c r="F52" s="190"/>
      <c r="G52" s="190"/>
      <c r="H52" s="190"/>
      <c r="I52" s="190"/>
      <c r="J52" s="190"/>
      <c r="K52" s="190"/>
    </row>
    <row r="53" spans="1:11" ht="12.75" thickBot="1" x14ac:dyDescent="0.25">
      <c r="A53" s="190"/>
      <c r="B53" s="190"/>
      <c r="C53" s="190"/>
      <c r="D53" s="190"/>
      <c r="E53" s="190"/>
      <c r="F53" s="190"/>
      <c r="G53" s="190"/>
      <c r="H53" s="190"/>
      <c r="I53" s="190"/>
      <c r="J53" s="190"/>
      <c r="K53" s="190"/>
    </row>
    <row r="54" spans="1:11" ht="12.75" thickBot="1" x14ac:dyDescent="0.25">
      <c r="A54" s="190"/>
      <c r="B54" s="628"/>
      <c r="C54" s="629" t="s">
        <v>108</v>
      </c>
      <c r="D54" s="190"/>
      <c r="E54" s="190"/>
      <c r="F54" s="190"/>
      <c r="G54" s="190"/>
      <c r="H54" s="190"/>
      <c r="I54" s="190"/>
      <c r="J54" s="190"/>
      <c r="K54" s="190"/>
    </row>
    <row r="55" spans="1:11" x14ac:dyDescent="0.2">
      <c r="A55" s="190"/>
      <c r="B55" s="630" t="s">
        <v>113</v>
      </c>
      <c r="C55" s="633">
        <f>C49/10^6</f>
        <v>83.9</v>
      </c>
      <c r="D55" s="190"/>
      <c r="E55" s="190"/>
      <c r="F55" s="190"/>
      <c r="G55" s="190"/>
      <c r="H55" s="190"/>
      <c r="I55" s="190"/>
      <c r="J55" s="190"/>
      <c r="K55" s="190"/>
    </row>
    <row r="56" spans="1:11" ht="12.75" thickBot="1" x14ac:dyDescent="0.25">
      <c r="A56" s="190"/>
      <c r="B56" s="631" t="s">
        <v>114</v>
      </c>
      <c r="C56" s="634">
        <f>C50/10^6</f>
        <v>28.5</v>
      </c>
      <c r="D56" s="190"/>
      <c r="E56" s="190"/>
      <c r="F56" s="190"/>
      <c r="G56" s="190"/>
      <c r="H56" s="190"/>
      <c r="I56" s="190"/>
      <c r="J56" s="190"/>
      <c r="K56" s="190"/>
    </row>
    <row r="57" spans="1:11" ht="12.75" thickTop="1" x14ac:dyDescent="0.2">
      <c r="A57" s="190"/>
      <c r="B57" s="632" t="s">
        <v>111</v>
      </c>
      <c r="C57" s="635">
        <f t="shared" ref="C57" si="3">C51</f>
        <v>2.9438596491228068</v>
      </c>
      <c r="D57" s="190"/>
      <c r="E57" s="190"/>
      <c r="F57" s="190"/>
      <c r="G57" s="190"/>
      <c r="H57" s="190"/>
      <c r="I57" s="190"/>
      <c r="J57" s="190"/>
      <c r="K57" s="190"/>
    </row>
    <row r="58" spans="1:11" ht="12.75" thickBot="1" x14ac:dyDescent="0.25">
      <c r="A58" s="190"/>
      <c r="B58" s="626" t="s">
        <v>115</v>
      </c>
      <c r="C58" s="636">
        <f>C52/10^6</f>
        <v>55.4</v>
      </c>
      <c r="D58" s="190"/>
      <c r="E58" s="190"/>
      <c r="F58" s="190"/>
      <c r="G58" s="190"/>
      <c r="H58" s="190"/>
      <c r="I58" s="190"/>
      <c r="J58" s="190"/>
      <c r="K58" s="190"/>
    </row>
    <row r="59" spans="1:11" x14ac:dyDescent="0.2">
      <c r="A59" s="190"/>
      <c r="B59" s="190"/>
      <c r="C59" s="190"/>
      <c r="D59" s="190"/>
      <c r="E59" s="190"/>
      <c r="F59" s="190"/>
      <c r="G59" s="190"/>
      <c r="H59" s="190"/>
      <c r="I59" s="190"/>
      <c r="J59" s="190"/>
      <c r="K59" s="190"/>
    </row>
    <row r="60" spans="1:11" x14ac:dyDescent="0.2">
      <c r="A60" s="190"/>
      <c r="B60" s="190"/>
      <c r="C60" s="190"/>
      <c r="D60" s="190"/>
      <c r="E60" s="190"/>
      <c r="F60" s="190"/>
      <c r="G60" s="190"/>
      <c r="H60" s="190"/>
      <c r="I60" s="190"/>
      <c r="J60" s="190"/>
      <c r="K60" s="190"/>
    </row>
  </sheetData>
  <mergeCells count="13">
    <mergeCell ref="C4:G4"/>
    <mergeCell ref="H4:I4"/>
    <mergeCell ref="F5:F6"/>
    <mergeCell ref="G5:G6"/>
    <mergeCell ref="H5:H6"/>
    <mergeCell ref="I5:I6"/>
    <mergeCell ref="B33:B34"/>
    <mergeCell ref="C33:C34"/>
    <mergeCell ref="D33:D34"/>
    <mergeCell ref="D5:D6"/>
    <mergeCell ref="E5:E6"/>
    <mergeCell ref="B5:B6"/>
    <mergeCell ref="C5:C6"/>
  </mergeCells>
  <pageMargins left="0.25" right="0.25" top="0.75" bottom="0.75" header="0.3" footer="0.3"/>
  <pageSetup paperSize="11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E5A6B-3FBB-40DE-8891-7598A81C4D11}">
  <sheetPr>
    <tabColor rgb="FF00B050"/>
    <pageSetUpPr fitToPage="1"/>
  </sheetPr>
  <dimension ref="A2:AC57"/>
  <sheetViews>
    <sheetView view="pageBreakPreview" topLeftCell="A21" zoomScaleNormal="100" zoomScaleSheetLayoutView="100" workbookViewId="0">
      <selection activeCell="B33" sqref="B33:G57"/>
    </sheetView>
  </sheetViews>
  <sheetFormatPr defaultColWidth="9.140625" defaultRowHeight="12" x14ac:dyDescent="0.2"/>
  <cols>
    <col min="1" max="1" width="3.7109375" style="290" customWidth="1"/>
    <col min="2" max="2" width="11.140625" style="290" customWidth="1"/>
    <col min="3" max="3" width="7" style="290" customWidth="1"/>
    <col min="4" max="4" width="13.140625" style="290" customWidth="1"/>
    <col min="5" max="5" width="7" style="290" customWidth="1"/>
    <col min="6" max="6" width="11.85546875" style="290" customWidth="1"/>
    <col min="7" max="7" width="13.28515625" style="290" customWidth="1"/>
    <col min="8" max="9" width="10" style="290" customWidth="1"/>
    <col min="10" max="11" width="11.7109375" style="290" bestFit="1" customWidth="1"/>
    <col min="12" max="12" width="11.140625" style="290" customWidth="1"/>
    <col min="13" max="14" width="14" style="290" customWidth="1"/>
    <col min="15" max="15" width="5.7109375" style="290" customWidth="1"/>
    <col min="16" max="16" width="25.140625" style="290" customWidth="1"/>
    <col min="17" max="17" width="11" style="409" customWidth="1"/>
    <col min="18" max="18" width="10.5703125" style="290" bestFit="1" customWidth="1"/>
    <col min="19" max="19" width="5.7109375" style="290" bestFit="1" customWidth="1"/>
    <col min="20" max="20" width="12.5703125" style="290" customWidth="1"/>
    <col min="21" max="21" width="7.140625" style="290" bestFit="1" customWidth="1"/>
    <col min="22" max="22" width="11.140625" style="290" bestFit="1" customWidth="1"/>
    <col min="23" max="23" width="18.140625" style="290" bestFit="1" customWidth="1"/>
    <col min="24" max="24" width="7.28515625" style="290" bestFit="1" customWidth="1"/>
    <col min="25" max="25" width="16.42578125" style="290" bestFit="1" customWidth="1"/>
    <col min="26" max="26" width="11.140625" style="290" bestFit="1" customWidth="1"/>
    <col min="27" max="27" width="19.140625" style="290" bestFit="1" customWidth="1"/>
    <col min="28" max="28" width="13.5703125" style="290" bestFit="1" customWidth="1"/>
    <col min="29" max="29" width="5.42578125" style="290" bestFit="1" customWidth="1"/>
    <col min="30" max="16384" width="9.140625" style="290"/>
  </cols>
  <sheetData>
    <row r="2" spans="2:29" x14ac:dyDescent="0.2">
      <c r="B2" s="289" t="s">
        <v>458</v>
      </c>
    </row>
    <row r="3" spans="2:29" ht="12.75" thickBot="1" x14ac:dyDescent="0.25">
      <c r="B3" s="289"/>
    </row>
    <row r="4" spans="2:29" x14ac:dyDescent="0.2">
      <c r="B4" s="293" t="s">
        <v>1</v>
      </c>
      <c r="C4" s="509" t="s">
        <v>456</v>
      </c>
      <c r="D4" s="509" t="s">
        <v>823</v>
      </c>
      <c r="E4" s="509" t="s">
        <v>927</v>
      </c>
      <c r="F4" s="510" t="s">
        <v>816</v>
      </c>
      <c r="G4" s="510" t="s">
        <v>817</v>
      </c>
      <c r="H4" s="509" t="s">
        <v>818</v>
      </c>
      <c r="I4" s="509" t="s">
        <v>819</v>
      </c>
      <c r="J4" s="509" t="s">
        <v>5</v>
      </c>
      <c r="K4" s="509" t="s">
        <v>6</v>
      </c>
      <c r="L4" s="511" t="s">
        <v>928</v>
      </c>
      <c r="M4" s="512" t="s">
        <v>120</v>
      </c>
      <c r="N4" s="513" t="s">
        <v>105</v>
      </c>
      <c r="R4" s="514"/>
    </row>
    <row r="5" spans="2:29" ht="12.75" thickBot="1" x14ac:dyDescent="0.25">
      <c r="B5" s="311"/>
      <c r="C5" s="515"/>
      <c r="D5" s="515"/>
      <c r="E5" s="515"/>
      <c r="F5" s="516"/>
      <c r="G5" s="516"/>
      <c r="H5" s="515"/>
      <c r="I5" s="515"/>
      <c r="J5" s="515"/>
      <c r="K5" s="515"/>
      <c r="L5" s="517"/>
      <c r="M5" s="518"/>
      <c r="N5" s="519"/>
      <c r="P5" s="514"/>
      <c r="T5" s="289" t="s">
        <v>931</v>
      </c>
    </row>
    <row r="6" spans="2:29" x14ac:dyDescent="0.2">
      <c r="B6" s="520">
        <f>Assumptions!C7</f>
        <v>2026</v>
      </c>
      <c r="C6" s="521">
        <v>65</v>
      </c>
      <c r="D6" s="522">
        <f>C6-_xlfn.XLOOKUP($B6,'Travel Time - US52'!$T$7:$T$29,$AB$7:$AB$29,0,0,1)</f>
        <v>1.2562443028784287E-2</v>
      </c>
      <c r="E6" s="521">
        <f t="shared" ref="E6:E25" si="0">C6-D6</f>
        <v>64.987437556971216</v>
      </c>
      <c r="F6" s="523">
        <f>SUM('Veh Maint Cost - US52'!$K6)/E6</f>
        <v>173550.2919657607</v>
      </c>
      <c r="G6" s="524">
        <f>SUM('Veh Maint Cost - US52'!$L6)/E6</f>
        <v>355100.6811056686</v>
      </c>
      <c r="H6" s="525">
        <f>SUM('Veh Maint Cost - US52'!$K6)/C6</f>
        <v>173516.75018644612</v>
      </c>
      <c r="I6" s="525">
        <f>SUM('Veh Maint Cost - US52'!$L6)/C6</f>
        <v>355032.05138142442</v>
      </c>
      <c r="J6" s="337">
        <f>F6*$Q$8+G6*$Q$7*$Q$15</f>
        <v>17437090.274803728</v>
      </c>
      <c r="K6" s="337">
        <f>H6*$Q$8+I6*$Q$7*$Q$15</f>
        <v>17433720.23706273</v>
      </c>
      <c r="L6" s="526">
        <f t="shared" ref="L6:L25" si="1">F6-H6</f>
        <v>33.541779314575251</v>
      </c>
      <c r="M6" s="527">
        <f>J6-K6</f>
        <v>3370.0377409979701</v>
      </c>
      <c r="N6" s="528">
        <f>M6*(1+Assumptions!$C$10)^-($B6-Assumptions!$C$3)</f>
        <v>2982.6349560528911</v>
      </c>
      <c r="P6" s="529" t="s">
        <v>121</v>
      </c>
      <c r="Q6" s="529"/>
      <c r="T6" s="530" t="s">
        <v>38</v>
      </c>
      <c r="U6" s="299" t="s">
        <v>60</v>
      </c>
      <c r="V6" s="299" t="s">
        <v>64</v>
      </c>
      <c r="W6" s="299" t="s">
        <v>65</v>
      </c>
      <c r="X6" s="299" t="s">
        <v>67</v>
      </c>
      <c r="Y6" s="299" t="s">
        <v>70</v>
      </c>
      <c r="Z6" s="299" t="s">
        <v>71</v>
      </c>
      <c r="AA6" s="299" t="s">
        <v>72</v>
      </c>
      <c r="AB6" s="531" t="s">
        <v>911</v>
      </c>
      <c r="AC6" s="470" t="s">
        <v>914</v>
      </c>
    </row>
    <row r="7" spans="2:29" x14ac:dyDescent="0.2">
      <c r="B7" s="532">
        <f t="shared" ref="B7:B25" si="2">B6+1</f>
        <v>2027</v>
      </c>
      <c r="C7" s="533">
        <f>C6</f>
        <v>65</v>
      </c>
      <c r="D7" s="522">
        <f>C7-_xlfn.XLOOKUP($B7,'Travel Time - US52'!$T$7:$T$29,$AB$7:$AB$29,0,0,1)</f>
        <v>0.42639824881321431</v>
      </c>
      <c r="E7" s="533">
        <f t="shared" si="0"/>
        <v>64.573601751186786</v>
      </c>
      <c r="F7" s="534">
        <f>SUM('Veh Maint Cost - US52'!$K7)/E7</f>
        <v>178082.61643756641</v>
      </c>
      <c r="G7" s="535">
        <f>SUM('Veh Maint Cost - US52'!$L7)/E7</f>
        <v>362770.84078417899</v>
      </c>
      <c r="H7" s="536">
        <f>SUM('Veh Maint Cost - US52'!$K7)/C7</f>
        <v>176914.39927151942</v>
      </c>
      <c r="I7" s="535">
        <f>SUM('Veh Maint Cost - US52'!$L7)/C7</f>
        <v>360391.07384216558</v>
      </c>
      <c r="J7" s="363">
        <f t="shared" ref="J7:J25" si="3">F7*$Q$8+G7*$Q$7*$Q$15</f>
        <v>17839982.811206222</v>
      </c>
      <c r="K7" s="363">
        <f t="shared" ref="K7:K25" si="4">H7*$Q$8+I7*$Q$7*$Q$15</f>
        <v>17722953.004597664</v>
      </c>
      <c r="L7" s="360">
        <f t="shared" si="1"/>
        <v>1168.2171660469903</v>
      </c>
      <c r="M7" s="537">
        <f t="shared" ref="M7:M25" si="5">J7-K7</f>
        <v>117029.8066085577</v>
      </c>
      <c r="N7" s="367">
        <f>M7*(1+Assumptions!$C$10)^-($B7-Assumptions!$C$3)</f>
        <v>100462.31022428295</v>
      </c>
      <c r="P7" s="538" t="s">
        <v>122</v>
      </c>
      <c r="Q7" s="380">
        <f>Assumptions!C15</f>
        <v>19.600000000000001</v>
      </c>
      <c r="T7" s="530">
        <v>2023</v>
      </c>
      <c r="U7" s="530">
        <f>IF($Q$24/(U34)*3600&gt;$Q$23,$Q$23,$Q$24/(U34)*3600)</f>
        <v>65</v>
      </c>
      <c r="V7" s="530">
        <f>IF($Q$24/(V34)*3600&gt;$Q$23,$Q$23,$Q$24/(V34)*3600)</f>
        <v>65</v>
      </c>
      <c r="W7" s="530">
        <f>IF($Q$24/(W34)*3600&gt;$Q$23,$Q$23,$Q$24/(W34)*3600)</f>
        <v>65</v>
      </c>
      <c r="X7" s="530">
        <f>IF($Q$24/(X34)*3600&gt;$Q$23,$Q$23,$Q$24/(X34)*3600)</f>
        <v>65</v>
      </c>
      <c r="Y7" s="530">
        <f>IF($Q$24/(Y34)*3600&gt;$Q$23,$Q$23,$Q$24/(Y34)*3600)</f>
        <v>65</v>
      </c>
      <c r="Z7" s="530">
        <f>IF($Q$24/(Z34)*3600&gt;$Q$23,$Q$23,$Q$24/(Z34)*3600)</f>
        <v>65</v>
      </c>
      <c r="AA7" s="530">
        <f>IF($Q$24/(AA34)*3600&gt;$Q$23,$Q$23,$Q$24/(AA34)*3600)</f>
        <v>65</v>
      </c>
      <c r="AB7" s="530">
        <f t="shared" ref="AB7:AB29" si="6">SUMPRODUCT(U7:AA7,$U$32:$AA$32)/SUM($U$32:$AA$32)</f>
        <v>64.999999999999986</v>
      </c>
      <c r="AC7" s="539">
        <f>AB7/65</f>
        <v>0.99999999999999978</v>
      </c>
    </row>
    <row r="8" spans="2:29" x14ac:dyDescent="0.2">
      <c r="B8" s="532">
        <f t="shared" si="2"/>
        <v>2028</v>
      </c>
      <c r="C8" s="533">
        <f t="shared" ref="C8:C25" si="7">C7</f>
        <v>65</v>
      </c>
      <c r="D8" s="522">
        <f>C8-_xlfn.XLOOKUP($B8,'Travel Time - US52'!$T$7:$T$29,$AB$7:$AB$29,0,0,1)</f>
        <v>0.87113330350037188</v>
      </c>
      <c r="E8" s="533">
        <f t="shared" si="0"/>
        <v>64.128866696499628</v>
      </c>
      <c r="F8" s="534">
        <f>SUM('Veh Maint Cost - US52'!$K8)/E8</f>
        <v>182761.42628009766</v>
      </c>
      <c r="G8" s="535">
        <f>SUM('Veh Maint Cost - US52'!$L8)/E8</f>
        <v>370718.48427014967</v>
      </c>
      <c r="H8" s="536">
        <f>SUM('Veh Maint Cost - US52'!$K8)/C8</f>
        <v>180312.04835659271</v>
      </c>
      <c r="I8" s="535">
        <f>SUM('Veh Maint Cost - US52'!$L8)/C8</f>
        <v>365750.09630290495</v>
      </c>
      <c r="J8" s="363">
        <f t="shared" si="3"/>
        <v>18256865.207513809</v>
      </c>
      <c r="K8" s="363">
        <f t="shared" si="4"/>
        <v>18012185.772132538</v>
      </c>
      <c r="L8" s="360">
        <f t="shared" si="1"/>
        <v>2449.3779235049442</v>
      </c>
      <c r="M8" s="537">
        <f t="shared" si="5"/>
        <v>244679.43538127095</v>
      </c>
      <c r="N8" s="367">
        <f>M8*(1+Assumptions!$C$10)^-($B8-Assumptions!$C$3)</f>
        <v>203725.54015234421</v>
      </c>
      <c r="P8" s="538" t="s">
        <v>123</v>
      </c>
      <c r="Q8" s="540">
        <f>Assumptions!C16</f>
        <v>33.5</v>
      </c>
      <c r="T8" s="530">
        <v>2024</v>
      </c>
      <c r="U8" s="530">
        <f>IF($Q$24/(U35)*3600&gt;$Q$23,$Q$23,$Q$24/(U35)*3600)</f>
        <v>65</v>
      </c>
      <c r="V8" s="530">
        <f>IF($Q$24/(V35)*3600&gt;$Q$23,$Q$23,$Q$24/(V35)*3600)</f>
        <v>65</v>
      </c>
      <c r="W8" s="530">
        <f>IF($Q$24/(W35)*3600&gt;$Q$23,$Q$23,$Q$24/(W35)*3600)</f>
        <v>65</v>
      </c>
      <c r="X8" s="530">
        <f>IF($Q$24/(X35)*3600&gt;$Q$23,$Q$23,$Q$24/(X35)*3600)</f>
        <v>65</v>
      </c>
      <c r="Y8" s="530">
        <f>IF($Q$24/(Y35)*3600&gt;$Q$23,$Q$23,$Q$24/(Y35)*3600)</f>
        <v>65</v>
      </c>
      <c r="Z8" s="530">
        <f>IF($Q$24/(Z35)*3600&gt;$Q$23,$Q$23,$Q$24/(Z35)*3600)</f>
        <v>65</v>
      </c>
      <c r="AA8" s="530">
        <f>IF($Q$24/(AA35)*3600&gt;$Q$23,$Q$23,$Q$24/(AA35)*3600)</f>
        <v>65</v>
      </c>
      <c r="AB8" s="530">
        <f t="shared" si="6"/>
        <v>64.999999999999986</v>
      </c>
      <c r="AC8" s="539">
        <f t="shared" ref="AC8:AC29" si="8">AB8/65</f>
        <v>0.99999999999999978</v>
      </c>
    </row>
    <row r="9" spans="2:29" x14ac:dyDescent="0.2">
      <c r="B9" s="532">
        <f t="shared" si="2"/>
        <v>2029</v>
      </c>
      <c r="C9" s="533">
        <f t="shared" si="7"/>
        <v>65</v>
      </c>
      <c r="D9" s="522">
        <f>C9-_xlfn.XLOOKUP($B9,'Travel Time - US52'!$T$7:$T$29,$AB$7:$AB$29,0,0,1)</f>
        <v>1.6438605641493709</v>
      </c>
      <c r="E9" s="533">
        <f t="shared" si="0"/>
        <v>63.356139435850629</v>
      </c>
      <c r="F9" s="534">
        <f>SUM('Veh Maint Cost - US52'!$K9)/E9</f>
        <v>188476.2935374073</v>
      </c>
      <c r="G9" s="535">
        <f>SUM('Veh Maint Cost - US52'!$L9)/E9</f>
        <v>380738.04582208017</v>
      </c>
      <c r="H9" s="536">
        <f>SUM('Veh Maint Cost - US52'!$K9)/C9</f>
        <v>183709.69744166601</v>
      </c>
      <c r="I9" s="535">
        <f>SUM('Veh Maint Cost - US52'!$L9)/C9</f>
        <v>371109.11876364611</v>
      </c>
      <c r="J9" s="363">
        <f t="shared" si="3"/>
        <v>18776273.549351472</v>
      </c>
      <c r="K9" s="363">
        <f t="shared" si="4"/>
        <v>18301418.539667476</v>
      </c>
      <c r="L9" s="360">
        <f t="shared" si="1"/>
        <v>4766.5960957412899</v>
      </c>
      <c r="M9" s="537">
        <f t="shared" si="5"/>
        <v>474855.00968399644</v>
      </c>
      <c r="N9" s="367">
        <f>M9*(1+Assumptions!$C$10)^-($B9-Assumptions!$C$3)</f>
        <v>383486.75360838749</v>
      </c>
      <c r="O9" s="507"/>
      <c r="P9" s="514"/>
      <c r="Q9" s="541"/>
      <c r="T9" s="530">
        <v>2025</v>
      </c>
      <c r="U9" s="530">
        <f>IF($Q$24/(U36)*3600&gt;$Q$23,$Q$23,$Q$24/(U36)*3600)</f>
        <v>65</v>
      </c>
      <c r="V9" s="530">
        <f>IF($Q$24/(V36)*3600&gt;$Q$23,$Q$23,$Q$24/(V36)*3600)</f>
        <v>65</v>
      </c>
      <c r="W9" s="530">
        <f>IF($Q$24/(W36)*3600&gt;$Q$23,$Q$23,$Q$24/(W36)*3600)</f>
        <v>65</v>
      </c>
      <c r="X9" s="530">
        <f>IF($Q$24/(X36)*3600&gt;$Q$23,$Q$23,$Q$24/(X36)*3600)</f>
        <v>65</v>
      </c>
      <c r="Y9" s="530">
        <f>IF($Q$24/(Y36)*3600&gt;$Q$23,$Q$23,$Q$24/(Y36)*3600)</f>
        <v>65</v>
      </c>
      <c r="Z9" s="530">
        <f>IF($Q$24/(Z36)*3600&gt;$Q$23,$Q$23,$Q$24/(Z36)*3600)</f>
        <v>65</v>
      </c>
      <c r="AA9" s="530">
        <f>IF($Q$24/(AA36)*3600&gt;$Q$23,$Q$23,$Q$24/(AA36)*3600)</f>
        <v>65</v>
      </c>
      <c r="AB9" s="530">
        <f t="shared" si="6"/>
        <v>64.999999999999986</v>
      </c>
      <c r="AC9" s="539">
        <f t="shared" si="8"/>
        <v>0.99999999999999978</v>
      </c>
    </row>
    <row r="10" spans="2:29" ht="14.25" x14ac:dyDescent="0.2">
      <c r="B10" s="532">
        <f t="shared" si="2"/>
        <v>2030</v>
      </c>
      <c r="C10" s="533">
        <f t="shared" si="7"/>
        <v>65</v>
      </c>
      <c r="D10" s="522">
        <f>C10-_xlfn.XLOOKUP($B10,'Travel Time - US52'!$T$7:$T$29,$AB$7:$AB$29,0,0,1)</f>
        <v>3.1162065823919605</v>
      </c>
      <c r="E10" s="533">
        <f t="shared" si="0"/>
        <v>61.88379341760804</v>
      </c>
      <c r="F10" s="534">
        <f>SUM('Veh Maint Cost - US52'!$K10)/E10</f>
        <v>196529.28258883298</v>
      </c>
      <c r="G10" s="535">
        <f>SUM('Veh Maint Cost - US52'!$L10)/E10</f>
        <v>395425.48748510471</v>
      </c>
      <c r="H10" s="536">
        <f>SUM('Veh Maint Cost - US52'!$K10)/C10</f>
        <v>187107.34652673927</v>
      </c>
      <c r="I10" s="535">
        <f>SUM('Veh Maint Cost - US52'!$L10)/C10</f>
        <v>376468.14122438728</v>
      </c>
      <c r="J10" s="363">
        <f t="shared" si="3"/>
        <v>19526798.023088351</v>
      </c>
      <c r="K10" s="363">
        <f t="shared" si="4"/>
        <v>18590651.30720241</v>
      </c>
      <c r="L10" s="360">
        <f t="shared" si="1"/>
        <v>9421.9360620937077</v>
      </c>
      <c r="M10" s="537">
        <f t="shared" si="5"/>
        <v>936146.71588594094</v>
      </c>
      <c r="N10" s="367">
        <f>M10*(1+Assumptions!$C$10)^-($B10-Assumptions!$C$3)</f>
        <v>733288.03011694469</v>
      </c>
      <c r="P10" s="529" t="s">
        <v>956</v>
      </c>
      <c r="Q10" s="529"/>
      <c r="T10" s="530">
        <v>2026</v>
      </c>
      <c r="U10" s="530">
        <f>IF($Q$24/(U37)*3600&gt;$Q$23,$Q$23,$Q$24/(U37)*3600)</f>
        <v>65</v>
      </c>
      <c r="V10" s="530">
        <f>IF($Q$24/(V37)*3600&gt;$Q$23,$Q$23,$Q$24/(V37)*3600)</f>
        <v>64.918851435705378</v>
      </c>
      <c r="W10" s="530">
        <f>IF($Q$24/(W37)*3600&gt;$Q$23,$Q$23,$Q$24/(W37)*3600)</f>
        <v>65</v>
      </c>
      <c r="X10" s="530">
        <f>IF($Q$24/(X37)*3600&gt;$Q$23,$Q$23,$Q$24/(X37)*3600)</f>
        <v>65</v>
      </c>
      <c r="Y10" s="530">
        <f>IF($Q$24/(Y37)*3600&gt;$Q$23,$Q$23,$Q$24/(Y37)*3600)</f>
        <v>65</v>
      </c>
      <c r="Z10" s="530">
        <f>IF($Q$24/(Z37)*3600&gt;$Q$23,$Q$23,$Q$24/(Z37)*3600)</f>
        <v>65</v>
      </c>
      <c r="AA10" s="530">
        <f>IF($Q$24/(AA37)*3600&gt;$Q$23,$Q$23,$Q$24/(AA37)*3600)</f>
        <v>65</v>
      </c>
      <c r="AB10" s="530">
        <f t="shared" si="6"/>
        <v>64.987437556971216</v>
      </c>
      <c r="AC10" s="539">
        <f t="shared" si="8"/>
        <v>0.99980673164571099</v>
      </c>
    </row>
    <row r="11" spans="2:29" x14ac:dyDescent="0.2">
      <c r="B11" s="532">
        <f t="shared" si="2"/>
        <v>2031</v>
      </c>
      <c r="C11" s="533">
        <f t="shared" si="7"/>
        <v>65</v>
      </c>
      <c r="D11" s="522">
        <f>C11-_xlfn.XLOOKUP($B11,'Travel Time - US52'!$T$7:$T$29,$AB$7:$AB$29,0,0,1)</f>
        <v>4.4760889945925513</v>
      </c>
      <c r="E11" s="533">
        <f t="shared" si="0"/>
        <v>60.523911005407449</v>
      </c>
      <c r="F11" s="534">
        <f>SUM('Veh Maint Cost - US52'!$K11)/E11</f>
        <v>204593.92840065286</v>
      </c>
      <c r="G11" s="535">
        <f>SUM('Veh Maint Cost - US52'!$L11)/E11</f>
        <v>410065.4638348791</v>
      </c>
      <c r="H11" s="536">
        <f>SUM('Veh Maint Cost - US52'!$K11)/C11</f>
        <v>190504.99561181257</v>
      </c>
      <c r="I11" s="535">
        <f>SUM('Veh Maint Cost - US52'!$L11)/C11</f>
        <v>381827.16368512844</v>
      </c>
      <c r="J11" s="363">
        <f t="shared" si="3"/>
        <v>20276159.363665134</v>
      </c>
      <c r="K11" s="363">
        <f t="shared" si="4"/>
        <v>18879884.074737348</v>
      </c>
      <c r="L11" s="360">
        <f t="shared" si="1"/>
        <v>14088.932788840291</v>
      </c>
      <c r="M11" s="537">
        <f t="shared" si="5"/>
        <v>1396275.2889277861</v>
      </c>
      <c r="N11" s="367">
        <f>M11*(1+Assumptions!$C$10)^-($B11-Assumptions!$C$3)</f>
        <v>1060823.3352137916</v>
      </c>
      <c r="P11" s="538" t="s">
        <v>124</v>
      </c>
      <c r="Q11" s="542">
        <f>1-Q12</f>
        <v>0.63</v>
      </c>
      <c r="T11" s="530">
        <v>2027</v>
      </c>
      <c r="U11" s="530">
        <f>IF($Q$24/(U38)*3600&gt;$Q$23,$Q$23,$Q$24/(U38)*3600)</f>
        <v>65</v>
      </c>
      <c r="V11" s="530">
        <f>IF($Q$24/(V38)*3600&gt;$Q$23,$Q$23,$Q$24/(V38)*3600)</f>
        <v>62.245630835527898</v>
      </c>
      <c r="W11" s="530">
        <f>IF($Q$24/(W38)*3600&gt;$Q$23,$Q$23,$Q$24/(W38)*3600)</f>
        <v>65</v>
      </c>
      <c r="X11" s="530">
        <f>IF($Q$24/(X38)*3600&gt;$Q$23,$Q$23,$Q$24/(X38)*3600)</f>
        <v>65</v>
      </c>
      <c r="Y11" s="530">
        <f>IF($Q$24/(Y38)*3600&gt;$Q$23,$Q$23,$Q$24/(Y38)*3600)</f>
        <v>65</v>
      </c>
      <c r="Z11" s="530">
        <f>IF($Q$24/(Z38)*3600&gt;$Q$23,$Q$23,$Q$24/(Z38)*3600)</f>
        <v>65</v>
      </c>
      <c r="AA11" s="530">
        <f>IF($Q$24/(AA38)*3600&gt;$Q$23,$Q$23,$Q$24/(AA38)*3600)</f>
        <v>65</v>
      </c>
      <c r="AB11" s="530">
        <f t="shared" si="6"/>
        <v>64.573601751186786</v>
      </c>
      <c r="AC11" s="539">
        <f t="shared" si="8"/>
        <v>0.99344002694133515</v>
      </c>
    </row>
    <row r="12" spans="2:29" x14ac:dyDescent="0.2">
      <c r="B12" s="532">
        <f t="shared" si="2"/>
        <v>2032</v>
      </c>
      <c r="C12" s="533">
        <f t="shared" si="7"/>
        <v>65</v>
      </c>
      <c r="D12" s="522">
        <f>C12-_xlfn.XLOOKUP($B12,'Travel Time - US52'!$T$7:$T$29,$AB$7:$AB$29,0,0,1)</f>
        <v>5.7359398189406718</v>
      </c>
      <c r="E12" s="533">
        <f t="shared" si="0"/>
        <v>59.264060181059328</v>
      </c>
      <c r="F12" s="534">
        <f>SUM('Veh Maint Cost - US52'!$K12)/E12</f>
        <v>212669.73384529652</v>
      </c>
      <c r="G12" s="535">
        <f>SUM('Veh Maint Cost - US52'!$L12)/E12</f>
        <v>424660.44382704579</v>
      </c>
      <c r="H12" s="536">
        <f>SUM('Veh Maint Cost - US52'!$K12)/C12</f>
        <v>193902.64469688496</v>
      </c>
      <c r="I12" s="535">
        <f>SUM('Veh Maint Cost - US52'!$L12)/C12</f>
        <v>387186.1861458678</v>
      </c>
      <c r="J12" s="363">
        <f t="shared" si="3"/>
        <v>21024421.731164299</v>
      </c>
      <c r="K12" s="363">
        <f t="shared" si="4"/>
        <v>19169116.842272192</v>
      </c>
      <c r="L12" s="360">
        <f t="shared" si="1"/>
        <v>18767.089148411556</v>
      </c>
      <c r="M12" s="537">
        <f t="shared" si="5"/>
        <v>1855304.8888921067</v>
      </c>
      <c r="N12" s="367">
        <f>M12*(1+Assumptions!$C$10)^-($B12-Assumptions!$C$3)</f>
        <v>1367189.2538159725</v>
      </c>
      <c r="P12" s="538" t="s">
        <v>125</v>
      </c>
      <c r="Q12" s="381">
        <f>Assumptions!C12</f>
        <v>0.37</v>
      </c>
      <c r="T12" s="530">
        <v>2028</v>
      </c>
      <c r="U12" s="530">
        <f>IF($Q$24/(U39)*3600&gt;$Q$23,$Q$23,$Q$24/(U39)*3600)</f>
        <v>64.260998517053878</v>
      </c>
      <c r="V12" s="530">
        <f>IF($Q$24/(V39)*3600&gt;$Q$23,$Q$23,$Q$24/(V39)*3600)</f>
        <v>59.783858358243272</v>
      </c>
      <c r="W12" s="530">
        <f>IF($Q$24/(W39)*3600&gt;$Q$23,$Q$23,$Q$24/(W39)*3600)</f>
        <v>65</v>
      </c>
      <c r="X12" s="530">
        <f>IF($Q$24/(X39)*3600&gt;$Q$23,$Q$23,$Q$24/(X39)*3600)</f>
        <v>65</v>
      </c>
      <c r="Y12" s="530">
        <f>IF($Q$24/(Y39)*3600&gt;$Q$23,$Q$23,$Q$24/(Y39)*3600)</f>
        <v>65</v>
      </c>
      <c r="Z12" s="530">
        <f>IF($Q$24/(Z39)*3600&gt;$Q$23,$Q$23,$Q$24/(Z39)*3600)</f>
        <v>65</v>
      </c>
      <c r="AA12" s="530">
        <f>IF($Q$24/(AA39)*3600&gt;$Q$23,$Q$23,$Q$24/(AA39)*3600)</f>
        <v>65</v>
      </c>
      <c r="AB12" s="530">
        <f t="shared" si="6"/>
        <v>64.128866696499628</v>
      </c>
      <c r="AC12" s="539">
        <f t="shared" si="8"/>
        <v>0.98659794917691734</v>
      </c>
    </row>
    <row r="13" spans="2:29" x14ac:dyDescent="0.2">
      <c r="B13" s="532">
        <f t="shared" si="2"/>
        <v>2033</v>
      </c>
      <c r="C13" s="533">
        <f t="shared" si="7"/>
        <v>65</v>
      </c>
      <c r="D13" s="522">
        <f>C13-_xlfn.XLOOKUP($B13,'Travel Time - US52'!$T$7:$T$29,$AB$7:$AB$29,0,0,1)</f>
        <v>6.9091816128191894</v>
      </c>
      <c r="E13" s="533">
        <f t="shared" si="0"/>
        <v>58.090818387180811</v>
      </c>
      <c r="F13" s="534">
        <f>SUM('Veh Maint Cost - US52'!$K13)/E13</f>
        <v>220766.71411909969</v>
      </c>
      <c r="G13" s="535">
        <f>SUM('Veh Maint Cost - US52'!$L13)/E13</f>
        <v>439233.58747275284</v>
      </c>
      <c r="H13" s="536">
        <f>SUM('Veh Maint Cost - US52'!$K13)/C13</f>
        <v>197300.29378195823</v>
      </c>
      <c r="I13" s="535">
        <f>SUM('Veh Maint Cost - US52'!$L13)/C13</f>
        <v>392545.20860660897</v>
      </c>
      <c r="J13" s="363">
        <f t="shared" si="3"/>
        <v>21772678.708147988</v>
      </c>
      <c r="K13" s="363">
        <f t="shared" si="4"/>
        <v>19458349.609807126</v>
      </c>
      <c r="L13" s="360">
        <f t="shared" si="1"/>
        <v>23466.420337141462</v>
      </c>
      <c r="M13" s="537">
        <f t="shared" si="5"/>
        <v>2314329.0983408615</v>
      </c>
      <c r="N13" s="367">
        <f>M13*(1+Assumptions!$C$10)^-($B13-Assumptions!$C$3)</f>
        <v>1654168.6954631906</v>
      </c>
      <c r="P13" s="514"/>
      <c r="Q13" s="543"/>
      <c r="T13" s="530">
        <v>2029</v>
      </c>
      <c r="U13" s="530">
        <f>IF($Q$24/(U40)*3600&gt;$Q$23,$Q$23,$Q$24/(U40)*3600)</f>
        <v>61.640587956377438</v>
      </c>
      <c r="V13" s="530">
        <f>IF($Q$24/(V40)*3600&gt;$Q$23,$Q$23,$Q$24/(V40)*3600)</f>
        <v>57.509400575093998</v>
      </c>
      <c r="W13" s="530">
        <f>IF($Q$24/(W40)*3600&gt;$Q$23,$Q$23,$Q$24/(W40)*3600)</f>
        <v>64.45215666831929</v>
      </c>
      <c r="X13" s="530">
        <f>IF($Q$24/(X40)*3600&gt;$Q$23,$Q$23,$Q$24/(X40)*3600)</f>
        <v>65</v>
      </c>
      <c r="Y13" s="530">
        <f>IF($Q$24/(Y40)*3600&gt;$Q$23,$Q$23,$Q$24/(Y40)*3600)</f>
        <v>65</v>
      </c>
      <c r="Z13" s="530">
        <f>IF($Q$24/(Z40)*3600&gt;$Q$23,$Q$23,$Q$24/(Z40)*3600)</f>
        <v>65</v>
      </c>
      <c r="AA13" s="530">
        <f>IF($Q$24/(AA40)*3600&gt;$Q$23,$Q$23,$Q$24/(AA40)*3600)</f>
        <v>65</v>
      </c>
      <c r="AB13" s="530">
        <f t="shared" si="6"/>
        <v>63.356139435850629</v>
      </c>
      <c r="AC13" s="539">
        <f t="shared" si="8"/>
        <v>0.97470983747462503</v>
      </c>
    </row>
    <row r="14" spans="2:29" x14ac:dyDescent="0.2">
      <c r="B14" s="532">
        <f t="shared" si="2"/>
        <v>2034</v>
      </c>
      <c r="C14" s="533">
        <f t="shared" si="7"/>
        <v>65</v>
      </c>
      <c r="D14" s="522">
        <f>C14-_xlfn.XLOOKUP($B14,'Travel Time - US52'!$T$7:$T$29,$AB$7:$AB$29,0,0,1)</f>
        <v>8.1359439365416648</v>
      </c>
      <c r="E14" s="533">
        <f t="shared" si="0"/>
        <v>56.864056063458335</v>
      </c>
      <c r="F14" s="534">
        <f>SUM('Veh Maint Cost - US52'!$K14)/E14</f>
        <v>229413.22145221001</v>
      </c>
      <c r="G14" s="535">
        <f>SUM('Veh Maint Cost - US52'!$L14)/E14</f>
        <v>454835.21243216755</v>
      </c>
      <c r="H14" s="536">
        <f>SUM('Veh Maint Cost - US52'!$K14)/C14</f>
        <v>200697.94286703158</v>
      </c>
      <c r="I14" s="535">
        <f>SUM('Veh Maint Cost - US52'!$L14)/C14</f>
        <v>397904.23106735013</v>
      </c>
      <c r="J14" s="363">
        <f t="shared" si="3"/>
        <v>22573009.091978744</v>
      </c>
      <c r="K14" s="363">
        <f t="shared" si="4"/>
        <v>19747582.37734206</v>
      </c>
      <c r="L14" s="360">
        <f t="shared" si="1"/>
        <v>28715.278585178428</v>
      </c>
      <c r="M14" s="537">
        <f t="shared" si="5"/>
        <v>2825426.7146366835</v>
      </c>
      <c r="N14" s="367">
        <f>M14*(1+Assumptions!$C$10)^-($B14-Assumptions!$C$3)</f>
        <v>1958754.7548998669</v>
      </c>
      <c r="P14" s="529" t="s">
        <v>126</v>
      </c>
      <c r="Q14" s="529"/>
      <c r="R14" s="544"/>
      <c r="T14" s="530">
        <v>2030</v>
      </c>
      <c r="U14" s="530">
        <f>IF($Q$24/(U41)*3600&gt;$Q$23,$Q$23,$Q$24/(U41)*3600)</f>
        <v>59.225512528473807</v>
      </c>
      <c r="V14" s="530">
        <f>IF($Q$24/(V41)*3600&gt;$Q$23,$Q$23,$Q$24/(V41)*3600)</f>
        <v>55.4016620498615</v>
      </c>
      <c r="W14" s="530">
        <f>IF($Q$24/(W41)*3600&gt;$Q$23,$Q$23,$Q$24/(W41)*3600)</f>
        <v>61.816452686638144</v>
      </c>
      <c r="X14" s="530">
        <f>IF($Q$24/(X41)*3600&gt;$Q$23,$Q$23,$Q$24/(X41)*3600)</f>
        <v>65</v>
      </c>
      <c r="Y14" s="530">
        <f>IF($Q$24/(Y41)*3600&gt;$Q$23,$Q$23,$Q$24/(Y41)*3600)</f>
        <v>65</v>
      </c>
      <c r="Z14" s="530">
        <f>IF($Q$24/(Z41)*3600&gt;$Q$23,$Q$23,$Q$24/(Z41)*3600)</f>
        <v>65</v>
      </c>
      <c r="AA14" s="530">
        <f>IF($Q$24/(AA41)*3600&gt;$Q$23,$Q$23,$Q$24/(AA41)*3600)</f>
        <v>65</v>
      </c>
      <c r="AB14" s="530">
        <f t="shared" si="6"/>
        <v>61.88379341760804</v>
      </c>
      <c r="AC14" s="539">
        <f t="shared" si="8"/>
        <v>0.95205836027089297</v>
      </c>
    </row>
    <row r="15" spans="2:29" x14ac:dyDescent="0.2">
      <c r="B15" s="532">
        <f t="shared" si="2"/>
        <v>2035</v>
      </c>
      <c r="C15" s="533">
        <f t="shared" si="7"/>
        <v>65</v>
      </c>
      <c r="D15" s="522">
        <f>C15-_xlfn.XLOOKUP($B15,'Travel Time - US52'!$T$7:$T$29,$AB$7:$AB$29,0,0,1)</f>
        <v>9.928013005766573</v>
      </c>
      <c r="E15" s="533">
        <f t="shared" si="0"/>
        <v>55.071986994233427</v>
      </c>
      <c r="F15" s="534">
        <f>SUM('Veh Maint Cost - US52'!$K15)/E15</f>
        <v>240888.5932929189</v>
      </c>
      <c r="G15" s="535">
        <f>SUM('Veh Maint Cost - US52'!$L15)/E15</f>
        <v>475960.88156526111</v>
      </c>
      <c r="H15" s="536">
        <f>SUM('Veh Maint Cost - US52'!$K15)/C15</f>
        <v>204095.59195210485</v>
      </c>
      <c r="I15" s="535">
        <f>SUM('Veh Maint Cost - US52'!$L15)/C15</f>
        <v>403263.2535280913</v>
      </c>
      <c r="J15" s="363">
        <f t="shared" si="3"/>
        <v>23648919.450706907</v>
      </c>
      <c r="K15" s="363">
        <f t="shared" si="4"/>
        <v>20036815.144876994</v>
      </c>
      <c r="L15" s="360">
        <f t="shared" si="1"/>
        <v>36793.001340814051</v>
      </c>
      <c r="M15" s="537">
        <f t="shared" si="5"/>
        <v>3612104.3058299124</v>
      </c>
      <c r="N15" s="367">
        <f>M15*(1+Assumptions!$C$10)^-($B15-Assumptions!$C$3)</f>
        <v>2428832.8838647008</v>
      </c>
      <c r="P15" s="538" t="s">
        <v>127</v>
      </c>
      <c r="Q15" s="545">
        <f>Assumptions!C13</f>
        <v>1.67</v>
      </c>
      <c r="T15" s="530">
        <v>2031</v>
      </c>
      <c r="U15" s="530">
        <f>IF($Q$24/(U42)*3600&gt;$Q$23,$Q$23,$Q$24/(U42)*3600)</f>
        <v>56.992547128452436</v>
      </c>
      <c r="V15" s="530">
        <f>IF($Q$24/(V42)*3600&gt;$Q$23,$Q$23,$Q$24/(V42)*3600)</f>
        <v>53.442959917780058</v>
      </c>
      <c r="W15" s="530">
        <f>IF($Q$24/(W42)*3600&gt;$Q$23,$Q$23,$Q$24/(W42)*3600)</f>
        <v>59.387848332571956</v>
      </c>
      <c r="X15" s="530">
        <f>IF($Q$24/(X42)*3600&gt;$Q$23,$Q$23,$Q$24/(X42)*3600)</f>
        <v>65</v>
      </c>
      <c r="Y15" s="530">
        <f>IF($Q$24/(Y42)*3600&gt;$Q$23,$Q$23,$Q$24/(Y42)*3600)</f>
        <v>65</v>
      </c>
      <c r="Z15" s="530">
        <f>IF($Q$24/(Z42)*3600&gt;$Q$23,$Q$23,$Q$24/(Z42)*3600)</f>
        <v>65</v>
      </c>
      <c r="AA15" s="530">
        <f>IF($Q$24/(AA42)*3600&gt;$Q$23,$Q$23,$Q$24/(AA42)*3600)</f>
        <v>65</v>
      </c>
      <c r="AB15" s="530">
        <f t="shared" si="6"/>
        <v>60.523911005407449</v>
      </c>
      <c r="AC15" s="539">
        <f t="shared" si="8"/>
        <v>0.93113709239088382</v>
      </c>
    </row>
    <row r="16" spans="2:29" x14ac:dyDescent="0.2">
      <c r="B16" s="532">
        <f t="shared" si="2"/>
        <v>2036</v>
      </c>
      <c r="C16" s="533">
        <f t="shared" si="7"/>
        <v>65</v>
      </c>
      <c r="D16" s="522">
        <f>C16-_xlfn.XLOOKUP($B16,'Travel Time - US52'!$T$7:$T$29,$AB$7:$AB$29,0,0,1)</f>
        <v>11.888103653790012</v>
      </c>
      <c r="E16" s="533">
        <f t="shared" si="0"/>
        <v>53.111896346209988</v>
      </c>
      <c r="F16" s="534">
        <f>SUM('Veh Maint Cost - US52'!$K16)/E16</f>
        <v>253936.7184237059</v>
      </c>
      <c r="G16" s="535">
        <f>SUM('Veh Maint Cost - US52'!$L16)/E16</f>
        <v>500084.72237819678</v>
      </c>
      <c r="H16" s="536">
        <f>SUM('Veh Maint Cost - US52'!$K16)/C16</f>
        <v>207493.24103717814</v>
      </c>
      <c r="I16" s="535">
        <f>SUM('Veh Maint Cost - US52'!$L16)/C16</f>
        <v>408622.27598883054</v>
      </c>
      <c r="J16" s="363">
        <f t="shared" si="3"/>
        <v>24875653.200077284</v>
      </c>
      <c r="K16" s="363">
        <f t="shared" si="4"/>
        <v>20326047.912411869</v>
      </c>
      <c r="L16" s="360">
        <f t="shared" si="1"/>
        <v>46443.477386527753</v>
      </c>
      <c r="M16" s="537">
        <f t="shared" si="5"/>
        <v>4549605.2876654156</v>
      </c>
      <c r="N16" s="367">
        <f>M16*(1+Assumptions!$C$10)^-($B16-Assumptions!$C$3)</f>
        <v>2967238.1630527638</v>
      </c>
      <c r="P16" s="538" t="s">
        <v>128</v>
      </c>
      <c r="Q16" s="545">
        <f>Assumptions!C14</f>
        <v>1</v>
      </c>
      <c r="T16" s="530">
        <v>2032</v>
      </c>
      <c r="U16" s="530">
        <f>IF($Q$24/(U43)*3600&gt;$Q$23,$Q$23,$Q$24/(U43)*3600)</f>
        <v>54.921841994085341</v>
      </c>
      <c r="V16" s="530">
        <f>IF($Q$24/(V43)*3600&gt;$Q$23,$Q$23,$Q$24/(V43)*3600)</f>
        <v>51.618026603136784</v>
      </c>
      <c r="W16" s="530">
        <f>IF($Q$24/(W43)*3600&gt;$Q$23,$Q$23,$Q$24/(W43)*3600)</f>
        <v>57.142857142857153</v>
      </c>
      <c r="X16" s="530">
        <f>IF($Q$24/(X43)*3600&gt;$Q$23,$Q$23,$Q$24/(X43)*3600)</f>
        <v>65</v>
      </c>
      <c r="Y16" s="530">
        <f>IF($Q$24/(Y43)*3600&gt;$Q$23,$Q$23,$Q$24/(Y43)*3600)</f>
        <v>65</v>
      </c>
      <c r="Z16" s="530">
        <f>IF($Q$24/(Z43)*3600&gt;$Q$23,$Q$23,$Q$24/(Z43)*3600)</f>
        <v>65</v>
      </c>
      <c r="AA16" s="530">
        <f>IF($Q$24/(AA43)*3600&gt;$Q$23,$Q$23,$Q$24/(AA43)*3600)</f>
        <v>65</v>
      </c>
      <c r="AB16" s="530">
        <f t="shared" si="6"/>
        <v>59.264060181059328</v>
      </c>
      <c r="AC16" s="539">
        <f t="shared" si="8"/>
        <v>0.9117547720162974</v>
      </c>
    </row>
    <row r="17" spans="1:29" x14ac:dyDescent="0.2">
      <c r="B17" s="532">
        <f t="shared" si="2"/>
        <v>2037</v>
      </c>
      <c r="C17" s="533">
        <f t="shared" si="7"/>
        <v>65</v>
      </c>
      <c r="D17" s="522">
        <f>C17-_xlfn.XLOOKUP($B17,'Travel Time - US52'!$T$7:$T$29,$AB$7:$AB$29,0,0,1)</f>
        <v>13.713758896830583</v>
      </c>
      <c r="E17" s="533">
        <f t="shared" si="0"/>
        <v>51.286241103169417</v>
      </c>
      <c r="F17" s="534">
        <f>SUM('Veh Maint Cost - US52'!$K17)/E17</f>
        <v>267282.36585658474</v>
      </c>
      <c r="G17" s="535">
        <f>SUM('Veh Maint Cost - US52'!$L17)/E17</f>
        <v>524678.42876399157</v>
      </c>
      <c r="H17" s="536">
        <f>SUM('Veh Maint Cost - US52'!$K17)/C17</f>
        <v>210890.89012225141</v>
      </c>
      <c r="I17" s="535">
        <f>SUM('Veh Maint Cost - US52'!$L17)/C17</f>
        <v>413981.29844957183</v>
      </c>
      <c r="J17" s="363">
        <f t="shared" si="3"/>
        <v>26127733.586498559</v>
      </c>
      <c r="K17" s="363">
        <f t="shared" si="4"/>
        <v>20615280.679946806</v>
      </c>
      <c r="L17" s="360">
        <f t="shared" si="1"/>
        <v>56391.475734333333</v>
      </c>
      <c r="M17" s="537">
        <f t="shared" si="5"/>
        <v>5512452.9065517522</v>
      </c>
      <c r="N17" s="367">
        <f>M17*(1+Assumptions!$C$10)^-($B17-Assumptions!$C$3)</f>
        <v>3487104.1041656868</v>
      </c>
      <c r="P17" s="514"/>
      <c r="Q17" s="543"/>
      <c r="T17" s="530">
        <v>2033</v>
      </c>
      <c r="U17" s="530">
        <f>IF($Q$24/(U44)*3600&gt;$Q$23,$Q$23,$Q$24/(U44)*3600)</f>
        <v>52.996331023236856</v>
      </c>
      <c r="V17" s="530">
        <f>IF($Q$24/(V44)*3600&gt;$Q$23,$Q$23,$Q$24/(V44)*3600)</f>
        <v>49.913611057784607</v>
      </c>
      <c r="W17" s="530">
        <f>IF($Q$24/(W44)*3600&gt;$Q$23,$Q$23,$Q$24/(W44)*3600)</f>
        <v>55.061414654807294</v>
      </c>
      <c r="X17" s="530">
        <f>IF($Q$24/(X44)*3600&gt;$Q$23,$Q$23,$Q$24/(X44)*3600)</f>
        <v>64.94587843463782</v>
      </c>
      <c r="Y17" s="530">
        <f>IF($Q$24/(Y44)*3600&gt;$Q$23,$Q$23,$Q$24/(Y44)*3600)</f>
        <v>65</v>
      </c>
      <c r="Z17" s="530">
        <f>IF($Q$24/(Z44)*3600&gt;$Q$23,$Q$23,$Q$24/(Z44)*3600)</f>
        <v>65</v>
      </c>
      <c r="AA17" s="530">
        <f>IF($Q$24/(AA44)*3600&gt;$Q$23,$Q$23,$Q$24/(AA44)*3600)</f>
        <v>65</v>
      </c>
      <c r="AB17" s="530">
        <f t="shared" si="6"/>
        <v>58.090818387180811</v>
      </c>
      <c r="AC17" s="539">
        <f t="shared" si="8"/>
        <v>0.8937048982643202</v>
      </c>
    </row>
    <row r="18" spans="1:29" x14ac:dyDescent="0.2">
      <c r="B18" s="532">
        <f t="shared" si="2"/>
        <v>2038</v>
      </c>
      <c r="C18" s="533">
        <f t="shared" si="7"/>
        <v>65</v>
      </c>
      <c r="D18" s="522">
        <f>C18-_xlfn.XLOOKUP($B18,'Travel Time - US52'!$T$7:$T$29,$AB$7:$AB$29,0,0,1)</f>
        <v>15.416680537558598</v>
      </c>
      <c r="E18" s="533">
        <f t="shared" si="0"/>
        <v>49.583319462441402</v>
      </c>
      <c r="F18" s="534">
        <f>SUM('Veh Maint Cost - US52'!$K18)/E18</f>
        <v>280916.1467905941</v>
      </c>
      <c r="G18" s="535">
        <f>SUM('Veh Maint Cost - US52'!$L18)/E18</f>
        <v>549723.5996839056</v>
      </c>
      <c r="H18" s="536">
        <f>SUM('Veh Maint Cost - US52'!$K18)/C18</f>
        <v>214288.53920732476</v>
      </c>
      <c r="I18" s="535">
        <f>SUM('Veh Maint Cost - US52'!$L18)/C18</f>
        <v>419340.32091031299</v>
      </c>
      <c r="J18" s="363">
        <f t="shared" si="3"/>
        <v>27404243.7823385</v>
      </c>
      <c r="K18" s="363">
        <f t="shared" si="4"/>
        <v>20904513.447481744</v>
      </c>
      <c r="L18" s="360">
        <f t="shared" si="1"/>
        <v>66627.607583269331</v>
      </c>
      <c r="M18" s="537">
        <f t="shared" si="5"/>
        <v>6499730.334856756</v>
      </c>
      <c r="N18" s="367">
        <f>M18*(1+Assumptions!$C$10)^-($B18-Assumptions!$C$3)</f>
        <v>3988014.1831044024</v>
      </c>
      <c r="P18" s="546" t="s">
        <v>129</v>
      </c>
      <c r="R18" s="409"/>
      <c r="T18" s="530">
        <v>2034</v>
      </c>
      <c r="U18" s="530">
        <f>IF($Q$24/(U45)*3600&gt;$Q$23,$Q$23,$Q$24/(U45)*3600)</f>
        <v>51.20126033871604</v>
      </c>
      <c r="V18" s="530">
        <f>IF($Q$24/(V45)*3600&gt;$Q$23,$Q$23,$Q$24/(V45)*3600)</f>
        <v>48.318156476491367</v>
      </c>
      <c r="W18" s="530">
        <f>IF($Q$24/(W45)*3600&gt;$Q$23,$Q$23,$Q$24/(W45)*3600)</f>
        <v>53.126277073968133</v>
      </c>
      <c r="X18" s="530">
        <f>IF($Q$24/(X45)*3600&gt;$Q$23,$Q$23,$Q$24/(X45)*3600)</f>
        <v>62.270477406993471</v>
      </c>
      <c r="Y18" s="530">
        <f>IF($Q$24/(Y45)*3600&gt;$Q$23,$Q$23,$Q$24/(Y45)*3600)</f>
        <v>65</v>
      </c>
      <c r="Z18" s="530">
        <f>IF($Q$24/(Z45)*3600&gt;$Q$23,$Q$23,$Q$24/(Z45)*3600)</f>
        <v>65</v>
      </c>
      <c r="AA18" s="530">
        <f>IF($Q$24/(AA45)*3600&gt;$Q$23,$Q$23,$Q$24/(AA45)*3600)</f>
        <v>65</v>
      </c>
      <c r="AB18" s="530">
        <f t="shared" si="6"/>
        <v>56.864056063458335</v>
      </c>
      <c r="AC18" s="539">
        <f t="shared" si="8"/>
        <v>0.87483163174551282</v>
      </c>
    </row>
    <row r="19" spans="1:29" x14ac:dyDescent="0.2">
      <c r="B19" s="532">
        <f t="shared" si="2"/>
        <v>2039</v>
      </c>
      <c r="C19" s="533">
        <f t="shared" si="7"/>
        <v>65</v>
      </c>
      <c r="D19" s="522">
        <f>C19-_xlfn.XLOOKUP($B19,'Travel Time - US52'!$T$7:$T$29,$AB$7:$AB$29,0,0,1)</f>
        <v>17.008968894494444</v>
      </c>
      <c r="E19" s="533">
        <f t="shared" si="0"/>
        <v>47.991031105505556</v>
      </c>
      <c r="F19" s="534">
        <f>SUM('Veh Maint Cost - US52'!$K19)/E19</f>
        <v>294838.47112804715</v>
      </c>
      <c r="G19" s="535">
        <f>SUM('Veh Maint Cost - US52'!$L19)/E19</f>
        <v>575221.17535731569</v>
      </c>
      <c r="H19" s="536">
        <f>SUM('Veh Maint Cost - US52'!$K19)/C19</f>
        <v>217686.1882923971</v>
      </c>
      <c r="I19" s="535">
        <f>SUM('Veh Maint Cost - US52'!$L19)/C19</f>
        <v>424699.34337105235</v>
      </c>
      <c r="J19" s="363">
        <f t="shared" si="3"/>
        <v>28705228.294585239</v>
      </c>
      <c r="K19" s="363">
        <f t="shared" si="4"/>
        <v>21193746.215016589</v>
      </c>
      <c r="L19" s="360">
        <f t="shared" si="1"/>
        <v>77152.282835650054</v>
      </c>
      <c r="M19" s="537">
        <f t="shared" si="5"/>
        <v>7511482.0795686506</v>
      </c>
      <c r="N19" s="367">
        <f>M19*(1+Assumptions!$C$10)^-($B19-Assumptions!$C$3)</f>
        <v>4470214.116193857</v>
      </c>
      <c r="P19" s="470" t="s">
        <v>130</v>
      </c>
      <c r="Q19" s="540">
        <f>Q11*Q7*Q15+Q12*Q8*Q16</f>
        <v>33.016159999999999</v>
      </c>
      <c r="R19" s="541"/>
      <c r="T19" s="530">
        <v>2035</v>
      </c>
      <c r="U19" s="530">
        <f>IF($Q$24/(U46)*3600&gt;$Q$23,$Q$23,$Q$24/(U46)*3600)</f>
        <v>49.523809523809533</v>
      </c>
      <c r="V19" s="530">
        <f>IF($Q$24/(V46)*3600&gt;$Q$23,$Q$23,$Q$24/(V46)*3600)</f>
        <v>46.821537907437431</v>
      </c>
      <c r="W19" s="530">
        <f>IF($Q$24/(W46)*3600&gt;$Q$23,$Q$23,$Q$24/(W46)*3600)</f>
        <v>51.322542439794724</v>
      </c>
      <c r="X19" s="530">
        <f>IF($Q$24/(X46)*3600&gt;$Q$23,$Q$23,$Q$24/(X46)*3600)</f>
        <v>59.806778101518184</v>
      </c>
      <c r="Y19" s="530">
        <f>IF($Q$24/(Y46)*3600&gt;$Q$23,$Q$23,$Q$24/(Y46)*3600)</f>
        <v>63.198833252309207</v>
      </c>
      <c r="Z19" s="530">
        <f>IF($Q$24/(Z46)*3600&gt;$Q$23,$Q$23,$Q$24/(Z46)*3600)</f>
        <v>62.690885709692985</v>
      </c>
      <c r="AA19" s="530">
        <f>IF($Q$24/(AA46)*3600&gt;$Q$23,$Q$23,$Q$24/(AA46)*3600)</f>
        <v>65</v>
      </c>
      <c r="AB19" s="530">
        <f t="shared" si="6"/>
        <v>55.071986994233427</v>
      </c>
      <c r="AC19" s="539">
        <f t="shared" si="8"/>
        <v>0.84726133837282191</v>
      </c>
    </row>
    <row r="20" spans="1:29" x14ac:dyDescent="0.2">
      <c r="B20" s="532">
        <f t="shared" si="2"/>
        <v>2040</v>
      </c>
      <c r="C20" s="533">
        <f t="shared" si="7"/>
        <v>65</v>
      </c>
      <c r="D20" s="522">
        <f>C20-_xlfn.XLOOKUP($B20,'Travel Time - US52'!$T$7:$T$29,$AB$7:$AB$29,0,0,1)</f>
        <v>18.501169570834499</v>
      </c>
      <c r="E20" s="533">
        <f t="shared" si="0"/>
        <v>46.498830429165501</v>
      </c>
      <c r="F20" s="534">
        <f>SUM('Veh Maint Cost - US52'!$K20)/E20</f>
        <v>309049.69645262271</v>
      </c>
      <c r="G20" s="535">
        <f>SUM('Veh Maint Cost - US52'!$L20)/E20</f>
        <v>601171.97617798776</v>
      </c>
      <c r="H20" s="536">
        <f>SUM('Veh Maint Cost - US52'!$K20)/C20</f>
        <v>221083.83737747039</v>
      </c>
      <c r="I20" s="535">
        <f>SUM('Veh Maint Cost - US52'!$L20)/C20</f>
        <v>430058.36583179352</v>
      </c>
      <c r="J20" s="363">
        <f t="shared" si="3"/>
        <v>30030725.955420755</v>
      </c>
      <c r="K20" s="363">
        <f t="shared" si="4"/>
        <v>21482978.982551526</v>
      </c>
      <c r="L20" s="360">
        <f t="shared" si="1"/>
        <v>87965.859075152315</v>
      </c>
      <c r="M20" s="537">
        <f t="shared" si="5"/>
        <v>8547746.9728692286</v>
      </c>
      <c r="N20" s="367">
        <f>M20*(1+Assumptions!$C$10)^-($B20-Assumptions!$C$3)</f>
        <v>4933960.6640598876</v>
      </c>
      <c r="P20" s="514"/>
      <c r="Q20" s="543"/>
      <c r="R20" s="547"/>
      <c r="T20" s="530">
        <v>2036</v>
      </c>
      <c r="U20" s="530">
        <f>IF($Q$24/(U47)*3600&gt;$Q$23,$Q$23,$Q$24/(U47)*3600)</f>
        <v>47.952784950202883</v>
      </c>
      <c r="V20" s="530">
        <f>IF($Q$24/(V47)*3600&gt;$Q$23,$Q$23,$Q$24/(V47)*3600)</f>
        <v>45.414847161572062</v>
      </c>
      <c r="W20" s="530">
        <f>IF($Q$24/(W47)*3600&gt;$Q$23,$Q$23,$Q$24/(W47)*3600)</f>
        <v>49.637266132111506</v>
      </c>
      <c r="X20" s="530">
        <f>IF($Q$24/(X47)*3600&gt;$Q$23,$Q$23,$Q$24/(X47)*3600)</f>
        <v>57.530609234400373</v>
      </c>
      <c r="Y20" s="530">
        <f>IF($Q$24/(Y47)*3600&gt;$Q$23,$Q$23,$Q$24/(Y47)*3600)</f>
        <v>60.662622491833893</v>
      </c>
      <c r="Z20" s="530">
        <f>IF($Q$24/(Z47)*3600&gt;$Q$23,$Q$23,$Q$24/(Z47)*3600)</f>
        <v>60.194474455934575</v>
      </c>
      <c r="AA20" s="530">
        <f>IF($Q$24/(AA47)*3600&gt;$Q$23,$Q$23,$Q$24/(AA47)*3600)</f>
        <v>62.77665995975854</v>
      </c>
      <c r="AB20" s="530">
        <f t="shared" si="6"/>
        <v>53.111896346209988</v>
      </c>
      <c r="AC20" s="539">
        <f t="shared" si="8"/>
        <v>0.81710609763399977</v>
      </c>
    </row>
    <row r="21" spans="1:29" ht="14.25" x14ac:dyDescent="0.2">
      <c r="B21" s="532">
        <f t="shared" si="2"/>
        <v>2041</v>
      </c>
      <c r="C21" s="533">
        <f t="shared" si="7"/>
        <v>65</v>
      </c>
      <c r="D21" s="522">
        <f>C21-_xlfn.XLOOKUP($B21,'Travel Time - US52'!$T$7:$T$29,$AB$7:$AB$29,0,0,1)</f>
        <v>19.902517449005053</v>
      </c>
      <c r="E21" s="533">
        <f t="shared" si="0"/>
        <v>45.097482550994947</v>
      </c>
      <c r="F21" s="534">
        <f>SUM('Veh Maint Cost - US52'!$K21)/E21</f>
        <v>323550.13616482733</v>
      </c>
      <c r="G21" s="535">
        <f>SUM('Veh Maint Cost - US52'!$L21)/E21</f>
        <v>627576.72131723783</v>
      </c>
      <c r="H21" s="536">
        <f>SUM('Veh Maint Cost - US52'!$K21)/C21</f>
        <v>224481.48646254369</v>
      </c>
      <c r="I21" s="535">
        <f>SUM('Veh Maint Cost - US52'!$L21)/C21</f>
        <v>435417.38829253463</v>
      </c>
      <c r="J21" s="363">
        <f t="shared" si="3"/>
        <v>31380770.803677548</v>
      </c>
      <c r="K21" s="363">
        <f t="shared" si="4"/>
        <v>21772211.750086457</v>
      </c>
      <c r="L21" s="360">
        <f t="shared" si="1"/>
        <v>99068.649702283641</v>
      </c>
      <c r="M21" s="537">
        <f t="shared" si="5"/>
        <v>9608559.0535910912</v>
      </c>
      <c r="N21" s="367">
        <f>M21*(1+Assumptions!$C$10)^-($B21-Assumptions!$C$3)</f>
        <v>5379521.1986715524</v>
      </c>
      <c r="P21" s="289" t="s">
        <v>957</v>
      </c>
      <c r="T21" s="530">
        <v>2037</v>
      </c>
      <c r="U21" s="530">
        <f>IF($Q$24/(U48)*3600&gt;$Q$23,$Q$23,$Q$24/(U48)*3600)</f>
        <v>46.478369681801937</v>
      </c>
      <c r="V21" s="530">
        <f>IF($Q$24/(V48)*3600&gt;$Q$23,$Q$23,$Q$24/(V48)*3600)</f>
        <v>44.090215363744278</v>
      </c>
      <c r="W21" s="530">
        <f>IF($Q$24/(W48)*3600&gt;$Q$23,$Q$23,$Q$24/(W48)*3600)</f>
        <v>48.05914972273569</v>
      </c>
      <c r="X21" s="530">
        <f>IF($Q$24/(X48)*3600&gt;$Q$23,$Q$23,$Q$24/(X48)*3600)</f>
        <v>55.421344322864876</v>
      </c>
      <c r="Y21" s="530">
        <f>IF($Q$24/(Y48)*3600&gt;$Q$23,$Q$23,$Q$24/(Y48)*3600)</f>
        <v>58.322117541498443</v>
      </c>
      <c r="Z21" s="530">
        <f>IF($Q$24/(Z48)*3600&gt;$Q$23,$Q$23,$Q$24/(Z48)*3600)</f>
        <v>57.889268220276101</v>
      </c>
      <c r="AA21" s="530">
        <f>IF($Q$24/(AA48)*3600&gt;$Q$23,$Q$23,$Q$24/(AA48)*3600)</f>
        <v>59.770114942528735</v>
      </c>
      <c r="AB21" s="530">
        <f t="shared" si="6"/>
        <v>51.286241103169417</v>
      </c>
      <c r="AC21" s="539">
        <f t="shared" si="8"/>
        <v>0.78901909389491409</v>
      </c>
    </row>
    <row r="22" spans="1:29" x14ac:dyDescent="0.2">
      <c r="B22" s="532">
        <f t="shared" si="2"/>
        <v>2042</v>
      </c>
      <c r="C22" s="533">
        <f t="shared" si="7"/>
        <v>65</v>
      </c>
      <c r="D22" s="522">
        <f>C22-_xlfn.XLOOKUP($B22,'Travel Time - US52'!$T$7:$T$29,$AB$7:$AB$29,0,0,1)</f>
        <v>21.221135794679775</v>
      </c>
      <c r="E22" s="533">
        <f t="shared" si="0"/>
        <v>43.778864205320225</v>
      </c>
      <c r="F22" s="534">
        <f>SUM('Veh Maint Cost - US52'!$K22)/E22</f>
        <v>338340.06613618496</v>
      </c>
      <c r="G22" s="535">
        <f>SUM('Veh Maint Cost - US52'!$L22)/E22</f>
        <v>654436.04394563497</v>
      </c>
      <c r="H22" s="536">
        <f>SUM('Veh Maint Cost - US52'!$K22)/C22</f>
        <v>227879.13554761698</v>
      </c>
      <c r="I22" s="535">
        <f>SUM('Veh Maint Cost - US52'!$L22)/C22</f>
        <v>440776.41075327585</v>
      </c>
      <c r="J22" s="363">
        <f t="shared" si="3"/>
        <v>32755392.805990718</v>
      </c>
      <c r="K22" s="363">
        <f t="shared" si="4"/>
        <v>22061444.517621391</v>
      </c>
      <c r="L22" s="360">
        <f t="shared" si="1"/>
        <v>110460.93058856798</v>
      </c>
      <c r="M22" s="537">
        <f t="shared" si="5"/>
        <v>10693948.288369328</v>
      </c>
      <c r="N22" s="367">
        <f>M22*(1+Assumptions!$C$10)^-($B22-Assumptions!$C$3)</f>
        <v>5807173.1316325516</v>
      </c>
      <c r="P22" s="470" t="s">
        <v>916</v>
      </c>
      <c r="Q22" s="531">
        <v>120</v>
      </c>
      <c r="T22" s="530">
        <v>2038</v>
      </c>
      <c r="U22" s="530">
        <f>IF($Q$24/(U49)*3600&gt;$Q$23,$Q$23,$Q$24/(U49)*3600)</f>
        <v>45.091918140825534</v>
      </c>
      <c r="V22" s="530">
        <f>IF($Q$24/(V49)*3600&gt;$Q$23,$Q$23,$Q$24/(V49)*3600)</f>
        <v>42.840665678035926</v>
      </c>
      <c r="W22" s="530">
        <f>IF($Q$24/(W49)*3600&gt;$Q$23,$Q$23,$Q$24/(W49)*3600)</f>
        <v>46.578287352203525</v>
      </c>
      <c r="X22" s="530">
        <f>IF($Q$24/(X49)*3600&gt;$Q$23,$Q$23,$Q$24/(X49)*3600)</f>
        <v>53.4612748457848</v>
      </c>
      <c r="Y22" s="530">
        <f>IF($Q$24/(Y49)*3600&gt;$Q$23,$Q$23,$Q$24/(Y49)*3600)</f>
        <v>56.155507559395268</v>
      </c>
      <c r="Z22" s="530">
        <f>IF($Q$24/(Z49)*3600&gt;$Q$23,$Q$23,$Q$24/(Z49)*3600)</f>
        <v>55.754110078627605</v>
      </c>
      <c r="AA22" s="530">
        <f>IF($Q$24/(AA49)*3600&gt;$Q$23,$Q$23,$Q$24/(AA49)*3600)</f>
        <v>57.038391224862885</v>
      </c>
      <c r="AB22" s="530">
        <f t="shared" si="6"/>
        <v>49.583319462441402</v>
      </c>
      <c r="AC22" s="539">
        <f t="shared" si="8"/>
        <v>0.76282029942217544</v>
      </c>
    </row>
    <row r="23" spans="1:29" x14ac:dyDescent="0.2">
      <c r="B23" s="532">
        <f t="shared" si="2"/>
        <v>2043</v>
      </c>
      <c r="C23" s="533">
        <f t="shared" si="7"/>
        <v>65</v>
      </c>
      <c r="D23" s="522">
        <f>C23-_xlfn.XLOOKUP($B23,'Travel Time - US52'!$T$7:$T$29,$AB$7:$AB$29,0,0,1)</f>
        <v>22.464199881928714</v>
      </c>
      <c r="E23" s="533">
        <f t="shared" si="0"/>
        <v>42.535800118071286</v>
      </c>
      <c r="F23" s="534">
        <f>SUM('Veh Maint Cost - US52'!$K23)/E23</f>
        <v>353419.73018953792</v>
      </c>
      <c r="G23" s="535">
        <f>SUM('Veh Maint Cost - US52'!$L23)/E23</f>
        <v>681750.50377366436</v>
      </c>
      <c r="H23" s="536">
        <f>SUM('Veh Maint Cost - US52'!$K23)/C23</f>
        <v>231276.78463269028</v>
      </c>
      <c r="I23" s="535">
        <f>SUM('Veh Maint Cost - US52'!$L23)/C23</f>
        <v>446135.43321401521</v>
      </c>
      <c r="J23" s="363">
        <f t="shared" si="3"/>
        <v>34154618.450869098</v>
      </c>
      <c r="K23" s="363">
        <f t="shared" si="4"/>
        <v>22350677.285156272</v>
      </c>
      <c r="L23" s="360">
        <f t="shared" si="1"/>
        <v>122142.94555684764</v>
      </c>
      <c r="M23" s="537">
        <f t="shared" si="5"/>
        <v>11803941.165712826</v>
      </c>
      <c r="N23" s="367">
        <f>M23*(1+Assumptions!$C$10)^-($B23-Assumptions!$C$3)</f>
        <v>6217203.2481361311</v>
      </c>
      <c r="P23" s="470" t="s">
        <v>12</v>
      </c>
      <c r="Q23" s="531">
        <v>65</v>
      </c>
      <c r="T23" s="530">
        <v>2039</v>
      </c>
      <c r="U23" s="530">
        <f>IF($Q$24/(U50)*3600&gt;$Q$23,$Q$23,$Q$24/(U50)*3600)</f>
        <v>43.785786460087579</v>
      </c>
      <c r="V23" s="530">
        <f>IF($Q$24/(V50)*3600&gt;$Q$23,$Q$23,$Q$24/(V50)*3600)</f>
        <v>41.659990386156068</v>
      </c>
      <c r="W23" s="530">
        <f>IF($Q$24/(W50)*3600&gt;$Q$23,$Q$23,$Q$24/(W50)*3600)</f>
        <v>45.185957594716733</v>
      </c>
      <c r="X23" s="530">
        <f>IF($Q$24/(X50)*3600&gt;$Q$23,$Q$23,$Q$24/(X50)*3600)</f>
        <v>51.635111876075747</v>
      </c>
      <c r="Y23" s="530">
        <f>IF($Q$24/(Y50)*3600&gt;$Q$23,$Q$23,$Q$24/(Y50)*3600)</f>
        <v>54.144106622240749</v>
      </c>
      <c r="Z23" s="530">
        <f>IF($Q$24/(Z50)*3600&gt;$Q$23,$Q$23,$Q$24/(Z50)*3600)</f>
        <v>53.770853439955893</v>
      </c>
      <c r="AA23" s="530">
        <f>IF($Q$24/(AA50)*3600&gt;$Q$23,$Q$23,$Q$24/(AA50)*3600)</f>
        <v>54.54545454545454</v>
      </c>
      <c r="AB23" s="530">
        <f t="shared" si="6"/>
        <v>47.991031105505556</v>
      </c>
      <c r="AC23" s="539">
        <f t="shared" si="8"/>
        <v>0.73832355546931627</v>
      </c>
    </row>
    <row r="24" spans="1:29" x14ac:dyDescent="0.2">
      <c r="B24" s="532">
        <f t="shared" si="2"/>
        <v>2044</v>
      </c>
      <c r="C24" s="533">
        <f t="shared" si="7"/>
        <v>65</v>
      </c>
      <c r="D24" s="522">
        <f>C24-_xlfn.XLOOKUP($B24,'Travel Time - US52'!$T$7:$T$29,$AB$7:$AB$29,0,0,1)</f>
        <v>23.638072348645515</v>
      </c>
      <c r="E24" s="533">
        <f t="shared" si="0"/>
        <v>41.361927651354485</v>
      </c>
      <c r="F24" s="534">
        <f>SUM('Veh Maint Cost - US52'!$K24)/E24</f>
        <v>368789.34464155982</v>
      </c>
      <c r="G24" s="535">
        <f>SUM('Veh Maint Cost - US52'!$L24)/E24</f>
        <v>709520.59744967252</v>
      </c>
      <c r="H24" s="536">
        <f>SUM('Veh Maint Cost - US52'!$K24)/C24</f>
        <v>234674.43371776358</v>
      </c>
      <c r="I24" s="535">
        <f>SUM('Veh Maint Cost - US52'!$L24)/C24</f>
        <v>451494.45567475638</v>
      </c>
      <c r="J24" s="363">
        <f t="shared" si="3"/>
        <v>35578471.241214938</v>
      </c>
      <c r="K24" s="363">
        <f t="shared" si="4"/>
        <v>22639910.052691206</v>
      </c>
      <c r="L24" s="360">
        <f t="shared" si="1"/>
        <v>134114.91092379624</v>
      </c>
      <c r="M24" s="537">
        <f t="shared" si="5"/>
        <v>12938561.188523732</v>
      </c>
      <c r="N24" s="367">
        <f>M24*(1+Assumptions!$C$10)^-($B24-Assumptions!$C$3)</f>
        <v>6609906.9798815027</v>
      </c>
      <c r="P24" s="470" t="s">
        <v>929</v>
      </c>
      <c r="Q24" s="539">
        <f>Q23/3600*Q22</f>
        <v>2.1666666666666665</v>
      </c>
      <c r="T24" s="530">
        <v>2040</v>
      </c>
      <c r="U24" s="530">
        <f>IF($Q$24/(U51)*3600&gt;$Q$23,$Q$23,$Q$24/(U51)*3600)</f>
        <v>42.553191489361708</v>
      </c>
      <c r="V24" s="530">
        <f>IF($Q$24/(V51)*3600&gt;$Q$23,$Q$23,$Q$24/(V51)*3600)</f>
        <v>40.542647746764395</v>
      </c>
      <c r="W24" s="530">
        <f>IF($Q$24/(W51)*3600&gt;$Q$23,$Q$23,$Q$24/(W51)*3600)</f>
        <v>43.874451569355394</v>
      </c>
      <c r="X24" s="530">
        <f>IF($Q$24/(X51)*3600&gt;$Q$23,$Q$23,$Q$24/(X51)*3600)</f>
        <v>49.929586480604293</v>
      </c>
      <c r="Y24" s="530">
        <f>IF($Q$24/(Y51)*3600&gt;$Q$23,$Q$23,$Q$24/(Y51)*3600)</f>
        <v>52.271813429835156</v>
      </c>
      <c r="Z24" s="530">
        <f>IF($Q$24/(Z51)*3600&gt;$Q$23,$Q$23,$Q$24/(Z51)*3600)</f>
        <v>51.923845027293318</v>
      </c>
      <c r="AA24" s="530">
        <f>IF($Q$24/(AA51)*3600&gt;$Q$23,$Q$23,$Q$24/(AA51)*3600)</f>
        <v>52.261306532663312</v>
      </c>
      <c r="AB24" s="530">
        <f t="shared" si="6"/>
        <v>46.498830429165501</v>
      </c>
      <c r="AC24" s="539">
        <f t="shared" si="8"/>
        <v>0.71536662198716161</v>
      </c>
    </row>
    <row r="25" spans="1:29" ht="12.75" thickBot="1" x14ac:dyDescent="0.25">
      <c r="B25" s="548">
        <f t="shared" si="2"/>
        <v>2045</v>
      </c>
      <c r="C25" s="549">
        <f t="shared" si="7"/>
        <v>65</v>
      </c>
      <c r="D25" s="550">
        <f>C25-_xlfn.XLOOKUP($B25,'Travel Time - US52'!$T$7:$T$29,$AB$7:$AB$29,0,0,1)</f>
        <v>24.748415855209309</v>
      </c>
      <c r="E25" s="549">
        <f t="shared" si="0"/>
        <v>40.251584144790691</v>
      </c>
      <c r="F25" s="551">
        <f>SUM('Veh Maint Cost - US52'!$K25)/E25</f>
        <v>384449.10209048388</v>
      </c>
      <c r="G25" s="552">
        <f>SUM('Veh Maint Cost - US52'!$L25)/E25</f>
        <v>737746.76723252621</v>
      </c>
      <c r="H25" s="553">
        <f>SUM('Veh Maint Cost - US52'!$K25)/C25</f>
        <v>238072.08280283597</v>
      </c>
      <c r="I25" s="552">
        <f>SUM('Veh Maint Cost - US52'!$L25)/C25</f>
        <v>456853.47813549754</v>
      </c>
      <c r="J25" s="481">
        <f t="shared" si="3"/>
        <v>37026972.10508626</v>
      </c>
      <c r="K25" s="481">
        <f t="shared" si="4"/>
        <v>22929142.820226111</v>
      </c>
      <c r="L25" s="478">
        <f t="shared" si="1"/>
        <v>146377.01928764791</v>
      </c>
      <c r="M25" s="554">
        <f t="shared" si="5"/>
        <v>14097829.284860149</v>
      </c>
      <c r="N25" s="485">
        <f>M25*(1+Assumptions!$C$10)^-($B25-Assumptions!$C$3)</f>
        <v>6985587.6419928446</v>
      </c>
      <c r="T25" s="530">
        <v>2041</v>
      </c>
      <c r="U25" s="530">
        <f>IF($Q$24/(U52)*3600&gt;$Q$23,$Q$23,$Q$24/(U52)*3600)</f>
        <v>41.388092964024203</v>
      </c>
      <c r="V25" s="530">
        <f>IF($Q$24/(V52)*3600&gt;$Q$23,$Q$23,$Q$24/(V52)*3600)</f>
        <v>39.483675018982538</v>
      </c>
      <c r="W25" s="530">
        <f>IF($Q$24/(W52)*3600&gt;$Q$23,$Q$23,$Q$24/(W52)*3600)</f>
        <v>42.636930141029858</v>
      </c>
      <c r="X25" s="530">
        <f>IF($Q$24/(X52)*3600&gt;$Q$23,$Q$23,$Q$24/(X52)*3600)</f>
        <v>48.333126781509499</v>
      </c>
      <c r="Y25" s="530">
        <f>IF($Q$24/(Y52)*3600&gt;$Q$23,$Q$23,$Q$24/(Y52)*3600)</f>
        <v>50.524679362611757</v>
      </c>
      <c r="Z25" s="530">
        <f>IF($Q$24/(Z52)*3600&gt;$Q$23,$Q$23,$Q$24/(Z52)*3600)</f>
        <v>50.199510876560709</v>
      </c>
      <c r="AA25" s="530">
        <f>IF($Q$24/(AA52)*3600&gt;$Q$23,$Q$23,$Q$24/(AA52)*3600)</f>
        <v>50.160771704180064</v>
      </c>
      <c r="AB25" s="530">
        <f t="shared" si="6"/>
        <v>45.097482550994947</v>
      </c>
      <c r="AC25" s="539">
        <f t="shared" si="8"/>
        <v>0.69380742386146077</v>
      </c>
    </row>
    <row r="26" spans="1:29" ht="12.75" thickBot="1" x14ac:dyDescent="0.25">
      <c r="C26" s="555"/>
      <c r="D26" s="556"/>
      <c r="E26" s="555"/>
      <c r="F26" s="555"/>
      <c r="G26" s="557"/>
      <c r="H26" s="557"/>
      <c r="I26" s="557"/>
      <c r="J26" s="557"/>
      <c r="K26" s="557"/>
      <c r="M26" s="321" t="s">
        <v>42</v>
      </c>
      <c r="N26" s="558">
        <f>SUM(N6:N25)</f>
        <v>60739637.623206712</v>
      </c>
      <c r="T26" s="530">
        <v>2042</v>
      </c>
      <c r="U26" s="530">
        <f>IF($Q$24/(U53)*3600&gt;$Q$23,$Q$23,$Q$24/(U53)*3600)</f>
        <v>40.285094515029449</v>
      </c>
      <c r="V26" s="530">
        <f>IF($Q$24/(V53)*3600&gt;$Q$23,$Q$23,$Q$24/(V53)*3600)</f>
        <v>38.478614769868294</v>
      </c>
      <c r="W26" s="530">
        <f>IF($Q$24/(W53)*3600&gt;$Q$23,$Q$23,$Q$24/(W53)*3600)</f>
        <v>41.467304625199375</v>
      </c>
      <c r="X26" s="530">
        <f>IF($Q$24/(X53)*3600&gt;$Q$23,$Q$23,$Q$24/(X53)*3600)</f>
        <v>46.835595052239718</v>
      </c>
      <c r="Y26" s="530">
        <f>IF($Q$24/(Y53)*3600&gt;$Q$23,$Q$23,$Q$24/(Y53)*3600)</f>
        <v>48.890560361038006</v>
      </c>
      <c r="Z26" s="530">
        <f>IF($Q$24/(Z53)*3600&gt;$Q$23,$Q$23,$Q$24/(Z53)*3600)</f>
        <v>48.586022175158853</v>
      </c>
      <c r="AA26" s="530">
        <f>IF($Q$24/(AA53)*3600&gt;$Q$23,$Q$23,$Q$24/(AA53)*3600)</f>
        <v>48.222565687789796</v>
      </c>
      <c r="AB26" s="530">
        <f t="shared" si="6"/>
        <v>43.778864205320225</v>
      </c>
      <c r="AC26" s="539">
        <f t="shared" si="8"/>
        <v>0.67352098777415736</v>
      </c>
    </row>
    <row r="27" spans="1:29" x14ac:dyDescent="0.2">
      <c r="N27" s="409"/>
      <c r="T27" s="530">
        <v>2043</v>
      </c>
      <c r="U27" s="530">
        <f>IF($Q$24/(U54)*3600&gt;$Q$23,$Q$23,$Q$24/(U54)*3600)</f>
        <v>39.239360096589202</v>
      </c>
      <c r="V27" s="530">
        <f>IF($Q$24/(V54)*3600&gt;$Q$23,$Q$23,$Q$24/(V54)*3600)</f>
        <v>37.523452157598506</v>
      </c>
      <c r="W27" s="530">
        <f>IF($Q$24/(W54)*3600&gt;$Q$23,$Q$23,$Q$24/(W54)*3600)</f>
        <v>40.360136603539289</v>
      </c>
      <c r="X27" s="530">
        <f>IF($Q$24/(X54)*3600&gt;$Q$23,$Q$23,$Q$24/(X54)*3600)</f>
        <v>45.428072218986621</v>
      </c>
      <c r="Y27" s="530">
        <f>IF($Q$24/(Y54)*3600&gt;$Q$23,$Q$23,$Q$24/(Y54)*3600)</f>
        <v>47.358834244080164</v>
      </c>
      <c r="Z27" s="530">
        <f>IF($Q$24/(Z54)*3600&gt;$Q$23,$Q$23,$Q$24/(Z54)*3600)</f>
        <v>47.073023536511784</v>
      </c>
      <c r="AA27" s="530">
        <f>IF($Q$24/(AA54)*3600&gt;$Q$23,$Q$23,$Q$24/(AA54)*3600)</f>
        <v>46.428571428571423</v>
      </c>
      <c r="AB27" s="530">
        <f t="shared" si="6"/>
        <v>42.535800118071286</v>
      </c>
      <c r="AC27" s="539">
        <f t="shared" si="8"/>
        <v>0.6543969248934044</v>
      </c>
    </row>
    <row r="28" spans="1:29" x14ac:dyDescent="0.2">
      <c r="B28" s="289" t="s">
        <v>131</v>
      </c>
      <c r="T28" s="530">
        <v>2044</v>
      </c>
      <c r="U28" s="530">
        <f>IF($Q$24/(U55)*3600&gt;$Q$23,$Q$23,$Q$24/(U55)*3600)</f>
        <v>38.246543100912042</v>
      </c>
      <c r="V28" s="530">
        <f>IF($Q$24/(V55)*3600&gt;$Q$23,$Q$23,$Q$24/(V55)*3600)</f>
        <v>36.614561329390234</v>
      </c>
      <c r="W28" s="530">
        <f>IF($Q$24/(W55)*3600&gt;$Q$23,$Q$23,$Q$24/(W55)*3600)</f>
        <v>39.310553371635933</v>
      </c>
      <c r="X28" s="530">
        <f>IF($Q$24/(X55)*3600&gt;$Q$23,$Q$23,$Q$24/(X55)*3600)</f>
        <v>44.102680085943703</v>
      </c>
      <c r="Y28" s="530">
        <f>IF($Q$24/(Y55)*3600&gt;$Q$23,$Q$23,$Q$24/(Y55)*3600)</f>
        <v>45.920169551395283</v>
      </c>
      <c r="Z28" s="530">
        <f>IF($Q$24/(Z55)*3600&gt;$Q$23,$Q$23,$Q$24/(Z55)*3600)</f>
        <v>45.651410511529924</v>
      </c>
      <c r="AA28" s="530">
        <f>IF($Q$24/(AA55)*3600&gt;$Q$23,$Q$23,$Q$24/(AA55)*3600)</f>
        <v>44.763271162123388</v>
      </c>
      <c r="AB28" s="530">
        <f t="shared" si="6"/>
        <v>41.361927651354485</v>
      </c>
      <c r="AC28" s="539">
        <f t="shared" si="8"/>
        <v>0.63633734848237666</v>
      </c>
    </row>
    <row r="29" spans="1:29" x14ac:dyDescent="0.2">
      <c r="A29" s="290" t="s">
        <v>44</v>
      </c>
      <c r="B29" s="290" t="s">
        <v>949</v>
      </c>
      <c r="H29" s="508"/>
      <c r="I29" s="508"/>
      <c r="J29" s="508"/>
      <c r="K29" s="508"/>
      <c r="L29" s="508"/>
      <c r="M29" s="508"/>
      <c r="T29" s="299">
        <v>2045</v>
      </c>
      <c r="U29" s="530">
        <f>IF($Q$24/(U56)*3600&gt;$Q$23,$Q$23,$Q$24/(U56)*3600)</f>
        <v>37.302725968436164</v>
      </c>
      <c r="V29" s="530">
        <f>IF($Q$24/(V56)*3600&gt;$Q$23,$Q$23,$Q$24/(V56)*3600)</f>
        <v>35.748659425271562</v>
      </c>
      <c r="W29" s="530">
        <f>IF($Q$24/(W56)*3600&gt;$Q$23,$Q$23,$Q$24/(W56)*3600)</f>
        <v>38.314176245210739</v>
      </c>
      <c r="X29" s="530">
        <f>IF($Q$24/(X56)*3600&gt;$Q$23,$Q$23,$Q$24/(X56)*3600)</f>
        <v>42.852433798483695</v>
      </c>
      <c r="Y29" s="530">
        <f>IF($Q$24/(Y56)*3600&gt;$Q$23,$Q$23,$Q$24/(Y56)*3600)</f>
        <v>44.566335275968477</v>
      </c>
      <c r="Z29" s="530">
        <f>IF($Q$24/(Z56)*3600&gt;$Q$23,$Q$23,$Q$24/(Z56)*3600)</f>
        <v>44.313146233382589</v>
      </c>
      <c r="AA29" s="530">
        <f>IF($Q$24/(AA56)*3600&gt;$Q$23,$Q$23,$Q$24/(AA56)*3600)</f>
        <v>43.21329639889197</v>
      </c>
      <c r="AB29" s="530">
        <f t="shared" si="6"/>
        <v>40.251584144790691</v>
      </c>
      <c r="AC29" s="539">
        <f t="shared" si="8"/>
        <v>0.6192551406890876</v>
      </c>
    </row>
    <row r="30" spans="1:29" x14ac:dyDescent="0.2">
      <c r="A30" s="290" t="s">
        <v>45</v>
      </c>
      <c r="B30" s="559" t="s">
        <v>958</v>
      </c>
      <c r="C30" s="559"/>
      <c r="D30" s="559"/>
      <c r="E30" s="559"/>
      <c r="F30" s="559"/>
      <c r="G30" s="559"/>
    </row>
    <row r="31" spans="1:29" x14ac:dyDescent="0.2">
      <c r="B31" s="559"/>
      <c r="C31" s="559"/>
      <c r="D31" s="559"/>
      <c r="E31" s="559"/>
      <c r="F31" s="559"/>
      <c r="G31" s="559"/>
      <c r="T31" s="289" t="s">
        <v>932</v>
      </c>
    </row>
    <row r="32" spans="1:29" x14ac:dyDescent="0.2">
      <c r="B32" s="559"/>
      <c r="C32" s="559"/>
      <c r="D32" s="559"/>
      <c r="E32" s="559"/>
      <c r="F32" s="559"/>
      <c r="G32" s="559"/>
      <c r="T32" s="530" t="s">
        <v>926</v>
      </c>
      <c r="U32" s="299">
        <f>'Veh Maint Cost - US52'!V14</f>
        <v>3.8290000000000077</v>
      </c>
      <c r="V32" s="299">
        <f>'Veh Maint Cost - US52'!W14</f>
        <v>6.8839999999999861</v>
      </c>
      <c r="W32" s="299">
        <f>'Veh Maint Cost - US52'!X14</f>
        <v>15.827000000000027</v>
      </c>
      <c r="X32" s="299">
        <f>'Veh Maint Cost - US52'!Y14</f>
        <v>2.2680000000000007</v>
      </c>
      <c r="Y32" s="299">
        <f>'Veh Maint Cost - US52'!Z14</f>
        <v>14.020999999999987</v>
      </c>
      <c r="Z32" s="299">
        <f>'Veh Maint Cost - US52'!AA14</f>
        <v>1.5480000000000018</v>
      </c>
      <c r="AA32" s="299">
        <f>'Veh Maint Cost - US52'!AB14</f>
        <v>9.1000000000008185E-2</v>
      </c>
    </row>
    <row r="33" spans="1:27" x14ac:dyDescent="0.2">
      <c r="A33" s="290" t="s">
        <v>96</v>
      </c>
      <c r="B33" s="491" t="s">
        <v>930</v>
      </c>
      <c r="C33" s="491"/>
      <c r="D33" s="491"/>
      <c r="E33" s="491"/>
      <c r="F33" s="491"/>
      <c r="G33" s="491"/>
      <c r="T33" s="530" t="s">
        <v>38</v>
      </c>
      <c r="U33" s="299" t="s">
        <v>60</v>
      </c>
      <c r="V33" s="299" t="s">
        <v>64</v>
      </c>
      <c r="W33" s="299" t="s">
        <v>65</v>
      </c>
      <c r="X33" s="299" t="s">
        <v>67</v>
      </c>
      <c r="Y33" s="299" t="s">
        <v>70</v>
      </c>
      <c r="Z33" s="299" t="s">
        <v>71</v>
      </c>
      <c r="AA33" s="299" t="s">
        <v>72</v>
      </c>
    </row>
    <row r="34" spans="1:27" x14ac:dyDescent="0.2">
      <c r="B34" s="491"/>
      <c r="C34" s="491"/>
      <c r="D34" s="491"/>
      <c r="E34" s="491"/>
      <c r="F34" s="491"/>
      <c r="G34" s="491"/>
      <c r="T34" s="530">
        <f>'Veh Maint Cost - US52'!U17</f>
        <v>2023</v>
      </c>
      <c r="U34" s="560">
        <f>'Veh Maint Cost - US52'!V17</f>
        <v>95.58</v>
      </c>
      <c r="V34" s="560">
        <f>'Veh Maint Cost - US52'!W17</f>
        <v>104.67</v>
      </c>
      <c r="W34" s="560">
        <f>'Veh Maint Cost - US52'!X17</f>
        <v>90.06</v>
      </c>
      <c r="X34" s="560">
        <f>'Veh Maint Cost - US52'!Y17</f>
        <v>68.5</v>
      </c>
      <c r="Y34" s="560">
        <f>'Veh Maint Cost - US52'!Z17</f>
        <v>61.5</v>
      </c>
      <c r="Z34" s="560">
        <f>'Veh Maint Cost - US52'!AA17</f>
        <v>62.5</v>
      </c>
      <c r="AA34" s="560">
        <f>'Veh Maint Cost - US52'!AB17</f>
        <v>43</v>
      </c>
    </row>
    <row r="35" spans="1:27" x14ac:dyDescent="0.2">
      <c r="B35" s="491"/>
      <c r="C35" s="491"/>
      <c r="D35" s="491"/>
      <c r="E35" s="491"/>
      <c r="F35" s="491"/>
      <c r="G35" s="491"/>
      <c r="T35" s="530">
        <f>'Veh Maint Cost - US52'!U18</f>
        <v>2024</v>
      </c>
      <c r="U35" s="560">
        <f>'Veh Maint Cost - US52'!V18</f>
        <v>100.74</v>
      </c>
      <c r="V35" s="560">
        <f>'Veh Maint Cost - US52'!W18</f>
        <v>109.83</v>
      </c>
      <c r="W35" s="560">
        <f>'Veh Maint Cost - US52'!X18</f>
        <v>95.22</v>
      </c>
      <c r="X35" s="560">
        <f>'Veh Maint Cost - US52'!Y18</f>
        <v>73.66</v>
      </c>
      <c r="Y35" s="560">
        <f>'Veh Maint Cost - US52'!Z18</f>
        <v>66.66</v>
      </c>
      <c r="Z35" s="560">
        <f>'Veh Maint Cost - US52'!AA18</f>
        <v>67.66</v>
      </c>
      <c r="AA35" s="560">
        <f>'Veh Maint Cost - US52'!AB18</f>
        <v>49.25</v>
      </c>
    </row>
    <row r="36" spans="1:27" x14ac:dyDescent="0.2">
      <c r="B36" s="491"/>
      <c r="C36" s="491"/>
      <c r="D36" s="491"/>
      <c r="E36" s="491"/>
      <c r="F36" s="491"/>
      <c r="G36" s="491"/>
      <c r="T36" s="530">
        <f>'Veh Maint Cost - US52'!U19</f>
        <v>2025</v>
      </c>
      <c r="U36" s="560">
        <f>'Veh Maint Cost - US52'!V19</f>
        <v>105.89999999999999</v>
      </c>
      <c r="V36" s="560">
        <f>'Veh Maint Cost - US52'!W19</f>
        <v>114.99</v>
      </c>
      <c r="W36" s="560">
        <f>'Veh Maint Cost - US52'!X19</f>
        <v>100.38</v>
      </c>
      <c r="X36" s="560">
        <f>'Veh Maint Cost - US52'!Y19</f>
        <v>78.819999999999993</v>
      </c>
      <c r="Y36" s="560">
        <f>'Veh Maint Cost - US52'!Z19</f>
        <v>71.819999999999993</v>
      </c>
      <c r="Z36" s="560">
        <f>'Veh Maint Cost - US52'!AA19</f>
        <v>72.819999999999993</v>
      </c>
      <c r="AA36" s="560">
        <f>'Veh Maint Cost - US52'!AB19</f>
        <v>55.5</v>
      </c>
    </row>
    <row r="37" spans="1:27" x14ac:dyDescent="0.2">
      <c r="B37" s="491"/>
      <c r="C37" s="491"/>
      <c r="D37" s="491"/>
      <c r="E37" s="491"/>
      <c r="F37" s="491"/>
      <c r="G37" s="491"/>
      <c r="T37" s="530">
        <f>'Veh Maint Cost - US52'!U20</f>
        <v>2026</v>
      </c>
      <c r="U37" s="560">
        <f>'Veh Maint Cost - US52'!V20</f>
        <v>111.05999999999999</v>
      </c>
      <c r="V37" s="560">
        <f>'Veh Maint Cost - US52'!W20</f>
        <v>120.14999999999999</v>
      </c>
      <c r="W37" s="560">
        <f>'Veh Maint Cost - US52'!X20</f>
        <v>105.53999999999999</v>
      </c>
      <c r="X37" s="560">
        <f>'Veh Maint Cost - US52'!Y20</f>
        <v>83.97999999999999</v>
      </c>
      <c r="Y37" s="560">
        <f>'Veh Maint Cost - US52'!Z20</f>
        <v>76.97999999999999</v>
      </c>
      <c r="Z37" s="560">
        <f>'Veh Maint Cost - US52'!AA20</f>
        <v>77.97999999999999</v>
      </c>
      <c r="AA37" s="560">
        <f>'Veh Maint Cost - US52'!AB20</f>
        <v>61.75</v>
      </c>
    </row>
    <row r="38" spans="1:27" x14ac:dyDescent="0.2">
      <c r="B38" s="491"/>
      <c r="C38" s="491"/>
      <c r="D38" s="491"/>
      <c r="E38" s="491"/>
      <c r="F38" s="491"/>
      <c r="G38" s="491"/>
      <c r="T38" s="530">
        <f>'Veh Maint Cost - US52'!U21</f>
        <v>2027</v>
      </c>
      <c r="U38" s="560">
        <f>'Veh Maint Cost - US52'!V21</f>
        <v>116.21999999999998</v>
      </c>
      <c r="V38" s="560">
        <f>'Veh Maint Cost - US52'!W21</f>
        <v>125.30999999999999</v>
      </c>
      <c r="W38" s="560">
        <f>'Veh Maint Cost - US52'!X21</f>
        <v>110.69999999999999</v>
      </c>
      <c r="X38" s="560">
        <f>'Veh Maint Cost - US52'!Y21</f>
        <v>89.139999999999986</v>
      </c>
      <c r="Y38" s="560">
        <f>'Veh Maint Cost - US52'!Z21</f>
        <v>82.139999999999986</v>
      </c>
      <c r="Z38" s="560">
        <f>'Veh Maint Cost - US52'!AA21</f>
        <v>83.139999999999986</v>
      </c>
      <c r="AA38" s="560">
        <f>'Veh Maint Cost - US52'!AB21</f>
        <v>68</v>
      </c>
    </row>
    <row r="39" spans="1:27" x14ac:dyDescent="0.2">
      <c r="B39" s="491"/>
      <c r="C39" s="491"/>
      <c r="D39" s="491"/>
      <c r="E39" s="491"/>
      <c r="F39" s="491"/>
      <c r="G39" s="491"/>
      <c r="T39" s="530">
        <f>'Veh Maint Cost - US52'!U22</f>
        <v>2028</v>
      </c>
      <c r="U39" s="560">
        <f>'Veh Maint Cost - US52'!V22</f>
        <v>121.37999999999998</v>
      </c>
      <c r="V39" s="560">
        <f>'Veh Maint Cost - US52'!W22</f>
        <v>130.47</v>
      </c>
      <c r="W39" s="560">
        <f>'Veh Maint Cost - US52'!X22</f>
        <v>115.85999999999999</v>
      </c>
      <c r="X39" s="560">
        <f>'Veh Maint Cost - US52'!Y22</f>
        <v>94.299999999999983</v>
      </c>
      <c r="Y39" s="560">
        <f>'Veh Maint Cost - US52'!Z22</f>
        <v>87.299999999999983</v>
      </c>
      <c r="Z39" s="560">
        <f>'Veh Maint Cost - US52'!AA22</f>
        <v>88.299999999999983</v>
      </c>
      <c r="AA39" s="560">
        <f>'Veh Maint Cost - US52'!AB22</f>
        <v>74.25</v>
      </c>
    </row>
    <row r="40" spans="1:27" x14ac:dyDescent="0.2">
      <c r="B40" s="491"/>
      <c r="C40" s="491"/>
      <c r="D40" s="491"/>
      <c r="E40" s="491"/>
      <c r="F40" s="491"/>
      <c r="G40" s="491"/>
      <c r="T40" s="530">
        <f>'Veh Maint Cost - US52'!U23</f>
        <v>2029</v>
      </c>
      <c r="U40" s="560">
        <f>'Veh Maint Cost - US52'!V23</f>
        <v>126.53999999999998</v>
      </c>
      <c r="V40" s="560">
        <f>'Veh Maint Cost - US52'!W23</f>
        <v>135.63</v>
      </c>
      <c r="W40" s="560">
        <f>'Veh Maint Cost - US52'!X23</f>
        <v>121.01999999999998</v>
      </c>
      <c r="X40" s="560">
        <f>'Veh Maint Cost - US52'!Y23</f>
        <v>99.45999999999998</v>
      </c>
      <c r="Y40" s="560">
        <f>'Veh Maint Cost - US52'!Z23</f>
        <v>92.45999999999998</v>
      </c>
      <c r="Z40" s="560">
        <f>'Veh Maint Cost - US52'!AA23</f>
        <v>93.45999999999998</v>
      </c>
      <c r="AA40" s="560">
        <f>'Veh Maint Cost - US52'!AB23</f>
        <v>80.5</v>
      </c>
    </row>
    <row r="41" spans="1:27" x14ac:dyDescent="0.2">
      <c r="B41" s="491"/>
      <c r="C41" s="491"/>
      <c r="D41" s="491"/>
      <c r="E41" s="491"/>
      <c r="F41" s="491"/>
      <c r="G41" s="491"/>
      <c r="T41" s="530">
        <f>'Veh Maint Cost - US52'!U24</f>
        <v>2030</v>
      </c>
      <c r="U41" s="560">
        <f>'Veh Maint Cost - US52'!V24</f>
        <v>131.69999999999999</v>
      </c>
      <c r="V41" s="560">
        <f>'Veh Maint Cost - US52'!W24</f>
        <v>140.79</v>
      </c>
      <c r="W41" s="560">
        <f>'Veh Maint Cost - US52'!X24</f>
        <v>126.17999999999998</v>
      </c>
      <c r="X41" s="560">
        <f>'Veh Maint Cost - US52'!Y24</f>
        <v>104.61999999999998</v>
      </c>
      <c r="Y41" s="560">
        <f>'Veh Maint Cost - US52'!Z24</f>
        <v>97.619999999999976</v>
      </c>
      <c r="Z41" s="560">
        <f>'Veh Maint Cost - US52'!AA24</f>
        <v>98.619999999999976</v>
      </c>
      <c r="AA41" s="560">
        <f>'Veh Maint Cost - US52'!AB24</f>
        <v>86.75</v>
      </c>
    </row>
    <row r="42" spans="1:27" x14ac:dyDescent="0.2">
      <c r="B42" s="491"/>
      <c r="C42" s="491"/>
      <c r="D42" s="491"/>
      <c r="E42" s="491"/>
      <c r="F42" s="491"/>
      <c r="G42" s="491"/>
      <c r="T42" s="530">
        <f>'Veh Maint Cost - US52'!U25</f>
        <v>2031</v>
      </c>
      <c r="U42" s="560">
        <f>'Veh Maint Cost - US52'!V25</f>
        <v>136.85999999999999</v>
      </c>
      <c r="V42" s="560">
        <f>'Veh Maint Cost - US52'!W25</f>
        <v>145.94999999999999</v>
      </c>
      <c r="W42" s="560">
        <f>'Veh Maint Cost - US52'!X25</f>
        <v>131.33999999999997</v>
      </c>
      <c r="X42" s="560">
        <f>'Veh Maint Cost - US52'!Y25</f>
        <v>109.77999999999997</v>
      </c>
      <c r="Y42" s="560">
        <f>'Veh Maint Cost - US52'!Z25</f>
        <v>102.77999999999997</v>
      </c>
      <c r="Z42" s="560">
        <f>'Veh Maint Cost - US52'!AA25</f>
        <v>103.77999999999997</v>
      </c>
      <c r="AA42" s="560">
        <f>'Veh Maint Cost - US52'!AB25</f>
        <v>93</v>
      </c>
    </row>
    <row r="43" spans="1:27" x14ac:dyDescent="0.2">
      <c r="B43" s="491"/>
      <c r="C43" s="491"/>
      <c r="D43" s="491"/>
      <c r="E43" s="491"/>
      <c r="F43" s="491"/>
      <c r="G43" s="491"/>
      <c r="T43" s="530">
        <f>'Veh Maint Cost - US52'!U26</f>
        <v>2032</v>
      </c>
      <c r="U43" s="560">
        <f>'Veh Maint Cost - US52'!V26</f>
        <v>142.01999999999998</v>
      </c>
      <c r="V43" s="560">
        <f>'Veh Maint Cost - US52'!W26</f>
        <v>151.10999999999999</v>
      </c>
      <c r="W43" s="560">
        <f>'Veh Maint Cost - US52'!X26</f>
        <v>136.49999999999997</v>
      </c>
      <c r="X43" s="560">
        <f>'Veh Maint Cost - US52'!Y26</f>
        <v>114.93999999999997</v>
      </c>
      <c r="Y43" s="560">
        <f>'Veh Maint Cost - US52'!Z26</f>
        <v>107.93999999999997</v>
      </c>
      <c r="Z43" s="560">
        <f>'Veh Maint Cost - US52'!AA26</f>
        <v>108.93999999999997</v>
      </c>
      <c r="AA43" s="560">
        <f>'Veh Maint Cost - US52'!AB26</f>
        <v>99.25</v>
      </c>
    </row>
    <row r="44" spans="1:27" x14ac:dyDescent="0.2">
      <c r="B44" s="491"/>
      <c r="C44" s="491"/>
      <c r="D44" s="491"/>
      <c r="E44" s="491"/>
      <c r="F44" s="491"/>
      <c r="G44" s="491"/>
      <c r="T44" s="530">
        <f>'Veh Maint Cost - US52'!U27</f>
        <v>2033</v>
      </c>
      <c r="U44" s="560">
        <f>'Veh Maint Cost - US52'!V27</f>
        <v>147.17999999999998</v>
      </c>
      <c r="V44" s="560">
        <f>'Veh Maint Cost - US52'!W27</f>
        <v>156.26999999999998</v>
      </c>
      <c r="W44" s="560">
        <f>'Veh Maint Cost - US52'!X27</f>
        <v>141.65999999999997</v>
      </c>
      <c r="X44" s="560">
        <f>'Veh Maint Cost - US52'!Y27</f>
        <v>120.09999999999997</v>
      </c>
      <c r="Y44" s="560">
        <f>'Veh Maint Cost - US52'!Z27</f>
        <v>113.09999999999997</v>
      </c>
      <c r="Z44" s="560">
        <f>'Veh Maint Cost - US52'!AA27</f>
        <v>114.09999999999997</v>
      </c>
      <c r="AA44" s="560">
        <f>'Veh Maint Cost - US52'!AB27</f>
        <v>105.5</v>
      </c>
    </row>
    <row r="45" spans="1:27" x14ac:dyDescent="0.2">
      <c r="B45" s="491"/>
      <c r="C45" s="491"/>
      <c r="D45" s="491"/>
      <c r="E45" s="491"/>
      <c r="F45" s="491"/>
      <c r="G45" s="491"/>
      <c r="T45" s="530">
        <f>'Veh Maint Cost - US52'!U28</f>
        <v>2034</v>
      </c>
      <c r="U45" s="560">
        <f>'Veh Maint Cost - US52'!V28</f>
        <v>152.33999999999997</v>
      </c>
      <c r="V45" s="560">
        <f>'Veh Maint Cost - US52'!W28</f>
        <v>161.42999999999998</v>
      </c>
      <c r="W45" s="560">
        <f>'Veh Maint Cost - US52'!X28</f>
        <v>146.81999999999996</v>
      </c>
      <c r="X45" s="560">
        <f>'Veh Maint Cost - US52'!Y28</f>
        <v>125.25999999999996</v>
      </c>
      <c r="Y45" s="560">
        <f>'Veh Maint Cost - US52'!Z28</f>
        <v>118.25999999999996</v>
      </c>
      <c r="Z45" s="560">
        <f>'Veh Maint Cost - US52'!AA28</f>
        <v>119.25999999999996</v>
      </c>
      <c r="AA45" s="560">
        <f>'Veh Maint Cost - US52'!AB28</f>
        <v>111.75</v>
      </c>
    </row>
    <row r="46" spans="1:27" x14ac:dyDescent="0.2">
      <c r="B46" s="491"/>
      <c r="C46" s="491"/>
      <c r="D46" s="491"/>
      <c r="E46" s="491"/>
      <c r="F46" s="491"/>
      <c r="G46" s="491"/>
      <c r="T46" s="530">
        <f>'Veh Maint Cost - US52'!U29</f>
        <v>2035</v>
      </c>
      <c r="U46" s="560">
        <f>'Veh Maint Cost - US52'!V29</f>
        <v>157.49999999999997</v>
      </c>
      <c r="V46" s="560">
        <f>'Veh Maint Cost - US52'!W29</f>
        <v>166.58999999999997</v>
      </c>
      <c r="W46" s="560">
        <f>'Veh Maint Cost - US52'!X29</f>
        <v>151.97999999999996</v>
      </c>
      <c r="X46" s="560">
        <f>'Veh Maint Cost - US52'!Y29</f>
        <v>130.41999999999996</v>
      </c>
      <c r="Y46" s="560">
        <f>'Veh Maint Cost - US52'!Z29</f>
        <v>123.41999999999996</v>
      </c>
      <c r="Z46" s="560">
        <f>'Veh Maint Cost - US52'!AA29</f>
        <v>124.41999999999996</v>
      </c>
      <c r="AA46" s="560">
        <f>'Veh Maint Cost - US52'!AB29</f>
        <v>118</v>
      </c>
    </row>
    <row r="47" spans="1:27" x14ac:dyDescent="0.2">
      <c r="B47" s="491"/>
      <c r="C47" s="491"/>
      <c r="D47" s="491"/>
      <c r="E47" s="491"/>
      <c r="F47" s="491"/>
      <c r="G47" s="491"/>
      <c r="T47" s="530">
        <f>'Veh Maint Cost - US52'!U30</f>
        <v>2036</v>
      </c>
      <c r="U47" s="560">
        <f>'Veh Maint Cost - US52'!V30</f>
        <v>162.65999999999997</v>
      </c>
      <c r="V47" s="560">
        <f>'Veh Maint Cost - US52'!W30</f>
        <v>171.74999999999997</v>
      </c>
      <c r="W47" s="560">
        <f>'Veh Maint Cost - US52'!X30</f>
        <v>157.13999999999996</v>
      </c>
      <c r="X47" s="560">
        <f>'Veh Maint Cost - US52'!Y30</f>
        <v>135.57999999999996</v>
      </c>
      <c r="Y47" s="560">
        <f>'Veh Maint Cost - US52'!Z30</f>
        <v>128.57999999999996</v>
      </c>
      <c r="Z47" s="560">
        <f>'Veh Maint Cost - US52'!AA30</f>
        <v>129.57999999999996</v>
      </c>
      <c r="AA47" s="560">
        <f>'Veh Maint Cost - US52'!AB30</f>
        <v>124.25</v>
      </c>
    </row>
    <row r="48" spans="1:27" x14ac:dyDescent="0.2">
      <c r="B48" s="491"/>
      <c r="C48" s="491"/>
      <c r="D48" s="491"/>
      <c r="E48" s="491"/>
      <c r="F48" s="491"/>
      <c r="G48" s="491"/>
      <c r="T48" s="530">
        <f>'Veh Maint Cost - US52'!U31</f>
        <v>2037</v>
      </c>
      <c r="U48" s="560">
        <f>'Veh Maint Cost - US52'!V31</f>
        <v>167.81999999999996</v>
      </c>
      <c r="V48" s="560">
        <f>'Veh Maint Cost - US52'!W31</f>
        <v>176.90999999999997</v>
      </c>
      <c r="W48" s="560">
        <f>'Veh Maint Cost - US52'!X31</f>
        <v>162.29999999999995</v>
      </c>
      <c r="X48" s="560">
        <f>'Veh Maint Cost - US52'!Y31</f>
        <v>140.73999999999995</v>
      </c>
      <c r="Y48" s="560">
        <f>'Veh Maint Cost - US52'!Z31</f>
        <v>133.73999999999995</v>
      </c>
      <c r="Z48" s="560">
        <f>'Veh Maint Cost - US52'!AA31</f>
        <v>134.73999999999995</v>
      </c>
      <c r="AA48" s="560">
        <f>'Veh Maint Cost - US52'!AB31</f>
        <v>130.5</v>
      </c>
    </row>
    <row r="49" spans="2:27" x14ac:dyDescent="0.2">
      <c r="B49" s="491"/>
      <c r="C49" s="491"/>
      <c r="D49" s="491"/>
      <c r="E49" s="491"/>
      <c r="F49" s="491"/>
      <c r="G49" s="491"/>
      <c r="T49" s="530">
        <f>'Veh Maint Cost - US52'!U32</f>
        <v>2038</v>
      </c>
      <c r="U49" s="560">
        <f>'Veh Maint Cost - US52'!V32</f>
        <v>172.97999999999996</v>
      </c>
      <c r="V49" s="560">
        <f>'Veh Maint Cost - US52'!W32</f>
        <v>182.06999999999996</v>
      </c>
      <c r="W49" s="560">
        <f>'Veh Maint Cost - US52'!X32</f>
        <v>167.45999999999995</v>
      </c>
      <c r="X49" s="560">
        <f>'Veh Maint Cost - US52'!Y32</f>
        <v>145.89999999999995</v>
      </c>
      <c r="Y49" s="560">
        <f>'Veh Maint Cost - US52'!Z32</f>
        <v>138.89999999999995</v>
      </c>
      <c r="Z49" s="560">
        <f>'Veh Maint Cost - US52'!AA32</f>
        <v>139.89999999999995</v>
      </c>
      <c r="AA49" s="560">
        <f>'Veh Maint Cost - US52'!AB32</f>
        <v>136.75</v>
      </c>
    </row>
    <row r="50" spans="2:27" x14ac:dyDescent="0.2">
      <c r="B50" s="491"/>
      <c r="C50" s="491"/>
      <c r="D50" s="491"/>
      <c r="E50" s="491"/>
      <c r="F50" s="491"/>
      <c r="G50" s="491"/>
      <c r="T50" s="530">
        <f>'Veh Maint Cost - US52'!U33</f>
        <v>2039</v>
      </c>
      <c r="U50" s="560">
        <f>'Veh Maint Cost - US52'!V33</f>
        <v>178.13999999999996</v>
      </c>
      <c r="V50" s="560">
        <f>'Veh Maint Cost - US52'!W33</f>
        <v>187.22999999999996</v>
      </c>
      <c r="W50" s="560">
        <f>'Veh Maint Cost - US52'!X33</f>
        <v>172.61999999999995</v>
      </c>
      <c r="X50" s="560">
        <f>'Veh Maint Cost - US52'!Y33</f>
        <v>151.05999999999995</v>
      </c>
      <c r="Y50" s="560">
        <f>'Veh Maint Cost - US52'!Z33</f>
        <v>144.05999999999995</v>
      </c>
      <c r="Z50" s="560">
        <f>'Veh Maint Cost - US52'!AA33</f>
        <v>145.05999999999995</v>
      </c>
      <c r="AA50" s="560">
        <f>'Veh Maint Cost - US52'!AB33</f>
        <v>143</v>
      </c>
    </row>
    <row r="51" spans="2:27" x14ac:dyDescent="0.2">
      <c r="B51" s="491"/>
      <c r="C51" s="491"/>
      <c r="D51" s="491"/>
      <c r="E51" s="491"/>
      <c r="F51" s="491"/>
      <c r="G51" s="491"/>
      <c r="T51" s="530">
        <f>'Veh Maint Cost - US52'!U34</f>
        <v>2040</v>
      </c>
      <c r="U51" s="560">
        <f>'Veh Maint Cost - US52'!V34</f>
        <v>183.29999999999995</v>
      </c>
      <c r="V51" s="560">
        <f>'Veh Maint Cost - US52'!W34</f>
        <v>192.38999999999996</v>
      </c>
      <c r="W51" s="560">
        <f>'Veh Maint Cost - US52'!X34</f>
        <v>177.77999999999994</v>
      </c>
      <c r="X51" s="560">
        <f>'Veh Maint Cost - US52'!Y34</f>
        <v>156.21999999999994</v>
      </c>
      <c r="Y51" s="560">
        <f>'Veh Maint Cost - US52'!Z34</f>
        <v>149.21999999999994</v>
      </c>
      <c r="Z51" s="560">
        <f>'Veh Maint Cost - US52'!AA34</f>
        <v>150.21999999999994</v>
      </c>
      <c r="AA51" s="560">
        <f>'Veh Maint Cost - US52'!AB34</f>
        <v>149.25</v>
      </c>
    </row>
    <row r="52" spans="2:27" x14ac:dyDescent="0.2">
      <c r="B52" s="491"/>
      <c r="C52" s="491"/>
      <c r="D52" s="491"/>
      <c r="E52" s="491"/>
      <c r="F52" s="491"/>
      <c r="G52" s="491"/>
      <c r="T52" s="530">
        <f>'Veh Maint Cost - US52'!U35</f>
        <v>2041</v>
      </c>
      <c r="U52" s="560">
        <f>'Veh Maint Cost - US52'!V35</f>
        <v>188.45999999999995</v>
      </c>
      <c r="V52" s="560">
        <f>'Veh Maint Cost - US52'!W35</f>
        <v>197.54999999999995</v>
      </c>
      <c r="W52" s="560">
        <f>'Veh Maint Cost - US52'!X35</f>
        <v>182.93999999999994</v>
      </c>
      <c r="X52" s="560">
        <f>'Veh Maint Cost - US52'!Y35</f>
        <v>161.37999999999994</v>
      </c>
      <c r="Y52" s="560">
        <f>'Veh Maint Cost - US52'!Z35</f>
        <v>154.37999999999994</v>
      </c>
      <c r="Z52" s="560">
        <f>'Veh Maint Cost - US52'!AA35</f>
        <v>155.37999999999994</v>
      </c>
      <c r="AA52" s="560">
        <f>'Veh Maint Cost - US52'!AB35</f>
        <v>155.5</v>
      </c>
    </row>
    <row r="53" spans="2:27" x14ac:dyDescent="0.2">
      <c r="B53" s="491"/>
      <c r="C53" s="491"/>
      <c r="D53" s="491"/>
      <c r="E53" s="491"/>
      <c r="F53" s="491"/>
      <c r="G53" s="491"/>
      <c r="T53" s="530">
        <f>'Veh Maint Cost - US52'!U36</f>
        <v>2042</v>
      </c>
      <c r="U53" s="560">
        <f>'Veh Maint Cost - US52'!V36</f>
        <v>193.61999999999995</v>
      </c>
      <c r="V53" s="560">
        <f>'Veh Maint Cost - US52'!W36</f>
        <v>202.70999999999995</v>
      </c>
      <c r="W53" s="560">
        <f>'Veh Maint Cost - US52'!X36</f>
        <v>188.09999999999994</v>
      </c>
      <c r="X53" s="560">
        <f>'Veh Maint Cost - US52'!Y36</f>
        <v>166.53999999999994</v>
      </c>
      <c r="Y53" s="560">
        <f>'Veh Maint Cost - US52'!Z36</f>
        <v>159.53999999999994</v>
      </c>
      <c r="Z53" s="560">
        <f>'Veh Maint Cost - US52'!AA36</f>
        <v>160.53999999999994</v>
      </c>
      <c r="AA53" s="560">
        <f>'Veh Maint Cost - US52'!AB36</f>
        <v>161.75</v>
      </c>
    </row>
    <row r="54" spans="2:27" x14ac:dyDescent="0.2">
      <c r="B54" s="491"/>
      <c r="C54" s="491"/>
      <c r="D54" s="491"/>
      <c r="E54" s="491"/>
      <c r="F54" s="491"/>
      <c r="G54" s="491"/>
      <c r="T54" s="530">
        <f>'Veh Maint Cost - US52'!U37</f>
        <v>2043</v>
      </c>
      <c r="U54" s="560">
        <f>'Veh Maint Cost - US52'!V37</f>
        <v>198.77999999999994</v>
      </c>
      <c r="V54" s="560">
        <f>'Veh Maint Cost - US52'!W37</f>
        <v>207.86999999999995</v>
      </c>
      <c r="W54" s="560">
        <f>'Veh Maint Cost - US52'!X37</f>
        <v>193.25999999999993</v>
      </c>
      <c r="X54" s="560">
        <f>'Veh Maint Cost - US52'!Y37</f>
        <v>171.69999999999993</v>
      </c>
      <c r="Y54" s="560">
        <f>'Veh Maint Cost - US52'!Z37</f>
        <v>164.69999999999993</v>
      </c>
      <c r="Z54" s="560">
        <f>'Veh Maint Cost - US52'!AA37</f>
        <v>165.69999999999993</v>
      </c>
      <c r="AA54" s="560">
        <f>'Veh Maint Cost - US52'!AB37</f>
        <v>168</v>
      </c>
    </row>
    <row r="55" spans="2:27" x14ac:dyDescent="0.2">
      <c r="B55" s="491"/>
      <c r="C55" s="491"/>
      <c r="D55" s="491"/>
      <c r="E55" s="491"/>
      <c r="F55" s="491"/>
      <c r="G55" s="491"/>
      <c r="T55" s="530">
        <f>'Veh Maint Cost - US52'!U38</f>
        <v>2044</v>
      </c>
      <c r="U55" s="560">
        <f>'Veh Maint Cost - US52'!V38</f>
        <v>203.93999999999994</v>
      </c>
      <c r="V55" s="560">
        <f>'Veh Maint Cost - US52'!W38</f>
        <v>213.02999999999994</v>
      </c>
      <c r="W55" s="560">
        <f>'Veh Maint Cost - US52'!X38</f>
        <v>198.41999999999993</v>
      </c>
      <c r="X55" s="560">
        <f>'Veh Maint Cost - US52'!Y38</f>
        <v>176.85999999999993</v>
      </c>
      <c r="Y55" s="560">
        <f>'Veh Maint Cost - US52'!Z38</f>
        <v>169.85999999999993</v>
      </c>
      <c r="Z55" s="560">
        <f>'Veh Maint Cost - US52'!AA38</f>
        <v>170.85999999999993</v>
      </c>
      <c r="AA55" s="560">
        <f>'Veh Maint Cost - US52'!AB38</f>
        <v>174.25</v>
      </c>
    </row>
    <row r="56" spans="2:27" x14ac:dyDescent="0.2">
      <c r="B56" s="491"/>
      <c r="C56" s="491"/>
      <c r="D56" s="491"/>
      <c r="E56" s="491"/>
      <c r="F56" s="491"/>
      <c r="G56" s="491"/>
      <c r="T56" s="530">
        <f>'Veh Maint Cost - US52'!U39</f>
        <v>2045</v>
      </c>
      <c r="U56" s="560">
        <f>'Veh Maint Cost - US52'!V39</f>
        <v>209.09999999999994</v>
      </c>
      <c r="V56" s="560">
        <f>'Veh Maint Cost - US52'!W39</f>
        <v>218.18999999999994</v>
      </c>
      <c r="W56" s="560">
        <f>'Veh Maint Cost - US52'!X39</f>
        <v>203.57999999999993</v>
      </c>
      <c r="X56" s="560">
        <f>'Veh Maint Cost - US52'!Y39</f>
        <v>182.01999999999992</v>
      </c>
      <c r="Y56" s="560">
        <f>'Veh Maint Cost - US52'!Z39</f>
        <v>175.01999999999992</v>
      </c>
      <c r="Z56" s="560">
        <f>'Veh Maint Cost - US52'!AA39</f>
        <v>176.01999999999992</v>
      </c>
      <c r="AA56" s="560">
        <f>'Veh Maint Cost - US52'!AB39</f>
        <v>180.5</v>
      </c>
    </row>
    <row r="57" spans="2:27" x14ac:dyDescent="0.2">
      <c r="B57" s="491"/>
      <c r="C57" s="491"/>
      <c r="D57" s="491"/>
      <c r="E57" s="491"/>
      <c r="F57" s="491"/>
      <c r="G57" s="491"/>
    </row>
  </sheetData>
  <mergeCells count="18">
    <mergeCell ref="B33:G57"/>
    <mergeCell ref="B30:G32"/>
    <mergeCell ref="P6:Q6"/>
    <mergeCell ref="P10:Q10"/>
    <mergeCell ref="P14:Q14"/>
    <mergeCell ref="E4:E5"/>
    <mergeCell ref="C4:C5"/>
    <mergeCell ref="N4:N5"/>
    <mergeCell ref="G4:G5"/>
    <mergeCell ref="J4:J5"/>
    <mergeCell ref="I4:I5"/>
    <mergeCell ref="K4:K5"/>
    <mergeCell ref="D4:D5"/>
    <mergeCell ref="B4:B5"/>
    <mergeCell ref="F4:F5"/>
    <mergeCell ref="H4:H5"/>
    <mergeCell ref="L4:L5"/>
    <mergeCell ref="M4:M5"/>
  </mergeCells>
  <pageMargins left="0.25" right="0.25" top="0.75" bottom="0.75" header="0.3" footer="0.3"/>
  <pageSetup paperSize="1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33D0-58A5-452F-99C0-3E045C190C30}">
  <sheetPr>
    <tabColor rgb="FF00B050"/>
    <pageSetUpPr fitToPage="1"/>
  </sheetPr>
  <dimension ref="B2:AY62"/>
  <sheetViews>
    <sheetView view="pageBreakPreview" zoomScaleNormal="70" zoomScaleSheetLayoutView="100" workbookViewId="0"/>
  </sheetViews>
  <sheetFormatPr defaultColWidth="9.140625" defaultRowHeight="12" x14ac:dyDescent="0.2"/>
  <cols>
    <col min="1" max="1" width="4.42578125" style="290" customWidth="1"/>
    <col min="2" max="2" width="9" style="290" customWidth="1"/>
    <col min="3" max="3" width="9.7109375" style="290" customWidth="1"/>
    <col min="4" max="7" width="13.140625" style="290" customWidth="1"/>
    <col min="8" max="8" width="6.7109375" style="290" bestFit="1" customWidth="1"/>
    <col min="9" max="9" width="9.42578125" style="290" bestFit="1" customWidth="1"/>
    <col min="10" max="10" width="11.5703125" style="290" bestFit="1" customWidth="1"/>
    <col min="11" max="11" width="17.140625" style="290" bestFit="1" customWidth="1"/>
    <col min="12" max="12" width="16.28515625" style="290" bestFit="1" customWidth="1"/>
    <col min="13" max="13" width="17.140625" style="290" bestFit="1" customWidth="1"/>
    <col min="14" max="14" width="16.28515625" style="290" bestFit="1" customWidth="1"/>
    <col min="15" max="15" width="14.140625" style="290" bestFit="1" customWidth="1"/>
    <col min="16" max="16" width="11.28515625" style="290" bestFit="1" customWidth="1"/>
    <col min="17" max="17" width="11.28515625" style="290" customWidth="1"/>
    <col min="18" max="18" width="13.5703125" style="290" bestFit="1" customWidth="1"/>
    <col min="19" max="19" width="11.85546875" style="290" bestFit="1" customWidth="1"/>
    <col min="20" max="20" width="10.28515625" style="290" customWidth="1"/>
    <col min="21" max="21" width="15.140625" style="290" customWidth="1"/>
    <col min="22" max="22" width="19.140625" style="290" customWidth="1"/>
    <col min="23" max="23" width="12.140625" style="290" bestFit="1" customWidth="1"/>
    <col min="24" max="25" width="24" style="290" bestFit="1" customWidth="1"/>
    <col min="26" max="26" width="17" style="290" bestFit="1" customWidth="1"/>
    <col min="27" max="28" width="19.85546875" style="290" bestFit="1" customWidth="1"/>
    <col min="29" max="29" width="11.85546875" style="290" customWidth="1"/>
    <col min="30" max="31" width="8.140625" style="290" customWidth="1"/>
    <col min="32" max="32" width="12.85546875" style="290" customWidth="1"/>
    <col min="33" max="33" width="14.140625" style="290" bestFit="1" customWidth="1"/>
    <col min="34" max="34" width="13.85546875" style="290" bestFit="1" customWidth="1"/>
    <col min="35" max="35" width="15.7109375" style="290" bestFit="1" customWidth="1"/>
    <col min="36" max="36" width="17" style="290" bestFit="1" customWidth="1"/>
    <col min="37" max="37" width="13.140625" style="290" bestFit="1" customWidth="1"/>
    <col min="38" max="38" width="17.85546875" style="290" bestFit="1" customWidth="1"/>
    <col min="39" max="39" width="13.85546875" style="290" bestFit="1" customWidth="1"/>
    <col min="40" max="40" width="15.7109375" style="290" bestFit="1" customWidth="1"/>
    <col min="41" max="41" width="8.7109375" style="290" bestFit="1" customWidth="1"/>
    <col min="42" max="42" width="16.85546875" style="290" customWidth="1"/>
    <col min="43" max="43" width="17.140625" style="290" customWidth="1"/>
    <col min="44" max="44" width="8.85546875" style="290" customWidth="1"/>
    <col min="45" max="50" width="9.140625" style="290"/>
    <col min="51" max="51" width="12.42578125" style="290" bestFit="1" customWidth="1"/>
    <col min="52" max="16384" width="9.140625" style="290"/>
  </cols>
  <sheetData>
    <row r="2" spans="2:50" ht="14.25" x14ac:dyDescent="0.2">
      <c r="B2" s="289" t="s">
        <v>457</v>
      </c>
      <c r="C2" s="289"/>
      <c r="D2" s="289"/>
      <c r="E2" s="289"/>
      <c r="F2" s="289"/>
      <c r="G2" s="289"/>
      <c r="U2" s="289" t="s">
        <v>967</v>
      </c>
    </row>
    <row r="3" spans="2:50" ht="15" thickBot="1" x14ac:dyDescent="0.25">
      <c r="U3" s="291" t="s">
        <v>46</v>
      </c>
      <c r="V3" s="291" t="s">
        <v>47</v>
      </c>
      <c r="W3" s="291" t="s">
        <v>48</v>
      </c>
      <c r="X3" s="291" t="s">
        <v>49</v>
      </c>
      <c r="Y3" s="291" t="s">
        <v>50</v>
      </c>
      <c r="Z3" s="291" t="s">
        <v>51</v>
      </c>
      <c r="AA3" s="291" t="s">
        <v>52</v>
      </c>
      <c r="AB3" s="291" t="s">
        <v>53</v>
      </c>
      <c r="AC3" s="291" t="s">
        <v>54</v>
      </c>
      <c r="AD3" s="291" t="s">
        <v>811</v>
      </c>
      <c r="AE3" s="291" t="s">
        <v>812</v>
      </c>
      <c r="AF3" s="291" t="s">
        <v>55</v>
      </c>
      <c r="AG3" s="291" t="s">
        <v>56</v>
      </c>
      <c r="AH3" s="291" t="s">
        <v>57</v>
      </c>
      <c r="AJ3" s="289" t="s">
        <v>950</v>
      </c>
    </row>
    <row r="4" spans="2:50" ht="12.75" thickBot="1" x14ac:dyDescent="0.25">
      <c r="B4" s="292" t="s">
        <v>1</v>
      </c>
      <c r="C4" s="293" t="s">
        <v>964</v>
      </c>
      <c r="D4" s="293" t="s">
        <v>965</v>
      </c>
      <c r="E4" s="293" t="s">
        <v>966</v>
      </c>
      <c r="F4" s="293" t="s">
        <v>454</v>
      </c>
      <c r="G4" s="293" t="s">
        <v>453</v>
      </c>
      <c r="H4" s="294" t="s">
        <v>2</v>
      </c>
      <c r="I4" s="295" t="s">
        <v>3</v>
      </c>
      <c r="J4" s="296" t="s">
        <v>4</v>
      </c>
      <c r="K4" s="297" t="s">
        <v>451</v>
      </c>
      <c r="L4" s="293" t="s">
        <v>452</v>
      </c>
      <c r="M4" s="293" t="s">
        <v>5</v>
      </c>
      <c r="N4" s="293" t="s">
        <v>455</v>
      </c>
      <c r="O4" s="297" t="s">
        <v>5</v>
      </c>
      <c r="P4" s="293" t="s">
        <v>6</v>
      </c>
      <c r="Q4" s="293" t="s">
        <v>915</v>
      </c>
      <c r="R4" s="293" t="s">
        <v>7</v>
      </c>
      <c r="S4" s="293" t="s">
        <v>8</v>
      </c>
      <c r="T4" s="298"/>
      <c r="U4" s="291" t="s">
        <v>58</v>
      </c>
      <c r="V4" s="291">
        <v>126</v>
      </c>
      <c r="W4" s="291">
        <v>0.82899999999999996</v>
      </c>
      <c r="X4" s="291" t="s">
        <v>59</v>
      </c>
      <c r="Y4" s="291">
        <v>145</v>
      </c>
      <c r="Z4" s="291">
        <v>0.107</v>
      </c>
      <c r="AA4" s="291" t="s">
        <v>60</v>
      </c>
      <c r="AB4" s="291">
        <v>18.404499999999999</v>
      </c>
      <c r="AC4" s="291">
        <v>25</v>
      </c>
      <c r="AD4" s="299">
        <v>95.58</v>
      </c>
      <c r="AE4" s="300">
        <f t="shared" ref="AE4:AE10" si="0">AD4/$AJ$42</f>
        <v>1.5075709779179811</v>
      </c>
      <c r="AF4" s="291" t="s">
        <v>61</v>
      </c>
      <c r="AG4" s="291">
        <v>5.16</v>
      </c>
      <c r="AH4" s="291">
        <f>Y4-141.171</f>
        <v>3.8290000000000077</v>
      </c>
      <c r="AJ4" s="301" t="s">
        <v>9</v>
      </c>
      <c r="AK4" s="302"/>
      <c r="AL4" s="302"/>
      <c r="AM4" s="302"/>
      <c r="AN4" s="302"/>
      <c r="AO4" s="302"/>
      <c r="AP4" s="303"/>
      <c r="AQ4" s="304"/>
      <c r="AR4" s="305" t="s">
        <v>10</v>
      </c>
      <c r="AS4" s="306"/>
      <c r="AT4" s="306"/>
      <c r="AU4" s="306"/>
      <c r="AV4" s="307"/>
      <c r="AW4" s="308" t="s">
        <v>11</v>
      </c>
      <c r="AX4" s="309"/>
    </row>
    <row r="5" spans="2:50" ht="12.75" thickBot="1" x14ac:dyDescent="0.25">
      <c r="B5" s="310"/>
      <c r="C5" s="311"/>
      <c r="D5" s="311"/>
      <c r="E5" s="311"/>
      <c r="F5" s="311"/>
      <c r="G5" s="311"/>
      <c r="H5" s="312"/>
      <c r="I5" s="313"/>
      <c r="J5" s="314"/>
      <c r="K5" s="315"/>
      <c r="L5" s="311"/>
      <c r="M5" s="311"/>
      <c r="N5" s="311"/>
      <c r="O5" s="315"/>
      <c r="P5" s="311"/>
      <c r="Q5" s="311"/>
      <c r="R5" s="311"/>
      <c r="S5" s="311"/>
      <c r="T5" s="298"/>
      <c r="U5" s="291" t="s">
        <v>58</v>
      </c>
      <c r="V5" s="291">
        <v>145</v>
      </c>
      <c r="W5" s="291">
        <v>0.107</v>
      </c>
      <c r="X5" s="291" t="s">
        <v>63</v>
      </c>
      <c r="Y5" s="291">
        <v>151.88399999999999</v>
      </c>
      <c r="Z5" s="291">
        <v>0</v>
      </c>
      <c r="AA5" s="291" t="s">
        <v>64</v>
      </c>
      <c r="AB5" s="291">
        <v>6.6144999999999996</v>
      </c>
      <c r="AC5" s="291">
        <v>24</v>
      </c>
      <c r="AD5" s="299">
        <v>104.67</v>
      </c>
      <c r="AE5" s="300">
        <f t="shared" si="0"/>
        <v>1.6509463722397477</v>
      </c>
      <c r="AF5" s="291" t="s">
        <v>62</v>
      </c>
      <c r="AG5" s="291">
        <v>5.16</v>
      </c>
      <c r="AH5" s="291">
        <f>Y5-V5</f>
        <v>6.8839999999999861</v>
      </c>
      <c r="AJ5" s="316" t="s">
        <v>13</v>
      </c>
      <c r="AK5" s="317" t="s">
        <v>15</v>
      </c>
      <c r="AL5" s="318" t="s">
        <v>16</v>
      </c>
      <c r="AM5" s="319"/>
      <c r="AN5" s="319"/>
      <c r="AO5" s="319"/>
      <c r="AP5" s="320"/>
      <c r="AQ5" s="321"/>
      <c r="AR5" s="322" t="s">
        <v>16</v>
      </c>
      <c r="AS5" s="323"/>
      <c r="AT5" s="323"/>
      <c r="AU5" s="323"/>
      <c r="AV5" s="324"/>
      <c r="AW5" s="325" t="s">
        <v>17</v>
      </c>
      <c r="AX5" s="326" t="s">
        <v>18</v>
      </c>
    </row>
    <row r="6" spans="2:50" ht="12.75" thickBot="1" x14ac:dyDescent="0.25">
      <c r="B6" s="327">
        <f>Assumptions!C7</f>
        <v>2026</v>
      </c>
      <c r="C6" s="328">
        <f t="shared" ref="C6:C25" si="1">_xlfn.XLOOKUP($B6,$U$17:$U$39,$AC$17:$AC$39,0,0,1)</f>
        <v>1.5319130809409183</v>
      </c>
      <c r="D6" s="329">
        <f t="shared" ref="D6:D25" si="2">_xlfn.FORECAST.ETS(C6,$AQ$13:$AV$13,$AQ$6:$AV$6)</f>
        <v>1.1767271731887774</v>
      </c>
      <c r="E6" s="330">
        <f t="shared" ref="E6:E25" si="3">_xlfn.FORECAST.ETS(C6,$AQ$12:$AV$12,$AQ$6:$AV$6)</f>
        <v>0.3006850955046782</v>
      </c>
      <c r="F6" s="329">
        <f t="shared" ref="F6:F25" si="4">$AK$13</f>
        <v>1.1700299999999999</v>
      </c>
      <c r="G6" s="330">
        <f t="shared" ref="G6:G25" si="5">$AK$12</f>
        <v>0.29798999999999998</v>
      </c>
      <c r="H6" s="331">
        <f>I6+J6</f>
        <v>2115.1714392434405</v>
      </c>
      <c r="I6" s="332" cm="1">
        <f t="array" ref="I6">TREND($AL$25:$AL$26,$AJ$25:$AJ$26,B6)</f>
        <v>694.38748727837446</v>
      </c>
      <c r="J6" s="333" cm="1">
        <f t="array" ref="J6">TREND($AK$25:$AK$26,$AJ$25:$AJ$26,B6)</f>
        <v>1420.7839519650661</v>
      </c>
      <c r="K6" s="334">
        <f>$AK$21*I6*Assumptions!$C$9</f>
        <v>11278588.762118997</v>
      </c>
      <c r="L6" s="335">
        <f>$AK$21*J6*Assumptions!$C$9</f>
        <v>23077083.339792587</v>
      </c>
      <c r="M6" s="336">
        <f>D6*K6+E6*L6</f>
        <v>20210756.879601952</v>
      </c>
      <c r="N6" s="337">
        <f t="shared" ref="N6:N25" si="6">F6*K6+G6*L6</f>
        <v>20073027.273766883</v>
      </c>
      <c r="O6" s="338">
        <f t="shared" ref="O6:O25" si="7">L6*$AX$12+K6*$AX$13+$AK$13*M6+$AK$12*N6</f>
        <v>52006678.413919002</v>
      </c>
      <c r="P6" s="339">
        <f t="shared" ref="P6:P25" si="8">(SUM(K6,M6)*$AK$13)+(SUM(L6,N6)*$AK$12)</f>
        <v>49701780.542917348</v>
      </c>
      <c r="Q6" s="328">
        <f>_xlfn.XLOOKUP($B6,'Travel Time - US52'!$T$7:$T$29,'Travel Time - US52'!$AC$7:$AC$29,0,0,1)</f>
        <v>0.99980673164571099</v>
      </c>
      <c r="R6" s="340">
        <f>(M6-N6)*'Travel Time - US52'!AC10*Q6</f>
        <v>137676.37343112243</v>
      </c>
      <c r="S6" s="341">
        <f>R6*(1+Assumptions!$C$10)^-(B6-Assumptions!$C$3)</f>
        <v>121849.78198394147</v>
      </c>
      <c r="T6" s="342"/>
      <c r="U6" s="291" t="s">
        <v>58</v>
      </c>
      <c r="V6" s="291">
        <v>151.88399999999999</v>
      </c>
      <c r="W6" s="291">
        <v>0</v>
      </c>
      <c r="X6" s="291" t="s">
        <v>64</v>
      </c>
      <c r="Y6" s="291">
        <v>167.71100000000001</v>
      </c>
      <c r="Z6" s="291">
        <v>0.1356</v>
      </c>
      <c r="AA6" s="291" t="s">
        <v>65</v>
      </c>
      <c r="AB6" s="291">
        <v>15.954499999999999</v>
      </c>
      <c r="AC6" s="291">
        <v>24</v>
      </c>
      <c r="AD6" s="299">
        <v>90.06</v>
      </c>
      <c r="AE6" s="300">
        <f t="shared" si="0"/>
        <v>1.4205047318611987</v>
      </c>
      <c r="AF6" s="291" t="s">
        <v>61</v>
      </c>
      <c r="AG6" s="291">
        <v>5.16</v>
      </c>
      <c r="AH6" s="291">
        <f>Y6-V6</f>
        <v>15.827000000000027</v>
      </c>
      <c r="AJ6" s="343"/>
      <c r="AK6" s="344"/>
      <c r="AL6" s="345">
        <v>2</v>
      </c>
      <c r="AM6" s="345">
        <v>3</v>
      </c>
      <c r="AN6" s="345">
        <v>4</v>
      </c>
      <c r="AO6" s="345">
        <v>5</v>
      </c>
      <c r="AP6" s="346">
        <v>6</v>
      </c>
      <c r="AQ6" s="347">
        <v>1</v>
      </c>
      <c r="AR6" s="348">
        <v>2</v>
      </c>
      <c r="AS6" s="349">
        <v>3</v>
      </c>
      <c r="AT6" s="350">
        <v>4</v>
      </c>
      <c r="AU6" s="350">
        <v>5</v>
      </c>
      <c r="AV6" s="351">
        <v>6</v>
      </c>
      <c r="AW6" s="352"/>
      <c r="AX6" s="353"/>
    </row>
    <row r="7" spans="2:50" x14ac:dyDescent="0.2">
      <c r="B7" s="354">
        <f>B6+1</f>
        <v>2027</v>
      </c>
      <c r="C7" s="355">
        <f t="shared" si="1"/>
        <v>1.613336276410726</v>
      </c>
      <c r="D7" s="356">
        <f t="shared" si="2"/>
        <v>1.179802555570729</v>
      </c>
      <c r="E7" s="357">
        <f t="shared" si="3"/>
        <v>0.30187098160881165</v>
      </c>
      <c r="F7" s="356">
        <f t="shared" si="4"/>
        <v>1.1700299999999999</v>
      </c>
      <c r="G7" s="357">
        <f t="shared" si="5"/>
        <v>0.29798999999999998</v>
      </c>
      <c r="H7" s="358">
        <f t="shared" ref="H7:H25" si="9">I7+J7</f>
        <v>2150.2142990543034</v>
      </c>
      <c r="I7" s="359" cm="1">
        <f t="array" ref="I7">TREND($AL$25:$AL$26,$AJ$25:$AJ$26,B7)</f>
        <v>707.98435909796899</v>
      </c>
      <c r="J7" s="360" cm="1">
        <f t="array" ref="J7">TREND($AK$25:$AK$26,$AJ$25:$AJ$26,B7)</f>
        <v>1442.2299399563344</v>
      </c>
      <c r="K7" s="361">
        <f>$AK$21*I7*Assumptions!$C$9</f>
        <v>11499435.952648763</v>
      </c>
      <c r="L7" s="359">
        <f>$AK$21*J7*Assumptions!$C$9</f>
        <v>23425419.799740762</v>
      </c>
      <c r="M7" s="362">
        <f t="shared" ref="M7:M25" si="10">D7*K7+E7*L7</f>
        <v>20638518.394103169</v>
      </c>
      <c r="N7" s="363">
        <f t="shared" si="6"/>
        <v>20435225.893802378</v>
      </c>
      <c r="O7" s="364">
        <f t="shared" si="7"/>
        <v>53018014.310040832</v>
      </c>
      <c r="P7" s="365">
        <f t="shared" si="8"/>
        <v>50672404.534549072</v>
      </c>
      <c r="Q7" s="355">
        <f>_xlfn.XLOOKUP($B7,'Travel Time - US52'!$T$7:$T$29,'Travel Time - US52'!$AC$7:$AC$29,0,0,1)</f>
        <v>0.99344002694133515</v>
      </c>
      <c r="R7" s="366">
        <f>(M7-N7)*'Travel Time - US52'!AC11*Q7</f>
        <v>200634.06198707075</v>
      </c>
      <c r="S7" s="367">
        <f>R7*(1+Assumptions!$C$10)^-(B7-Assumptions!$C$3)</f>
        <v>172231.00645053288</v>
      </c>
      <c r="T7" s="342"/>
      <c r="U7" s="291" t="s">
        <v>58</v>
      </c>
      <c r="V7" s="291">
        <v>167.71100000000001</v>
      </c>
      <c r="W7" s="291">
        <v>0.1356</v>
      </c>
      <c r="X7" s="291" t="s">
        <v>66</v>
      </c>
      <c r="Y7" s="291">
        <v>169.97900000000001</v>
      </c>
      <c r="Z7" s="291">
        <v>0</v>
      </c>
      <c r="AA7" s="291" t="s">
        <v>67</v>
      </c>
      <c r="AB7" s="291">
        <v>2.1631999999999998</v>
      </c>
      <c r="AC7" s="291">
        <v>25</v>
      </c>
      <c r="AD7" s="299">
        <v>68.5</v>
      </c>
      <c r="AE7" s="300">
        <f t="shared" si="0"/>
        <v>1.0804416403785488</v>
      </c>
      <c r="AF7" s="291" t="s">
        <v>61</v>
      </c>
      <c r="AG7" s="291">
        <v>5.16</v>
      </c>
      <c r="AH7" s="291">
        <f>Y7-V7</f>
        <v>2.2680000000000007</v>
      </c>
      <c r="AJ7" s="368" t="s">
        <v>22</v>
      </c>
      <c r="AK7" s="369">
        <f>AT28*$AK$17/100</f>
        <v>0.21672</v>
      </c>
      <c r="AL7" s="370">
        <f t="shared" ref="AL7:AP7" si="11">AU28</f>
        <v>1.02</v>
      </c>
      <c r="AM7" s="370">
        <f t="shared" si="11"/>
        <v>1.04</v>
      </c>
      <c r="AN7" s="370">
        <f t="shared" si="11"/>
        <v>1.08</v>
      </c>
      <c r="AO7" s="370">
        <f t="shared" si="11"/>
        <v>1.1499999999999999</v>
      </c>
      <c r="AP7" s="371">
        <f t="shared" si="11"/>
        <v>1.22</v>
      </c>
      <c r="AQ7" s="372">
        <f>AK7</f>
        <v>0.21672</v>
      </c>
      <c r="AR7" s="373">
        <f t="shared" ref="AR7:AV13" si="12">$AK7*AL7</f>
        <v>0.22105440000000001</v>
      </c>
      <c r="AS7" s="374">
        <f t="shared" si="12"/>
        <v>0.2253888</v>
      </c>
      <c r="AT7" s="375">
        <f t="shared" si="12"/>
        <v>0.2340576</v>
      </c>
      <c r="AU7" s="375">
        <f t="shared" si="12"/>
        <v>0.24922799999999998</v>
      </c>
      <c r="AV7" s="376">
        <f t="shared" si="12"/>
        <v>0.26439839999999998</v>
      </c>
      <c r="AW7" s="377">
        <f>AVERAGE(AT7:AV7)</f>
        <v>0.24922800000000001</v>
      </c>
      <c r="AX7" s="378">
        <f>AW7</f>
        <v>0.24922800000000001</v>
      </c>
    </row>
    <row r="8" spans="2:50" x14ac:dyDescent="0.2">
      <c r="B8" s="354">
        <f t="shared" ref="B8:B25" si="13">B7+1</f>
        <v>2028</v>
      </c>
      <c r="C8" s="355">
        <f t="shared" si="1"/>
        <v>1.6947594718805343</v>
      </c>
      <c r="D8" s="356">
        <f t="shared" si="2"/>
        <v>1.1828779379526806</v>
      </c>
      <c r="E8" s="357">
        <f t="shared" si="3"/>
        <v>0.3030568677129451</v>
      </c>
      <c r="F8" s="356">
        <f t="shared" si="4"/>
        <v>1.1700299999999999</v>
      </c>
      <c r="G8" s="357">
        <f t="shared" si="5"/>
        <v>0.29798999999999998</v>
      </c>
      <c r="H8" s="358">
        <f t="shared" si="9"/>
        <v>2185.257158865159</v>
      </c>
      <c r="I8" s="359" cm="1">
        <f t="array" ref="I8">TREND($AL$25:$AL$26,$AJ$25:$AJ$26,B8)</f>
        <v>721.58123091756352</v>
      </c>
      <c r="J8" s="360" cm="1">
        <f t="array" ref="J8">TREND($AK$25:$AK$26,$AJ$25:$AJ$26,B8)</f>
        <v>1463.6759279475955</v>
      </c>
      <c r="K8" s="361">
        <f>$AK$21*I8*Assumptions!$C$9</f>
        <v>11720283.143178526</v>
      </c>
      <c r="L8" s="359">
        <f>$AK$21*J8*Assumptions!$C$9</f>
        <v>23773756.259688821</v>
      </c>
      <c r="M8" s="362">
        <f t="shared" si="10"/>
        <v>21068464.462456893</v>
      </c>
      <c r="N8" s="363">
        <f t="shared" si="6"/>
        <v>20797424.513837844</v>
      </c>
      <c r="O8" s="364">
        <f t="shared" si="7"/>
        <v>54031906.199706666</v>
      </c>
      <c r="P8" s="365">
        <f t="shared" si="8"/>
        <v>51645584.519724816</v>
      </c>
      <c r="Q8" s="355">
        <f>_xlfn.XLOOKUP($B8,'Travel Time - US52'!$T$7:$T$29,'Travel Time - US52'!$AC$7:$AC$29,0,0,1)</f>
        <v>0.98659794917691734</v>
      </c>
      <c r="R8" s="366">
        <f>(M8-N8)*'Travel Time - US52'!AC12*Q8</f>
        <v>263823.64911732019</v>
      </c>
      <c r="S8" s="367">
        <f>R8*(1+Assumptions!$C$10)^-(B8-Assumptions!$C$3)</f>
        <v>219665.43832192736</v>
      </c>
      <c r="T8" s="342"/>
      <c r="U8" s="291" t="s">
        <v>58</v>
      </c>
      <c r="V8" s="291">
        <v>169.97900000000001</v>
      </c>
      <c r="W8" s="291">
        <v>0</v>
      </c>
      <c r="X8" s="291" t="s">
        <v>69</v>
      </c>
      <c r="Y8" s="291">
        <v>184</v>
      </c>
      <c r="Z8" s="291">
        <v>0</v>
      </c>
      <c r="AA8" s="291" t="s">
        <v>70</v>
      </c>
      <c r="AB8" s="291">
        <v>13.590400000000001</v>
      </c>
      <c r="AC8" s="291">
        <v>25</v>
      </c>
      <c r="AD8" s="299">
        <v>61.5</v>
      </c>
      <c r="AE8" s="300">
        <f t="shared" si="0"/>
        <v>0.970031545741325</v>
      </c>
      <c r="AF8" s="291" t="s">
        <v>61</v>
      </c>
      <c r="AG8" s="291">
        <v>5.16</v>
      </c>
      <c r="AH8" s="291">
        <f>Y8-V8</f>
        <v>14.020999999999987</v>
      </c>
      <c r="AJ8" s="379" t="s">
        <v>23</v>
      </c>
      <c r="AK8" s="380">
        <f>AT29*$AK$17/100</f>
        <v>0.26057999999999998</v>
      </c>
      <c r="AL8" s="381">
        <f>AU29</f>
        <v>1.01</v>
      </c>
      <c r="AM8" s="381">
        <f>AV29</f>
        <v>1.01</v>
      </c>
      <c r="AN8" s="381">
        <f>AW29</f>
        <v>1.05</v>
      </c>
      <c r="AO8" s="381">
        <f>AX29</f>
        <v>1.1100000000000001</v>
      </c>
      <c r="AP8" s="382">
        <f>AY29</f>
        <v>1.17</v>
      </c>
      <c r="AQ8" s="383">
        <f t="shared" ref="AQ8:AQ11" si="14">AK8</f>
        <v>0.26057999999999998</v>
      </c>
      <c r="AR8" s="384">
        <f t="shared" si="12"/>
        <v>0.26318579999999997</v>
      </c>
      <c r="AS8" s="385">
        <f t="shared" si="12"/>
        <v>0.26318579999999997</v>
      </c>
      <c r="AT8" s="380">
        <f t="shared" si="12"/>
        <v>0.27360899999999999</v>
      </c>
      <c r="AU8" s="380">
        <f t="shared" si="12"/>
        <v>0.2892438</v>
      </c>
      <c r="AV8" s="386">
        <f t="shared" si="12"/>
        <v>0.30487859999999994</v>
      </c>
      <c r="AW8" s="377">
        <f t="shared" ref="AW8:AW11" si="15">AVERAGE(AT8:AV8)</f>
        <v>0.28924379999999994</v>
      </c>
      <c r="AX8" s="378">
        <f>AW8</f>
        <v>0.28924379999999994</v>
      </c>
    </row>
    <row r="9" spans="2:50" x14ac:dyDescent="0.2">
      <c r="B9" s="354">
        <f t="shared" si="13"/>
        <v>2029</v>
      </c>
      <c r="C9" s="355">
        <f t="shared" si="1"/>
        <v>1.7761826673503418</v>
      </c>
      <c r="D9" s="356">
        <f t="shared" si="2"/>
        <v>1.1859533203346324</v>
      </c>
      <c r="E9" s="357">
        <f t="shared" si="3"/>
        <v>0.30424275381707855</v>
      </c>
      <c r="F9" s="356">
        <f t="shared" si="4"/>
        <v>1.1700299999999999</v>
      </c>
      <c r="G9" s="357">
        <f t="shared" si="5"/>
        <v>0.29798999999999998</v>
      </c>
      <c r="H9" s="358">
        <f t="shared" si="9"/>
        <v>2220.3000186760219</v>
      </c>
      <c r="I9" s="359" cm="1">
        <f t="array" ref="I9">TREND($AL$25:$AL$26,$AJ$25:$AJ$26,B9)</f>
        <v>735.17810273715804</v>
      </c>
      <c r="J9" s="360" cm="1">
        <f t="array" ref="J9">TREND($AK$25:$AK$26,$AJ$25:$AJ$26,B9)</f>
        <v>1485.1219159388638</v>
      </c>
      <c r="K9" s="361">
        <f>$AK$21*I9*Assumptions!$C$9</f>
        <v>11941130.33370829</v>
      </c>
      <c r="L9" s="359">
        <f>$AK$21*J9*Assumptions!$C$9</f>
        <v>24122092.719636995</v>
      </c>
      <c r="M9" s="362">
        <f t="shared" si="10"/>
        <v>21500595.084663205</v>
      </c>
      <c r="N9" s="363">
        <f t="shared" si="6"/>
        <v>21159623.133873336</v>
      </c>
      <c r="O9" s="364">
        <f t="shared" si="7"/>
        <v>55048354.082916692</v>
      </c>
      <c r="P9" s="365">
        <f t="shared" si="8"/>
        <v>52621320.498444743</v>
      </c>
      <c r="Q9" s="355">
        <f>_xlfn.XLOOKUP($B9,'Travel Time - US52'!$T$7:$T$29,'Travel Time - US52'!$AC$7:$AC$29,0,0,1)</f>
        <v>0.97470983747462503</v>
      </c>
      <c r="R9" s="366">
        <f>(M9-N9)*'Travel Time - US52'!AC13*Q9</f>
        <v>323943.56172698049</v>
      </c>
      <c r="S9" s="367">
        <f>R9*(1+Assumptions!$C$10)^-(B9-Assumptions!$C$3)</f>
        <v>261612.62344412995</v>
      </c>
      <c r="T9" s="342"/>
      <c r="U9" s="291" t="s">
        <v>58</v>
      </c>
      <c r="V9" s="291">
        <v>184</v>
      </c>
      <c r="W9" s="291">
        <v>0</v>
      </c>
      <c r="X9" s="291" t="s">
        <v>70</v>
      </c>
      <c r="Y9" s="291">
        <v>185.548</v>
      </c>
      <c r="Z9" s="291">
        <v>0</v>
      </c>
      <c r="AA9" s="291" t="s">
        <v>71</v>
      </c>
      <c r="AB9" s="291">
        <v>1.5914999999999999</v>
      </c>
      <c r="AC9" s="291">
        <v>25</v>
      </c>
      <c r="AD9" s="299">
        <v>62.5</v>
      </c>
      <c r="AE9" s="300">
        <f t="shared" si="0"/>
        <v>0.98580441640378547</v>
      </c>
      <c r="AF9" s="291" t="s">
        <v>61</v>
      </c>
      <c r="AG9" s="291">
        <v>5.16</v>
      </c>
      <c r="AH9" s="291">
        <f>Y9-V9</f>
        <v>1.5480000000000018</v>
      </c>
      <c r="AJ9" s="379" t="s">
        <v>25</v>
      </c>
      <c r="AK9" s="380">
        <f>AT30*$AK$17/100</f>
        <v>0.26832</v>
      </c>
      <c r="AL9" s="381">
        <f>AU30</f>
        <v>1.02</v>
      </c>
      <c r="AM9" s="381">
        <f>AV30</f>
        <v>1.03</v>
      </c>
      <c r="AN9" s="381">
        <f>AW30</f>
        <v>1.0900000000000001</v>
      </c>
      <c r="AO9" s="381">
        <f>AX30</f>
        <v>1.2</v>
      </c>
      <c r="AP9" s="382">
        <f>AY30</f>
        <v>1.32</v>
      </c>
      <c r="AQ9" s="383">
        <f t="shared" si="14"/>
        <v>0.26832</v>
      </c>
      <c r="AR9" s="384">
        <f t="shared" si="12"/>
        <v>0.2736864</v>
      </c>
      <c r="AS9" s="385">
        <f t="shared" si="12"/>
        <v>0.27636959999999999</v>
      </c>
      <c r="AT9" s="380">
        <f t="shared" si="12"/>
        <v>0.29246880000000003</v>
      </c>
      <c r="AU9" s="380">
        <f t="shared" si="12"/>
        <v>0.32198399999999999</v>
      </c>
      <c r="AV9" s="386">
        <f t="shared" si="12"/>
        <v>0.35418240000000001</v>
      </c>
      <c r="AW9" s="377">
        <f t="shared" si="15"/>
        <v>0.32287840000000001</v>
      </c>
      <c r="AX9" s="378">
        <f t="shared" ref="AX9:AX12" si="16">AW9</f>
        <v>0.32287840000000001</v>
      </c>
    </row>
    <row r="10" spans="2:50" x14ac:dyDescent="0.2">
      <c r="B10" s="354">
        <f t="shared" si="13"/>
        <v>2030</v>
      </c>
      <c r="C10" s="355">
        <f t="shared" si="1"/>
        <v>1.8576058628201497</v>
      </c>
      <c r="D10" s="356">
        <f t="shared" si="2"/>
        <v>1.189028702716584</v>
      </c>
      <c r="E10" s="357">
        <f t="shared" si="3"/>
        <v>0.30542863992121205</v>
      </c>
      <c r="F10" s="356">
        <f t="shared" si="4"/>
        <v>1.1700299999999999</v>
      </c>
      <c r="G10" s="357">
        <f t="shared" si="5"/>
        <v>0.29798999999999998</v>
      </c>
      <c r="H10" s="358">
        <f t="shared" si="9"/>
        <v>2255.3428784868847</v>
      </c>
      <c r="I10" s="359" cm="1">
        <f t="array" ref="I10">TREND($AL$25:$AL$26,$AJ$25:$AJ$26,B10)</f>
        <v>748.77497455675257</v>
      </c>
      <c r="J10" s="360" cm="1">
        <f t="array" ref="J10">TREND($AK$25:$AK$26,$AJ$25:$AJ$26,B10)</f>
        <v>1506.5679039301322</v>
      </c>
      <c r="K10" s="361">
        <f>$AK$21*I10*Assumptions!$C$9</f>
        <v>12161977.524238054</v>
      </c>
      <c r="L10" s="359">
        <f>$AK$21*J10*Assumptions!$C$9</f>
        <v>24470429.179585174</v>
      </c>
      <c r="M10" s="362">
        <f t="shared" si="10"/>
        <v>21934910.260722063</v>
      </c>
      <c r="N10" s="363">
        <f t="shared" si="6"/>
        <v>21521821.753908835</v>
      </c>
      <c r="O10" s="364">
        <f t="shared" si="7"/>
        <v>56067357.959670819</v>
      </c>
      <c r="P10" s="365">
        <f t="shared" si="8"/>
        <v>53599612.470708773</v>
      </c>
      <c r="Q10" s="355">
        <f>_xlfn.XLOOKUP($B10,'Travel Time - US52'!$T$7:$T$29,'Travel Time - US52'!$AC$7:$AC$29,0,0,1)</f>
        <v>0.95205836027089297</v>
      </c>
      <c r="R10" s="366">
        <f>(M10-N10)*'Travel Time - US52'!AC14*Q10</f>
        <v>374429.66903623624</v>
      </c>
      <c r="S10" s="367">
        <f>R10*(1+Assumptions!$C$10)^-(B10-Assumptions!$C$3)</f>
        <v>293292.48264795908</v>
      </c>
      <c r="T10" s="342"/>
      <c r="U10" s="291" t="s">
        <v>58</v>
      </c>
      <c r="V10" s="291">
        <v>185.548</v>
      </c>
      <c r="W10" s="291">
        <v>0</v>
      </c>
      <c r="X10" s="291" t="s">
        <v>72</v>
      </c>
      <c r="Y10" s="291">
        <v>186</v>
      </c>
      <c r="Z10" s="291">
        <v>0.41699999999999998</v>
      </c>
      <c r="AA10" s="291" t="s">
        <v>72</v>
      </c>
      <c r="AB10" s="291">
        <v>0.82340000000000002</v>
      </c>
      <c r="AC10" s="291">
        <v>25</v>
      </c>
      <c r="AD10" s="299">
        <v>43</v>
      </c>
      <c r="AE10" s="300">
        <f t="shared" si="0"/>
        <v>0.67823343848580442</v>
      </c>
      <c r="AF10" s="291" t="s">
        <v>68</v>
      </c>
      <c r="AG10" s="291">
        <v>6.25</v>
      </c>
      <c r="AH10" s="291">
        <f>185.639-V10</f>
        <v>9.1000000000008185E-2</v>
      </c>
      <c r="AJ10" s="379" t="s">
        <v>26</v>
      </c>
      <c r="AK10" s="380">
        <f>AT31*$AK$17/100</f>
        <v>0.44634000000000001</v>
      </c>
      <c r="AL10" s="381">
        <f>AU31</f>
        <v>1.01</v>
      </c>
      <c r="AM10" s="381">
        <f>AV31</f>
        <v>1.02</v>
      </c>
      <c r="AN10" s="381">
        <f>AW31</f>
        <v>1.05</v>
      </c>
      <c r="AO10" s="381">
        <f>AX31</f>
        <v>1.1200000000000001</v>
      </c>
      <c r="AP10" s="382">
        <f>AY31</f>
        <v>1.2</v>
      </c>
      <c r="AQ10" s="383">
        <f t="shared" si="14"/>
        <v>0.44634000000000001</v>
      </c>
      <c r="AR10" s="384">
        <f t="shared" si="12"/>
        <v>0.45080340000000002</v>
      </c>
      <c r="AS10" s="385">
        <f t="shared" si="12"/>
        <v>0.45526680000000003</v>
      </c>
      <c r="AT10" s="380">
        <f t="shared" si="12"/>
        <v>0.46865700000000005</v>
      </c>
      <c r="AU10" s="380">
        <f t="shared" si="12"/>
        <v>0.49990080000000009</v>
      </c>
      <c r="AV10" s="386">
        <f t="shared" si="12"/>
        <v>0.53560799999999997</v>
      </c>
      <c r="AW10" s="377">
        <f t="shared" si="15"/>
        <v>0.50138859999999996</v>
      </c>
      <c r="AX10" s="378">
        <f t="shared" si="16"/>
        <v>0.50138859999999996</v>
      </c>
    </row>
    <row r="11" spans="2:50" ht="12.75" thickBot="1" x14ac:dyDescent="0.25">
      <c r="B11" s="354">
        <f t="shared" si="13"/>
        <v>2031</v>
      </c>
      <c r="C11" s="355">
        <f t="shared" si="1"/>
        <v>1.9390290582899579</v>
      </c>
      <c r="D11" s="356">
        <f t="shared" si="2"/>
        <v>1.1921040850985356</v>
      </c>
      <c r="E11" s="357">
        <f t="shared" si="3"/>
        <v>0.3066145260253455</v>
      </c>
      <c r="F11" s="356">
        <f t="shared" si="4"/>
        <v>1.1700299999999999</v>
      </c>
      <c r="G11" s="357">
        <f t="shared" si="5"/>
        <v>0.29798999999999998</v>
      </c>
      <c r="H11" s="358">
        <f t="shared" si="9"/>
        <v>2290.3857382977476</v>
      </c>
      <c r="I11" s="359" cm="1">
        <f t="array" ref="I11">TREND($AL$25:$AL$26,$AJ$25:$AJ$26,B11)</f>
        <v>762.37184637634709</v>
      </c>
      <c r="J11" s="360" cm="1">
        <f t="array" ref="J11">TREND($AK$25:$AK$26,$AJ$25:$AJ$26,B11)</f>
        <v>1528.0138919214005</v>
      </c>
      <c r="K11" s="361">
        <f>$AK$21*I11*Assumptions!$C$9</f>
        <v>12382824.714767817</v>
      </c>
      <c r="L11" s="359">
        <f>$AK$21*J11*Assumptions!$C$9</f>
        <v>24818765.639533348</v>
      </c>
      <c r="M11" s="362">
        <f t="shared" si="10"/>
        <v>22371409.990633473</v>
      </c>
      <c r="N11" s="363">
        <f t="shared" si="6"/>
        <v>21884020.373944327</v>
      </c>
      <c r="O11" s="364">
        <f t="shared" si="7"/>
        <v>57088917.829969041</v>
      </c>
      <c r="P11" s="365">
        <f t="shared" si="8"/>
        <v>54580460.436516874</v>
      </c>
      <c r="Q11" s="355">
        <f>_xlfn.XLOOKUP($B11,'Travel Time - US52'!$T$7:$T$29,'Travel Time - US52'!$AC$7:$AC$29,0,0,1)</f>
        <v>0.93113709239088382</v>
      </c>
      <c r="R11" s="366">
        <f>(M11-N11)*'Travel Time - US52'!AC15*Q11</f>
        <v>422574.73472466395</v>
      </c>
      <c r="S11" s="367">
        <f>R11*(1+Assumptions!$C$10)^-(B11-Assumptions!$C$3)</f>
        <v>321052.11846292706</v>
      </c>
      <c r="T11" s="342"/>
      <c r="U11" s="342"/>
      <c r="AJ11" s="387" t="s">
        <v>27</v>
      </c>
      <c r="AK11" s="380">
        <f>AT32*$AK$17/100</f>
        <v>1.1700299999999999</v>
      </c>
      <c r="AL11" s="388">
        <f>AU32</f>
        <v>1.01</v>
      </c>
      <c r="AM11" s="388">
        <f>AV32</f>
        <v>1.02</v>
      </c>
      <c r="AN11" s="388">
        <f>AW32</f>
        <v>1.05</v>
      </c>
      <c r="AO11" s="388">
        <f>AX32</f>
        <v>1.1000000000000001</v>
      </c>
      <c r="AP11" s="389">
        <f>AY32</f>
        <v>1.1499999999999999</v>
      </c>
      <c r="AQ11" s="390">
        <f t="shared" si="14"/>
        <v>1.1700299999999999</v>
      </c>
      <c r="AR11" s="391">
        <f t="shared" si="12"/>
        <v>1.1817302999999999</v>
      </c>
      <c r="AS11" s="392">
        <f t="shared" si="12"/>
        <v>1.1934305999999999</v>
      </c>
      <c r="AT11" s="393">
        <f t="shared" si="12"/>
        <v>1.2285314999999999</v>
      </c>
      <c r="AU11" s="394">
        <f t="shared" si="12"/>
        <v>1.2870330000000001</v>
      </c>
      <c r="AV11" s="395">
        <f t="shared" si="12"/>
        <v>1.3455344999999999</v>
      </c>
      <c r="AW11" s="396">
        <f t="shared" si="15"/>
        <v>1.2870329999999999</v>
      </c>
      <c r="AX11" s="397">
        <f t="shared" si="16"/>
        <v>1.2870329999999999</v>
      </c>
    </row>
    <row r="12" spans="2:50" x14ac:dyDescent="0.2">
      <c r="B12" s="354">
        <f t="shared" si="13"/>
        <v>2032</v>
      </c>
      <c r="C12" s="355">
        <f t="shared" si="1"/>
        <v>2.0204522537597653</v>
      </c>
      <c r="D12" s="356">
        <f t="shared" si="2"/>
        <v>1.1951794674804874</v>
      </c>
      <c r="E12" s="357">
        <f t="shared" si="3"/>
        <v>0.30780041212947895</v>
      </c>
      <c r="F12" s="356">
        <f t="shared" si="4"/>
        <v>1.1700299999999999</v>
      </c>
      <c r="G12" s="357">
        <f t="shared" si="5"/>
        <v>0.29798999999999998</v>
      </c>
      <c r="H12" s="358">
        <f t="shared" si="9"/>
        <v>2325.4285981085995</v>
      </c>
      <c r="I12" s="359" cm="1">
        <f t="array" ref="I12">TREND($AL$25:$AL$26,$AJ$25:$AJ$26,B12)</f>
        <v>775.96871819593798</v>
      </c>
      <c r="J12" s="360" cm="1">
        <f t="array" ref="J12">TREND($AK$25:$AK$26,$AJ$25:$AJ$26,B12)</f>
        <v>1549.4598799126616</v>
      </c>
      <c r="K12" s="361">
        <f>$AK$21*I12*Assumptions!$C$9</f>
        <v>12603671.905297523</v>
      </c>
      <c r="L12" s="359">
        <f>$AK$21*J12*Assumptions!$C$9</f>
        <v>25167102.099481408</v>
      </c>
      <c r="M12" s="362">
        <f t="shared" si="10"/>
        <v>22810094.274397328</v>
      </c>
      <c r="N12" s="363">
        <f t="shared" si="6"/>
        <v>22246218.993979722</v>
      </c>
      <c r="O12" s="364">
        <f t="shared" si="7"/>
        <v>58113033.693811104</v>
      </c>
      <c r="P12" s="365">
        <f t="shared" si="8"/>
        <v>55563864.395868853</v>
      </c>
      <c r="Q12" s="355">
        <f>_xlfn.XLOOKUP($B12,'Travel Time - US52'!$T$7:$T$29,'Travel Time - US52'!$AC$7:$AC$29,0,0,1)</f>
        <v>0.9117547720162974</v>
      </c>
      <c r="R12" s="366">
        <f>(M12-N12)*'Travel Time - US52'!AC16*Q12</f>
        <v>468747.69607680454</v>
      </c>
      <c r="S12" s="367">
        <f>R12*(1+Assumptions!$C$10)^-(B12-Assumptions!$C$3)</f>
        <v>345423.98754195898</v>
      </c>
      <c r="T12" s="342"/>
      <c r="U12" s="398"/>
      <c r="AJ12" s="399" t="s">
        <v>29</v>
      </c>
      <c r="AK12" s="400">
        <f>AVERAGE(AK7:AK10)</f>
        <v>0.29798999999999998</v>
      </c>
      <c r="AL12" s="401">
        <f>AVERAGE(AL7:AL10)</f>
        <v>1.0150000000000001</v>
      </c>
      <c r="AM12" s="401">
        <f t="shared" ref="AM12:AP12" si="17">AVERAGE(AM7:AM10)</f>
        <v>1.0249999999999999</v>
      </c>
      <c r="AN12" s="401">
        <f t="shared" si="17"/>
        <v>1.0674999999999999</v>
      </c>
      <c r="AO12" s="401">
        <f t="shared" si="17"/>
        <v>1.145</v>
      </c>
      <c r="AP12" s="402">
        <f t="shared" si="17"/>
        <v>1.2275</v>
      </c>
      <c r="AQ12" s="403">
        <f>AK12</f>
        <v>0.29798999999999998</v>
      </c>
      <c r="AR12" s="404">
        <f t="shared" si="12"/>
        <v>0.30245985000000003</v>
      </c>
      <c r="AS12" s="405">
        <f t="shared" si="12"/>
        <v>0.30543974999999995</v>
      </c>
      <c r="AT12" s="404">
        <f t="shared" si="12"/>
        <v>0.31810432499999997</v>
      </c>
      <c r="AU12" s="400">
        <f t="shared" si="12"/>
        <v>0.34119854999999999</v>
      </c>
      <c r="AV12" s="406">
        <f t="shared" si="12"/>
        <v>0.36578272499999998</v>
      </c>
      <c r="AW12" s="407">
        <f>AVERAGE(AW7:AW10)</f>
        <v>0.34068469999999995</v>
      </c>
      <c r="AX12" s="408">
        <f t="shared" si="16"/>
        <v>0.34068469999999995</v>
      </c>
    </row>
    <row r="13" spans="2:50" ht="12.75" thickBot="1" x14ac:dyDescent="0.25">
      <c r="B13" s="354">
        <f t="shared" si="13"/>
        <v>2033</v>
      </c>
      <c r="C13" s="355">
        <f t="shared" si="1"/>
        <v>2.1018754492295737</v>
      </c>
      <c r="D13" s="356">
        <f t="shared" si="2"/>
        <v>1.198254849862439</v>
      </c>
      <c r="E13" s="357">
        <f t="shared" si="3"/>
        <v>0.3089862982336124</v>
      </c>
      <c r="F13" s="356">
        <f t="shared" si="4"/>
        <v>1.1700299999999999</v>
      </c>
      <c r="G13" s="357">
        <f t="shared" si="5"/>
        <v>0.29798999999999998</v>
      </c>
      <c r="H13" s="358">
        <f t="shared" si="9"/>
        <v>2360.4714579194624</v>
      </c>
      <c r="I13" s="359" cm="1">
        <f t="array" ref="I13">TREND($AL$25:$AL$26,$AJ$25:$AJ$26,B13)</f>
        <v>789.56559001553251</v>
      </c>
      <c r="J13" s="360" cm="1">
        <f t="array" ref="J13">TREND($AK$25:$AK$26,$AJ$25:$AJ$26,B13)</f>
        <v>1570.9058679039299</v>
      </c>
      <c r="K13" s="361">
        <f>$AK$21*I13*Assumptions!$C$9</f>
        <v>12824519.095827285</v>
      </c>
      <c r="L13" s="359">
        <f>$AK$21*J13*Assumptions!$C$9</f>
        <v>25515438.559429582</v>
      </c>
      <c r="M13" s="362">
        <f t="shared" si="10"/>
        <v>23250963.112013828</v>
      </c>
      <c r="N13" s="363">
        <f t="shared" si="6"/>
        <v>22608417.614015218</v>
      </c>
      <c r="O13" s="364">
        <f t="shared" si="7"/>
        <v>59139705.551197506</v>
      </c>
      <c r="P13" s="365">
        <f t="shared" si="8"/>
        <v>56549824.34876515</v>
      </c>
      <c r="Q13" s="355">
        <f>_xlfn.XLOOKUP($B13,'Travel Time - US52'!$T$7:$T$29,'Travel Time - US52'!$AC$7:$AC$29,0,0,1)</f>
        <v>0.8937048982643202</v>
      </c>
      <c r="R13" s="366">
        <f>(M13-N13)*'Travel Time - US52'!AC17*Q13</f>
        <v>513206.51566493174</v>
      </c>
      <c r="S13" s="367">
        <f>R13*(1+Assumptions!$C$10)^-(B13-Assumptions!$C$3)</f>
        <v>366814.79445998679</v>
      </c>
      <c r="T13" s="342"/>
      <c r="U13" s="289" t="s">
        <v>913</v>
      </c>
      <c r="AC13" s="409"/>
      <c r="AJ13" s="410" t="s">
        <v>31</v>
      </c>
      <c r="AK13" s="411">
        <f>AK11</f>
        <v>1.1700299999999999</v>
      </c>
      <c r="AL13" s="412">
        <f>AL11</f>
        <v>1.01</v>
      </c>
      <c r="AM13" s="412">
        <f t="shared" ref="AM13:AO13" si="18">AM11</f>
        <v>1.02</v>
      </c>
      <c r="AN13" s="412">
        <f t="shared" si="18"/>
        <v>1.05</v>
      </c>
      <c r="AO13" s="412">
        <f t="shared" si="18"/>
        <v>1.1000000000000001</v>
      </c>
      <c r="AP13" s="413">
        <f>AP11</f>
        <v>1.1499999999999999</v>
      </c>
      <c r="AQ13" s="414">
        <f>AK13</f>
        <v>1.1700299999999999</v>
      </c>
      <c r="AR13" s="415">
        <f t="shared" si="12"/>
        <v>1.1817302999999999</v>
      </c>
      <c r="AS13" s="416">
        <f t="shared" si="12"/>
        <v>1.1934305999999999</v>
      </c>
      <c r="AT13" s="415">
        <f t="shared" si="12"/>
        <v>1.2285314999999999</v>
      </c>
      <c r="AU13" s="411">
        <f t="shared" si="12"/>
        <v>1.2870330000000001</v>
      </c>
      <c r="AV13" s="417">
        <f t="shared" si="12"/>
        <v>1.3455344999999999</v>
      </c>
      <c r="AW13" s="418">
        <f>AW11</f>
        <v>1.2870329999999999</v>
      </c>
      <c r="AX13" s="419">
        <f>AW13</f>
        <v>1.2870329999999999</v>
      </c>
    </row>
    <row r="14" spans="2:50" ht="12.75" thickBot="1" x14ac:dyDescent="0.25">
      <c r="B14" s="354">
        <f t="shared" si="13"/>
        <v>2034</v>
      </c>
      <c r="C14" s="355">
        <f t="shared" si="1"/>
        <v>2.1832986446993812</v>
      </c>
      <c r="D14" s="356">
        <f t="shared" si="2"/>
        <v>1.2013302322443906</v>
      </c>
      <c r="E14" s="357">
        <f t="shared" si="3"/>
        <v>0.31017218433774585</v>
      </c>
      <c r="F14" s="356">
        <f t="shared" si="4"/>
        <v>1.1700299999999999</v>
      </c>
      <c r="G14" s="357">
        <f t="shared" si="5"/>
        <v>0.29798999999999998</v>
      </c>
      <c r="H14" s="358">
        <f t="shared" si="9"/>
        <v>2395.5143177303253</v>
      </c>
      <c r="I14" s="359" cm="1">
        <f t="array" ref="I14">TREND($AL$25:$AL$26,$AJ$25:$AJ$26,B14)</f>
        <v>803.16246183512703</v>
      </c>
      <c r="J14" s="360" cm="1">
        <f t="array" ref="J14">TREND($AK$25:$AK$26,$AJ$25:$AJ$26,B14)</f>
        <v>1592.3518558951982</v>
      </c>
      <c r="K14" s="361">
        <f>$AK$21*I14*Assumptions!$C$9</f>
        <v>13045366.286357053</v>
      </c>
      <c r="L14" s="359">
        <f>$AK$21*J14*Assumptions!$C$9</f>
        <v>25863775.019377757</v>
      </c>
      <c r="M14" s="362">
        <f t="shared" si="10"/>
        <v>23694016.503482886</v>
      </c>
      <c r="N14" s="363">
        <f t="shared" si="6"/>
        <v>22970616.234050717</v>
      </c>
      <c r="O14" s="364">
        <f t="shared" si="7"/>
        <v>60168933.402128033</v>
      </c>
      <c r="P14" s="365">
        <f t="shared" si="8"/>
        <v>57538340.295205571</v>
      </c>
      <c r="Q14" s="355">
        <f>_xlfn.XLOOKUP($B14,'Travel Time - US52'!$T$7:$T$29,'Travel Time - US52'!$AC$7:$AC$29,0,0,1)</f>
        <v>0.87483163174551282</v>
      </c>
      <c r="R14" s="366">
        <f>(M14-N14)*'Travel Time - US52'!AC18*Q14</f>
        <v>553640.20591970545</v>
      </c>
      <c r="S14" s="367">
        <f>R14*(1+Assumptions!$C$10)^-(B14-Assumptions!$C$3)</f>
        <v>383816.49760411901</v>
      </c>
      <c r="T14" s="342"/>
      <c r="U14" s="420" t="s">
        <v>57</v>
      </c>
      <c r="V14" s="421" cm="1">
        <f t="array" ref="V14:AB14">TRANSPOSE(AH4:AH10)</f>
        <v>3.8290000000000077</v>
      </c>
      <c r="W14" s="421">
        <v>6.8839999999999861</v>
      </c>
      <c r="X14" s="421">
        <v>15.827000000000027</v>
      </c>
      <c r="Y14" s="421">
        <v>2.2680000000000007</v>
      </c>
      <c r="Z14" s="421">
        <v>14.020999999999987</v>
      </c>
      <c r="AA14" s="421">
        <v>1.5480000000000018</v>
      </c>
      <c r="AB14" s="422">
        <v>9.1000000000008185E-2</v>
      </c>
      <c r="AC14" s="423" t="s">
        <v>815</v>
      </c>
    </row>
    <row r="15" spans="2:50" ht="12.75" thickBot="1" x14ac:dyDescent="0.25">
      <c r="B15" s="354">
        <f t="shared" si="13"/>
        <v>2035</v>
      </c>
      <c r="C15" s="355">
        <f t="shared" si="1"/>
        <v>2.2647218401691891</v>
      </c>
      <c r="D15" s="356">
        <f t="shared" si="2"/>
        <v>1.2044056146263422</v>
      </c>
      <c r="E15" s="357">
        <f t="shared" si="3"/>
        <v>0.31135807044187935</v>
      </c>
      <c r="F15" s="356">
        <f t="shared" si="4"/>
        <v>1.1700299999999999</v>
      </c>
      <c r="G15" s="357">
        <f t="shared" si="5"/>
        <v>0.29798999999999998</v>
      </c>
      <c r="H15" s="358">
        <f t="shared" si="9"/>
        <v>2430.5571775411881</v>
      </c>
      <c r="I15" s="359" cm="1">
        <f t="array" ref="I15">TREND($AL$25:$AL$26,$AJ$25:$AJ$26,B15)</f>
        <v>816.75933365472156</v>
      </c>
      <c r="J15" s="360" cm="1">
        <f t="array" ref="J15">TREND($AK$25:$AK$26,$AJ$25:$AJ$26,B15)</f>
        <v>1613.7978438864666</v>
      </c>
      <c r="K15" s="361">
        <f>$AK$21*I15*Assumptions!$C$9</f>
        <v>13266213.476886814</v>
      </c>
      <c r="L15" s="359">
        <f>$AK$21*J15*Assumptions!$C$9</f>
        <v>26212111.479325935</v>
      </c>
      <c r="M15" s="362">
        <f t="shared" si="10"/>
        <v>24139254.448804487</v>
      </c>
      <c r="N15" s="363">
        <f t="shared" si="6"/>
        <v>23332814.854086213</v>
      </c>
      <c r="O15" s="364">
        <f t="shared" si="7"/>
        <v>61200717.246602632</v>
      </c>
      <c r="P15" s="365">
        <f t="shared" si="8"/>
        <v>58529412.235190071</v>
      </c>
      <c r="Q15" s="355">
        <f>_xlfn.XLOOKUP($B15,'Travel Time - US52'!$T$7:$T$29,'Travel Time - US52'!$AC$7:$AC$29,0,0,1)</f>
        <v>0.84726133837282191</v>
      </c>
      <c r="R15" s="366">
        <f>(M15-N15)*'Travel Time - US52'!AC19*Q15</f>
        <v>578904.09490306606</v>
      </c>
      <c r="S15" s="367">
        <f>R15*(1+Assumptions!$C$10)^-(B15-Assumptions!$C$3)</f>
        <v>389263.75964147126</v>
      </c>
      <c r="T15" s="342"/>
      <c r="U15" s="424" t="s">
        <v>813</v>
      </c>
      <c r="V15" s="425" t="s">
        <v>59</v>
      </c>
      <c r="W15" s="425" t="s">
        <v>63</v>
      </c>
      <c r="X15" s="425" t="s">
        <v>64</v>
      </c>
      <c r="Y15" s="425" t="s">
        <v>66</v>
      </c>
      <c r="Z15" s="425" t="s">
        <v>69</v>
      </c>
      <c r="AA15" s="425" t="s">
        <v>70</v>
      </c>
      <c r="AB15" s="426" t="s">
        <v>72</v>
      </c>
      <c r="AC15" s="427"/>
      <c r="AJ15" s="289" t="s">
        <v>37</v>
      </c>
    </row>
    <row r="16" spans="2:50" ht="12.75" thickBot="1" x14ac:dyDescent="0.25">
      <c r="B16" s="354">
        <f t="shared" si="13"/>
        <v>2036</v>
      </c>
      <c r="C16" s="355">
        <f t="shared" si="1"/>
        <v>2.346145035638997</v>
      </c>
      <c r="D16" s="356">
        <f t="shared" si="2"/>
        <v>1.207480997008294</v>
      </c>
      <c r="E16" s="357">
        <f t="shared" si="3"/>
        <v>0.3125439565460128</v>
      </c>
      <c r="F16" s="356">
        <f t="shared" si="4"/>
        <v>1.1700299999999999</v>
      </c>
      <c r="G16" s="357">
        <f t="shared" si="5"/>
        <v>0.29798999999999998</v>
      </c>
      <c r="H16" s="358">
        <f t="shared" si="9"/>
        <v>2465.6000373520437</v>
      </c>
      <c r="I16" s="359" cm="1">
        <f t="array" ref="I16">TREND($AL$25:$AL$26,$AJ$25:$AJ$26,B16)</f>
        <v>830.35620547431608</v>
      </c>
      <c r="J16" s="360" cm="1">
        <f t="array" ref="J16">TREND($AK$25:$AK$26,$AJ$25:$AJ$26,B16)</f>
        <v>1635.2438318777276</v>
      </c>
      <c r="K16" s="361">
        <f>$AK$21*I16*Assumptions!$C$9</f>
        <v>13487060.66741658</v>
      </c>
      <c r="L16" s="359">
        <f>$AK$21*J16*Assumptions!$C$9</f>
        <v>26560447.939273987</v>
      </c>
      <c r="M16" s="362">
        <f t="shared" si="10"/>
        <v>24586676.947978601</v>
      </c>
      <c r="N16" s="363">
        <f t="shared" si="6"/>
        <v>23695013.474121675</v>
      </c>
      <c r="O16" s="364">
        <f t="shared" si="7"/>
        <v>62235057.084621251</v>
      </c>
      <c r="P16" s="365">
        <f t="shared" si="8"/>
        <v>59523040.168718591</v>
      </c>
      <c r="Q16" s="355">
        <f>_xlfn.XLOOKUP($B16,'Travel Time - US52'!$T$7:$T$29,'Travel Time - US52'!$AC$7:$AC$29,0,0,1)</f>
        <v>0.81710609763399977</v>
      </c>
      <c r="R16" s="366">
        <f>(M16-N16)*'Travel Time - US52'!AC20*Q16</f>
        <v>595330.152469408</v>
      </c>
      <c r="S16" s="367">
        <f>R16*(1+Assumptions!$C$10)^-(B16-Assumptions!$C$3)</f>
        <v>388272.44042739866</v>
      </c>
      <c r="T16" s="342"/>
      <c r="U16" s="428" t="s">
        <v>814</v>
      </c>
      <c r="V16" s="429" t="s">
        <v>60</v>
      </c>
      <c r="W16" s="429" t="s">
        <v>64</v>
      </c>
      <c r="X16" s="429" t="s">
        <v>65</v>
      </c>
      <c r="Y16" s="429" t="s">
        <v>67</v>
      </c>
      <c r="Z16" s="429" t="s">
        <v>70</v>
      </c>
      <c r="AA16" s="429" t="s">
        <v>71</v>
      </c>
      <c r="AB16" s="430" t="s">
        <v>72</v>
      </c>
      <c r="AC16" s="431"/>
      <c r="AJ16" s="432" t="s">
        <v>38</v>
      </c>
      <c r="AK16" s="433" t="s">
        <v>39</v>
      </c>
    </row>
    <row r="17" spans="2:51" x14ac:dyDescent="0.2">
      <c r="B17" s="354">
        <f t="shared" si="13"/>
        <v>2037</v>
      </c>
      <c r="C17" s="355">
        <f t="shared" si="1"/>
        <v>2.4275682311088054</v>
      </c>
      <c r="D17" s="356">
        <f t="shared" si="2"/>
        <v>1.2105563793902456</v>
      </c>
      <c r="E17" s="357">
        <f t="shared" si="3"/>
        <v>0.31372984265014625</v>
      </c>
      <c r="F17" s="356">
        <f t="shared" si="4"/>
        <v>1.1700299999999999</v>
      </c>
      <c r="G17" s="357">
        <f t="shared" si="5"/>
        <v>0.29798999999999998</v>
      </c>
      <c r="H17" s="358">
        <f t="shared" si="9"/>
        <v>2500.6428971629066</v>
      </c>
      <c r="I17" s="359" cm="1">
        <f t="array" ref="I17">TREND($AL$25:$AL$26,$AJ$25:$AJ$26,B17)</f>
        <v>843.95307729391061</v>
      </c>
      <c r="J17" s="360" cm="1">
        <f t="array" ref="J17">TREND($AK$25:$AK$26,$AJ$25:$AJ$26,B17)</f>
        <v>1656.689819868996</v>
      </c>
      <c r="K17" s="361">
        <f>$AK$21*I17*Assumptions!$C$9</f>
        <v>13707907.857946342</v>
      </c>
      <c r="L17" s="359">
        <f>$AK$21*J17*Assumptions!$C$9</f>
        <v>26908784.399222169</v>
      </c>
      <c r="M17" s="362">
        <f t="shared" si="10"/>
        <v>25036284.001005299</v>
      </c>
      <c r="N17" s="363">
        <f t="shared" si="6"/>
        <v>24057212.094157171</v>
      </c>
      <c r="O17" s="364">
        <f t="shared" si="7"/>
        <v>63271952.916184053</v>
      </c>
      <c r="P17" s="365">
        <f t="shared" si="8"/>
        <v>60519224.095791295</v>
      </c>
      <c r="Q17" s="355">
        <f>_xlfn.XLOOKUP($B17,'Travel Time - US52'!$T$7:$T$29,'Travel Time - US52'!$AC$7:$AC$29,0,0,1)</f>
        <v>0.78901909389491409</v>
      </c>
      <c r="R17" s="366">
        <f>(M17-N17)*'Travel Time - US52'!AC21*Q17</f>
        <v>609522.32247920102</v>
      </c>
      <c r="S17" s="367">
        <f>R17*(1+Assumptions!$C$10)^-(B17-Assumptions!$C$3)</f>
        <v>385575.6826097556</v>
      </c>
      <c r="T17" s="342"/>
      <c r="U17" s="434">
        <v>2023</v>
      </c>
      <c r="V17" s="435" cm="1">
        <f t="array" ref="V17:AB17">TRANSPOSE(AD4:AD10)</f>
        <v>95.58</v>
      </c>
      <c r="W17" s="435">
        <v>104.67</v>
      </c>
      <c r="X17" s="435">
        <v>90.06</v>
      </c>
      <c r="Y17" s="435">
        <v>68.5</v>
      </c>
      <c r="Z17" s="435">
        <v>61.5</v>
      </c>
      <c r="AA17" s="435">
        <v>62.5</v>
      </c>
      <c r="AB17" s="436">
        <v>43</v>
      </c>
      <c r="AC17" s="437">
        <f t="shared" ref="AC17:AC39" si="19">SUMPRODUCT(V17:AB17,_xlfn.ANCHORARRAY($V$14))/SUM(_xlfn.ANCHORARRAY($V$14))/$AJ$42</f>
        <v>1.2876434945314947</v>
      </c>
      <c r="AJ17" s="438">
        <v>2011</v>
      </c>
      <c r="AK17" s="439">
        <v>1.29</v>
      </c>
    </row>
    <row r="18" spans="2:51" x14ac:dyDescent="0.2">
      <c r="B18" s="354">
        <f t="shared" si="13"/>
        <v>2038</v>
      </c>
      <c r="C18" s="355">
        <f t="shared" si="1"/>
        <v>2.5089914265786128</v>
      </c>
      <c r="D18" s="356">
        <f t="shared" si="2"/>
        <v>1.2136317617721972</v>
      </c>
      <c r="E18" s="357">
        <f t="shared" si="3"/>
        <v>0.3149157287542797</v>
      </c>
      <c r="F18" s="356">
        <f t="shared" si="4"/>
        <v>1.1700299999999999</v>
      </c>
      <c r="G18" s="357">
        <f t="shared" si="5"/>
        <v>0.29798999999999998</v>
      </c>
      <c r="H18" s="358">
        <f t="shared" si="9"/>
        <v>2535.6857569737695</v>
      </c>
      <c r="I18" s="359" cm="1">
        <f t="array" ref="I18">TREND($AL$25:$AL$26,$AJ$25:$AJ$26,B18)</f>
        <v>857.54994911350514</v>
      </c>
      <c r="J18" s="360" cm="1">
        <f t="array" ref="J18">TREND($AK$25:$AK$26,$AJ$25:$AJ$26,B18)</f>
        <v>1678.1358078602643</v>
      </c>
      <c r="K18" s="361">
        <f>$AK$21*I18*Assumptions!$C$9</f>
        <v>13928755.048476109</v>
      </c>
      <c r="L18" s="359">
        <f>$AK$21*J18*Assumptions!$C$9</f>
        <v>27257120.859170344</v>
      </c>
      <c r="M18" s="362">
        <f t="shared" si="10"/>
        <v>25488075.607884556</v>
      </c>
      <c r="N18" s="363">
        <f t="shared" si="6"/>
        <v>24419410.714192674</v>
      </c>
      <c r="O18" s="364">
        <f t="shared" si="7"/>
        <v>64311404.741290972</v>
      </c>
      <c r="P18" s="365">
        <f t="shared" si="8"/>
        <v>61517964.016408108</v>
      </c>
      <c r="Q18" s="355">
        <f>_xlfn.XLOOKUP($B18,'Travel Time - US52'!$T$7:$T$29,'Travel Time - US52'!$AC$7:$AC$29,0,0,1)</f>
        <v>0.76282029942217544</v>
      </c>
      <c r="R18" s="366">
        <f>(M18-N18)*'Travel Time - US52'!AC22*Q18</f>
        <v>621850.55442483723</v>
      </c>
      <c r="S18" s="367">
        <f>R18*(1+Assumptions!$C$10)^-(B18-Assumptions!$C$3)</f>
        <v>381546.41855187697</v>
      </c>
      <c r="T18" s="342"/>
      <c r="U18" s="440">
        <v>2024</v>
      </c>
      <c r="V18" s="441" cm="1">
        <f t="array" ref="V18:AB18">V17:AB17+TRANSPOSE($AG$4:$AG$10)</f>
        <v>100.74</v>
      </c>
      <c r="W18" s="441">
        <v>109.83</v>
      </c>
      <c r="X18" s="441">
        <v>95.22</v>
      </c>
      <c r="Y18" s="441">
        <v>73.66</v>
      </c>
      <c r="Z18" s="441">
        <v>66.66</v>
      </c>
      <c r="AA18" s="441">
        <v>67.66</v>
      </c>
      <c r="AB18" s="442">
        <v>49.25</v>
      </c>
      <c r="AC18" s="437">
        <f t="shared" si="19"/>
        <v>1.3690666900013027</v>
      </c>
      <c r="AQ18" s="443" t="s">
        <v>0</v>
      </c>
      <c r="AR18" s="444"/>
      <c r="AS18" s="444"/>
      <c r="AT18" s="444"/>
      <c r="AU18" s="444"/>
      <c r="AV18" s="444"/>
      <c r="AW18" s="444"/>
      <c r="AX18" s="444"/>
      <c r="AY18" s="444"/>
    </row>
    <row r="19" spans="2:51" ht="15" thickBot="1" x14ac:dyDescent="0.25">
      <c r="B19" s="354">
        <f t="shared" si="13"/>
        <v>2039</v>
      </c>
      <c r="C19" s="355">
        <f t="shared" si="1"/>
        <v>2.5904146220484208</v>
      </c>
      <c r="D19" s="356">
        <f t="shared" si="2"/>
        <v>1.216707144154149</v>
      </c>
      <c r="E19" s="357">
        <f t="shared" si="3"/>
        <v>0.3161016148584132</v>
      </c>
      <c r="F19" s="356">
        <f t="shared" si="4"/>
        <v>1.1700299999999999</v>
      </c>
      <c r="G19" s="357">
        <f t="shared" si="5"/>
        <v>0.29798999999999998</v>
      </c>
      <c r="H19" s="358">
        <f t="shared" si="9"/>
        <v>2570.7286167846214</v>
      </c>
      <c r="I19" s="359" cm="1">
        <f t="array" ref="I19">TREND($AL$25:$AL$26,$AJ$25:$AJ$26,B19)</f>
        <v>871.14682093309602</v>
      </c>
      <c r="J19" s="360" cm="1">
        <f t="array" ref="J19">TREND($AK$25:$AK$26,$AJ$25:$AJ$26,B19)</f>
        <v>1699.5817958515254</v>
      </c>
      <c r="K19" s="361">
        <f>$AK$21*I19*Assumptions!$C$9</f>
        <v>14149602.239005812</v>
      </c>
      <c r="L19" s="359">
        <f>$AK$21*J19*Assumptions!$C$9</f>
        <v>27605457.319118403</v>
      </c>
      <c r="M19" s="362">
        <f t="shared" si="10"/>
        <v>25942051.768616244</v>
      </c>
      <c r="N19" s="363">
        <f t="shared" si="6"/>
        <v>24781609.334228061</v>
      </c>
      <c r="O19" s="364">
        <f t="shared" si="7"/>
        <v>65353412.559941702</v>
      </c>
      <c r="P19" s="365">
        <f t="shared" si="8"/>
        <v>62519259.93056874</v>
      </c>
      <c r="Q19" s="355">
        <f>_xlfn.XLOOKUP($B19,'Travel Time - US52'!$T$7:$T$29,'Travel Time - US52'!$AC$7:$AC$29,0,0,1)</f>
        <v>0.73832355546931627</v>
      </c>
      <c r="R19" s="366">
        <f>(M19-N19)*'Travel Time - US52'!AC23*Q19</f>
        <v>632582.32074427372</v>
      </c>
      <c r="S19" s="367">
        <f>R19*(1+Assumptions!$C$10)^-(B19-Assumptions!$C$3)</f>
        <v>376460.78229186282</v>
      </c>
      <c r="T19" s="342"/>
      <c r="U19" s="440">
        <v>2025</v>
      </c>
      <c r="V19" s="441" cm="1">
        <f t="array" ref="V19:AB19">V18:AB18+TRANSPOSE($AG$4:$AG$10)</f>
        <v>105.89999999999999</v>
      </c>
      <c r="W19" s="441">
        <v>114.99</v>
      </c>
      <c r="X19" s="441">
        <v>100.38</v>
      </c>
      <c r="Y19" s="441">
        <v>78.819999999999993</v>
      </c>
      <c r="Z19" s="441">
        <v>71.819999999999993</v>
      </c>
      <c r="AA19" s="441">
        <v>72.819999999999993</v>
      </c>
      <c r="AB19" s="442">
        <v>55.5</v>
      </c>
      <c r="AC19" s="437">
        <f t="shared" si="19"/>
        <v>1.4504898854711101</v>
      </c>
      <c r="AJ19" s="289" t="s">
        <v>951</v>
      </c>
      <c r="AQ19" s="445" t="s">
        <v>12</v>
      </c>
      <c r="AR19" s="445" t="s">
        <v>13</v>
      </c>
      <c r="AS19" s="446" t="s">
        <v>14</v>
      </c>
      <c r="AT19" s="447"/>
      <c r="AU19" s="447"/>
      <c r="AV19" s="447"/>
      <c r="AW19" s="447"/>
      <c r="AX19" s="447"/>
      <c r="AY19" s="448"/>
    </row>
    <row r="20" spans="2:51" ht="12.75" thickBot="1" x14ac:dyDescent="0.25">
      <c r="B20" s="354">
        <f t="shared" si="13"/>
        <v>2040</v>
      </c>
      <c r="C20" s="355">
        <f t="shared" si="1"/>
        <v>2.6718378175182287</v>
      </c>
      <c r="D20" s="356">
        <f t="shared" si="2"/>
        <v>1.2197825265361006</v>
      </c>
      <c r="E20" s="357">
        <f t="shared" si="3"/>
        <v>0.31728750096254665</v>
      </c>
      <c r="F20" s="356">
        <f t="shared" si="4"/>
        <v>1.1700299999999999</v>
      </c>
      <c r="G20" s="357">
        <f t="shared" si="5"/>
        <v>0.29798999999999998</v>
      </c>
      <c r="H20" s="358">
        <f t="shared" si="9"/>
        <v>2605.7714765954843</v>
      </c>
      <c r="I20" s="359" cm="1">
        <f t="array" ref="I20">TREND($AL$25:$AL$26,$AJ$25:$AJ$26,B20)</f>
        <v>884.74369275269055</v>
      </c>
      <c r="J20" s="360" cm="1">
        <f t="array" ref="J20">TREND($AK$25:$AK$26,$AJ$25:$AJ$26,B20)</f>
        <v>1721.0277838427937</v>
      </c>
      <c r="K20" s="361">
        <f>$AK$21*I20*Assumptions!$C$9</f>
        <v>14370449.429535575</v>
      </c>
      <c r="L20" s="359">
        <f>$AK$21*J20*Assumptions!$C$9</f>
        <v>27953793.779066578</v>
      </c>
      <c r="M20" s="362">
        <f t="shared" si="10"/>
        <v>26398212.483200587</v>
      </c>
      <c r="N20" s="363">
        <f t="shared" si="6"/>
        <v>25143807.954263557</v>
      </c>
      <c r="O20" s="364">
        <f t="shared" si="7"/>
        <v>66397976.372136801</v>
      </c>
      <c r="P20" s="365">
        <f t="shared" si="8"/>
        <v>63523111.838273734</v>
      </c>
      <c r="Q20" s="355">
        <f>_xlfn.XLOOKUP($B20,'Travel Time - US52'!$T$7:$T$29,'Travel Time - US52'!$AC$7:$AC$29,0,0,1)</f>
        <v>0.71536662198716161</v>
      </c>
      <c r="R20" s="366">
        <f>(M20-N20)*'Travel Time - US52'!AC24*Q20</f>
        <v>641940.76987443329</v>
      </c>
      <c r="S20" s="367">
        <f>R20*(1+Assumptions!$C$10)^-(B20-Assumptions!$C$3)</f>
        <v>370543.31594862376</v>
      </c>
      <c r="T20" s="342"/>
      <c r="U20" s="440">
        <v>2026</v>
      </c>
      <c r="V20" s="441" cm="1">
        <f t="array" ref="V20:AB20">V19:AB19+TRANSPOSE($AG$4:$AG$10)</f>
        <v>111.05999999999999</v>
      </c>
      <c r="W20" s="441">
        <v>120.14999999999999</v>
      </c>
      <c r="X20" s="441">
        <v>105.53999999999999</v>
      </c>
      <c r="Y20" s="441">
        <v>83.97999999999999</v>
      </c>
      <c r="Z20" s="441">
        <v>76.97999999999999</v>
      </c>
      <c r="AA20" s="441">
        <v>77.97999999999999</v>
      </c>
      <c r="AB20" s="442">
        <v>61.75</v>
      </c>
      <c r="AC20" s="437">
        <f t="shared" si="19"/>
        <v>1.5319130809409183</v>
      </c>
      <c r="AJ20" s="449" t="s">
        <v>32</v>
      </c>
      <c r="AK20" s="450" t="s">
        <v>33</v>
      </c>
      <c r="AL20" s="450" t="s">
        <v>2</v>
      </c>
      <c r="AM20" s="450" t="s">
        <v>34</v>
      </c>
      <c r="AN20" s="450" t="s">
        <v>3</v>
      </c>
      <c r="AO20" s="451" t="s">
        <v>35</v>
      </c>
      <c r="AQ20" s="452"/>
      <c r="AR20" s="452"/>
      <c r="AS20" s="453" t="s">
        <v>19</v>
      </c>
      <c r="AT20" s="454" t="s">
        <v>952</v>
      </c>
      <c r="AU20" s="446" t="s">
        <v>20</v>
      </c>
      <c r="AV20" s="447"/>
      <c r="AW20" s="447"/>
      <c r="AX20" s="447"/>
      <c r="AY20" s="448"/>
    </row>
    <row r="21" spans="2:51" x14ac:dyDescent="0.2">
      <c r="B21" s="354">
        <f t="shared" si="13"/>
        <v>2041</v>
      </c>
      <c r="C21" s="355">
        <f t="shared" si="1"/>
        <v>2.7532610129880375</v>
      </c>
      <c r="D21" s="356">
        <f t="shared" si="2"/>
        <v>1.2228579089180522</v>
      </c>
      <c r="E21" s="357">
        <f t="shared" si="3"/>
        <v>0.3184733870666801</v>
      </c>
      <c r="F21" s="356">
        <f t="shared" si="4"/>
        <v>1.1700299999999999</v>
      </c>
      <c r="G21" s="357">
        <f t="shared" si="5"/>
        <v>0.29798999999999998</v>
      </c>
      <c r="H21" s="358">
        <f t="shared" si="9"/>
        <v>2640.8143364063471</v>
      </c>
      <c r="I21" s="359" cm="1">
        <f t="array" ref="I21">TREND($AL$25:$AL$26,$AJ$25:$AJ$26,B21)</f>
        <v>898.34056457228507</v>
      </c>
      <c r="J21" s="360" cm="1">
        <f t="array" ref="J21">TREND($AK$25:$AK$26,$AJ$25:$AJ$26,B21)</f>
        <v>1742.4737718340621</v>
      </c>
      <c r="K21" s="361">
        <f>$AK$21*I21*Assumptions!$C$9</f>
        <v>14591296.620065339</v>
      </c>
      <c r="L21" s="359">
        <f>$AK$21*J21*Assumptions!$C$9</f>
        <v>28302130.239014752</v>
      </c>
      <c r="M21" s="362">
        <f t="shared" si="10"/>
        <v>26856557.751637481</v>
      </c>
      <c r="N21" s="363">
        <f t="shared" si="6"/>
        <v>25506006.574299052</v>
      </c>
      <c r="O21" s="364">
        <f t="shared" si="7"/>
        <v>67445096.177875996</v>
      </c>
      <c r="P21" s="365">
        <f t="shared" si="8"/>
        <v>64529519.739522822</v>
      </c>
      <c r="Q21" s="355">
        <f>_xlfn.XLOOKUP($B21,'Travel Time - US52'!$T$7:$T$29,'Travel Time - US52'!$AC$7:$AC$29,0,0,1)</f>
        <v>0.69380742386146077</v>
      </c>
      <c r="R21" s="366">
        <f>(M21-N21)*'Travel Time - US52'!AC25*Q21</f>
        <v>650113.12043881416</v>
      </c>
      <c r="S21" s="367">
        <f>R21*(1+Assumptions!$C$10)^-(B21-Assumptions!$C$3)</f>
        <v>363977.29289367661</v>
      </c>
      <c r="T21" s="342"/>
      <c r="U21" s="440">
        <v>2027</v>
      </c>
      <c r="V21" s="441" cm="1">
        <f t="array" ref="V21:AB21">V20:AB20+TRANSPOSE($AG$4:$AG$10)</f>
        <v>116.21999999999998</v>
      </c>
      <c r="W21" s="441">
        <v>125.30999999999999</v>
      </c>
      <c r="X21" s="441">
        <v>110.69999999999999</v>
      </c>
      <c r="Y21" s="441">
        <v>89.139999999999986</v>
      </c>
      <c r="Z21" s="441">
        <v>82.139999999999986</v>
      </c>
      <c r="AA21" s="441">
        <v>83.139999999999986</v>
      </c>
      <c r="AB21" s="442">
        <v>68</v>
      </c>
      <c r="AC21" s="437">
        <f t="shared" si="19"/>
        <v>1.613336276410726</v>
      </c>
      <c r="AJ21" s="455" t="s">
        <v>36</v>
      </c>
      <c r="AK21" s="456">
        <f>Assumptions!C19</f>
        <v>44.5</v>
      </c>
      <c r="AL21" s="457">
        <f>Assumptions!C20</f>
        <v>1645</v>
      </c>
      <c r="AM21" s="457">
        <f>AL21-AN21</f>
        <v>1036.3499999999999</v>
      </c>
      <c r="AN21" s="456">
        <f>AL21*$AO$21</f>
        <v>608.65</v>
      </c>
      <c r="AO21" s="458">
        <f>Assumptions!C12</f>
        <v>0.37</v>
      </c>
      <c r="AQ21" s="452"/>
      <c r="AR21" s="452"/>
      <c r="AS21" s="446" t="s">
        <v>21</v>
      </c>
      <c r="AT21" s="447"/>
      <c r="AU21" s="447"/>
      <c r="AV21" s="447"/>
      <c r="AW21" s="447"/>
      <c r="AX21" s="447"/>
      <c r="AY21" s="448"/>
    </row>
    <row r="22" spans="2:51" x14ac:dyDescent="0.2">
      <c r="B22" s="354">
        <f t="shared" si="13"/>
        <v>2042</v>
      </c>
      <c r="C22" s="355">
        <f t="shared" si="1"/>
        <v>2.8346842084578441</v>
      </c>
      <c r="D22" s="356">
        <f t="shared" si="2"/>
        <v>1.2259332913000038</v>
      </c>
      <c r="E22" s="357">
        <f t="shared" si="3"/>
        <v>0.31965927317081355</v>
      </c>
      <c r="F22" s="356">
        <f t="shared" si="4"/>
        <v>1.1700299999999999</v>
      </c>
      <c r="G22" s="357">
        <f t="shared" si="5"/>
        <v>0.29798999999999998</v>
      </c>
      <c r="H22" s="358">
        <f t="shared" si="9"/>
        <v>2675.85719621721</v>
      </c>
      <c r="I22" s="359" cm="1">
        <f t="array" ref="I22">TREND($AL$25:$AL$26,$AJ$25:$AJ$26,B22)</f>
        <v>911.9374363918796</v>
      </c>
      <c r="J22" s="360" cm="1">
        <f t="array" ref="J22">TREND($AK$25:$AK$26,$AJ$25:$AJ$26,B22)</f>
        <v>1763.9197598253304</v>
      </c>
      <c r="K22" s="361">
        <f>$AK$21*I22*Assumptions!$C$9</f>
        <v>14812143.810595104</v>
      </c>
      <c r="L22" s="359">
        <f>$AK$21*J22*Assumptions!$C$9</f>
        <v>28650466.698962931</v>
      </c>
      <c r="M22" s="362">
        <f t="shared" si="10"/>
        <v>27317087.573926926</v>
      </c>
      <c r="N22" s="363">
        <f t="shared" si="6"/>
        <v>25868205.194334552</v>
      </c>
      <c r="O22" s="364">
        <f t="shared" si="7"/>
        <v>68494771.977159292</v>
      </c>
      <c r="P22" s="365">
        <f t="shared" si="8"/>
        <v>65538483.63431602</v>
      </c>
      <c r="Q22" s="355">
        <f>_xlfn.XLOOKUP($B22,'Travel Time - US52'!$T$7:$T$29,'Travel Time - US52'!$AC$7:$AC$29,0,0,1)</f>
        <v>0.67352098777415736</v>
      </c>
      <c r="R22" s="366">
        <f>(M22-N22)*'Travel Time - US52'!AC26*Q22</f>
        <v>657257.26868204051</v>
      </c>
      <c r="S22" s="367">
        <f>R22*(1+Assumptions!$C$10)^-(B22-Assumptions!$C$3)</f>
        <v>356912.77424743841</v>
      </c>
      <c r="T22" s="342"/>
      <c r="U22" s="440">
        <v>2028</v>
      </c>
      <c r="V22" s="441" cm="1">
        <f t="array" ref="V22:AB22">V21:AB21+TRANSPOSE($AG$4:$AG$10)</f>
        <v>121.37999999999998</v>
      </c>
      <c r="W22" s="441">
        <v>130.47</v>
      </c>
      <c r="X22" s="441">
        <v>115.85999999999999</v>
      </c>
      <c r="Y22" s="441">
        <v>94.299999999999983</v>
      </c>
      <c r="Z22" s="441">
        <v>87.299999999999983</v>
      </c>
      <c r="AA22" s="441">
        <v>88.299999999999983</v>
      </c>
      <c r="AB22" s="442">
        <v>74.25</v>
      </c>
      <c r="AC22" s="437">
        <f t="shared" si="19"/>
        <v>1.6947594718805343</v>
      </c>
      <c r="AQ22" s="459"/>
      <c r="AR22" s="459"/>
      <c r="AS22" s="460">
        <v>1</v>
      </c>
      <c r="AT22" s="461"/>
      <c r="AU22" s="462">
        <v>2</v>
      </c>
      <c r="AV22" s="462">
        <v>3</v>
      </c>
      <c r="AW22" s="462">
        <v>4</v>
      </c>
      <c r="AX22" s="463">
        <v>5</v>
      </c>
      <c r="AY22" s="462">
        <v>6</v>
      </c>
    </row>
    <row r="23" spans="2:51" x14ac:dyDescent="0.2">
      <c r="B23" s="354">
        <f t="shared" si="13"/>
        <v>2043</v>
      </c>
      <c r="C23" s="355">
        <f t="shared" si="1"/>
        <v>2.9161074039276524</v>
      </c>
      <c r="D23" s="356">
        <f t="shared" si="2"/>
        <v>1.2290086736819557</v>
      </c>
      <c r="E23" s="357">
        <f t="shared" si="3"/>
        <v>0.320845159274947</v>
      </c>
      <c r="F23" s="356">
        <f t="shared" si="4"/>
        <v>1.1700299999999999</v>
      </c>
      <c r="G23" s="357">
        <f t="shared" si="5"/>
        <v>0.29798999999999998</v>
      </c>
      <c r="H23" s="358">
        <f t="shared" si="9"/>
        <v>2710.9000560280656</v>
      </c>
      <c r="I23" s="359" cm="1">
        <f t="array" ref="I23">TREND($AL$25:$AL$26,$AJ$25:$AJ$26,B23)</f>
        <v>925.53430821147413</v>
      </c>
      <c r="J23" s="360" cm="1">
        <f t="array" ref="J23">TREND($AK$25:$AK$26,$AJ$25:$AJ$26,B23)</f>
        <v>1785.3657478165915</v>
      </c>
      <c r="K23" s="361">
        <f>$AK$21*I23*Assumptions!$C$9</f>
        <v>15032991.001124868</v>
      </c>
      <c r="L23" s="359">
        <f>$AK$21*J23*Assumptions!$C$9</f>
        <v>28998803.15891099</v>
      </c>
      <c r="M23" s="362">
        <f t="shared" si="10"/>
        <v>27779801.950068884</v>
      </c>
      <c r="N23" s="363">
        <f t="shared" si="6"/>
        <v>26230403.814370014</v>
      </c>
      <c r="O23" s="364">
        <f t="shared" si="7"/>
        <v>69547003.7699866</v>
      </c>
      <c r="P23" s="365">
        <f t="shared" si="8"/>
        <v>66550003.52265323</v>
      </c>
      <c r="Q23" s="355">
        <f>_xlfn.XLOOKUP($B23,'Travel Time - US52'!$T$7:$T$29,'Travel Time - US52'!$AC$7:$AC$29,0,0,1)</f>
        <v>0.6543969248934044</v>
      </c>
      <c r="R23" s="366">
        <f>(M23-N23)*'Travel Time - US52'!AC27*Q23</f>
        <v>663507.03016960761</v>
      </c>
      <c r="S23" s="367">
        <f>R23*(1+Assumptions!$C$10)^-(B23-Assumptions!$C$3)</f>
        <v>349472.94341944723</v>
      </c>
      <c r="T23" s="342"/>
      <c r="U23" s="440">
        <v>2029</v>
      </c>
      <c r="V23" s="441" cm="1">
        <f t="array" ref="V23:AB23">V22:AB22+TRANSPOSE($AG$4:$AG$10)</f>
        <v>126.53999999999998</v>
      </c>
      <c r="W23" s="441">
        <v>135.63</v>
      </c>
      <c r="X23" s="441">
        <v>121.01999999999998</v>
      </c>
      <c r="Y23" s="441">
        <v>99.45999999999998</v>
      </c>
      <c r="Z23" s="441">
        <v>92.45999999999998</v>
      </c>
      <c r="AA23" s="441">
        <v>93.45999999999998</v>
      </c>
      <c r="AB23" s="442">
        <v>80.5</v>
      </c>
      <c r="AC23" s="437">
        <f t="shared" si="19"/>
        <v>1.7761826673503418</v>
      </c>
      <c r="AJ23" s="289" t="s">
        <v>40</v>
      </c>
      <c r="AQ23" s="464" t="s">
        <v>953</v>
      </c>
      <c r="AR23" s="465" t="s">
        <v>24</v>
      </c>
      <c r="AS23" s="466">
        <v>8.8000000000000007</v>
      </c>
      <c r="AT23" s="467">
        <v>14</v>
      </c>
      <c r="AU23" s="468">
        <v>1.02</v>
      </c>
      <c r="AV23" s="468">
        <v>1.04</v>
      </c>
      <c r="AW23" s="468">
        <v>1.08</v>
      </c>
      <c r="AX23" s="469">
        <v>1.1499999999999999</v>
      </c>
      <c r="AY23" s="468">
        <v>1.22</v>
      </c>
    </row>
    <row r="24" spans="2:51" x14ac:dyDescent="0.2">
      <c r="B24" s="354">
        <f t="shared" si="13"/>
        <v>2044</v>
      </c>
      <c r="C24" s="355">
        <f t="shared" si="1"/>
        <v>2.9975305993974608</v>
      </c>
      <c r="D24" s="356">
        <f t="shared" si="2"/>
        <v>1.2320840560639073</v>
      </c>
      <c r="E24" s="357">
        <f t="shared" si="3"/>
        <v>0.3220310453790805</v>
      </c>
      <c r="F24" s="356">
        <f t="shared" si="4"/>
        <v>1.1700299999999999</v>
      </c>
      <c r="G24" s="357">
        <f t="shared" si="5"/>
        <v>0.29798999999999998</v>
      </c>
      <c r="H24" s="358">
        <f t="shared" si="9"/>
        <v>2745.9429158389285</v>
      </c>
      <c r="I24" s="359" cm="1">
        <f t="array" ref="I24">TREND($AL$25:$AL$26,$AJ$25:$AJ$26,B24)</f>
        <v>939.13118003106865</v>
      </c>
      <c r="J24" s="360" cm="1">
        <f t="array" ref="J24">TREND($AK$25:$AK$26,$AJ$25:$AJ$26,B24)</f>
        <v>1806.8117358078598</v>
      </c>
      <c r="K24" s="361">
        <f>$AK$21*I24*Assumptions!$C$9</f>
        <v>15253838.191654632</v>
      </c>
      <c r="L24" s="359">
        <f>$AK$21*J24*Assumptions!$C$9</f>
        <v>29347139.618859164</v>
      </c>
      <c r="M24" s="362">
        <f t="shared" si="10"/>
        <v>28244700.880063422</v>
      </c>
      <c r="N24" s="363">
        <f t="shared" si="6"/>
        <v>26592602.434405506</v>
      </c>
      <c r="O24" s="364">
        <f t="shared" si="7"/>
        <v>70601791.556358069</v>
      </c>
      <c r="P24" s="365">
        <f t="shared" si="8"/>
        <v>67564079.404534608</v>
      </c>
      <c r="Q24" s="355">
        <f>_xlfn.XLOOKUP($B24,'Travel Time - US52'!$T$7:$T$29,'Travel Time - US52'!$AC$7:$AC$29,0,0,1)</f>
        <v>0.63633734848237666</v>
      </c>
      <c r="R24" s="366">
        <f>(M24-N24)*'Travel Time - US52'!AC28*Q24</f>
        <v>668976.32834335242</v>
      </c>
      <c r="S24" s="367">
        <f>R24*(1+Assumptions!$C$10)^-(B24-Assumptions!$C$3)</f>
        <v>341759.12125486904</v>
      </c>
      <c r="T24" s="342"/>
      <c r="U24" s="440">
        <v>2030</v>
      </c>
      <c r="V24" s="441" cm="1">
        <f t="array" ref="V24:AB24">V23:AB23+TRANSPOSE($AG$4:$AG$10)</f>
        <v>131.69999999999999</v>
      </c>
      <c r="W24" s="441">
        <v>140.79</v>
      </c>
      <c r="X24" s="441">
        <v>126.17999999999998</v>
      </c>
      <c r="Y24" s="441">
        <v>104.61999999999998</v>
      </c>
      <c r="Z24" s="441">
        <v>97.619999999999976</v>
      </c>
      <c r="AA24" s="441">
        <v>98.619999999999976</v>
      </c>
      <c r="AB24" s="442">
        <v>86.75</v>
      </c>
      <c r="AC24" s="437">
        <f t="shared" si="19"/>
        <v>1.8576058628201497</v>
      </c>
      <c r="AJ24" s="470" t="s">
        <v>38</v>
      </c>
      <c r="AK24" s="470" t="s">
        <v>809</v>
      </c>
      <c r="AL24" s="470" t="s">
        <v>810</v>
      </c>
      <c r="AQ24" s="471"/>
      <c r="AR24" s="465" t="s">
        <v>23</v>
      </c>
      <c r="AS24" s="466">
        <v>10</v>
      </c>
      <c r="AT24" s="467">
        <v>16.100000000000001</v>
      </c>
      <c r="AU24" s="468">
        <v>1.01</v>
      </c>
      <c r="AV24" s="468">
        <v>1.02</v>
      </c>
      <c r="AW24" s="468">
        <v>1.05</v>
      </c>
      <c r="AX24" s="469">
        <v>1.1100000000000001</v>
      </c>
      <c r="AY24" s="468">
        <v>1.18</v>
      </c>
    </row>
    <row r="25" spans="2:51" ht="12.75" thickBot="1" x14ac:dyDescent="0.25">
      <c r="B25" s="472">
        <f t="shared" si="13"/>
        <v>2045</v>
      </c>
      <c r="C25" s="473">
        <f t="shared" si="1"/>
        <v>3.0789537948672678</v>
      </c>
      <c r="D25" s="474">
        <f t="shared" si="2"/>
        <v>1.2351594384458588</v>
      </c>
      <c r="E25" s="475">
        <f t="shared" si="3"/>
        <v>0.32321693148321401</v>
      </c>
      <c r="F25" s="474">
        <f t="shared" si="4"/>
        <v>1.1700299999999999</v>
      </c>
      <c r="G25" s="475">
        <f t="shared" si="5"/>
        <v>0.29798999999999998</v>
      </c>
      <c r="H25" s="476">
        <f t="shared" si="9"/>
        <v>2780.9857756497877</v>
      </c>
      <c r="I25" s="477" cm="1">
        <f t="array" ref="I25">TREND($AL$25:$AL$26,$AJ$25:$AJ$26,B25)</f>
        <v>952.72805185065954</v>
      </c>
      <c r="J25" s="478" cm="1">
        <f t="array" ref="J25">TREND($AK$25:$AK$26,$AJ$25:$AJ$26,B25)</f>
        <v>1828.2577237991281</v>
      </c>
      <c r="K25" s="479">
        <f>$AK$21*I25*Assumptions!$C$9</f>
        <v>15474685.382184338</v>
      </c>
      <c r="L25" s="477">
        <f>$AK$21*J25*Assumptions!$C$9</f>
        <v>29695476.078807339</v>
      </c>
      <c r="M25" s="480">
        <f t="shared" si="10"/>
        <v>28711784.363910437</v>
      </c>
      <c r="N25" s="481">
        <f t="shared" si="6"/>
        <v>26954801.054440938</v>
      </c>
      <c r="O25" s="482">
        <f t="shared" si="7"/>
        <v>71659135.336273476</v>
      </c>
      <c r="P25" s="483">
        <f t="shared" si="8"/>
        <v>68580711.279959917</v>
      </c>
      <c r="Q25" s="473">
        <f>_xlfn.XLOOKUP($B25,'Travel Time - US52'!$T$7:$T$29,'Travel Time - US52'!$AC$7:$AC$29,0,0,1)</f>
        <v>0.6192551406890876</v>
      </c>
      <c r="R25" s="484">
        <f>(M25-N25)*'Travel Time - US52'!AC29*Q25</f>
        <v>673762.56429376244</v>
      </c>
      <c r="S25" s="485">
        <f>R25*(1+Assumptions!$C$10)^-(B25-Assumptions!$C$3)</f>
        <v>333854.76215281081</v>
      </c>
      <c r="T25" s="342"/>
      <c r="U25" s="440">
        <v>2031</v>
      </c>
      <c r="V25" s="441" cm="1">
        <f t="array" ref="V25:AB25">V24:AB24+TRANSPOSE($AG$4:$AG$10)</f>
        <v>136.85999999999999</v>
      </c>
      <c r="W25" s="441">
        <v>145.94999999999999</v>
      </c>
      <c r="X25" s="441">
        <v>131.33999999999997</v>
      </c>
      <c r="Y25" s="441">
        <v>109.77999999999997</v>
      </c>
      <c r="Z25" s="441">
        <v>102.77999999999997</v>
      </c>
      <c r="AA25" s="441">
        <v>103.77999999999997</v>
      </c>
      <c r="AB25" s="442">
        <v>93</v>
      </c>
      <c r="AC25" s="437">
        <f t="shared" si="19"/>
        <v>1.9390290582899579</v>
      </c>
      <c r="AJ25" s="470">
        <v>2022</v>
      </c>
      <c r="AK25" s="470">
        <v>1335</v>
      </c>
      <c r="AL25" s="470">
        <v>640</v>
      </c>
      <c r="AQ25" s="471"/>
      <c r="AR25" s="465" t="s">
        <v>25</v>
      </c>
      <c r="AS25" s="466">
        <v>10.199999999999999</v>
      </c>
      <c r="AT25" s="467">
        <v>16.3</v>
      </c>
      <c r="AU25" s="468">
        <v>1.02</v>
      </c>
      <c r="AV25" s="468">
        <v>1.03</v>
      </c>
      <c r="AW25" s="468">
        <v>1.0900000000000001</v>
      </c>
      <c r="AX25" s="469">
        <v>1.2</v>
      </c>
      <c r="AY25" s="468">
        <v>1.34</v>
      </c>
    </row>
    <row r="26" spans="2:51" x14ac:dyDescent="0.2">
      <c r="R26" s="321" t="s">
        <v>42</v>
      </c>
      <c r="S26" s="398">
        <f>SUM(S6:S25)</f>
        <v>6523398.0243567144</v>
      </c>
      <c r="T26" s="398"/>
      <c r="U26" s="440">
        <v>2032</v>
      </c>
      <c r="V26" s="441" cm="1">
        <f t="array" ref="V26:AB26">V25:AB25+TRANSPOSE($AG$4:$AG$10)</f>
        <v>142.01999999999998</v>
      </c>
      <c r="W26" s="441">
        <v>151.10999999999999</v>
      </c>
      <c r="X26" s="441">
        <v>136.49999999999997</v>
      </c>
      <c r="Y26" s="441">
        <v>114.93999999999997</v>
      </c>
      <c r="Z26" s="441">
        <v>107.93999999999997</v>
      </c>
      <c r="AA26" s="441">
        <v>108.93999999999997</v>
      </c>
      <c r="AB26" s="442">
        <v>99.25</v>
      </c>
      <c r="AC26" s="437">
        <f t="shared" si="19"/>
        <v>2.0204522537597653</v>
      </c>
      <c r="AJ26" s="470">
        <v>2042</v>
      </c>
      <c r="AK26" s="486">
        <f>AVERAGE(AK38,AK32)*AK25*(AJ26-AJ25)+AK25</f>
        <v>1763.9197598253274</v>
      </c>
      <c r="AL26" s="486">
        <f>AVERAGE(AL38,AL32)*AL25*(AJ26-AJ25)+AL25</f>
        <v>911.9374363918796</v>
      </c>
      <c r="AQ26" s="471"/>
      <c r="AR26" s="465" t="s">
        <v>28</v>
      </c>
      <c r="AS26" s="466">
        <v>14.9</v>
      </c>
      <c r="AT26" s="467">
        <v>23.9</v>
      </c>
      <c r="AU26" s="468">
        <v>1.01</v>
      </c>
      <c r="AV26" s="468">
        <v>1.02</v>
      </c>
      <c r="AW26" s="468">
        <v>1.06</v>
      </c>
      <c r="AX26" s="469">
        <v>1.1299999999999999</v>
      </c>
      <c r="AY26" s="468">
        <v>1.22</v>
      </c>
    </row>
    <row r="27" spans="2:51" x14ac:dyDescent="0.2">
      <c r="U27" s="440">
        <v>2033</v>
      </c>
      <c r="V27" s="441" cm="1">
        <f t="array" ref="V27:AB27">V26:AB26+TRANSPOSE($AG$4:$AG$10)</f>
        <v>147.17999999999998</v>
      </c>
      <c r="W27" s="441">
        <v>156.26999999999998</v>
      </c>
      <c r="X27" s="441">
        <v>141.65999999999997</v>
      </c>
      <c r="Y27" s="441">
        <v>120.09999999999997</v>
      </c>
      <c r="Z27" s="441">
        <v>113.09999999999997</v>
      </c>
      <c r="AA27" s="441">
        <v>114.09999999999997</v>
      </c>
      <c r="AB27" s="442">
        <v>105.5</v>
      </c>
      <c r="AC27" s="437">
        <f t="shared" si="19"/>
        <v>2.1018754492295737</v>
      </c>
      <c r="AQ27" s="487"/>
      <c r="AR27" s="465" t="s">
        <v>30</v>
      </c>
      <c r="AS27" s="466">
        <v>36.1</v>
      </c>
      <c r="AT27" s="467">
        <v>57.7</v>
      </c>
      <c r="AU27" s="468">
        <v>1.02</v>
      </c>
      <c r="AV27" s="468">
        <v>1.03</v>
      </c>
      <c r="AW27" s="468">
        <v>1.07</v>
      </c>
      <c r="AX27" s="469">
        <v>1.1299999999999999</v>
      </c>
      <c r="AY27" s="468">
        <v>1.19</v>
      </c>
    </row>
    <row r="28" spans="2:51" x14ac:dyDescent="0.2">
      <c r="B28" s="488" t="s">
        <v>43</v>
      </c>
      <c r="U28" s="440">
        <v>2034</v>
      </c>
      <c r="V28" s="441" cm="1">
        <f t="array" ref="V28:AB28">V27:AB27+TRANSPOSE($AG$4:$AG$10)</f>
        <v>152.33999999999997</v>
      </c>
      <c r="W28" s="441">
        <v>161.42999999999998</v>
      </c>
      <c r="X28" s="441">
        <v>146.81999999999996</v>
      </c>
      <c r="Y28" s="441">
        <v>125.25999999999996</v>
      </c>
      <c r="Z28" s="441">
        <v>118.25999999999996</v>
      </c>
      <c r="AA28" s="441">
        <v>119.25999999999996</v>
      </c>
      <c r="AB28" s="442">
        <v>111.75</v>
      </c>
      <c r="AC28" s="437">
        <f t="shared" si="19"/>
        <v>2.1832986446993812</v>
      </c>
      <c r="AJ28" s="290" t="s">
        <v>912</v>
      </c>
      <c r="AQ28" s="489" t="s">
        <v>954</v>
      </c>
      <c r="AR28" s="465" t="s">
        <v>24</v>
      </c>
      <c r="AS28" s="466">
        <v>10.5</v>
      </c>
      <c r="AT28" s="467">
        <v>16.8</v>
      </c>
      <c r="AU28" s="468">
        <v>1.02</v>
      </c>
      <c r="AV28" s="468">
        <v>1.04</v>
      </c>
      <c r="AW28" s="468">
        <v>1.08</v>
      </c>
      <c r="AX28" s="469">
        <v>1.1499999999999999</v>
      </c>
      <c r="AY28" s="468">
        <v>1.22</v>
      </c>
    </row>
    <row r="29" spans="2:51" ht="12" customHeight="1" x14ac:dyDescent="0.2">
      <c r="B29" s="490" t="s">
        <v>44</v>
      </c>
      <c r="C29" s="664" t="s">
        <v>968</v>
      </c>
      <c r="D29" s="664"/>
      <c r="E29" s="664"/>
      <c r="F29" s="664"/>
      <c r="G29" s="664"/>
      <c r="U29" s="440">
        <v>2035</v>
      </c>
      <c r="V29" s="441" cm="1">
        <f t="array" ref="V29:AB29">V28:AB28+TRANSPOSE($AG$4:$AG$10)</f>
        <v>157.49999999999997</v>
      </c>
      <c r="W29" s="441">
        <v>166.58999999999997</v>
      </c>
      <c r="X29" s="441">
        <v>151.97999999999996</v>
      </c>
      <c r="Y29" s="441">
        <v>130.41999999999996</v>
      </c>
      <c r="Z29" s="441">
        <v>123.41999999999996</v>
      </c>
      <c r="AA29" s="441">
        <v>124.41999999999996</v>
      </c>
      <c r="AB29" s="442">
        <v>118</v>
      </c>
      <c r="AC29" s="437">
        <f t="shared" si="19"/>
        <v>2.2647218401691891</v>
      </c>
      <c r="AJ29" s="470" t="s">
        <v>38</v>
      </c>
      <c r="AK29" s="470" t="s">
        <v>794</v>
      </c>
      <c r="AL29" s="470"/>
      <c r="AQ29" s="492"/>
      <c r="AR29" s="465" t="s">
        <v>23</v>
      </c>
      <c r="AS29" s="466">
        <v>12.6</v>
      </c>
      <c r="AT29" s="467">
        <v>20.2</v>
      </c>
      <c r="AU29" s="468">
        <v>1.01</v>
      </c>
      <c r="AV29" s="468">
        <v>1.01</v>
      </c>
      <c r="AW29" s="468">
        <v>1.05</v>
      </c>
      <c r="AX29" s="469">
        <v>1.1100000000000001</v>
      </c>
      <c r="AY29" s="468">
        <v>1.17</v>
      </c>
    </row>
    <row r="30" spans="2:51" x14ac:dyDescent="0.2">
      <c r="C30" s="664"/>
      <c r="D30" s="664"/>
      <c r="E30" s="664"/>
      <c r="F30" s="664"/>
      <c r="G30" s="664"/>
      <c r="U30" s="440">
        <v>2036</v>
      </c>
      <c r="V30" s="441" cm="1">
        <f t="array" ref="V30:AB30">V29:AB29+TRANSPOSE($AG$4:$AG$10)</f>
        <v>162.65999999999997</v>
      </c>
      <c r="W30" s="441">
        <v>171.74999999999997</v>
      </c>
      <c r="X30" s="441">
        <v>157.13999999999996</v>
      </c>
      <c r="Y30" s="441">
        <v>135.57999999999996</v>
      </c>
      <c r="Z30" s="441">
        <v>128.57999999999996</v>
      </c>
      <c r="AA30" s="441">
        <v>129.57999999999996</v>
      </c>
      <c r="AB30" s="442">
        <v>124.25</v>
      </c>
      <c r="AC30" s="437">
        <f t="shared" si="19"/>
        <v>2.346145035638997</v>
      </c>
      <c r="AJ30" s="470">
        <v>2021</v>
      </c>
      <c r="AK30" s="470">
        <f>'Design Data'!I17</f>
        <v>1200</v>
      </c>
      <c r="AL30" s="470">
        <f>'Design Data'!J17</f>
        <v>635</v>
      </c>
      <c r="AQ30" s="492"/>
      <c r="AR30" s="465" t="s">
        <v>25</v>
      </c>
      <c r="AS30" s="466">
        <v>13</v>
      </c>
      <c r="AT30" s="467">
        <v>20.8</v>
      </c>
      <c r="AU30" s="468">
        <v>1.02</v>
      </c>
      <c r="AV30" s="468">
        <v>1.03</v>
      </c>
      <c r="AW30" s="468">
        <v>1.0900000000000001</v>
      </c>
      <c r="AX30" s="469">
        <v>1.2</v>
      </c>
      <c r="AY30" s="468">
        <v>1.32</v>
      </c>
    </row>
    <row r="31" spans="2:51" x14ac:dyDescent="0.2">
      <c r="C31" s="664"/>
      <c r="D31" s="664"/>
      <c r="E31" s="664"/>
      <c r="F31" s="664"/>
      <c r="G31" s="664"/>
      <c r="U31" s="440">
        <v>2037</v>
      </c>
      <c r="V31" s="441" cm="1">
        <f t="array" ref="V31:AB31">V30:AB30+TRANSPOSE($AG$4:$AG$10)</f>
        <v>167.81999999999996</v>
      </c>
      <c r="W31" s="441">
        <v>176.90999999999997</v>
      </c>
      <c r="X31" s="441">
        <v>162.29999999999995</v>
      </c>
      <c r="Y31" s="441">
        <v>140.73999999999995</v>
      </c>
      <c r="Z31" s="441">
        <v>133.73999999999995</v>
      </c>
      <c r="AA31" s="441">
        <v>134.73999999999995</v>
      </c>
      <c r="AB31" s="442">
        <v>130.5</v>
      </c>
      <c r="AC31" s="437">
        <f t="shared" si="19"/>
        <v>2.4275682311088054</v>
      </c>
      <c r="AJ31" s="470">
        <v>2041</v>
      </c>
      <c r="AK31" s="470">
        <f>'Design Data'!I18</f>
        <v>1620</v>
      </c>
      <c r="AL31" s="470">
        <f>'Design Data'!J18</f>
        <v>950</v>
      </c>
      <c r="AQ31" s="492"/>
      <c r="AR31" s="465" t="s">
        <v>28</v>
      </c>
      <c r="AS31" s="466">
        <v>21.6</v>
      </c>
      <c r="AT31" s="467">
        <v>34.6</v>
      </c>
      <c r="AU31" s="468">
        <v>1.01</v>
      </c>
      <c r="AV31" s="468">
        <v>1.02</v>
      </c>
      <c r="AW31" s="468">
        <v>1.05</v>
      </c>
      <c r="AX31" s="469">
        <v>1.1200000000000001</v>
      </c>
      <c r="AY31" s="468">
        <v>1.2</v>
      </c>
    </row>
    <row r="32" spans="2:51" x14ac:dyDescent="0.2">
      <c r="C32" s="664"/>
      <c r="D32" s="664"/>
      <c r="E32" s="664"/>
      <c r="F32" s="664"/>
      <c r="G32" s="664"/>
      <c r="U32" s="440">
        <v>2038</v>
      </c>
      <c r="V32" s="441" cm="1">
        <f t="array" ref="V32:AB32">V31:AB31+TRANSPOSE($AG$4:$AG$10)</f>
        <v>172.97999999999996</v>
      </c>
      <c r="W32" s="441">
        <v>182.06999999999996</v>
      </c>
      <c r="X32" s="441">
        <v>167.45999999999995</v>
      </c>
      <c r="Y32" s="441">
        <v>145.89999999999995</v>
      </c>
      <c r="Z32" s="441">
        <v>138.89999999999995</v>
      </c>
      <c r="AA32" s="441">
        <v>139.89999999999995</v>
      </c>
      <c r="AB32" s="442">
        <v>136.75</v>
      </c>
      <c r="AC32" s="437">
        <f t="shared" si="19"/>
        <v>2.5089914265786128</v>
      </c>
      <c r="AJ32" s="470" t="s">
        <v>906</v>
      </c>
      <c r="AK32" s="493">
        <f>(AK31-AK30)/(AJ31-AJ30)/AK30</f>
        <v>1.7500000000000002E-2</v>
      </c>
      <c r="AL32" s="493">
        <f>(AL31-AL30)/(AJ31-AJ30)/AL30</f>
        <v>2.4803149606299212E-2</v>
      </c>
      <c r="AQ32" s="494"/>
      <c r="AR32" s="465" t="s">
        <v>30</v>
      </c>
      <c r="AS32" s="466">
        <v>56.7</v>
      </c>
      <c r="AT32" s="467">
        <v>90.7</v>
      </c>
      <c r="AU32" s="468">
        <v>1.01</v>
      </c>
      <c r="AV32" s="468">
        <v>1.02</v>
      </c>
      <c r="AW32" s="468">
        <v>1.05</v>
      </c>
      <c r="AX32" s="469">
        <v>1.1000000000000001</v>
      </c>
      <c r="AY32" s="468">
        <v>1.1499999999999999</v>
      </c>
    </row>
    <row r="33" spans="2:51" x14ac:dyDescent="0.2">
      <c r="B33" s="490" t="s">
        <v>45</v>
      </c>
      <c r="C33" s="491" t="s">
        <v>969</v>
      </c>
      <c r="D33" s="491"/>
      <c r="E33" s="491"/>
      <c r="F33" s="491"/>
      <c r="G33" s="491"/>
      <c r="U33" s="440">
        <v>2039</v>
      </c>
      <c r="V33" s="441" cm="1">
        <f t="array" ref="V33:AB33">V32:AB32+TRANSPOSE($AG$4:$AG$10)</f>
        <v>178.13999999999996</v>
      </c>
      <c r="W33" s="441">
        <v>187.22999999999996</v>
      </c>
      <c r="X33" s="441">
        <v>172.61999999999995</v>
      </c>
      <c r="Y33" s="441">
        <v>151.05999999999995</v>
      </c>
      <c r="Z33" s="441">
        <v>144.05999999999995</v>
      </c>
      <c r="AA33" s="441">
        <v>145.05999999999995</v>
      </c>
      <c r="AB33" s="442">
        <v>143</v>
      </c>
      <c r="AC33" s="437">
        <f t="shared" si="19"/>
        <v>2.5904146220484208</v>
      </c>
      <c r="AJ33" s="444"/>
      <c r="AQ33" s="464" t="s">
        <v>955</v>
      </c>
      <c r="AR33" s="465" t="s">
        <v>24</v>
      </c>
      <c r="AS33" s="466">
        <v>13.3</v>
      </c>
      <c r="AT33" s="467">
        <v>21.3</v>
      </c>
      <c r="AU33" s="468">
        <v>1.02</v>
      </c>
      <c r="AV33" s="468">
        <v>1.03</v>
      </c>
      <c r="AW33" s="468">
        <v>1.07</v>
      </c>
      <c r="AX33" s="469">
        <v>1.1399999999999999</v>
      </c>
      <c r="AY33" s="468">
        <v>1.21</v>
      </c>
    </row>
    <row r="34" spans="2:51" x14ac:dyDescent="0.2">
      <c r="B34" s="490"/>
      <c r="C34" s="491"/>
      <c r="D34" s="491"/>
      <c r="E34" s="491"/>
      <c r="F34" s="491"/>
      <c r="G34" s="491"/>
      <c r="U34" s="440">
        <v>2040</v>
      </c>
      <c r="V34" s="441" cm="1">
        <f t="array" ref="V34:AB34">V33:AB33+TRANSPOSE($AG$4:$AG$10)</f>
        <v>183.29999999999995</v>
      </c>
      <c r="W34" s="441">
        <v>192.38999999999996</v>
      </c>
      <c r="X34" s="441">
        <v>177.77999999999994</v>
      </c>
      <c r="Y34" s="441">
        <v>156.21999999999994</v>
      </c>
      <c r="Z34" s="441">
        <v>149.21999999999994</v>
      </c>
      <c r="AA34" s="441">
        <v>150.21999999999994</v>
      </c>
      <c r="AB34" s="442">
        <v>149.25</v>
      </c>
      <c r="AC34" s="437">
        <f t="shared" si="19"/>
        <v>2.6718378175182287</v>
      </c>
      <c r="AJ34" s="290" t="s">
        <v>912</v>
      </c>
      <c r="AP34" s="496"/>
      <c r="AQ34" s="471"/>
      <c r="AR34" s="465" t="s">
        <v>23</v>
      </c>
      <c r="AS34" s="466">
        <v>16.5</v>
      </c>
      <c r="AT34" s="467">
        <v>26.5</v>
      </c>
      <c r="AU34" s="468">
        <v>1.01</v>
      </c>
      <c r="AV34" s="468">
        <v>1.01</v>
      </c>
      <c r="AW34" s="468">
        <v>1.04</v>
      </c>
      <c r="AX34" s="469">
        <v>1.1000000000000001</v>
      </c>
      <c r="AY34" s="468">
        <v>1.1599999999999999</v>
      </c>
    </row>
    <row r="35" spans="2:51" x14ac:dyDescent="0.2">
      <c r="B35" s="490"/>
      <c r="C35" s="491"/>
      <c r="D35" s="491"/>
      <c r="E35" s="491"/>
      <c r="F35" s="491"/>
      <c r="G35" s="491"/>
      <c r="U35" s="440">
        <v>2041</v>
      </c>
      <c r="V35" s="441" cm="1">
        <f t="array" ref="V35:AB35">V34:AB34+TRANSPOSE($AG$4:$AG$10)</f>
        <v>188.45999999999995</v>
      </c>
      <c r="W35" s="441">
        <v>197.54999999999995</v>
      </c>
      <c r="X35" s="441">
        <v>182.93999999999994</v>
      </c>
      <c r="Y35" s="441">
        <v>161.37999999999994</v>
      </c>
      <c r="Z35" s="441">
        <v>154.37999999999994</v>
      </c>
      <c r="AA35" s="441">
        <v>155.37999999999994</v>
      </c>
      <c r="AB35" s="442">
        <v>155.5</v>
      </c>
      <c r="AC35" s="437">
        <f t="shared" si="19"/>
        <v>2.7532610129880375</v>
      </c>
      <c r="AE35" s="444"/>
      <c r="AH35" s="444"/>
      <c r="AI35" s="444"/>
      <c r="AJ35" s="470" t="s">
        <v>38</v>
      </c>
      <c r="AK35" s="470" t="s">
        <v>808</v>
      </c>
      <c r="AL35" s="470"/>
      <c r="AP35" s="496"/>
      <c r="AQ35" s="471"/>
      <c r="AR35" s="465" t="s">
        <v>25</v>
      </c>
      <c r="AS35" s="466">
        <v>17.600000000000001</v>
      </c>
      <c r="AT35" s="467">
        <v>28.2</v>
      </c>
      <c r="AU35" s="468">
        <v>1.01</v>
      </c>
      <c r="AV35" s="468">
        <v>1.03</v>
      </c>
      <c r="AW35" s="468">
        <v>1.08</v>
      </c>
      <c r="AX35" s="469">
        <v>1.18</v>
      </c>
      <c r="AY35" s="468">
        <v>1.29</v>
      </c>
    </row>
    <row r="36" spans="2:51" x14ac:dyDescent="0.2">
      <c r="B36" s="490"/>
      <c r="C36" s="491"/>
      <c r="D36" s="491"/>
      <c r="E36" s="491"/>
      <c r="F36" s="491"/>
      <c r="G36" s="491"/>
      <c r="U36" s="440">
        <v>2042</v>
      </c>
      <c r="V36" s="441" cm="1">
        <f t="array" ref="V36:AB36">V35:AB35+TRANSPOSE($AG$4:$AG$10)</f>
        <v>193.61999999999995</v>
      </c>
      <c r="W36" s="441">
        <v>202.70999999999995</v>
      </c>
      <c r="X36" s="441">
        <v>188.09999999999994</v>
      </c>
      <c r="Y36" s="441">
        <v>166.53999999999994</v>
      </c>
      <c r="Z36" s="441">
        <v>159.53999999999994</v>
      </c>
      <c r="AA36" s="441">
        <v>160.53999999999994</v>
      </c>
      <c r="AB36" s="442">
        <v>161.75</v>
      </c>
      <c r="AC36" s="437">
        <f t="shared" si="19"/>
        <v>2.8346842084578441</v>
      </c>
      <c r="AJ36" s="470">
        <v>2022</v>
      </c>
      <c r="AK36" s="470">
        <f>'Design Data'!I13</f>
        <v>1145</v>
      </c>
      <c r="AL36" s="470">
        <f>'Design Data'!J13</f>
        <v>735</v>
      </c>
      <c r="AP36" s="496"/>
      <c r="AQ36" s="471"/>
      <c r="AR36" s="465" t="s">
        <v>28</v>
      </c>
      <c r="AS36" s="466">
        <v>30.1</v>
      </c>
      <c r="AT36" s="467">
        <v>48.1</v>
      </c>
      <c r="AU36" s="468">
        <v>1.01</v>
      </c>
      <c r="AV36" s="468">
        <v>1.01</v>
      </c>
      <c r="AW36" s="468">
        <v>1.04</v>
      </c>
      <c r="AX36" s="469">
        <v>1.1000000000000001</v>
      </c>
      <c r="AY36" s="468">
        <v>1.17</v>
      </c>
    </row>
    <row r="37" spans="2:51" x14ac:dyDescent="0.2">
      <c r="C37" s="491"/>
      <c r="D37" s="491"/>
      <c r="E37" s="491"/>
      <c r="F37" s="491"/>
      <c r="G37" s="491"/>
      <c r="U37" s="440">
        <v>2043</v>
      </c>
      <c r="V37" s="441" cm="1">
        <f t="array" ref="V37:AB37">V36:AB36+TRANSPOSE($AG$4:$AG$10)</f>
        <v>198.77999999999994</v>
      </c>
      <c r="W37" s="441">
        <v>207.86999999999995</v>
      </c>
      <c r="X37" s="441">
        <v>193.25999999999993</v>
      </c>
      <c r="Y37" s="441">
        <v>171.69999999999993</v>
      </c>
      <c r="Z37" s="441">
        <v>164.69999999999993</v>
      </c>
      <c r="AA37" s="441">
        <v>165.69999999999993</v>
      </c>
      <c r="AB37" s="442">
        <v>168</v>
      </c>
      <c r="AC37" s="437">
        <f t="shared" si="19"/>
        <v>2.9161074039276524</v>
      </c>
      <c r="AJ37" s="470">
        <v>2042</v>
      </c>
      <c r="AK37" s="470">
        <f>'Design Data'!I14</f>
        <v>1480</v>
      </c>
      <c r="AL37" s="470">
        <f>'Design Data'!J14</f>
        <v>995</v>
      </c>
      <c r="AP37" s="496"/>
      <c r="AQ37" s="487"/>
      <c r="AR37" s="465" t="s">
        <v>30</v>
      </c>
      <c r="AS37" s="466">
        <v>81.2</v>
      </c>
      <c r="AT37" s="467">
        <v>130</v>
      </c>
      <c r="AU37" s="468">
        <v>1.01</v>
      </c>
      <c r="AV37" s="468">
        <v>1.02</v>
      </c>
      <c r="AW37" s="468">
        <v>1.04</v>
      </c>
      <c r="AX37" s="469">
        <v>1.08</v>
      </c>
      <c r="AY37" s="468">
        <v>1.1299999999999999</v>
      </c>
    </row>
    <row r="38" spans="2:51" x14ac:dyDescent="0.2">
      <c r="C38" s="491"/>
      <c r="D38" s="491"/>
      <c r="E38" s="491"/>
      <c r="F38" s="491"/>
      <c r="G38" s="491"/>
      <c r="U38" s="440">
        <v>2044</v>
      </c>
      <c r="V38" s="441" cm="1">
        <f t="array" ref="V38:AB38">V37:AB37+TRANSPOSE($AG$4:$AG$10)</f>
        <v>203.93999999999994</v>
      </c>
      <c r="W38" s="441">
        <v>213.02999999999994</v>
      </c>
      <c r="X38" s="441">
        <v>198.41999999999993</v>
      </c>
      <c r="Y38" s="441">
        <v>176.85999999999993</v>
      </c>
      <c r="Z38" s="441">
        <v>169.85999999999993</v>
      </c>
      <c r="AA38" s="441">
        <v>170.85999999999993</v>
      </c>
      <c r="AB38" s="442">
        <v>174.25</v>
      </c>
      <c r="AC38" s="437">
        <f t="shared" si="19"/>
        <v>2.9975305993974608</v>
      </c>
      <c r="AJ38" s="470" t="s">
        <v>906</v>
      </c>
      <c r="AK38" s="493">
        <f>(AK37-AK36)/(AJ37-AJ36)/AK36</f>
        <v>1.462882096069869E-2</v>
      </c>
      <c r="AL38" s="493">
        <f>(AL37-AL36)/(AJ37-AJ36)/AL36</f>
        <v>1.7687074829931974E-2</v>
      </c>
      <c r="AP38" s="496"/>
      <c r="AQ38" s="497" t="s">
        <v>41</v>
      </c>
      <c r="AR38" s="444"/>
      <c r="AS38" s="444"/>
      <c r="AT38" s="444"/>
      <c r="AU38" s="444"/>
      <c r="AV38" s="444"/>
      <c r="AW38" s="444"/>
      <c r="AX38" s="444"/>
      <c r="AY38" s="444"/>
    </row>
    <row r="39" spans="2:51" ht="12.75" thickBot="1" x14ac:dyDescent="0.25">
      <c r="C39" s="491"/>
      <c r="D39" s="491"/>
      <c r="E39" s="491"/>
      <c r="F39" s="491"/>
      <c r="G39" s="491"/>
      <c r="U39" s="428">
        <v>2045</v>
      </c>
      <c r="V39" s="441" cm="1">
        <f t="array" ref="V39:AB39">V38:AB38+TRANSPOSE($AG$4:$AG$10)</f>
        <v>209.09999999999994</v>
      </c>
      <c r="W39" s="498">
        <v>218.18999999999994</v>
      </c>
      <c r="X39" s="498">
        <v>203.57999999999993</v>
      </c>
      <c r="Y39" s="498">
        <v>182.01999999999992</v>
      </c>
      <c r="Z39" s="498">
        <v>175.01999999999992</v>
      </c>
      <c r="AA39" s="498">
        <v>176.01999999999992</v>
      </c>
      <c r="AB39" s="499">
        <v>180.5</v>
      </c>
      <c r="AC39" s="500">
        <f t="shared" si="19"/>
        <v>3.0789537948672678</v>
      </c>
      <c r="AP39" s="496"/>
    </row>
    <row r="40" spans="2:51" ht="12.75" thickBot="1" x14ac:dyDescent="0.25">
      <c r="C40" s="491"/>
      <c r="D40" s="491"/>
      <c r="E40" s="491"/>
      <c r="F40" s="491"/>
      <c r="G40" s="491"/>
      <c r="V40" s="496"/>
      <c r="W40" s="496"/>
      <c r="X40" s="496"/>
      <c r="Y40" s="496"/>
      <c r="Z40" s="496"/>
      <c r="AA40" s="496"/>
      <c r="AB40" s="496"/>
      <c r="AC40" s="501"/>
      <c r="AJ40" s="289" t="s">
        <v>910</v>
      </c>
      <c r="AP40" s="496"/>
      <c r="AQ40" s="409"/>
      <c r="AR40" s="409"/>
      <c r="AS40" s="502"/>
      <c r="AT40" s="502"/>
      <c r="AU40" s="502"/>
      <c r="AV40" s="501"/>
    </row>
    <row r="41" spans="2:51" x14ac:dyDescent="0.2">
      <c r="B41" s="490" t="s">
        <v>96</v>
      </c>
      <c r="C41" s="444" t="s">
        <v>909</v>
      </c>
      <c r="V41" s="496"/>
      <c r="W41" s="496"/>
      <c r="X41" s="496"/>
      <c r="Y41" s="496"/>
      <c r="Z41" s="496"/>
      <c r="AA41" s="496"/>
      <c r="AB41" s="496"/>
      <c r="AC41" s="501"/>
      <c r="AJ41" s="503">
        <v>1</v>
      </c>
      <c r="AK41" s="504" t="s">
        <v>907</v>
      </c>
      <c r="AP41" s="496"/>
      <c r="AQ41" s="409"/>
      <c r="AR41" s="409"/>
      <c r="AS41" s="502"/>
      <c r="AT41" s="502"/>
      <c r="AU41" s="502"/>
      <c r="AV41" s="501"/>
    </row>
    <row r="42" spans="2:51" ht="12.75" thickBot="1" x14ac:dyDescent="0.25">
      <c r="V42" s="496"/>
      <c r="W42" s="496"/>
      <c r="X42" s="496"/>
      <c r="Y42" s="496"/>
      <c r="Z42" s="496"/>
      <c r="AA42" s="496"/>
      <c r="AB42" s="496"/>
      <c r="AC42" s="501"/>
      <c r="AJ42" s="505">
        <v>63.4</v>
      </c>
      <c r="AK42" s="506" t="s">
        <v>908</v>
      </c>
      <c r="AP42" s="496"/>
      <c r="AQ42" s="409"/>
      <c r="AR42" s="409"/>
      <c r="AS42" s="502"/>
      <c r="AT42" s="502"/>
      <c r="AU42" s="502"/>
      <c r="AV42" s="501"/>
    </row>
    <row r="43" spans="2:51" x14ac:dyDescent="0.2">
      <c r="V43" s="496"/>
      <c r="W43" s="496"/>
      <c r="X43" s="496"/>
      <c r="Y43" s="496"/>
      <c r="Z43" s="496"/>
      <c r="AA43" s="496"/>
      <c r="AB43" s="496"/>
      <c r="AC43" s="501"/>
      <c r="AP43" s="496"/>
      <c r="AQ43" s="409"/>
      <c r="AR43" s="409"/>
      <c r="AS43" s="502"/>
      <c r="AT43" s="502"/>
      <c r="AU43" s="502"/>
      <c r="AV43" s="501"/>
    </row>
    <row r="44" spans="2:51" x14ac:dyDescent="0.2">
      <c r="V44" s="496"/>
      <c r="W44" s="496"/>
      <c r="X44" s="496"/>
      <c r="Y44" s="496"/>
      <c r="Z44" s="496"/>
      <c r="AA44" s="496"/>
      <c r="AB44" s="496"/>
      <c r="AC44" s="501"/>
      <c r="AP44" s="496"/>
      <c r="AQ44" s="409"/>
      <c r="AR44" s="409"/>
      <c r="AS44" s="502"/>
      <c r="AT44" s="502"/>
      <c r="AU44" s="502"/>
      <c r="AV44" s="501"/>
    </row>
    <row r="45" spans="2:51" x14ac:dyDescent="0.2">
      <c r="V45" s="496"/>
      <c r="W45" s="496"/>
      <c r="X45" s="496"/>
      <c r="Y45" s="496"/>
      <c r="Z45" s="496"/>
      <c r="AA45" s="496"/>
      <c r="AB45" s="496"/>
      <c r="AC45" s="501"/>
      <c r="AL45" s="507">
        <f>AL6*63.4</f>
        <v>126.8</v>
      </c>
      <c r="AM45" s="507">
        <f t="shared" ref="AM45:AP45" si="20">AM6*63.4</f>
        <v>190.2</v>
      </c>
      <c r="AN45" s="507">
        <f t="shared" si="20"/>
        <v>253.6</v>
      </c>
      <c r="AO45" s="507">
        <f t="shared" si="20"/>
        <v>317</v>
      </c>
      <c r="AP45" s="507">
        <f t="shared" si="20"/>
        <v>380.4</v>
      </c>
      <c r="AQ45" s="409"/>
      <c r="AR45" s="409"/>
      <c r="AS45" s="502"/>
      <c r="AT45" s="502"/>
      <c r="AU45" s="502"/>
      <c r="AV45" s="501"/>
    </row>
    <row r="46" spans="2:51" x14ac:dyDescent="0.2">
      <c r="V46" s="496"/>
      <c r="W46" s="496"/>
      <c r="X46" s="496"/>
      <c r="Y46" s="496"/>
      <c r="Z46" s="496"/>
      <c r="AA46" s="496"/>
      <c r="AB46" s="496"/>
      <c r="AC46" s="501"/>
      <c r="AP46" s="496"/>
      <c r="AQ46" s="409"/>
      <c r="AR46" s="409"/>
      <c r="AS46" s="502"/>
      <c r="AT46" s="502"/>
      <c r="AU46" s="502"/>
      <c r="AV46" s="501"/>
    </row>
    <row r="47" spans="2:51" x14ac:dyDescent="0.2">
      <c r="AP47" s="496"/>
      <c r="AQ47" s="409"/>
      <c r="AR47" s="409"/>
      <c r="AS47" s="502"/>
      <c r="AT47" s="502"/>
      <c r="AU47" s="502"/>
      <c r="AV47" s="501"/>
    </row>
    <row r="48" spans="2:51" x14ac:dyDescent="0.2">
      <c r="AP48" s="496"/>
      <c r="AQ48" s="409"/>
      <c r="AR48" s="409"/>
      <c r="AS48" s="502"/>
      <c r="AT48" s="502"/>
      <c r="AU48" s="502"/>
      <c r="AV48" s="501"/>
    </row>
    <row r="49" spans="9:48" x14ac:dyDescent="0.2">
      <c r="AP49" s="496"/>
      <c r="AQ49" s="409"/>
      <c r="AR49" s="409"/>
      <c r="AS49" s="502"/>
      <c r="AT49" s="502"/>
      <c r="AU49" s="502"/>
      <c r="AV49" s="501"/>
    </row>
    <row r="50" spans="9:48" x14ac:dyDescent="0.2">
      <c r="AP50" s="496"/>
      <c r="AQ50" s="409"/>
      <c r="AR50" s="409"/>
      <c r="AS50" s="502"/>
      <c r="AT50" s="502"/>
      <c r="AU50" s="502"/>
      <c r="AV50" s="501"/>
    </row>
    <row r="51" spans="9:48" x14ac:dyDescent="0.2">
      <c r="I51" s="495"/>
      <c r="J51" s="495"/>
      <c r="K51" s="495"/>
      <c r="AP51" s="496"/>
      <c r="AQ51" s="409"/>
      <c r="AR51" s="409"/>
      <c r="AS51" s="502"/>
      <c r="AT51" s="502"/>
      <c r="AU51" s="502"/>
      <c r="AV51" s="501"/>
    </row>
    <row r="52" spans="9:48" x14ac:dyDescent="0.2">
      <c r="I52" s="495"/>
      <c r="J52" s="495"/>
      <c r="K52" s="495"/>
      <c r="L52" s="495"/>
      <c r="AP52" s="496"/>
      <c r="AQ52" s="409"/>
      <c r="AR52" s="409"/>
      <c r="AS52" s="502"/>
      <c r="AT52" s="502"/>
      <c r="AU52" s="502"/>
      <c r="AV52" s="501"/>
    </row>
    <row r="53" spans="9:48" x14ac:dyDescent="0.2">
      <c r="AP53" s="496"/>
      <c r="AQ53" s="409"/>
      <c r="AR53" s="409"/>
      <c r="AS53" s="502"/>
      <c r="AT53" s="502"/>
      <c r="AU53" s="502"/>
      <c r="AV53" s="501"/>
    </row>
    <row r="54" spans="9:48" x14ac:dyDescent="0.2">
      <c r="AP54" s="496"/>
      <c r="AQ54" s="409"/>
      <c r="AR54" s="409"/>
      <c r="AS54" s="502"/>
      <c r="AT54" s="502"/>
      <c r="AU54" s="502"/>
      <c r="AV54" s="501"/>
    </row>
    <row r="55" spans="9:48" x14ac:dyDescent="0.2">
      <c r="AP55" s="496"/>
      <c r="AQ55" s="409"/>
      <c r="AR55" s="409"/>
      <c r="AS55" s="502"/>
      <c r="AT55" s="502"/>
      <c r="AU55" s="502"/>
      <c r="AV55" s="501"/>
    </row>
    <row r="56" spans="9:48" x14ac:dyDescent="0.2">
      <c r="AP56" s="496"/>
      <c r="AQ56" s="409"/>
      <c r="AR56" s="409"/>
      <c r="AS56" s="502"/>
      <c r="AT56" s="502"/>
      <c r="AU56" s="502"/>
      <c r="AV56" s="501"/>
    </row>
    <row r="57" spans="9:48" x14ac:dyDescent="0.2">
      <c r="AP57" s="496"/>
      <c r="AQ57" s="409"/>
      <c r="AR57" s="409"/>
      <c r="AS57" s="502"/>
      <c r="AT57" s="502"/>
      <c r="AU57" s="502"/>
      <c r="AV57" s="501"/>
    </row>
    <row r="58" spans="9:48" x14ac:dyDescent="0.2">
      <c r="AP58" s="496"/>
      <c r="AQ58" s="409"/>
      <c r="AR58" s="409"/>
      <c r="AS58" s="502"/>
      <c r="AT58" s="502"/>
      <c r="AU58" s="502"/>
      <c r="AV58" s="501"/>
    </row>
    <row r="59" spans="9:48" x14ac:dyDescent="0.2">
      <c r="AP59" s="496"/>
      <c r="AQ59" s="409"/>
      <c r="AR59" s="409"/>
      <c r="AS59" s="502"/>
      <c r="AT59" s="502"/>
      <c r="AU59" s="502"/>
      <c r="AV59" s="501"/>
    </row>
    <row r="60" spans="9:48" x14ac:dyDescent="0.2">
      <c r="AP60" s="496"/>
      <c r="AQ60" s="409"/>
      <c r="AR60" s="409"/>
      <c r="AS60" s="502"/>
      <c r="AT60" s="502"/>
      <c r="AU60" s="502"/>
      <c r="AV60" s="501"/>
    </row>
    <row r="61" spans="9:48" x14ac:dyDescent="0.2">
      <c r="AP61" s="496"/>
      <c r="AQ61" s="409"/>
      <c r="AR61" s="409"/>
      <c r="AS61" s="502"/>
      <c r="AT61" s="502"/>
      <c r="AU61" s="502"/>
      <c r="AV61" s="501"/>
    </row>
    <row r="62" spans="9:48" x14ac:dyDescent="0.2">
      <c r="AP62" s="496"/>
      <c r="AQ62" s="409"/>
      <c r="AR62" s="409"/>
      <c r="AS62" s="502"/>
      <c r="AT62" s="502"/>
      <c r="AU62" s="502"/>
      <c r="AV62" s="501"/>
    </row>
  </sheetData>
  <mergeCells count="37">
    <mergeCell ref="C33:G40"/>
    <mergeCell ref="C29:G32"/>
    <mergeCell ref="AQ33:AQ37"/>
    <mergeCell ref="C4:C5"/>
    <mergeCell ref="E4:E5"/>
    <mergeCell ref="D4:D5"/>
    <mergeCell ref="G4:G5"/>
    <mergeCell ref="AQ23:AQ27"/>
    <mergeCell ref="AQ19:AQ22"/>
    <mergeCell ref="AJ4:AP4"/>
    <mergeCell ref="AJ5:AJ6"/>
    <mergeCell ref="AK5:AK6"/>
    <mergeCell ref="AL5:AP5"/>
    <mergeCell ref="L4:L5"/>
    <mergeCell ref="F4:F5"/>
    <mergeCell ref="Q4:Q5"/>
    <mergeCell ref="AC14:AC16"/>
    <mergeCell ref="AU20:AY20"/>
    <mergeCell ref="AS21:AY21"/>
    <mergeCell ref="AS22:AT22"/>
    <mergeCell ref="AS19:AY19"/>
    <mergeCell ref="AR19:AR22"/>
    <mergeCell ref="AX5:AX6"/>
    <mergeCell ref="AR4:AV4"/>
    <mergeCell ref="AR5:AV5"/>
    <mergeCell ref="AW5:AW6"/>
    <mergeCell ref="B4:B5"/>
    <mergeCell ref="H4:H5"/>
    <mergeCell ref="I4:I5"/>
    <mergeCell ref="J4:J5"/>
    <mergeCell ref="K4:K5"/>
    <mergeCell ref="M4:M5"/>
    <mergeCell ref="N4:N5"/>
    <mergeCell ref="O4:O5"/>
    <mergeCell ref="P4:P5"/>
    <mergeCell ref="S4:S5"/>
    <mergeCell ref="R4:R5"/>
  </mergeCells>
  <pageMargins left="0.7" right="0.7" top="0.75" bottom="0.75" header="0.3" footer="0.3"/>
  <pageSetup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E2512-071C-4171-9DC4-8ED906014E08}">
  <sheetPr>
    <tabColor rgb="FF00B050"/>
  </sheetPr>
  <dimension ref="A2:Y52"/>
  <sheetViews>
    <sheetView tabSelected="1" view="pageBreakPreview" zoomScaleNormal="85" zoomScaleSheetLayoutView="100" workbookViewId="0"/>
  </sheetViews>
  <sheetFormatPr defaultColWidth="9.140625" defaultRowHeight="12" x14ac:dyDescent="0.2"/>
  <cols>
    <col min="1" max="1" width="9.140625" style="2"/>
    <col min="2" max="6" width="13.28515625" style="2" customWidth="1"/>
    <col min="7" max="8" width="9.140625" style="2"/>
    <col min="9" max="9" width="30.85546875" style="2" customWidth="1"/>
    <col min="10" max="10" width="27.5703125" style="2" bestFit="1" customWidth="1"/>
    <col min="11" max="11" width="30.5703125" style="2" customWidth="1"/>
    <col min="12" max="13" width="29.5703125" style="2" bestFit="1" customWidth="1"/>
    <col min="14" max="14" width="16.7109375" style="2" bestFit="1" customWidth="1"/>
    <col min="15" max="15" width="11.28515625" style="2" bestFit="1" customWidth="1"/>
    <col min="16" max="16" width="16.7109375" style="2" bestFit="1" customWidth="1"/>
    <col min="17" max="17" width="4.85546875" style="2" bestFit="1" customWidth="1"/>
    <col min="18" max="18" width="16.7109375" style="2" bestFit="1" customWidth="1"/>
    <col min="19" max="19" width="12.7109375" style="2" customWidth="1"/>
    <col min="20" max="20" width="9.85546875" style="2" bestFit="1" customWidth="1"/>
    <col min="21" max="21" width="12.42578125" style="2" bestFit="1" customWidth="1"/>
    <col min="22" max="22" width="16.7109375" style="2" bestFit="1" customWidth="1"/>
    <col min="23" max="23" width="12.28515625" style="2" bestFit="1" customWidth="1"/>
    <col min="24" max="24" width="10.7109375" style="2" bestFit="1" customWidth="1"/>
    <col min="25" max="25" width="13.85546875" style="2" bestFit="1" customWidth="1"/>
    <col min="26" max="26" width="9.140625" style="2"/>
    <col min="27" max="27" width="22.7109375" style="2" customWidth="1"/>
    <col min="28" max="28" width="11.5703125" style="2" bestFit="1" customWidth="1"/>
    <col min="29" max="29" width="14" style="2" bestFit="1" customWidth="1"/>
    <col min="30" max="16384" width="9.140625" style="2"/>
  </cols>
  <sheetData>
    <row r="2" spans="2:25" x14ac:dyDescent="0.2">
      <c r="B2" s="1" t="s">
        <v>798</v>
      </c>
      <c r="C2" s="1"/>
      <c r="D2" s="1"/>
    </row>
    <row r="3" spans="2:25" ht="12.75" thickBot="1" x14ac:dyDescent="0.25"/>
    <row r="4" spans="2:25" ht="13.5" x14ac:dyDescent="0.2">
      <c r="B4" s="126" t="s">
        <v>1</v>
      </c>
      <c r="C4" s="126" t="s">
        <v>799</v>
      </c>
      <c r="D4" s="126" t="s">
        <v>800</v>
      </c>
      <c r="E4" s="130" t="s">
        <v>801</v>
      </c>
      <c r="F4" s="126" t="s">
        <v>105</v>
      </c>
      <c r="I4" s="1" t="s">
        <v>933</v>
      </c>
    </row>
    <row r="5" spans="2:25" ht="12.75" thickBot="1" x14ac:dyDescent="0.25">
      <c r="B5" s="129"/>
      <c r="C5" s="129"/>
      <c r="D5" s="129"/>
      <c r="E5" s="131"/>
      <c r="F5" s="129"/>
      <c r="I5" s="128" t="s">
        <v>783</v>
      </c>
      <c r="J5" s="128" t="s">
        <v>2</v>
      </c>
      <c r="K5" s="128"/>
      <c r="L5" s="128" t="s">
        <v>782</v>
      </c>
      <c r="M5" s="128"/>
      <c r="N5" s="128" t="s">
        <v>784</v>
      </c>
      <c r="O5" s="128"/>
      <c r="P5" s="128" t="s">
        <v>785</v>
      </c>
      <c r="Q5" s="128"/>
      <c r="R5" s="128" t="s">
        <v>786</v>
      </c>
      <c r="S5" s="128"/>
      <c r="T5" s="10"/>
      <c r="U5" s="10"/>
      <c r="V5" s="128" t="s">
        <v>789</v>
      </c>
      <c r="W5" s="128"/>
    </row>
    <row r="6" spans="2:25" x14ac:dyDescent="0.2">
      <c r="B6" s="97">
        <f>Assumptions!C7</f>
        <v>2026</v>
      </c>
      <c r="C6" s="98" cm="1">
        <f t="array" ref="C6">TREND($J$51:$K$51,$J$50:$K$50,B6)</f>
        <v>519551.08680394664</v>
      </c>
      <c r="D6" s="98" cm="1">
        <f t="array" ref="D6">TREND($J$52:$K$52,$J$50:$K$50,B6)</f>
        <v>134516.9339894657</v>
      </c>
      <c r="E6" s="99">
        <f>C6-D6</f>
        <v>385034.15281448094</v>
      </c>
      <c r="F6" s="99">
        <f>E6*(1+Assumptions!$C$10)^-($B6-Assumptions!$C$3)</f>
        <v>340772.54076050816</v>
      </c>
      <c r="I6" s="128"/>
      <c r="J6" s="4">
        <v>2022</v>
      </c>
      <c r="K6" s="4">
        <v>2042</v>
      </c>
      <c r="L6" s="4" t="str">
        <f>'Intersection Crashes'!F28</f>
        <v>Incapacitating Injury</v>
      </c>
      <c r="M6" s="4" t="str">
        <f>'Intersection Crashes'!G28</f>
        <v>PDO</v>
      </c>
      <c r="N6" s="4" t="str">
        <f>'Intersection Crashes'!F28</f>
        <v>Incapacitating Injury</v>
      </c>
      <c r="O6" s="4" t="str">
        <f>'Intersection Crashes'!G28</f>
        <v>PDO</v>
      </c>
      <c r="P6" s="4" t="str">
        <f>'Intersection Crashes'!F28</f>
        <v>Incapacitating Injury</v>
      </c>
      <c r="Q6" s="4" t="str">
        <f>'Intersection Crashes'!G28</f>
        <v>PDO</v>
      </c>
      <c r="R6" s="4" t="str">
        <f>P6</f>
        <v>Incapacitating Injury</v>
      </c>
      <c r="S6" s="4" t="str">
        <f>Q6</f>
        <v>PDO</v>
      </c>
      <c r="T6" s="4" t="s">
        <v>788</v>
      </c>
      <c r="U6" s="4" t="s">
        <v>781</v>
      </c>
      <c r="V6" s="4" t="s">
        <v>706</v>
      </c>
      <c r="W6" s="4" t="s">
        <v>621</v>
      </c>
      <c r="X6" s="8"/>
    </row>
    <row r="7" spans="2:25" x14ac:dyDescent="0.2">
      <c r="B7" s="100">
        <f>B6+1</f>
        <v>2027</v>
      </c>
      <c r="C7" s="101" cm="1">
        <f t="array" ref="C7">TREND($J$51:$K$51,$J$50:$K$50,B7)</f>
        <v>527205.3041647356</v>
      </c>
      <c r="D7" s="102" cm="1">
        <f t="array" ref="D7">TREND($J$52:$K$52,$J$50:$K$50,B7)</f>
        <v>136504.49209716171</v>
      </c>
      <c r="E7" s="103">
        <f t="shared" ref="E7:E25" si="0">C7-D7</f>
        <v>390700.81206757389</v>
      </c>
      <c r="F7" s="103">
        <f>E7*(1+Assumptions!$C$10)^-($B7-Assumptions!$C$3)</f>
        <v>335390.67801844684</v>
      </c>
      <c r="I7" s="10" t="s">
        <v>790</v>
      </c>
      <c r="J7" s="4">
        <f>'Design Data'!K3</f>
        <v>800</v>
      </c>
      <c r="K7" s="4">
        <f>'Design Data'!K4</f>
        <v>1045</v>
      </c>
      <c r="L7" s="4">
        <f>'Intersection Crashes'!F31</f>
        <v>0</v>
      </c>
      <c r="M7" s="4">
        <f>'Intersection Crashes'!G31</f>
        <v>1</v>
      </c>
      <c r="N7" s="4">
        <f>'Intersection Crashes'!F38</f>
        <v>0</v>
      </c>
      <c r="O7" s="4">
        <f>'Intersection Crashes'!G38</f>
        <v>1</v>
      </c>
      <c r="P7" s="4">
        <v>0</v>
      </c>
      <c r="Q7" s="4">
        <v>0</v>
      </c>
      <c r="R7" s="4">
        <f t="shared" ref="R7:S10" si="1">SUM(L7,N7,P7)</f>
        <v>0</v>
      </c>
      <c r="S7" s="4">
        <f t="shared" si="1"/>
        <v>2</v>
      </c>
      <c r="T7" s="106" cm="1">
        <f t="array" ref="T7:T10">TRANSPOSE(Safety!T21:W21)</f>
        <v>3938.75</v>
      </c>
      <c r="U7" s="106">
        <f>T7/2</f>
        <v>1969.375</v>
      </c>
      <c r="V7" s="4">
        <f>R7/(U7*Assumptions!$C$9)</f>
        <v>0</v>
      </c>
      <c r="W7" s="4">
        <f>S7/(U7*Assumptions!$C$9)</f>
        <v>2.7823304626059134E-6</v>
      </c>
      <c r="X7" s="8"/>
    </row>
    <row r="8" spans="2:25" x14ac:dyDescent="0.2">
      <c r="B8" s="100">
        <f t="shared" ref="B8:B25" si="2">B7+1</f>
        <v>2028</v>
      </c>
      <c r="C8" s="101" cm="1">
        <f t="array" ref="C8">TREND($J$51:$K$51,$J$50:$K$50,B8)</f>
        <v>534859.52152552456</v>
      </c>
      <c r="D8" s="102" cm="1">
        <f t="array" ref="D8">TREND($J$52:$K$52,$J$50:$K$50,B8)</f>
        <v>138492.05020485725</v>
      </c>
      <c r="E8" s="103">
        <f t="shared" si="0"/>
        <v>396367.4713206673</v>
      </c>
      <c r="F8" s="103">
        <f>E8*(1+Assumptions!$C$10)^-($B8-Assumptions!$C$3)</f>
        <v>330024.37277899159</v>
      </c>
      <c r="I8" s="10" t="s">
        <v>795</v>
      </c>
      <c r="J8" s="4">
        <f>'Design Data'!K7</f>
        <v>1695</v>
      </c>
      <c r="K8" s="4">
        <f>'Design Data'!K8</f>
        <v>2220</v>
      </c>
      <c r="L8" s="4">
        <v>0</v>
      </c>
      <c r="M8" s="4">
        <v>0</v>
      </c>
      <c r="N8" s="4">
        <f>'Intersection Crashes'!F40</f>
        <v>1</v>
      </c>
      <c r="O8" s="4">
        <f>'Intersection Crashes'!G40</f>
        <v>0</v>
      </c>
      <c r="P8" s="4">
        <v>0</v>
      </c>
      <c r="Q8" s="4">
        <f>'Intersection Crashes'!G43</f>
        <v>1</v>
      </c>
      <c r="R8" s="4">
        <f t="shared" si="1"/>
        <v>1</v>
      </c>
      <c r="S8" s="4">
        <f t="shared" si="1"/>
        <v>1</v>
      </c>
      <c r="T8" s="106">
        <v>8343.75</v>
      </c>
      <c r="U8" s="106">
        <f>T8/2</f>
        <v>4171.875</v>
      </c>
      <c r="V8" s="4">
        <f>R8/(U8*Assumptions!$C$9)</f>
        <v>6.5671335488174028E-7</v>
      </c>
      <c r="W8" s="4">
        <f>S8/(U8*Assumptions!$C$9)</f>
        <v>6.5671335488174028E-7</v>
      </c>
      <c r="X8" s="8"/>
    </row>
    <row r="9" spans="2:25" x14ac:dyDescent="0.2">
      <c r="B9" s="100">
        <f t="shared" si="2"/>
        <v>2029</v>
      </c>
      <c r="C9" s="101" cm="1">
        <f t="array" ref="C9">TREND($J$51:$K$51,$J$50:$K$50,B9)</f>
        <v>542513.73888631351</v>
      </c>
      <c r="D9" s="102" cm="1">
        <f t="array" ref="D9">TREND($J$52:$K$52,$J$50:$K$50,B9)</f>
        <v>140479.60831255326</v>
      </c>
      <c r="E9" s="103">
        <f t="shared" si="0"/>
        <v>402034.13057376025</v>
      </c>
      <c r="F9" s="103">
        <f>E9*(1+Assumptions!$C$10)^-($B9-Assumptions!$C$3)</f>
        <v>324677.55510487541</v>
      </c>
      <c r="I9" s="10" t="s">
        <v>791</v>
      </c>
      <c r="J9" s="4">
        <f>'Design Data'!K11</f>
        <v>1880</v>
      </c>
      <c r="K9" s="4">
        <f>'Design Data'!K16</f>
        <v>2475</v>
      </c>
      <c r="L9" s="4">
        <f>'Intersection Crashes'!F32</f>
        <v>1</v>
      </c>
      <c r="M9" s="4">
        <f>'Intersection Crashes'!G32</f>
        <v>1</v>
      </c>
      <c r="N9" s="4">
        <v>0</v>
      </c>
      <c r="O9" s="4">
        <v>0</v>
      </c>
      <c r="P9" s="4">
        <v>0</v>
      </c>
      <c r="Q9" s="4">
        <v>0</v>
      </c>
      <c r="R9" s="4">
        <f t="shared" si="1"/>
        <v>1</v>
      </c>
      <c r="S9" s="4">
        <f t="shared" si="1"/>
        <v>1</v>
      </c>
      <c r="T9" s="106">
        <v>9251.25</v>
      </c>
      <c r="U9" s="106">
        <f>T9/2</f>
        <v>4625.625</v>
      </c>
      <c r="V9" s="4">
        <f>R9/(U9*Assumptions!$C$9)</f>
        <v>5.9229315549731335E-7</v>
      </c>
      <c r="W9" s="4">
        <f>S9/(U9*Assumptions!$C$9)</f>
        <v>5.9229315549731335E-7</v>
      </c>
      <c r="X9" s="8"/>
    </row>
    <row r="10" spans="2:25" x14ac:dyDescent="0.2">
      <c r="B10" s="100">
        <f t="shared" si="2"/>
        <v>2030</v>
      </c>
      <c r="C10" s="101" cm="1">
        <f t="array" ref="C10">TREND($J$51:$K$51,$J$50:$K$50,B10)</f>
        <v>550167.95624710247</v>
      </c>
      <c r="D10" s="102" cm="1">
        <f t="array" ref="D10">TREND($J$52:$K$52,$J$50:$K$50,B10)</f>
        <v>142467.16642024927</v>
      </c>
      <c r="E10" s="103">
        <f t="shared" si="0"/>
        <v>407700.7898268532</v>
      </c>
      <c r="F10" s="103">
        <f>E10*(1+Assumptions!$C$10)^-($B10-Assumptions!$C$3)</f>
        <v>319353.90465620224</v>
      </c>
      <c r="I10" s="10" t="s">
        <v>793</v>
      </c>
      <c r="J10" s="4">
        <f>'Design Data'!K15</f>
        <v>1880</v>
      </c>
      <c r="K10" s="4">
        <f>'Design Data'!K16</f>
        <v>2475</v>
      </c>
      <c r="L10" s="4">
        <f>'Intersection Crashes'!F35</f>
        <v>0</v>
      </c>
      <c r="M10" s="4">
        <f>'Intersection Crashes'!G35</f>
        <v>2</v>
      </c>
      <c r="N10" s="4">
        <v>0</v>
      </c>
      <c r="O10" s="4">
        <v>0</v>
      </c>
      <c r="P10" s="4">
        <v>0</v>
      </c>
      <c r="Q10" s="4">
        <v>0</v>
      </c>
      <c r="R10" s="4">
        <f t="shared" si="1"/>
        <v>0</v>
      </c>
      <c r="S10" s="4">
        <f t="shared" si="1"/>
        <v>2</v>
      </c>
      <c r="T10" s="106">
        <v>9251.25</v>
      </c>
      <c r="U10" s="106">
        <f>T10/2</f>
        <v>4625.625</v>
      </c>
      <c r="V10" s="4">
        <f>R10/(U10*Assumptions!$C$9)</f>
        <v>0</v>
      </c>
      <c r="W10" s="4">
        <f>S10/(U10*Assumptions!$C$9)</f>
        <v>1.1845863109946267E-6</v>
      </c>
      <c r="X10" s="8"/>
    </row>
    <row r="11" spans="2:25" x14ac:dyDescent="0.2">
      <c r="B11" s="100">
        <f t="shared" si="2"/>
        <v>2031</v>
      </c>
      <c r="C11" s="101" cm="1">
        <f t="array" ref="C11">TREND($J$51:$K$51,$J$50:$K$50,B11)</f>
        <v>557822.17360789143</v>
      </c>
      <c r="D11" s="102" cm="1">
        <f t="array" ref="D11">TREND($J$52:$K$52,$J$50:$K$50,B11)</f>
        <v>144454.72452794481</v>
      </c>
      <c r="E11" s="103">
        <f t="shared" si="0"/>
        <v>413367.44907994661</v>
      </c>
      <c r="F11" s="103">
        <f>E11*(1+Assumptions!$C$10)^-($B11-Assumptions!$C$3)</f>
        <v>314056.86219552183</v>
      </c>
      <c r="I11" s="112"/>
      <c r="J11" s="112"/>
      <c r="K11" s="112"/>
      <c r="L11" s="113"/>
      <c r="M11" s="113"/>
      <c r="N11" s="113"/>
      <c r="O11" s="113"/>
      <c r="P11" s="113"/>
      <c r="Q11" s="113"/>
      <c r="R11" s="112"/>
      <c r="S11" s="113"/>
      <c r="T11" s="117"/>
      <c r="U11" s="117"/>
      <c r="V11" s="113"/>
      <c r="W11" s="113"/>
      <c r="X11" s="8"/>
    </row>
    <row r="12" spans="2:25" x14ac:dyDescent="0.2">
      <c r="B12" s="100">
        <f t="shared" si="2"/>
        <v>2032</v>
      </c>
      <c r="C12" s="101" cm="1">
        <f t="array" ref="C12">TREND($J$51:$K$51,$J$50:$K$50,B12)</f>
        <v>565476.39096868224</v>
      </c>
      <c r="D12" s="102" cm="1">
        <f t="array" ref="D12">TREND($J$52:$K$52,$J$50:$K$50,B12)</f>
        <v>146442.28263564082</v>
      </c>
      <c r="E12" s="103">
        <f t="shared" si="0"/>
        <v>419034.10833304143</v>
      </c>
      <c r="F12" s="103">
        <f>E12*(1+Assumptions!$C$10)^-($B12-Assumptions!$C$3)</f>
        <v>308789.64062742173</v>
      </c>
      <c r="S12" s="8"/>
      <c r="T12" s="8"/>
      <c r="U12" s="8"/>
      <c r="V12" s="8"/>
      <c r="W12" s="8"/>
      <c r="X12" s="8"/>
    </row>
    <row r="13" spans="2:25" x14ac:dyDescent="0.2">
      <c r="B13" s="100">
        <f t="shared" si="2"/>
        <v>2033</v>
      </c>
      <c r="C13" s="101" cm="1">
        <f t="array" ref="C13">TREND($J$51:$K$51,$J$50:$K$50,B13)</f>
        <v>573130.6083294712</v>
      </c>
      <c r="D13" s="102" cm="1">
        <f t="array" ref="D13">TREND($J$52:$K$52,$J$50:$K$50,B13)</f>
        <v>148429.84074333636</v>
      </c>
      <c r="E13" s="103">
        <f t="shared" si="0"/>
        <v>424700.76758613484</v>
      </c>
      <c r="F13" s="103">
        <f>E13*(1+Assumptions!$C$10)^-($B13-Assumptions!$C$3)</f>
        <v>303555.23559022462</v>
      </c>
      <c r="I13" s="1" t="s">
        <v>901</v>
      </c>
      <c r="J13" s="7"/>
      <c r="K13" s="7"/>
      <c r="L13" s="7"/>
      <c r="M13" s="7"/>
      <c r="N13" s="7"/>
      <c r="O13" s="8"/>
      <c r="S13" s="8"/>
      <c r="T13" s="8"/>
      <c r="U13" s="8"/>
      <c r="V13" s="8"/>
      <c r="W13" s="8"/>
      <c r="X13" s="8"/>
      <c r="Y13" s="8"/>
    </row>
    <row r="14" spans="2:25" x14ac:dyDescent="0.2">
      <c r="B14" s="100">
        <f t="shared" si="2"/>
        <v>2034</v>
      </c>
      <c r="C14" s="101" cm="1">
        <f t="array" ref="C14">TREND($J$51:$K$51,$J$50:$K$50,B14)</f>
        <v>580784.82569026016</v>
      </c>
      <c r="D14" s="102" cm="1">
        <f t="array" ref="D14">TREND($J$52:$K$52,$J$50:$K$50,B14)</f>
        <v>150417.39885103237</v>
      </c>
      <c r="E14" s="103">
        <f t="shared" si="0"/>
        <v>430367.42683922779</v>
      </c>
      <c r="F14" s="103">
        <f>E14*(1+Assumptions!$C$10)^-($B14-Assumptions!$C$3)</f>
        <v>298356.43561675458</v>
      </c>
      <c r="I14" s="10" t="s">
        <v>38</v>
      </c>
      <c r="J14" s="4" t="s">
        <v>727</v>
      </c>
      <c r="K14" s="4" t="s">
        <v>761</v>
      </c>
      <c r="L14" s="4" t="s">
        <v>647</v>
      </c>
      <c r="M14" s="4" t="s">
        <v>661</v>
      </c>
      <c r="N14" s="4" t="s">
        <v>134</v>
      </c>
      <c r="O14" s="4" t="s">
        <v>803</v>
      </c>
      <c r="S14" s="1" t="s">
        <v>806</v>
      </c>
      <c r="X14" s="8"/>
      <c r="Y14" s="8"/>
    </row>
    <row r="15" spans="2:25" x14ac:dyDescent="0.2">
      <c r="B15" s="100">
        <f t="shared" si="2"/>
        <v>2035</v>
      </c>
      <c r="C15" s="101" cm="1">
        <f t="array" ref="C15">TREND($J$51:$K$51,$J$50:$K$50,B15)</f>
        <v>588439.04305104911</v>
      </c>
      <c r="D15" s="102" cm="1">
        <f t="array" ref="D15">TREND($J$52:$K$52,$J$50:$K$50,B15)</f>
        <v>152404.95695872838</v>
      </c>
      <c r="E15" s="103">
        <f t="shared" si="0"/>
        <v>436034.08609232074</v>
      </c>
      <c r="F15" s="103">
        <f>E15*(1+Assumptions!$C$10)^-($B15-Assumptions!$C$3)</f>
        <v>293195.83188049542</v>
      </c>
      <c r="I15" s="10">
        <f>Assumptions!C7</f>
        <v>2026</v>
      </c>
      <c r="J15" s="4">
        <f>_xlfn.FORECAST.LINEAR($I15,Safety!$J$7:$K$7,Safety!$J$6:$K$6)/2*Safety!$V$7*Assumptions!$C$9</f>
        <v>0</v>
      </c>
      <c r="K15" s="4">
        <f>_xlfn.FORECAST.LINEAR($I15,Safety!$J$8:$K$8,Safety!$J$6:$K$6)/2*Safety!$V$8*Assumptions!$C$9</f>
        <v>0.21573033707865169</v>
      </c>
      <c r="L15" s="4">
        <f>_xlfn.FORECAST.LINEAR($I15,Safety!$J$9:$K$9,Safety!$J$6:$K$6)/2*Safety!$V$9*Assumptions!$C$9</f>
        <v>0.21607890825564111</v>
      </c>
      <c r="M15" s="4">
        <f>_xlfn.FORECAST.LINEAR($I15,Safety!$J$10:$K$10,Safety!$J$6:$K$6)/2*Safety!$V$10*Assumptions!$C$9</f>
        <v>0</v>
      </c>
      <c r="N15" s="4">
        <f>SUM(J15:M15)</f>
        <v>0.43180924533429277</v>
      </c>
      <c r="O15" s="3">
        <f>N15*K46</f>
        <v>513075.74530620669</v>
      </c>
      <c r="S15" s="4" t="s">
        <v>787</v>
      </c>
      <c r="T15" s="4" t="s">
        <v>790</v>
      </c>
      <c r="U15" s="4" t="s">
        <v>792</v>
      </c>
      <c r="V15" s="4" t="s">
        <v>791</v>
      </c>
      <c r="W15" s="4" t="s">
        <v>793</v>
      </c>
      <c r="Y15" s="8"/>
    </row>
    <row r="16" spans="2:25" x14ac:dyDescent="0.2">
      <c r="B16" s="100">
        <f t="shared" si="2"/>
        <v>2036</v>
      </c>
      <c r="C16" s="101" cm="1">
        <f t="array" ref="C16">TREND($J$51:$K$51,$J$50:$K$50,B16)</f>
        <v>596093.26041183807</v>
      </c>
      <c r="D16" s="102" cm="1">
        <f t="array" ref="D16">TREND($J$52:$K$52,$J$50:$K$50,B16)</f>
        <v>154392.51506642392</v>
      </c>
      <c r="E16" s="103">
        <f t="shared" si="0"/>
        <v>441700.74534541415</v>
      </c>
      <c r="F16" s="103">
        <f>E16*(1+Assumptions!$C$10)^-($B16-Assumptions!$C$3)</f>
        <v>288075.82754289894</v>
      </c>
      <c r="I16" s="10">
        <f>I15+19</f>
        <v>2045</v>
      </c>
      <c r="J16" s="4">
        <f>_xlfn.FORECAST.LINEAR($I16,Safety!$J$7:$K$7,Safety!$J$6:$K$6)/2*Safety!$V$7*Assumptions!$C$9</f>
        <v>0</v>
      </c>
      <c r="K16" s="4">
        <f>_xlfn.FORECAST.LINEAR($I16,Safety!$J$8:$K$8,Safety!$J$6:$K$6)/2*Safety!$V$8*Assumptions!$C$9</f>
        <v>0.27550561797752809</v>
      </c>
      <c r="L16" s="4">
        <f>_xlfn.FORECAST.LINEAR($I16,Safety!$J$9:$K$9,Safety!$J$6:$K$6)/2*Safety!$V$9*Assumptions!$C$9</f>
        <v>0.27717875962707739</v>
      </c>
      <c r="M16" s="4">
        <f>_xlfn.FORECAST.LINEAR($I16,Safety!$J$10:$K$10,Safety!$J$6:$K$6)/2*Safety!$V$10*Assumptions!$C$9</f>
        <v>0</v>
      </c>
      <c r="N16" s="4">
        <f>SUM(J16:M16)</f>
        <v>0.55268437760460554</v>
      </c>
      <c r="O16" s="3">
        <f>N16*K46</f>
        <v>656699.57746979233</v>
      </c>
      <c r="S16" s="4">
        <v>2019</v>
      </c>
      <c r="T16" s="106">
        <f>_xlfn.FORECAST.LINEAR($S16,Safety!$J$7:$K$7,Safety!$J$6:$K$6)</f>
        <v>763.25</v>
      </c>
      <c r="U16" s="106">
        <f>_xlfn.FORECAST.LINEAR($S16,Safety!$J$8:$K$8,Safety!$J$6:$K$6)</f>
        <v>1616.25</v>
      </c>
      <c r="V16" s="106">
        <f>_xlfn.FORECAST.LINEAR($S16,Safety!$J$9:$K$9,Safety!$J$6:$K$6)</f>
        <v>1790.75</v>
      </c>
      <c r="W16" s="106">
        <f>_xlfn.FORECAST.LINEAR($S16,Safety!$J$10:$K$10,Safety!$J$6:$K$6)</f>
        <v>1790.75</v>
      </c>
      <c r="Y16" s="8"/>
    </row>
    <row r="17" spans="1:25" x14ac:dyDescent="0.2">
      <c r="B17" s="100">
        <f t="shared" si="2"/>
        <v>2037</v>
      </c>
      <c r="C17" s="101" cm="1">
        <f t="array" ref="C17">TREND($J$51:$K$51,$J$50:$K$50,B17)</f>
        <v>603747.47777262703</v>
      </c>
      <c r="D17" s="102" cm="1">
        <f t="array" ref="D17">TREND($J$52:$K$52,$J$50:$K$50,B17)</f>
        <v>156380.07317411993</v>
      </c>
      <c r="E17" s="103">
        <f t="shared" si="0"/>
        <v>447367.4045985071</v>
      </c>
      <c r="F17" s="103">
        <f>E17*(1+Assumptions!$C$10)^-($B17-Assumptions!$C$3)</f>
        <v>282998.64671701204</v>
      </c>
      <c r="J17" s="8"/>
      <c r="K17" s="8"/>
      <c r="L17" s="8"/>
      <c r="M17" s="8"/>
      <c r="N17" s="8"/>
      <c r="O17" s="8"/>
      <c r="S17" s="4">
        <v>2020</v>
      </c>
      <c r="T17" s="106">
        <f>_xlfn.FORECAST.LINEAR($S17,Safety!$J$7:$K$7,Safety!$J$6:$K$6)</f>
        <v>775.5</v>
      </c>
      <c r="U17" s="106">
        <f>_xlfn.FORECAST.LINEAR($S17,Safety!$J$8:$K$8,Safety!$J$6:$K$6)</f>
        <v>1642.5</v>
      </c>
      <c r="V17" s="106">
        <f>_xlfn.FORECAST.LINEAR($S17,Safety!$J$9:$K$9,Safety!$J$6:$K$6)</f>
        <v>1820.5</v>
      </c>
      <c r="W17" s="106">
        <f>_xlfn.FORECAST.LINEAR($S17,Safety!$J$10:$K$10,Safety!$J$6:$K$6)</f>
        <v>1820.5</v>
      </c>
      <c r="Y17" s="8"/>
    </row>
    <row r="18" spans="1:25" x14ac:dyDescent="0.2">
      <c r="B18" s="100">
        <f t="shared" si="2"/>
        <v>2038</v>
      </c>
      <c r="C18" s="101" cm="1">
        <f t="array" ref="C18">TREND($J$51:$K$51,$J$50:$K$50,B18)</f>
        <v>611401.69513341598</v>
      </c>
      <c r="D18" s="102" cm="1">
        <f t="array" ref="D18">TREND($J$52:$K$52,$J$50:$K$50,B18)</f>
        <v>158367.63128181593</v>
      </c>
      <c r="E18" s="103">
        <f t="shared" si="0"/>
        <v>453034.06385160005</v>
      </c>
      <c r="F18" s="103">
        <f>E18*(1+Assumptions!$C$10)^-($B18-Assumptions!$C$3)</f>
        <v>277966.34306205006</v>
      </c>
      <c r="I18" s="1" t="s">
        <v>902</v>
      </c>
      <c r="J18" s="7"/>
      <c r="K18" s="7"/>
      <c r="L18" s="7"/>
      <c r="M18" s="7"/>
      <c r="N18" s="8"/>
      <c r="O18" s="8"/>
      <c r="S18" s="4">
        <v>2021</v>
      </c>
      <c r="T18" s="106">
        <f>_xlfn.FORECAST.LINEAR($S18,Safety!$J$7:$K$7,Safety!$J$6:$K$6)</f>
        <v>787.75</v>
      </c>
      <c r="U18" s="106">
        <f>_xlfn.FORECAST.LINEAR($S18,Safety!$J$8:$K$8,Safety!$J$6:$K$6)</f>
        <v>1668.75</v>
      </c>
      <c r="V18" s="106">
        <f>_xlfn.FORECAST.LINEAR($S18,Safety!$J$9:$K$9,Safety!$J$6:$K$6)</f>
        <v>1850.25</v>
      </c>
      <c r="W18" s="106">
        <f>_xlfn.FORECAST.LINEAR($S18,Safety!$J$10:$K$10,Safety!$J$6:$K$6)</f>
        <v>1850.25</v>
      </c>
      <c r="Y18" s="8"/>
    </row>
    <row r="19" spans="1:25" x14ac:dyDescent="0.2">
      <c r="B19" s="100">
        <f t="shared" si="2"/>
        <v>2039</v>
      </c>
      <c r="C19" s="101" cm="1">
        <f t="array" ref="C19">TREND($J$51:$K$51,$J$50:$K$50,B19)</f>
        <v>619055.9124942068</v>
      </c>
      <c r="D19" s="102" cm="1">
        <f t="array" ref="D19">TREND($J$52:$K$52,$J$50:$K$50,B19)</f>
        <v>160355.18938951148</v>
      </c>
      <c r="E19" s="103">
        <f t="shared" si="0"/>
        <v>458700.72310469532</v>
      </c>
      <c r="F19" s="103">
        <f>E19*(1+Assumptions!$C$10)^-($B19-Assumptions!$C$3)</f>
        <v>272980.80802300054</v>
      </c>
      <c r="I19" s="10" t="s">
        <v>38</v>
      </c>
      <c r="J19" s="4" t="s">
        <v>727</v>
      </c>
      <c r="K19" s="4" t="s">
        <v>761</v>
      </c>
      <c r="L19" s="4" t="s">
        <v>647</v>
      </c>
      <c r="M19" s="4" t="s">
        <v>661</v>
      </c>
      <c r="N19" s="4" t="s">
        <v>134</v>
      </c>
      <c r="O19" s="4" t="s">
        <v>803</v>
      </c>
      <c r="S19" s="4">
        <v>2022</v>
      </c>
      <c r="T19" s="106">
        <f>_xlfn.FORECAST.LINEAR($S19,Safety!$J$7:$K$7,Safety!$J$6:$K$6)</f>
        <v>800</v>
      </c>
      <c r="U19" s="106">
        <f>_xlfn.FORECAST.LINEAR($S19,Safety!$J$8:$K$8,Safety!$J$6:$K$6)</f>
        <v>1695</v>
      </c>
      <c r="V19" s="106">
        <f>_xlfn.FORECAST.LINEAR($S19,Safety!$J$9:$K$9,Safety!$J$6:$K$6)</f>
        <v>1880</v>
      </c>
      <c r="W19" s="106">
        <f>_xlfn.FORECAST.LINEAR($S19,Safety!$J$10:$K$10,Safety!$J$6:$K$6)</f>
        <v>1880</v>
      </c>
      <c r="Y19" s="8"/>
    </row>
    <row r="20" spans="1:25" x14ac:dyDescent="0.2">
      <c r="B20" s="100">
        <f t="shared" si="2"/>
        <v>2040</v>
      </c>
      <c r="C20" s="101" cm="1">
        <f t="array" ref="C20">TREND($J$51:$K$51,$J$50:$K$50,B20)</f>
        <v>626710.12985499576</v>
      </c>
      <c r="D20" s="102" cm="1">
        <f t="array" ref="D20">TREND($J$52:$K$52,$J$50:$K$50,B20)</f>
        <v>162342.74749720749</v>
      </c>
      <c r="E20" s="103">
        <f t="shared" si="0"/>
        <v>464367.38235778827</v>
      </c>
      <c r="F20" s="103">
        <f>E20*(1+Assumptions!$C$10)^-($B20-Assumptions!$C$3)</f>
        <v>268043.77872882987</v>
      </c>
      <c r="I20" s="10">
        <f>I15</f>
        <v>2026</v>
      </c>
      <c r="J20" s="4">
        <f>_xlfn.FORECAST.LINEAR($I20,Safety!$J$7:$K$7,Safety!$J$6:$K$6)/2*Safety!$W$7*Assumptions!$C$9</f>
        <v>0.43110123770231673</v>
      </c>
      <c r="K20" s="4">
        <f>_xlfn.FORECAST.LINEAR($I20,Safety!$J$8:$K$8,Safety!$J$6:$K$6)/2*Safety!$W$8*Assumptions!$C$9</f>
        <v>0.21573033707865169</v>
      </c>
      <c r="L20" s="4">
        <f>_xlfn.FORECAST.LINEAR($I20,Safety!$J$9:$K$9,Safety!$J$6:$K$6)/2*Safety!$W$9*Assumptions!$C$9</f>
        <v>0.21607890825564111</v>
      </c>
      <c r="M20" s="4">
        <f>_xlfn.FORECAST.LINEAR($I20,Safety!$J$10:$K$10,Safety!$J$6:$K$6)/2*Safety!$W$10*Assumptions!$C$9</f>
        <v>0.43215781651128221</v>
      </c>
      <c r="N20" s="4">
        <f>SUM(J20:M20)</f>
        <v>1.2950682995478917</v>
      </c>
      <c r="O20" s="3">
        <f>N20*N46</f>
        <v>6475.3414977394586</v>
      </c>
      <c r="S20" s="4">
        <v>2023</v>
      </c>
      <c r="T20" s="106">
        <f>_xlfn.FORECAST.LINEAR($S20,Safety!$J$7:$K$7,Safety!$J$6:$K$6)</f>
        <v>812.25</v>
      </c>
      <c r="U20" s="106">
        <f>_xlfn.FORECAST.LINEAR($S20,Safety!$J$8:$K$8,Safety!$J$6:$K$6)</f>
        <v>1721.25</v>
      </c>
      <c r="V20" s="106">
        <f>_xlfn.FORECAST.LINEAR($S20,Safety!$J$9:$K$9,Safety!$J$6:$K$6)</f>
        <v>1909.75</v>
      </c>
      <c r="W20" s="106">
        <f>_xlfn.FORECAST.LINEAR($S20,Safety!$J$10:$K$10,Safety!$J$6:$K$6)</f>
        <v>1909.75</v>
      </c>
      <c r="Y20" s="8"/>
    </row>
    <row r="21" spans="1:25" x14ac:dyDescent="0.2">
      <c r="B21" s="100">
        <f t="shared" si="2"/>
        <v>2041</v>
      </c>
      <c r="C21" s="101" cm="1">
        <f t="array" ref="C21">TREND($J$51:$K$51,$J$50:$K$50,B21)</f>
        <v>634364.34721578471</v>
      </c>
      <c r="D21" s="102" cm="1">
        <f t="array" ref="D21">TREND($J$52:$K$52,$J$50:$K$50,B21)</f>
        <v>164330.30560490349</v>
      </c>
      <c r="E21" s="103">
        <f t="shared" si="0"/>
        <v>470034.04161088122</v>
      </c>
      <c r="F21" s="103">
        <f>E21*(1+Assumptions!$C$10)^-($B21-Assumptions!$C$3)</f>
        <v>263156.84556239279</v>
      </c>
      <c r="I21" s="10">
        <f>I20+19</f>
        <v>2045</v>
      </c>
      <c r="J21" s="4">
        <f>_xlfn.FORECAST.LINEAR($I21,Safety!$J$7:$K$7,Safety!$J$6:$K$6)/2*Safety!$W$7*Assumptions!$C$9</f>
        <v>0.54928594097112027</v>
      </c>
      <c r="K21" s="4">
        <f>_xlfn.FORECAST.LINEAR($I21,Safety!$J$8:$K$8,Safety!$J$6:$K$6)/2*Safety!$W$8*Assumptions!$C$9</f>
        <v>0.27550561797752809</v>
      </c>
      <c r="L21" s="4">
        <f>_xlfn.FORECAST.LINEAR($I21,Safety!$J$9:$K$9,Safety!$J$6:$K$6)/2*Safety!$W$9*Assumptions!$C$9</f>
        <v>0.27717875962707739</v>
      </c>
      <c r="M21" s="4">
        <f>_xlfn.FORECAST.LINEAR($I21,Safety!$J$10:$K$10,Safety!$J$6:$K$6)/2*Safety!$W$10*Assumptions!$C$9</f>
        <v>0.55435751925415477</v>
      </c>
      <c r="N21" s="4">
        <f>SUM(J21:M21)</f>
        <v>1.6563278378298805</v>
      </c>
      <c r="O21" s="3">
        <f>N21*N46</f>
        <v>8281.6391891494022</v>
      </c>
      <c r="S21" s="4" t="s">
        <v>134</v>
      </c>
      <c r="T21" s="106">
        <f>SUM(T16:T20)</f>
        <v>3938.75</v>
      </c>
      <c r="U21" s="106">
        <f>SUM(U16:U20)</f>
        <v>8343.75</v>
      </c>
      <c r="V21" s="106">
        <f>SUM(V16:V20)</f>
        <v>9251.25</v>
      </c>
      <c r="W21" s="106">
        <f>SUM(W16:W20)</f>
        <v>9251.25</v>
      </c>
      <c r="Y21" s="8"/>
    </row>
    <row r="22" spans="1:25" x14ac:dyDescent="0.2">
      <c r="B22" s="100">
        <f t="shared" si="2"/>
        <v>2042</v>
      </c>
      <c r="C22" s="101" cm="1">
        <f t="array" ref="C22">TREND($J$51:$K$51,$J$50:$K$50,B22)</f>
        <v>642018.56457657367</v>
      </c>
      <c r="D22" s="102" cm="1">
        <f t="array" ref="D22">TREND($J$52:$K$52,$J$50:$K$50,B22)</f>
        <v>166317.86371259904</v>
      </c>
      <c r="E22" s="103">
        <f t="shared" si="0"/>
        <v>475700.70086397463</v>
      </c>
      <c r="F22" s="103">
        <f>E22*(1+Assumptions!$C$10)^-($B22-Assumptions!$C$3)</f>
        <v>258321.45941462045</v>
      </c>
      <c r="J22" s="8"/>
      <c r="K22" s="8"/>
      <c r="L22" s="8"/>
      <c r="M22" s="8"/>
      <c r="N22" s="8"/>
      <c r="O22" s="8"/>
      <c r="Y22" s="8"/>
    </row>
    <row r="23" spans="1:25" ht="13.5" x14ac:dyDescent="0.2">
      <c r="B23" s="100">
        <f t="shared" si="2"/>
        <v>2043</v>
      </c>
      <c r="C23" s="101" cm="1">
        <f t="array" ref="C23">TREND($J$51:$K$51,$J$50:$K$50,B23)</f>
        <v>649672.78193736263</v>
      </c>
      <c r="D23" s="102" cm="1">
        <f t="array" ref="D23">TREND($J$52:$K$52,$J$50:$K$50,B23)</f>
        <v>168305.42182029504</v>
      </c>
      <c r="E23" s="103">
        <f t="shared" si="0"/>
        <v>481367.36011706758</v>
      </c>
      <c r="F23" s="103">
        <f>E23*(1+Assumptions!$C$10)^-($B23-Assumptions!$C$3)</f>
        <v>253538.93863514677</v>
      </c>
      <c r="I23" s="1" t="s">
        <v>937</v>
      </c>
      <c r="Y23" s="8"/>
    </row>
    <row r="24" spans="1:25" x14ac:dyDescent="0.2">
      <c r="B24" s="100">
        <f t="shared" si="2"/>
        <v>2044</v>
      </c>
      <c r="C24" s="101" cm="1">
        <f t="array" ref="C24">TREND($J$51:$K$51,$J$50:$K$50,B24)</f>
        <v>657326.99929815158</v>
      </c>
      <c r="D24" s="102" cm="1">
        <f t="array" ref="D24">TREND($J$52:$K$52,$J$50:$K$50,B24)</f>
        <v>170292.97992799059</v>
      </c>
      <c r="E24" s="103">
        <f t="shared" si="0"/>
        <v>487034.019370161</v>
      </c>
      <c r="F24" s="103">
        <f>E24*(1+Assumptions!$C$10)^-($B24-Assumptions!$C$3)</f>
        <v>248810.47569106723</v>
      </c>
      <c r="I24" s="10" t="s">
        <v>898</v>
      </c>
      <c r="J24" s="10" t="s">
        <v>804</v>
      </c>
      <c r="K24" s="10" t="s">
        <v>805</v>
      </c>
      <c r="Y24" s="8"/>
    </row>
    <row r="25" spans="1:25" x14ac:dyDescent="0.2">
      <c r="B25" s="100">
        <f t="shared" si="2"/>
        <v>2045</v>
      </c>
      <c r="C25" s="101" cm="1">
        <f t="array" ref="C25">TREND($J$51:$K$51,$J$50:$K$50,B25)</f>
        <v>664981.2166589424</v>
      </c>
      <c r="D25" s="102" cm="1">
        <f t="array" ref="D25">TREND($J$52:$K$52,$J$50:$K$50,B25)</f>
        <v>172280.53803568659</v>
      </c>
      <c r="E25" s="103">
        <f t="shared" si="0"/>
        <v>492700.67862325581</v>
      </c>
      <c r="F25" s="103">
        <f>E25*(1+Assumptions!$C$10)^-($B25-Assumptions!$C$3)</f>
        <v>244137.143545092</v>
      </c>
      <c r="I25" s="10" t="s">
        <v>940</v>
      </c>
      <c r="J25" s="10">
        <v>0.93</v>
      </c>
      <c r="K25" s="10" t="s">
        <v>821</v>
      </c>
      <c r="Y25" s="8"/>
    </row>
    <row r="26" spans="1:25" ht="12.75" thickBot="1" x14ac:dyDescent="0.25">
      <c r="E26" s="104" t="s">
        <v>42</v>
      </c>
      <c r="F26" s="105">
        <f>SUM(F6:F25)</f>
        <v>5826203.3241515541</v>
      </c>
      <c r="I26" s="10" t="s">
        <v>899</v>
      </c>
      <c r="J26" s="10" t="s">
        <v>896</v>
      </c>
      <c r="K26" s="10" t="s">
        <v>895</v>
      </c>
      <c r="Y26" s="8"/>
    </row>
    <row r="27" spans="1:25" x14ac:dyDescent="0.2">
      <c r="E27" s="104"/>
      <c r="F27" s="189"/>
      <c r="Y27" s="8"/>
    </row>
    <row r="28" spans="1:25" ht="12" customHeight="1" x14ac:dyDescent="0.2">
      <c r="A28" s="18" t="s">
        <v>43</v>
      </c>
      <c r="I28" s="1" t="s">
        <v>900</v>
      </c>
      <c r="Y28" s="8"/>
    </row>
    <row r="29" spans="1:25" x14ac:dyDescent="0.2">
      <c r="A29" s="9" t="s">
        <v>44</v>
      </c>
      <c r="B29" s="127" t="s">
        <v>934</v>
      </c>
      <c r="C29" s="127"/>
      <c r="D29" s="127"/>
      <c r="E29" s="127"/>
      <c r="F29" s="127"/>
      <c r="G29" s="188"/>
      <c r="I29" s="10" t="s">
        <v>897</v>
      </c>
      <c r="J29" s="4">
        <v>0.56000000000000005</v>
      </c>
      <c r="K29" s="4">
        <v>0.64</v>
      </c>
      <c r="L29" s="4">
        <v>0.41</v>
      </c>
      <c r="M29" s="4">
        <v>0.45</v>
      </c>
      <c r="N29" s="8"/>
      <c r="O29" s="8"/>
      <c r="Y29" s="8"/>
    </row>
    <row r="30" spans="1:25" x14ac:dyDescent="0.2">
      <c r="A30" s="9" t="s">
        <v>45</v>
      </c>
      <c r="B30" s="127" t="s">
        <v>936</v>
      </c>
      <c r="C30" s="127"/>
      <c r="D30" s="127"/>
      <c r="E30" s="127"/>
      <c r="F30" s="127"/>
      <c r="I30" s="10" t="s">
        <v>824</v>
      </c>
      <c r="J30" s="5">
        <f>EXP(-2.59*J29)</f>
        <v>0.23447647874168132</v>
      </c>
      <c r="K30" s="5">
        <f>EXP(-2.59*K29)</f>
        <v>0.19059586169237006</v>
      </c>
      <c r="L30" s="5">
        <f>EXP(-2.59*L29)</f>
        <v>0.34579816924729934</v>
      </c>
      <c r="M30" s="5">
        <f>EXP(-2.59*M29)</f>
        <v>0.31176673968546559</v>
      </c>
      <c r="N30" s="8"/>
      <c r="O30" s="8"/>
      <c r="Y30" s="8"/>
    </row>
    <row r="31" spans="1:25" x14ac:dyDescent="0.2">
      <c r="A31" s="9"/>
      <c r="B31" s="127"/>
      <c r="C31" s="127"/>
      <c r="D31" s="127"/>
      <c r="E31" s="127"/>
      <c r="F31" s="127"/>
      <c r="I31" s="10" t="s">
        <v>825</v>
      </c>
      <c r="J31" s="4">
        <f>$J$25</f>
        <v>0.93</v>
      </c>
      <c r="K31" s="4">
        <f>$J$25</f>
        <v>0.93</v>
      </c>
      <c r="L31" s="4">
        <f>$J$25</f>
        <v>0.93</v>
      </c>
      <c r="M31" s="4">
        <f>$J$25</f>
        <v>0.93</v>
      </c>
      <c r="N31" s="8"/>
      <c r="O31" s="8"/>
      <c r="Y31" s="8"/>
    </row>
    <row r="32" spans="1:25" ht="12" customHeight="1" x14ac:dyDescent="0.2">
      <c r="A32" s="9"/>
      <c r="B32" s="127"/>
      <c r="C32" s="127"/>
      <c r="D32" s="127"/>
      <c r="E32" s="127"/>
      <c r="F32" s="127"/>
      <c r="H32" s="11"/>
      <c r="I32" s="10" t="s">
        <v>822</v>
      </c>
      <c r="J32" s="107">
        <f>J30*(1-((1-J31)/2))</f>
        <v>0.2262698019857225</v>
      </c>
      <c r="K32" s="107">
        <f>K30*(1-(1-K31)/2)</f>
        <v>0.18392500653313712</v>
      </c>
      <c r="L32" s="107">
        <f t="shared" ref="L32:M32" si="3">L30*(1-(1-L31)/2)</f>
        <v>0.33369523332364387</v>
      </c>
      <c r="M32" s="107">
        <f t="shared" si="3"/>
        <v>0.30085490379647434</v>
      </c>
      <c r="N32" s="8"/>
      <c r="O32" s="8"/>
      <c r="Y32" s="8"/>
    </row>
    <row r="33" spans="1:25" ht="12" customHeight="1" x14ac:dyDescent="0.2">
      <c r="A33" s="9"/>
      <c r="B33" s="127"/>
      <c r="C33" s="127"/>
      <c r="D33" s="127"/>
      <c r="E33" s="127"/>
      <c r="F33" s="127"/>
      <c r="H33" s="11"/>
      <c r="J33" s="8"/>
      <c r="K33" s="8"/>
      <c r="L33" s="8"/>
      <c r="M33" s="8"/>
      <c r="N33" s="8"/>
      <c r="O33" s="8"/>
      <c r="Y33" s="8"/>
    </row>
    <row r="34" spans="1:25" x14ac:dyDescent="0.2">
      <c r="A34" s="9" t="s">
        <v>96</v>
      </c>
      <c r="B34" s="125" t="s">
        <v>939</v>
      </c>
      <c r="C34" s="125"/>
      <c r="D34" s="125"/>
      <c r="E34" s="125"/>
      <c r="F34" s="125"/>
      <c r="G34" s="11"/>
      <c r="H34" s="11"/>
      <c r="I34" s="1" t="s">
        <v>903</v>
      </c>
      <c r="J34" s="7"/>
      <c r="K34" s="8"/>
      <c r="L34" s="8"/>
      <c r="M34" s="8"/>
      <c r="N34" s="8"/>
      <c r="O34" s="8"/>
      <c r="Y34" s="8"/>
    </row>
    <row r="35" spans="1:25" x14ac:dyDescent="0.2">
      <c r="A35" s="9"/>
      <c r="B35" s="125"/>
      <c r="C35" s="125"/>
      <c r="D35" s="125"/>
      <c r="E35" s="125"/>
      <c r="F35" s="125"/>
      <c r="G35" s="11"/>
      <c r="I35" s="10" t="s">
        <v>38</v>
      </c>
      <c r="J35" s="4" t="s">
        <v>727</v>
      </c>
      <c r="K35" s="4" t="s">
        <v>761</v>
      </c>
      <c r="L35" s="4" t="s">
        <v>647</v>
      </c>
      <c r="M35" s="4" t="s">
        <v>661</v>
      </c>
      <c r="N35" s="4" t="s">
        <v>134</v>
      </c>
      <c r="O35" s="4" t="s">
        <v>803</v>
      </c>
      <c r="Y35" s="8"/>
    </row>
    <row r="36" spans="1:25" x14ac:dyDescent="0.2">
      <c r="A36" s="9"/>
      <c r="B36" s="125"/>
      <c r="C36" s="125"/>
      <c r="D36" s="125"/>
      <c r="E36" s="125"/>
      <c r="F36" s="125"/>
      <c r="G36" s="11"/>
      <c r="I36" s="10">
        <f>I15</f>
        <v>2026</v>
      </c>
      <c r="J36" s="4">
        <f t="shared" ref="J36:M37" si="4">J$32*J15</f>
        <v>0</v>
      </c>
      <c r="K36" s="4">
        <f t="shared" si="4"/>
        <v>3.9678203656586884E-2</v>
      </c>
      <c r="L36" s="4">
        <f t="shared" si="4"/>
        <v>7.2104501706684393E-2</v>
      </c>
      <c r="M36" s="4">
        <f t="shared" si="4"/>
        <v>0</v>
      </c>
      <c r="N36" s="4">
        <f>SUM(J36:M36)</f>
        <v>0.11178270536327128</v>
      </c>
      <c r="O36" s="3">
        <f>N36*K46</f>
        <v>132820.21051263894</v>
      </c>
      <c r="Y36" s="8"/>
    </row>
    <row r="37" spans="1:25" x14ac:dyDescent="0.2">
      <c r="A37" s="9"/>
      <c r="B37" s="125"/>
      <c r="C37" s="125"/>
      <c r="D37" s="125"/>
      <c r="E37" s="125"/>
      <c r="F37" s="125"/>
      <c r="G37" s="11"/>
      <c r="I37" s="10">
        <f>I16</f>
        <v>2045</v>
      </c>
      <c r="J37" s="4">
        <f t="shared" si="4"/>
        <v>0</v>
      </c>
      <c r="K37" s="4">
        <f t="shared" si="4"/>
        <v>5.0672372586432833E-2</v>
      </c>
      <c r="L37" s="4">
        <f t="shared" si="4"/>
        <v>9.2493230866115786E-2</v>
      </c>
      <c r="M37" s="4">
        <f t="shared" si="4"/>
        <v>0</v>
      </c>
      <c r="N37" s="4">
        <f>SUM(J37:M37)</f>
        <v>0.14316560345254861</v>
      </c>
      <c r="O37" s="3">
        <f>N37*K46</f>
        <v>170109.37002231827</v>
      </c>
      <c r="Y37" s="8"/>
    </row>
    <row r="38" spans="1:25" x14ac:dyDescent="0.2">
      <c r="B38" s="125"/>
      <c r="C38" s="125"/>
      <c r="D38" s="125"/>
      <c r="E38" s="125"/>
      <c r="F38" s="125"/>
      <c r="G38" s="11"/>
      <c r="J38" s="8"/>
      <c r="K38" s="8"/>
      <c r="L38" s="8"/>
      <c r="M38" s="8"/>
      <c r="N38" s="8"/>
      <c r="O38" s="8"/>
      <c r="Y38" s="8"/>
    </row>
    <row r="39" spans="1:25" x14ac:dyDescent="0.2">
      <c r="B39" s="125"/>
      <c r="C39" s="125"/>
      <c r="D39" s="125"/>
      <c r="E39" s="125"/>
      <c r="F39" s="125"/>
      <c r="I39" s="1" t="s">
        <v>904</v>
      </c>
      <c r="J39" s="7"/>
      <c r="K39" s="7"/>
      <c r="L39" s="7"/>
      <c r="M39" s="7"/>
      <c r="N39" s="7"/>
      <c r="O39" s="8"/>
      <c r="Y39" s="8"/>
    </row>
    <row r="40" spans="1:25" x14ac:dyDescent="0.2">
      <c r="I40" s="10" t="s">
        <v>38</v>
      </c>
      <c r="J40" s="4" t="s">
        <v>727</v>
      </c>
      <c r="K40" s="4" t="s">
        <v>761</v>
      </c>
      <c r="L40" s="4" t="s">
        <v>647</v>
      </c>
      <c r="M40" s="4" t="s">
        <v>661</v>
      </c>
      <c r="N40" s="4" t="s">
        <v>134</v>
      </c>
      <c r="O40" s="4" t="s">
        <v>803</v>
      </c>
      <c r="Y40" s="8"/>
    </row>
    <row r="41" spans="1:25" x14ac:dyDescent="0.2">
      <c r="I41" s="10">
        <f>I20</f>
        <v>2026</v>
      </c>
      <c r="J41" s="4">
        <f t="shared" ref="J41:M42" si="5">J$32*J20</f>
        <v>9.7545191690703095E-2</v>
      </c>
      <c r="K41" s="4">
        <f t="shared" si="5"/>
        <v>3.9678203656586884E-2</v>
      </c>
      <c r="L41" s="4">
        <f t="shared" si="5"/>
        <v>7.2104501706684393E-2</v>
      </c>
      <c r="M41" s="4">
        <f t="shared" si="5"/>
        <v>0.13001679831139623</v>
      </c>
      <c r="N41" s="4">
        <f>SUM(J41:M41)</f>
        <v>0.3393446953653706</v>
      </c>
      <c r="O41" s="3">
        <f>N41*N46</f>
        <v>1696.7234768268529</v>
      </c>
      <c r="Y41" s="8"/>
    </row>
    <row r="42" spans="1:25" x14ac:dyDescent="0.2">
      <c r="I42" s="10">
        <f>I21</f>
        <v>2045</v>
      </c>
      <c r="J42" s="4">
        <f t="shared" si="5"/>
        <v>0.12428682109707664</v>
      </c>
      <c r="K42" s="4">
        <f t="shared" si="5"/>
        <v>5.0672372586432833E-2</v>
      </c>
      <c r="L42" s="4">
        <f t="shared" si="5"/>
        <v>9.2493230866115786E-2</v>
      </c>
      <c r="M42" s="4">
        <f t="shared" si="5"/>
        <v>0.1667811781240609</v>
      </c>
      <c r="N42" s="4">
        <f>SUM(J42:M42)</f>
        <v>0.43423360267368616</v>
      </c>
      <c r="O42" s="3">
        <f>N42*N46</f>
        <v>2171.1680133684308</v>
      </c>
      <c r="Y42" s="8"/>
    </row>
    <row r="43" spans="1:25" x14ac:dyDescent="0.2">
      <c r="J43" s="8"/>
      <c r="K43" s="8"/>
      <c r="L43" s="8"/>
      <c r="M43" s="8"/>
      <c r="N43" s="8"/>
      <c r="O43" s="8"/>
      <c r="Y43" s="8"/>
    </row>
    <row r="44" spans="1:25" ht="13.5" x14ac:dyDescent="0.2">
      <c r="I44" s="12" t="s">
        <v>935</v>
      </c>
      <c r="J44" s="16"/>
      <c r="K44" s="8"/>
      <c r="L44" s="8"/>
      <c r="M44" s="8"/>
      <c r="N44" s="8"/>
      <c r="O44" s="8"/>
      <c r="Y44" s="8"/>
    </row>
    <row r="45" spans="1:25" x14ac:dyDescent="0.2">
      <c r="I45" s="108" t="s">
        <v>796</v>
      </c>
      <c r="J45" s="109" t="s">
        <v>826</v>
      </c>
      <c r="K45" s="109" t="s">
        <v>820</v>
      </c>
      <c r="L45" s="109" t="s">
        <v>827</v>
      </c>
      <c r="M45" s="109" t="s">
        <v>828</v>
      </c>
      <c r="N45" s="109" t="s">
        <v>92</v>
      </c>
      <c r="O45" s="8"/>
      <c r="Y45" s="8"/>
    </row>
    <row r="46" spans="1:25" x14ac:dyDescent="0.2">
      <c r="I46" s="20" t="s">
        <v>797</v>
      </c>
      <c r="J46" s="14">
        <v>12500000</v>
      </c>
      <c r="K46" s="14">
        <f>Assumptions!C26</f>
        <v>1188200</v>
      </c>
      <c r="L46" s="14">
        <v>233800</v>
      </c>
      <c r="M46" s="14">
        <v>111700</v>
      </c>
      <c r="N46" s="14">
        <f>Assumptions!C29</f>
        <v>5000</v>
      </c>
      <c r="O46" s="8"/>
      <c r="Y46" s="8"/>
    </row>
    <row r="47" spans="1:25" x14ac:dyDescent="0.2">
      <c r="J47" s="8"/>
      <c r="K47" s="8"/>
      <c r="L47" s="8"/>
      <c r="M47" s="8"/>
      <c r="N47" s="8"/>
      <c r="O47" s="8"/>
      <c r="Y47" s="8"/>
    </row>
    <row r="48" spans="1:25" x14ac:dyDescent="0.2">
      <c r="J48" s="8"/>
      <c r="K48" s="8"/>
      <c r="L48" s="8"/>
      <c r="M48" s="8"/>
      <c r="N48" s="8"/>
      <c r="O48" s="8"/>
      <c r="Y48" s="8"/>
    </row>
    <row r="49" spans="9:25" x14ac:dyDescent="0.2">
      <c r="I49" s="12" t="s">
        <v>905</v>
      </c>
      <c r="J49" s="16"/>
      <c r="K49" s="16"/>
      <c r="L49" s="8"/>
      <c r="M49" s="8"/>
      <c r="N49" s="8"/>
      <c r="O49" s="8"/>
      <c r="Y49" s="8"/>
    </row>
    <row r="50" spans="9:25" x14ac:dyDescent="0.2">
      <c r="I50" s="110" t="s">
        <v>802</v>
      </c>
      <c r="J50" s="111">
        <v>2026</v>
      </c>
      <c r="K50" s="111">
        <v>2045</v>
      </c>
      <c r="L50" s="8"/>
      <c r="M50" s="8"/>
      <c r="N50" s="8"/>
      <c r="O50" s="8"/>
    </row>
    <row r="51" spans="9:25" x14ac:dyDescent="0.2">
      <c r="I51" s="10" t="s">
        <v>132</v>
      </c>
      <c r="J51" s="14">
        <f>SUM(O15,O20)</f>
        <v>519551.08680394618</v>
      </c>
      <c r="K51" s="14">
        <f>SUM(O16,O21)</f>
        <v>664981.2166589417</v>
      </c>
      <c r="L51" s="8"/>
      <c r="M51" s="8"/>
      <c r="N51" s="8"/>
      <c r="O51" s="8"/>
    </row>
    <row r="52" spans="9:25" x14ac:dyDescent="0.2">
      <c r="I52" s="10" t="s">
        <v>133</v>
      </c>
      <c r="J52" s="14">
        <f>O36+O41</f>
        <v>134516.93398946579</v>
      </c>
      <c r="K52" s="14">
        <f>O37+O42</f>
        <v>172280.53803568671</v>
      </c>
      <c r="L52" s="8"/>
      <c r="M52" s="8"/>
      <c r="N52" s="8"/>
      <c r="O52" s="8"/>
    </row>
  </sheetData>
  <mergeCells count="15">
    <mergeCell ref="B30:F33"/>
    <mergeCell ref="B34:F39"/>
    <mergeCell ref="V5:W5"/>
    <mergeCell ref="J5:K5"/>
    <mergeCell ref="L5:M5"/>
    <mergeCell ref="B4:B5"/>
    <mergeCell ref="C4:C5"/>
    <mergeCell ref="D4:D5"/>
    <mergeCell ref="E4:E5"/>
    <mergeCell ref="F4:F5"/>
    <mergeCell ref="I5:I6"/>
    <mergeCell ref="N5:O5"/>
    <mergeCell ref="P5:Q5"/>
    <mergeCell ref="R5:S5"/>
    <mergeCell ref="B29:F29"/>
  </mergeCells>
  <hyperlinks>
    <hyperlink ref="K25" r:id="rId1" xr:uid="{24EC2037-3724-4C3F-AEF9-7FDDBAF7523A}"/>
    <hyperlink ref="K26" r:id="rId2" xr:uid="{98F524F5-8225-4A0F-A965-F8E8B42D224D}"/>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AFD4-EC6A-494A-A299-F02A29B7E68F}">
  <sheetPr>
    <tabColor rgb="FFC00000"/>
    <pageSetUpPr fitToPage="1"/>
  </sheetPr>
  <dimension ref="B1:M32"/>
  <sheetViews>
    <sheetView view="pageBreakPreview" zoomScaleNormal="100" zoomScaleSheetLayoutView="100" workbookViewId="0"/>
  </sheetViews>
  <sheetFormatPr defaultRowHeight="12" x14ac:dyDescent="0.2"/>
  <cols>
    <col min="1" max="1" width="3" style="190" customWidth="1"/>
    <col min="2" max="2" width="10.42578125" style="190" customWidth="1"/>
    <col min="3" max="3" width="12.5703125" style="190" bestFit="1" customWidth="1"/>
    <col min="4" max="4" width="11.5703125" style="190" customWidth="1"/>
    <col min="5" max="5" width="10.28515625" style="190" customWidth="1"/>
    <col min="6" max="6" width="13.5703125" style="190" bestFit="1" customWidth="1"/>
    <col min="7" max="7" width="9.140625" style="190"/>
    <col min="8" max="8" width="13.42578125" style="190" bestFit="1" customWidth="1"/>
    <col min="9" max="9" width="4.140625" style="190" bestFit="1" customWidth="1"/>
    <col min="10" max="10" width="4.5703125" style="190" bestFit="1" customWidth="1"/>
    <col min="11" max="11" width="6.85546875" style="190" bestFit="1" customWidth="1"/>
    <col min="12" max="12" width="10.7109375" style="190" bestFit="1" customWidth="1"/>
    <col min="13" max="13" width="10.42578125" style="190" bestFit="1" customWidth="1"/>
    <col min="14" max="14" width="13.7109375" style="190" bestFit="1" customWidth="1"/>
    <col min="15" max="15" width="13.5703125" style="190" bestFit="1" customWidth="1"/>
    <col min="16" max="16384" width="9.140625" style="190"/>
  </cols>
  <sheetData>
    <row r="1" spans="2:13" s="190" customFormat="1" x14ac:dyDescent="0.2"/>
    <row r="2" spans="2:13" s="190" customFormat="1" x14ac:dyDescent="0.2">
      <c r="B2" s="191" t="s">
        <v>941</v>
      </c>
    </row>
    <row r="3" spans="2:13" s="190" customFormat="1" ht="12.75" thickBot="1" x14ac:dyDescent="0.25"/>
    <row r="4" spans="2:13" s="190" customFormat="1" ht="12.75" thickBot="1" x14ac:dyDescent="0.25">
      <c r="B4" s="192" t="s">
        <v>1</v>
      </c>
      <c r="C4" s="193" t="s">
        <v>922</v>
      </c>
      <c r="D4" s="194" t="s">
        <v>921</v>
      </c>
      <c r="E4" s="195" t="s">
        <v>923</v>
      </c>
      <c r="F4" s="196" t="s">
        <v>105</v>
      </c>
      <c r="H4" s="191" t="s">
        <v>938</v>
      </c>
    </row>
    <row r="5" spans="2:13" s="190" customFormat="1" ht="12.75" thickBot="1" x14ac:dyDescent="0.25">
      <c r="B5" s="197"/>
      <c r="C5" s="198"/>
      <c r="D5" s="199"/>
      <c r="E5" s="200"/>
      <c r="F5" s="201"/>
      <c r="H5" s="202">
        <f>Assumptions!C19</f>
        <v>44.5</v>
      </c>
    </row>
    <row r="6" spans="2:13" s="190" customFormat="1" x14ac:dyDescent="0.2">
      <c r="B6" s="203">
        <f>Assumptions!C7</f>
        <v>2026</v>
      </c>
      <c r="C6" s="204">
        <f>L9</f>
        <v>2000000</v>
      </c>
      <c r="D6" s="205">
        <f>SUMIFS($L$9:$L$13,$J$9:$J$13,B6)*$H$5</f>
        <v>0</v>
      </c>
      <c r="E6" s="206">
        <f>D6-C6</f>
        <v>-2000000</v>
      </c>
      <c r="F6" s="207">
        <f>E6*(1+Assumptions!$C$10)^-('Maintenance Costs'!B6-Assumptions!$C$3)</f>
        <v>-1770089.942772951</v>
      </c>
    </row>
    <row r="7" spans="2:13" s="190" customFormat="1" ht="15" thickBot="1" x14ac:dyDescent="0.25">
      <c r="B7" s="208">
        <f>B6+1</f>
        <v>2027</v>
      </c>
      <c r="C7" s="209">
        <f>SUMIFS($L$10:$L$13,$K$10:$K$13,B7)*$H$5*1.3</f>
        <v>0</v>
      </c>
      <c r="D7" s="210">
        <f>SUMIFS($L$9:$L$13,$J$9:$J$13,B7)*$H$5</f>
        <v>0</v>
      </c>
      <c r="E7" s="211">
        <f t="shared" ref="E7:E25" si="0">D7-C7</f>
        <v>0</v>
      </c>
      <c r="F7" s="212">
        <f>E7*(1+Assumptions!$C$10)^-('Maintenance Costs'!B7-Assumptions!$C$3)</f>
        <v>0</v>
      </c>
      <c r="H7" s="191" t="s">
        <v>943</v>
      </c>
    </row>
    <row r="8" spans="2:13" s="190" customFormat="1" x14ac:dyDescent="0.2">
      <c r="B8" s="208">
        <f t="shared" ref="B8:B25" si="1">B7+1</f>
        <v>2028</v>
      </c>
      <c r="C8" s="209">
        <f>SUMIFS($L$10:$L$13,$K$10:$K$13,B8)*$H$5*1.3</f>
        <v>2980460.9250000003</v>
      </c>
      <c r="D8" s="210">
        <f>SUMIFS($L$9:$L$13,$J$9:$J$13,B8)*$H$5</f>
        <v>2292662.25</v>
      </c>
      <c r="E8" s="211">
        <f t="shared" si="0"/>
        <v>-687798.67500000028</v>
      </c>
      <c r="F8" s="212">
        <f>E8*(1+Assumptions!$C$10)^-('Maintenance Costs'!B8-Assumptions!$C$3)</f>
        <v>-572676.47508707375</v>
      </c>
      <c r="H8" s="213"/>
      <c r="I8" s="214" t="s">
        <v>38</v>
      </c>
      <c r="J8" s="214" t="s">
        <v>133</v>
      </c>
      <c r="K8" s="214" t="s">
        <v>132</v>
      </c>
      <c r="L8" s="214" t="s">
        <v>917</v>
      </c>
      <c r="M8" s="215" t="s">
        <v>918</v>
      </c>
    </row>
    <row r="9" spans="2:13" s="190" customFormat="1" x14ac:dyDescent="0.2">
      <c r="B9" s="208">
        <f t="shared" si="1"/>
        <v>2029</v>
      </c>
      <c r="C9" s="209">
        <f>SUMIFS($L$10:$L$13,$K$10:$K$13,B9)*$H$5*1.3</f>
        <v>0</v>
      </c>
      <c r="D9" s="210">
        <f>SUMIFS($L$9:$L$13,$J$9:$J$13,B9)*$H$5</f>
        <v>0</v>
      </c>
      <c r="E9" s="211">
        <f t="shared" si="0"/>
        <v>0</v>
      </c>
      <c r="F9" s="212">
        <f>E9*(1+Assumptions!$C$10)^-('Maintenance Costs'!B9-Assumptions!$C$3)</f>
        <v>0</v>
      </c>
      <c r="H9" s="216" t="s">
        <v>624</v>
      </c>
      <c r="I9" s="217">
        <v>0</v>
      </c>
      <c r="J9" s="217"/>
      <c r="K9" s="217">
        <v>2026</v>
      </c>
      <c r="L9" s="218">
        <v>2000000</v>
      </c>
      <c r="M9" s="212">
        <v>2000000</v>
      </c>
    </row>
    <row r="10" spans="2:13" s="190" customFormat="1" x14ac:dyDescent="0.2">
      <c r="B10" s="208">
        <f t="shared" si="1"/>
        <v>2030</v>
      </c>
      <c r="C10" s="209">
        <f>SUMIFS($L$10:$L$13,$K$10:$K$13,B10)*$H$5*1.3</f>
        <v>0</v>
      </c>
      <c r="D10" s="210">
        <f>SUMIFS($L$9:$L$13,$J$9:$J$13,B10)*$H$5</f>
        <v>0</v>
      </c>
      <c r="E10" s="211">
        <f t="shared" si="0"/>
        <v>0</v>
      </c>
      <c r="F10" s="212">
        <f>E10*(1+Assumptions!$C$10)^-('Maintenance Costs'!B10-Assumptions!$C$3)</f>
        <v>0</v>
      </c>
      <c r="H10" s="216" t="s">
        <v>919</v>
      </c>
      <c r="I10" s="217">
        <v>2</v>
      </c>
      <c r="J10" s="217">
        <f>$B$6+I10</f>
        <v>2028</v>
      </c>
      <c r="K10" s="217">
        <f t="shared" ref="K10:K13" si="2">J10</f>
        <v>2028</v>
      </c>
      <c r="L10" s="218">
        <v>51520.5</v>
      </c>
      <c r="M10" s="212">
        <v>46730.612244897959</v>
      </c>
    </row>
    <row r="11" spans="2:13" s="190" customFormat="1" x14ac:dyDescent="0.2">
      <c r="B11" s="208">
        <f t="shared" si="1"/>
        <v>2031</v>
      </c>
      <c r="C11" s="209">
        <f>SUMIFS($L$10:$L$13,$K$10:$K$13,B11)*$H$5*1.3</f>
        <v>0</v>
      </c>
      <c r="D11" s="210">
        <f>SUMIFS($L$9:$L$13,$J$9:$J$13,B11)*$H$5</f>
        <v>0</v>
      </c>
      <c r="E11" s="211">
        <f t="shared" si="0"/>
        <v>0</v>
      </c>
      <c r="F11" s="212">
        <f>E11*(1+Assumptions!$C$10)^-('Maintenance Costs'!B11-Assumptions!$C$3)</f>
        <v>0</v>
      </c>
      <c r="H11" s="216" t="s">
        <v>919</v>
      </c>
      <c r="I11" s="217">
        <v>7</v>
      </c>
      <c r="J11" s="217">
        <f>$B$6+I11</f>
        <v>2033</v>
      </c>
      <c r="K11" s="217">
        <f t="shared" si="2"/>
        <v>2033</v>
      </c>
      <c r="L11" s="218">
        <v>72260.166441529364</v>
      </c>
      <c r="M11" s="212">
        <v>51353.951202090051</v>
      </c>
    </row>
    <row r="12" spans="2:13" s="190" customFormat="1" x14ac:dyDescent="0.2">
      <c r="B12" s="208">
        <f t="shared" si="1"/>
        <v>2032</v>
      </c>
      <c r="C12" s="209">
        <f>SUMIFS($L$10:$L$13,$K$10:$K$13,B12)*$H$5*1.3</f>
        <v>0</v>
      </c>
      <c r="D12" s="210">
        <f>SUMIFS($L$9:$L$13,$J$9:$J$13,B12)*$H$5</f>
        <v>0</v>
      </c>
      <c r="E12" s="211">
        <f t="shared" si="0"/>
        <v>0</v>
      </c>
      <c r="F12" s="212">
        <f>E12*(1+Assumptions!$C$10)^-('Maintenance Costs'!B12-Assumptions!$C$3)</f>
        <v>0</v>
      </c>
      <c r="H12" s="216" t="s">
        <v>920</v>
      </c>
      <c r="I12" s="217">
        <v>12</v>
      </c>
      <c r="J12" s="217">
        <f>$B$6+I12</f>
        <v>2038</v>
      </c>
      <c r="K12" s="217">
        <f t="shared" si="2"/>
        <v>2038</v>
      </c>
      <c r="L12" s="218">
        <v>540525.98135059769</v>
      </c>
      <c r="M12" s="212">
        <v>300985.09191315848</v>
      </c>
    </row>
    <row r="13" spans="2:13" s="190" customFormat="1" ht="12.75" thickBot="1" x14ac:dyDescent="0.25">
      <c r="B13" s="208">
        <f t="shared" si="1"/>
        <v>2033</v>
      </c>
      <c r="C13" s="209">
        <f>SUMIFS($L$10:$L$13,$K$10:$K$13,B13)*$H$5*1.3</f>
        <v>4180250.6286424738</v>
      </c>
      <c r="D13" s="210">
        <f>SUMIFS($L$9:$L$13,$J$9:$J$13,B13)*$H$5</f>
        <v>3215577.4066480566</v>
      </c>
      <c r="E13" s="211">
        <f t="shared" si="0"/>
        <v>-964673.22199441725</v>
      </c>
      <c r="F13" s="212">
        <f>E13*(1+Assumptions!$C$10)^-('Maintenance Costs'!B13-Assumptions!$C$3)</f>
        <v>-689501.0075787215</v>
      </c>
      <c r="H13" s="219" t="s">
        <v>919</v>
      </c>
      <c r="I13" s="220">
        <v>14</v>
      </c>
      <c r="J13" s="220">
        <f t="shared" ref="J13" si="3">$B$6+I13</f>
        <v>2040</v>
      </c>
      <c r="K13" s="220">
        <f t="shared" si="2"/>
        <v>2040</v>
      </c>
      <c r="L13" s="221">
        <v>116034.03675905611</v>
      </c>
      <c r="M13" s="222">
        <v>58605.073423703259</v>
      </c>
    </row>
    <row r="14" spans="2:13" s="190" customFormat="1" x14ac:dyDescent="0.2">
      <c r="B14" s="208">
        <f t="shared" si="1"/>
        <v>2034</v>
      </c>
      <c r="C14" s="209">
        <f>SUMIFS($L$10:$L$13,$K$10:$K$13,B14)*$H$5*1.3</f>
        <v>0</v>
      </c>
      <c r="D14" s="210">
        <f>SUMIFS($L$9:$L$13,$J$9:$J$13,B14)*$H$5</f>
        <v>0</v>
      </c>
      <c r="E14" s="211">
        <f t="shared" si="0"/>
        <v>0</v>
      </c>
      <c r="F14" s="212">
        <f>E14*(1+Assumptions!$C$10)^-('Maintenance Costs'!B14-Assumptions!$C$3)</f>
        <v>0</v>
      </c>
    </row>
    <row r="15" spans="2:13" s="190" customFormat="1" x14ac:dyDescent="0.2">
      <c r="B15" s="208">
        <f t="shared" si="1"/>
        <v>2035</v>
      </c>
      <c r="C15" s="209">
        <f>SUMIFS($L$10:$L$13,$K$10:$K$13,B15)*$H$5*1.3</f>
        <v>0</v>
      </c>
      <c r="D15" s="210">
        <f>SUMIFS($L$9:$L$13,$J$9:$J$13,B15)*$H$5</f>
        <v>0</v>
      </c>
      <c r="E15" s="211">
        <f t="shared" si="0"/>
        <v>0</v>
      </c>
      <c r="F15" s="212">
        <f>E15*(1+Assumptions!$C$10)^-('Maintenance Costs'!B15-Assumptions!$C$3)</f>
        <v>0</v>
      </c>
    </row>
    <row r="16" spans="2:13" s="190" customFormat="1" x14ac:dyDescent="0.2">
      <c r="B16" s="208">
        <f t="shared" si="1"/>
        <v>2036</v>
      </c>
      <c r="C16" s="209">
        <f>SUMIFS($L$10:$L$13,$K$10:$K$13,B16)*$H$5*1.3</f>
        <v>0</v>
      </c>
      <c r="D16" s="210">
        <f>SUMIFS($L$9:$L$13,$J$9:$J$13,B16)*$H$5</f>
        <v>0</v>
      </c>
      <c r="E16" s="211">
        <f t="shared" si="0"/>
        <v>0</v>
      </c>
      <c r="F16" s="212">
        <f>E16*(1+Assumptions!$C$10)^-('Maintenance Costs'!B16-Assumptions!$C$3)</f>
        <v>0</v>
      </c>
    </row>
    <row r="17" spans="2:6" s="190" customFormat="1" x14ac:dyDescent="0.2">
      <c r="B17" s="208">
        <f t="shared" si="1"/>
        <v>2037</v>
      </c>
      <c r="C17" s="209">
        <f>SUMIFS($L$10:$L$13,$K$10:$K$13,B17)*$H$5*1.3</f>
        <v>0</v>
      </c>
      <c r="D17" s="210">
        <f>SUMIFS($L$9:$L$13,$J$9:$J$13,B17)*$H$5</f>
        <v>0</v>
      </c>
      <c r="E17" s="211">
        <f t="shared" si="0"/>
        <v>0</v>
      </c>
      <c r="F17" s="212">
        <f>E17*(1+Assumptions!$C$10)^-('Maintenance Costs'!B17-Assumptions!$C$3)</f>
        <v>0</v>
      </c>
    </row>
    <row r="18" spans="2:6" s="190" customFormat="1" x14ac:dyDescent="0.2">
      <c r="B18" s="208">
        <f t="shared" si="1"/>
        <v>2038</v>
      </c>
      <c r="C18" s="209">
        <f>SUMIFS($L$10:$L$13,$K$10:$K$13,B18)*$H$5*1.3</f>
        <v>31269428.021132078</v>
      </c>
      <c r="D18" s="210">
        <f>SUMIFS($L$9:$L$13,$J$9:$J$13,B18)*$H$5</f>
        <v>24053406.170101598</v>
      </c>
      <c r="E18" s="211">
        <f t="shared" si="0"/>
        <v>-7216021.8510304801</v>
      </c>
      <c r="F18" s="212">
        <f>E18*(1+Assumptions!$C$10)^-('Maintenance Costs'!B18-Assumptions!$C$3)</f>
        <v>-4427506.3740986809</v>
      </c>
    </row>
    <row r="19" spans="2:6" s="190" customFormat="1" x14ac:dyDescent="0.2">
      <c r="B19" s="208">
        <f t="shared" si="1"/>
        <v>2039</v>
      </c>
      <c r="C19" s="209">
        <f>SUMIFS($L$10:$L$13,$K$10:$K$13,B19)*$H$5*1.3</f>
        <v>0</v>
      </c>
      <c r="D19" s="210">
        <f>SUMIFS($L$9:$L$13,$J$9:$J$13,B19)*$H$5</f>
        <v>0</v>
      </c>
      <c r="E19" s="211">
        <f t="shared" si="0"/>
        <v>0</v>
      </c>
      <c r="F19" s="212">
        <f>E19*(1+Assumptions!$C$10)^-('Maintenance Costs'!B19-Assumptions!$C$3)</f>
        <v>0</v>
      </c>
    </row>
    <row r="20" spans="2:6" s="190" customFormat="1" x14ac:dyDescent="0.2">
      <c r="B20" s="208">
        <f t="shared" si="1"/>
        <v>2040</v>
      </c>
      <c r="C20" s="209">
        <f>SUMIFS($L$10:$L$13,$K$10:$K$13,B20)*$H$5*1.3</f>
        <v>6712569.0265113963</v>
      </c>
      <c r="D20" s="210">
        <f>SUMIFS($L$9:$L$13,$J$9:$J$13,B20)*$H$5</f>
        <v>5163514.6357779969</v>
      </c>
      <c r="E20" s="211">
        <f t="shared" si="0"/>
        <v>-1549054.3907333994</v>
      </c>
      <c r="F20" s="212">
        <f>E20*(1+Assumptions!$C$10)^-('Maintenance Costs'!B20-Assumptions!$C$3)</f>
        <v>-894150.64047015493</v>
      </c>
    </row>
    <row r="21" spans="2:6" s="190" customFormat="1" x14ac:dyDescent="0.2">
      <c r="B21" s="208">
        <f t="shared" si="1"/>
        <v>2041</v>
      </c>
      <c r="C21" s="209">
        <f>SUMIFS($L$10:$L$13,$K$10:$K$13,B21)*$H$5*1.3</f>
        <v>0</v>
      </c>
      <c r="D21" s="210">
        <f>SUMIFS($L$9:$L$13,$J$9:$J$13,B21)*$H$5</f>
        <v>0</v>
      </c>
      <c r="E21" s="211">
        <f t="shared" si="0"/>
        <v>0</v>
      </c>
      <c r="F21" s="212">
        <f>E21*(1+Assumptions!$C$10)^-('Maintenance Costs'!B21-Assumptions!$C$3)</f>
        <v>0</v>
      </c>
    </row>
    <row r="22" spans="2:6" s="190" customFormat="1" x14ac:dyDescent="0.2">
      <c r="B22" s="208">
        <f t="shared" si="1"/>
        <v>2042</v>
      </c>
      <c r="C22" s="209">
        <f>SUMIFS($L$10:$L$13,$K$10:$K$13,B22)*$H$5*1.3</f>
        <v>0</v>
      </c>
      <c r="D22" s="210">
        <f>SUMIFS($L$9:$L$13,$J$9:$J$13,B22)*$H$5</f>
        <v>0</v>
      </c>
      <c r="E22" s="211">
        <f t="shared" si="0"/>
        <v>0</v>
      </c>
      <c r="F22" s="212">
        <f>E22*(1+Assumptions!$C$10)^-('Maintenance Costs'!B22-Assumptions!$C$3)</f>
        <v>0</v>
      </c>
    </row>
    <row r="23" spans="2:6" s="190" customFormat="1" x14ac:dyDescent="0.2">
      <c r="B23" s="208">
        <f t="shared" si="1"/>
        <v>2043</v>
      </c>
      <c r="C23" s="209">
        <f>SUMIFS($L$10:$L$13,$K$10:$K$13,B23)*$H$5*1.3</f>
        <v>0</v>
      </c>
      <c r="D23" s="210">
        <f>SUMIFS($L$9:$L$13,$J$9:$J$13,B23)*$H$5</f>
        <v>0</v>
      </c>
      <c r="E23" s="211">
        <f t="shared" si="0"/>
        <v>0</v>
      </c>
      <c r="F23" s="212">
        <f>E23*(1+Assumptions!$C$10)^-('Maintenance Costs'!B23-Assumptions!$C$3)</f>
        <v>0</v>
      </c>
    </row>
    <row r="24" spans="2:6" s="190" customFormat="1" x14ac:dyDescent="0.2">
      <c r="B24" s="208">
        <f t="shared" si="1"/>
        <v>2044</v>
      </c>
      <c r="C24" s="209">
        <f>SUMIFS($L$10:$L$13,$K$10:$K$13,B24)*$H$5*1.3</f>
        <v>0</v>
      </c>
      <c r="D24" s="210">
        <f>SUMIFS($L$9:$L$13,$J$9:$J$13,B24)*$H$5</f>
        <v>0</v>
      </c>
      <c r="E24" s="211">
        <f t="shared" si="0"/>
        <v>0</v>
      </c>
      <c r="F24" s="212">
        <f>E24*(1+Assumptions!$C$10)^-('Maintenance Costs'!B24-Assumptions!$C$3)</f>
        <v>0</v>
      </c>
    </row>
    <row r="25" spans="2:6" s="190" customFormat="1" ht="12.75" thickBot="1" x14ac:dyDescent="0.25">
      <c r="B25" s="223">
        <f t="shared" si="1"/>
        <v>2045</v>
      </c>
      <c r="C25" s="224">
        <f>SUMIFS($L$10:$L$13,$K$10:$K$13,B25)*$H$5*1.3</f>
        <v>0</v>
      </c>
      <c r="D25" s="225">
        <f>SUMIFS($L$9:$L$13,$J$9:$J$13,B25)*$H$5</f>
        <v>0</v>
      </c>
      <c r="E25" s="226">
        <f t="shared" si="0"/>
        <v>0</v>
      </c>
      <c r="F25" s="222">
        <f>E25*(1+Assumptions!$C$10)^-('Maintenance Costs'!B25-Assumptions!$C$3)</f>
        <v>0</v>
      </c>
    </row>
    <row r="26" spans="2:6" s="190" customFormat="1" x14ac:dyDescent="0.2">
      <c r="F26" s="227">
        <f>SUM(F6:F25)</f>
        <v>-8353924.4400075814</v>
      </c>
    </row>
    <row r="29" spans="2:6" s="190" customFormat="1" x14ac:dyDescent="0.2">
      <c r="B29" s="191" t="s">
        <v>43</v>
      </c>
    </row>
    <row r="30" spans="2:6" s="190" customFormat="1" ht="12" customHeight="1" x14ac:dyDescent="0.2">
      <c r="B30" s="228" t="s">
        <v>44</v>
      </c>
      <c r="C30" s="229" t="s">
        <v>942</v>
      </c>
      <c r="D30" s="229"/>
      <c r="E30" s="229"/>
      <c r="F30" s="229"/>
    </row>
    <row r="31" spans="2:6" s="190" customFormat="1" x14ac:dyDescent="0.2">
      <c r="C31" s="229"/>
      <c r="D31" s="229"/>
      <c r="E31" s="229"/>
      <c r="F31" s="229"/>
    </row>
    <row r="32" spans="2:6" s="190" customFormat="1" x14ac:dyDescent="0.2">
      <c r="C32" s="229"/>
      <c r="D32" s="229"/>
      <c r="E32" s="229"/>
      <c r="F32" s="229"/>
    </row>
  </sheetData>
  <mergeCells count="6">
    <mergeCell ref="C30:F32"/>
    <mergeCell ref="B4:B5"/>
    <mergeCell ref="D4:D5"/>
    <mergeCell ref="C4:C5"/>
    <mergeCell ref="E4:E5"/>
    <mergeCell ref="F4:F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CBF1A-D8BC-4D29-9D8B-5CF1E59F1093}">
  <sheetPr>
    <tabColor rgb="FFC00000"/>
    <pageSetUpPr fitToPage="1"/>
  </sheetPr>
  <dimension ref="B2:M43"/>
  <sheetViews>
    <sheetView view="pageBreakPreview" zoomScaleNormal="85" zoomScaleSheetLayoutView="100" workbookViewId="0">
      <selection activeCell="M20" sqref="M20"/>
    </sheetView>
  </sheetViews>
  <sheetFormatPr defaultColWidth="9.140625" defaultRowHeight="12" x14ac:dyDescent="0.2"/>
  <cols>
    <col min="1" max="1" width="5.140625" style="190" customWidth="1"/>
    <col min="2" max="2" width="10.140625" style="190" customWidth="1"/>
    <col min="3" max="6" width="15.7109375" style="190" customWidth="1"/>
    <col min="7" max="8" width="5.140625" style="190" customWidth="1"/>
    <col min="9" max="9" width="20.28515625" style="190" customWidth="1"/>
    <col min="10" max="10" width="20.42578125" style="190" customWidth="1"/>
    <col min="11" max="13" width="15.7109375" style="190" customWidth="1"/>
    <col min="14" max="16384" width="9.140625" style="190"/>
  </cols>
  <sheetData>
    <row r="2" spans="2:13" x14ac:dyDescent="0.2">
      <c r="B2" s="191" t="s">
        <v>222</v>
      </c>
    </row>
    <row r="3" spans="2:13" ht="12.75" thickBot="1" x14ac:dyDescent="0.25">
      <c r="I3" s="191" t="s">
        <v>223</v>
      </c>
    </row>
    <row r="4" spans="2:13" ht="12.75" thickBot="1" x14ac:dyDescent="0.25">
      <c r="C4" s="230" t="s">
        <v>104</v>
      </c>
      <c r="D4" s="231"/>
      <c r="E4" s="230" t="s">
        <v>224</v>
      </c>
      <c r="F4" s="231"/>
      <c r="I4" s="232" t="s">
        <v>225</v>
      </c>
      <c r="J4" s="217">
        <f>Assumptions!C4</f>
        <v>2025</v>
      </c>
    </row>
    <row r="5" spans="2:13" ht="12.75" thickBot="1" x14ac:dyDescent="0.25">
      <c r="C5" s="233" t="s">
        <v>134</v>
      </c>
      <c r="D5" s="233"/>
      <c r="E5" s="233" t="s">
        <v>134</v>
      </c>
      <c r="F5" s="233"/>
      <c r="I5" s="232" t="s">
        <v>226</v>
      </c>
      <c r="J5" s="217">
        <f>Assumptions!C5</f>
        <v>1</v>
      </c>
    </row>
    <row r="6" spans="2:13" x14ac:dyDescent="0.2">
      <c r="B6" s="234" t="s">
        <v>1</v>
      </c>
      <c r="C6" s="234" t="s">
        <v>227</v>
      </c>
      <c r="D6" s="235" t="s">
        <v>105</v>
      </c>
      <c r="E6" s="234" t="s">
        <v>807</v>
      </c>
      <c r="F6" s="236" t="s">
        <v>228</v>
      </c>
    </row>
    <row r="7" spans="2:13" ht="15" thickBot="1" x14ac:dyDescent="0.25">
      <c r="B7" s="237"/>
      <c r="C7" s="237"/>
      <c r="D7" s="238"/>
      <c r="E7" s="237"/>
      <c r="F7" s="239"/>
      <c r="I7" s="191" t="s">
        <v>944</v>
      </c>
    </row>
    <row r="8" spans="2:13" x14ac:dyDescent="0.2">
      <c r="B8" s="240">
        <f>Assumptions!C3</f>
        <v>2022</v>
      </c>
      <c r="C8" s="241">
        <f t="shared" ref="C8:C35" si="0">IF(AND($B8&gt;=$J$4,$B8&lt;$J$4+$J$5),($L$13)/$J$5,0)</f>
        <v>0</v>
      </c>
      <c r="D8" s="242">
        <f>C8*(1+Assumptions!$C$10)^-($B8-Assumptions!$C$3)</f>
        <v>0</v>
      </c>
      <c r="E8" s="243">
        <f>IF($B8=Assumptions!$C$8,'Capital Costs'!$K$21,0)</f>
        <v>0</v>
      </c>
      <c r="F8" s="244">
        <f>E8*(1+Assumptions!$C$10)^-(B8-Assumptions!$C$3)</f>
        <v>0</v>
      </c>
      <c r="G8" s="245"/>
      <c r="H8" s="245"/>
      <c r="I8" s="246" t="s">
        <v>229</v>
      </c>
      <c r="J8" s="246" t="s">
        <v>230</v>
      </c>
      <c r="K8" s="247" t="s">
        <v>231</v>
      </c>
      <c r="L8" s="247" t="s">
        <v>232</v>
      </c>
    </row>
    <row r="9" spans="2:13" ht="12.75" thickBot="1" x14ac:dyDescent="0.25">
      <c r="B9" s="248">
        <f>B8+1</f>
        <v>2023</v>
      </c>
      <c r="C9" s="249">
        <f t="shared" si="0"/>
        <v>0</v>
      </c>
      <c r="D9" s="250">
        <f>C9*(1+Assumptions!$C$10)^-($B9-Assumptions!$C$3)</f>
        <v>0</v>
      </c>
      <c r="E9" s="251">
        <f>IF($B9=Assumptions!$C$8,'Capital Costs'!$K$21,0)</f>
        <v>0</v>
      </c>
      <c r="F9" s="252">
        <f>E9*(1+Assumptions!$C$10)^-(B9-Assumptions!$C$3)</f>
        <v>0</v>
      </c>
      <c r="G9" s="253"/>
      <c r="H9" s="253"/>
      <c r="I9" s="254"/>
      <c r="J9" s="254"/>
      <c r="K9" s="255"/>
      <c r="L9" s="255"/>
    </row>
    <row r="10" spans="2:13" x14ac:dyDescent="0.2">
      <c r="B10" s="240">
        <f t="shared" ref="B10:B35" si="1">B9+1</f>
        <v>2024</v>
      </c>
      <c r="C10" s="256">
        <f t="shared" si="0"/>
        <v>0</v>
      </c>
      <c r="D10" s="242">
        <f>C10*(1+Assumptions!$C$10)^-($B10-Assumptions!$C$3)</f>
        <v>0</v>
      </c>
      <c r="E10" s="257">
        <f>IF($B10=Assumptions!$C$8,'Capital Costs'!$K$21,0)</f>
        <v>0</v>
      </c>
      <c r="F10" s="258">
        <f>E10*(1+Assumptions!$C$10)^-(B10-Assumptions!$C$3)</f>
        <v>0</v>
      </c>
      <c r="G10" s="253"/>
      <c r="H10" s="253"/>
      <c r="I10" s="259"/>
      <c r="J10" s="259"/>
      <c r="K10" s="260"/>
      <c r="L10" s="260"/>
    </row>
    <row r="11" spans="2:13" x14ac:dyDescent="0.2">
      <c r="B11" s="261">
        <f t="shared" si="1"/>
        <v>2025</v>
      </c>
      <c r="C11" s="262">
        <f t="shared" si="0"/>
        <v>31282578.242107619</v>
      </c>
      <c r="D11" s="263">
        <f>C11*(1+Assumptions!$C$10)^-($B11-Assumptions!$C$3)</f>
        <v>28544769.710701939</v>
      </c>
      <c r="E11" s="264">
        <f>IF($B11=Assumptions!$C$8,'Capital Costs'!$K$21,0)</f>
        <v>0</v>
      </c>
      <c r="F11" s="212">
        <f>E11*(1+Assumptions!$C$10)^-(B11-Assumptions!$C$3)</f>
        <v>0</v>
      </c>
      <c r="G11" s="253"/>
      <c r="H11" s="253"/>
      <c r="I11" s="265" t="s">
        <v>925</v>
      </c>
      <c r="J11" s="266">
        <v>25</v>
      </c>
      <c r="K11" s="218">
        <f>SUMIFS('Costs PCN 23153'!$I:$I,'Costs PCN 23153'!$J:$J,'Capital Costs'!I11)+SUMIFS('Costs PCN 23404'!$K:$K,'Costs PCN 23404'!$L:$L,'Capital Costs'!I11)+SUMIFS('Costs PCN 23721'!$N:$N,'Costs PCN 23721'!$O:$O,'Capital Costs'!I11)</f>
        <v>25158826.049999997</v>
      </c>
      <c r="L11" s="218">
        <f>K11*$J$27</f>
        <v>24342412.037513293</v>
      </c>
    </row>
    <row r="12" spans="2:13" x14ac:dyDescent="0.2">
      <c r="B12" s="261">
        <f t="shared" si="1"/>
        <v>2026</v>
      </c>
      <c r="C12" s="262">
        <f t="shared" si="0"/>
        <v>0</v>
      </c>
      <c r="D12" s="263">
        <f>C12*(1+Assumptions!$C$10)^-($B12-Assumptions!$C$3)</f>
        <v>0</v>
      </c>
      <c r="E12" s="264">
        <f>IF($B12=Assumptions!$C$8,'Capital Costs'!$K$21,0)</f>
        <v>0</v>
      </c>
      <c r="F12" s="212">
        <f>E12*(1+Assumptions!$C$10)^-(B12-Assumptions!$C$3)</f>
        <v>0</v>
      </c>
      <c r="G12" s="253"/>
      <c r="H12" s="253"/>
      <c r="I12" s="265" t="s">
        <v>233</v>
      </c>
      <c r="J12" s="266">
        <v>0</v>
      </c>
      <c r="K12" s="218">
        <f>SUMIFS('Costs PCN 23153'!$I:$I,'Costs PCN 23153'!$J:$J,'Capital Costs'!I12)+SUMIFS('Costs PCN 23404'!$K:$K,'Costs PCN 23404'!$L:$L,'Capital Costs'!I12)+SUMIFS('Costs PCN 23721'!$N:$N,'Costs PCN 23721'!$O:$O,'Capital Costs'!I12)</f>
        <v>7172930.6870000008</v>
      </c>
      <c r="L12" s="218">
        <f>K12*$J$27</f>
        <v>6940166.2045943253</v>
      </c>
    </row>
    <row r="13" spans="2:13" x14ac:dyDescent="0.2">
      <c r="B13" s="261">
        <f t="shared" si="1"/>
        <v>2027</v>
      </c>
      <c r="C13" s="262">
        <f t="shared" si="0"/>
        <v>0</v>
      </c>
      <c r="D13" s="263">
        <f>C13*(1+Assumptions!$C$10)^-($B13-Assumptions!$C$3)</f>
        <v>0</v>
      </c>
      <c r="E13" s="264">
        <f>IF($B13=Assumptions!$C$8,'Capital Costs'!$K$21,0)</f>
        <v>0</v>
      </c>
      <c r="F13" s="212">
        <f>E13*(1+Assumptions!$C$10)^-(B13-Assumptions!$C$3)</f>
        <v>0</v>
      </c>
      <c r="G13" s="253"/>
      <c r="H13" s="253"/>
      <c r="I13" s="267" t="s">
        <v>134</v>
      </c>
      <c r="J13" s="267"/>
      <c r="K13" s="268">
        <f>SUM(K11:K12)</f>
        <v>32331756.736999996</v>
      </c>
      <c r="L13" s="269">
        <f>SUM(L11:L12)</f>
        <v>31282578.242107619</v>
      </c>
    </row>
    <row r="14" spans="2:13" x14ac:dyDescent="0.2">
      <c r="B14" s="261">
        <f t="shared" si="1"/>
        <v>2028</v>
      </c>
      <c r="C14" s="262">
        <f t="shared" si="0"/>
        <v>0</v>
      </c>
      <c r="D14" s="263">
        <f>C14*(1+Assumptions!$C$10)^-($B14-Assumptions!$C$3)</f>
        <v>0</v>
      </c>
      <c r="E14" s="264">
        <f>IF($B14=Assumptions!$C$8,'Capital Costs'!$K$21,0)</f>
        <v>0</v>
      </c>
      <c r="F14" s="212">
        <f>E14*(1+Assumptions!$C$10)^-(B14-Assumptions!$C$3)</f>
        <v>0</v>
      </c>
      <c r="G14" s="253"/>
      <c r="H14" s="253"/>
    </row>
    <row r="15" spans="2:13" ht="14.25" x14ac:dyDescent="0.2">
      <c r="B15" s="261">
        <f t="shared" si="1"/>
        <v>2029</v>
      </c>
      <c r="C15" s="262">
        <f t="shared" si="0"/>
        <v>0</v>
      </c>
      <c r="D15" s="263">
        <f>C15*(1+Assumptions!$C$10)^-($B15-Assumptions!$C$3)</f>
        <v>0</v>
      </c>
      <c r="E15" s="264">
        <f>IF($B15=Assumptions!$C$8,'Capital Costs'!$K$21,0)</f>
        <v>0</v>
      </c>
      <c r="F15" s="212">
        <f>E15*(1+Assumptions!$C$10)^-(B15-Assumptions!$C$3)</f>
        <v>0</v>
      </c>
      <c r="G15" s="253"/>
      <c r="H15" s="253"/>
      <c r="I15" s="191" t="s">
        <v>945</v>
      </c>
    </row>
    <row r="16" spans="2:13" x14ac:dyDescent="0.2">
      <c r="B16" s="261">
        <f t="shared" si="1"/>
        <v>2030</v>
      </c>
      <c r="C16" s="262">
        <f t="shared" si="0"/>
        <v>0</v>
      </c>
      <c r="D16" s="263">
        <f>C16*(1+Assumptions!$C$10)^-($B16-Assumptions!$C$3)</f>
        <v>0</v>
      </c>
      <c r="E16" s="264">
        <f>IF($B16=Assumptions!$C$8,'Capital Costs'!$K$21,0)</f>
        <v>0</v>
      </c>
      <c r="F16" s="212">
        <f>E16*(1+Assumptions!$C$10)^-(B16-Assumptions!$C$3)</f>
        <v>0</v>
      </c>
      <c r="G16" s="253"/>
      <c r="H16" s="253"/>
      <c r="I16" s="270" t="s">
        <v>229</v>
      </c>
      <c r="J16" s="271" t="s">
        <v>234</v>
      </c>
      <c r="K16" s="271" t="s">
        <v>235</v>
      </c>
      <c r="L16" s="272"/>
      <c r="M16" s="273"/>
    </row>
    <row r="17" spans="2:13" x14ac:dyDescent="0.2">
      <c r="B17" s="261">
        <f t="shared" si="1"/>
        <v>2031</v>
      </c>
      <c r="C17" s="262">
        <f t="shared" si="0"/>
        <v>0</v>
      </c>
      <c r="D17" s="263">
        <f>C17*(1+Assumptions!$C$10)^-($B17-Assumptions!$C$3)</f>
        <v>0</v>
      </c>
      <c r="E17" s="264">
        <f>IF($B17=Assumptions!$C$8,'Capital Costs'!$K$21,0)</f>
        <v>0</v>
      </c>
      <c r="F17" s="212">
        <f>E17*(1+Assumptions!$C$10)^-(B17-Assumptions!$C$3)</f>
        <v>0</v>
      </c>
      <c r="G17" s="253"/>
      <c r="H17" s="253"/>
      <c r="I17" s="270"/>
      <c r="J17" s="271"/>
      <c r="K17" s="271"/>
      <c r="L17" s="272"/>
    </row>
    <row r="18" spans="2:13" x14ac:dyDescent="0.2">
      <c r="B18" s="261">
        <f t="shared" si="1"/>
        <v>2032</v>
      </c>
      <c r="C18" s="262">
        <f t="shared" si="0"/>
        <v>0</v>
      </c>
      <c r="D18" s="263">
        <f>C18*(1+Assumptions!$C$10)^-($B18-Assumptions!$C$3)</f>
        <v>0</v>
      </c>
      <c r="E18" s="264">
        <f>IF($B18=Assumptions!$C$8,'Capital Costs'!$K$21,0)</f>
        <v>0</v>
      </c>
      <c r="F18" s="212">
        <f>E18*(1+Assumptions!$C$10)^-(B18-Assumptions!$C$3)</f>
        <v>0</v>
      </c>
      <c r="G18" s="253"/>
      <c r="H18" s="253"/>
      <c r="I18" s="270"/>
      <c r="J18" s="271"/>
      <c r="K18" s="271"/>
      <c r="L18" s="272"/>
    </row>
    <row r="19" spans="2:13" x14ac:dyDescent="0.2">
      <c r="B19" s="261">
        <f t="shared" si="1"/>
        <v>2033</v>
      </c>
      <c r="C19" s="262">
        <f t="shared" si="0"/>
        <v>0</v>
      </c>
      <c r="D19" s="263">
        <f>C19*(1+Assumptions!$C$10)^-($B19-Assumptions!$C$3)</f>
        <v>0</v>
      </c>
      <c r="E19" s="264">
        <f>IF($B19=Assumptions!$C$8,'Capital Costs'!$K$21,0)</f>
        <v>0</v>
      </c>
      <c r="F19" s="212">
        <f>E19*(1+Assumptions!$C$10)^-(B19-Assumptions!$C$3)</f>
        <v>0</v>
      </c>
      <c r="G19" s="253"/>
      <c r="H19" s="253"/>
      <c r="I19" s="265" t="s">
        <v>925</v>
      </c>
      <c r="J19" s="274">
        <f>(J11-Assumptions!$C$6)/J11</f>
        <v>0.2</v>
      </c>
      <c r="K19" s="275">
        <f>J19*L11</f>
        <v>4868482.4075026587</v>
      </c>
      <c r="L19" s="276"/>
    </row>
    <row r="20" spans="2:13" x14ac:dyDescent="0.2">
      <c r="B20" s="261">
        <f t="shared" si="1"/>
        <v>2034</v>
      </c>
      <c r="C20" s="262">
        <f t="shared" si="0"/>
        <v>0</v>
      </c>
      <c r="D20" s="263">
        <f>C20*(1+Assumptions!$C$10)^-($B20-Assumptions!$C$3)</f>
        <v>0</v>
      </c>
      <c r="E20" s="264">
        <f>IF($B20=Assumptions!$C$8,'Capital Costs'!$K$21,0)</f>
        <v>0</v>
      </c>
      <c r="F20" s="212">
        <f>E20*(1+Assumptions!$C$10)^-(B20-Assumptions!$C$3)</f>
        <v>0</v>
      </c>
      <c r="G20" s="253"/>
      <c r="H20" s="253"/>
      <c r="I20" s="265" t="s">
        <v>233</v>
      </c>
      <c r="J20" s="274">
        <v>0</v>
      </c>
      <c r="K20" s="277">
        <f>J20*L12</f>
        <v>0</v>
      </c>
      <c r="L20" s="276"/>
    </row>
    <row r="21" spans="2:13" x14ac:dyDescent="0.2">
      <c r="B21" s="261">
        <f t="shared" si="1"/>
        <v>2035</v>
      </c>
      <c r="C21" s="262">
        <f t="shared" si="0"/>
        <v>0</v>
      </c>
      <c r="D21" s="263">
        <f>C21*(1+Assumptions!$C$10)^-($B21-Assumptions!$C$3)</f>
        <v>0</v>
      </c>
      <c r="E21" s="264">
        <f>IF($B21=Assumptions!$C$8,'Capital Costs'!$K$21,0)</f>
        <v>0</v>
      </c>
      <c r="F21" s="212">
        <f>E21*(1+Assumptions!$C$10)^-(B21-Assumptions!$C$3)</f>
        <v>0</v>
      </c>
      <c r="G21" s="253"/>
      <c r="H21" s="253"/>
      <c r="I21" s="278" t="s">
        <v>236</v>
      </c>
      <c r="J21" s="278"/>
      <c r="K21" s="269">
        <f>SUM(K19:K20)</f>
        <v>4868482.4075026587</v>
      </c>
      <c r="L21" s="279"/>
    </row>
    <row r="22" spans="2:13" x14ac:dyDescent="0.2">
      <c r="B22" s="261">
        <f t="shared" si="1"/>
        <v>2036</v>
      </c>
      <c r="C22" s="262">
        <f t="shared" si="0"/>
        <v>0</v>
      </c>
      <c r="D22" s="263">
        <f>C22*(1+Assumptions!$C$10)^-($B22-Assumptions!$C$3)</f>
        <v>0</v>
      </c>
      <c r="E22" s="264">
        <f>IF($B22=Assumptions!$C$8,'Capital Costs'!$K$21,0)</f>
        <v>0</v>
      </c>
      <c r="F22" s="212">
        <f>E22*(1+Assumptions!$C$10)^-(B22-Assumptions!$C$3)</f>
        <v>0</v>
      </c>
      <c r="G22" s="253"/>
      <c r="H22" s="253"/>
    </row>
    <row r="23" spans="2:13" ht="14.25" x14ac:dyDescent="0.2">
      <c r="B23" s="261">
        <f t="shared" si="1"/>
        <v>2037</v>
      </c>
      <c r="C23" s="262">
        <f t="shared" si="0"/>
        <v>0</v>
      </c>
      <c r="D23" s="263">
        <f>C23*(1+Assumptions!$C$10)^-($B23-Assumptions!$C$3)</f>
        <v>0</v>
      </c>
      <c r="E23" s="264">
        <f>IF($B23=Assumptions!$C$8,'Capital Costs'!$K$21,0)</f>
        <v>0</v>
      </c>
      <c r="F23" s="212">
        <f>E23*(1+Assumptions!$C$10)^-(B23-Assumptions!$C$3)</f>
        <v>0</v>
      </c>
      <c r="G23" s="253"/>
      <c r="H23" s="253"/>
      <c r="I23" s="191" t="s">
        <v>946</v>
      </c>
    </row>
    <row r="24" spans="2:13" x14ac:dyDescent="0.2">
      <c r="B24" s="261">
        <f t="shared" si="1"/>
        <v>2038</v>
      </c>
      <c r="C24" s="262">
        <f t="shared" si="0"/>
        <v>0</v>
      </c>
      <c r="D24" s="263">
        <f>C24*(1+Assumptions!$C$10)^-($B24-Assumptions!$C$3)</f>
        <v>0</v>
      </c>
      <c r="E24" s="264">
        <f>IF($B24=Assumptions!$C$8,'Capital Costs'!$K$21,0)</f>
        <v>0</v>
      </c>
      <c r="F24" s="212">
        <f>E24*(1+Assumptions!$C$10)^-(B24-Assumptions!$C$3)</f>
        <v>0</v>
      </c>
      <c r="G24" s="253"/>
      <c r="H24" s="253"/>
      <c r="I24" s="280" t="s">
        <v>38</v>
      </c>
      <c r="J24" s="217" t="s">
        <v>237</v>
      </c>
    </row>
    <row r="25" spans="2:13" x14ac:dyDescent="0.2">
      <c r="B25" s="261">
        <f t="shared" si="1"/>
        <v>2039</v>
      </c>
      <c r="C25" s="262">
        <f t="shared" si="0"/>
        <v>0</v>
      </c>
      <c r="D25" s="263">
        <f>C25*(1+Assumptions!$C$10)^-($B25-Assumptions!$C$3)</f>
        <v>0</v>
      </c>
      <c r="E25" s="264">
        <f>IF($B25=Assumptions!$C$8,'Capital Costs'!$K$21,0)</f>
        <v>0</v>
      </c>
      <c r="F25" s="212">
        <f>E25*(1+Assumptions!$C$10)^-(B25-Assumptions!$C$3)</f>
        <v>0</v>
      </c>
      <c r="G25" s="253"/>
      <c r="H25" s="253"/>
      <c r="I25" s="280">
        <v>2022</v>
      </c>
      <c r="J25" s="281">
        <v>117.973</v>
      </c>
    </row>
    <row r="26" spans="2:13" x14ac:dyDescent="0.2">
      <c r="B26" s="261">
        <f t="shared" si="1"/>
        <v>2040</v>
      </c>
      <c r="C26" s="262">
        <f t="shared" si="0"/>
        <v>0</v>
      </c>
      <c r="D26" s="263">
        <f>C26*(1+Assumptions!$C$10)^-($B26-Assumptions!$C$3)</f>
        <v>0</v>
      </c>
      <c r="E26" s="264">
        <f>IF($B26=Assumptions!$C$8,'Capital Costs'!$K$21,0)</f>
        <v>0</v>
      </c>
      <c r="F26" s="212">
        <f>E26*(1+Assumptions!$C$10)^-(B26-Assumptions!$C$3)</f>
        <v>0</v>
      </c>
      <c r="G26" s="253"/>
      <c r="H26" s="253"/>
      <c r="I26" s="280">
        <v>2023</v>
      </c>
      <c r="J26" s="281">
        <f>AVERAGE(121.261,121.766,122.762)</f>
        <v>121.92966666666666</v>
      </c>
    </row>
    <row r="27" spans="2:13" x14ac:dyDescent="0.2">
      <c r="B27" s="261">
        <f t="shared" si="1"/>
        <v>2041</v>
      </c>
      <c r="C27" s="262">
        <f t="shared" si="0"/>
        <v>0</v>
      </c>
      <c r="D27" s="263">
        <f>C27*(1+Assumptions!$C$10)^-($B27-Assumptions!$C$3)</f>
        <v>0</v>
      </c>
      <c r="E27" s="264">
        <f>IF($B27=Assumptions!$C$8,'Capital Costs'!$K$21,0)</f>
        <v>0</v>
      </c>
      <c r="F27" s="212">
        <f>E27*(1+Assumptions!$C$10)^-(B27-Assumptions!$C$3)</f>
        <v>0</v>
      </c>
      <c r="G27" s="253"/>
      <c r="H27" s="253"/>
      <c r="I27" s="282" t="s">
        <v>238</v>
      </c>
      <c r="J27" s="283">
        <f>J25/J26</f>
        <v>0.96754959826566689</v>
      </c>
    </row>
    <row r="28" spans="2:13" x14ac:dyDescent="0.2">
      <c r="B28" s="261">
        <f t="shared" si="1"/>
        <v>2042</v>
      </c>
      <c r="C28" s="262">
        <f t="shared" si="0"/>
        <v>0</v>
      </c>
      <c r="D28" s="263">
        <f>C28*(1+Assumptions!$C$10)^-($B28-Assumptions!$C$3)</f>
        <v>0</v>
      </c>
      <c r="E28" s="264">
        <f>IF($B28=Assumptions!$C$8,'Capital Costs'!$K$21,0)</f>
        <v>0</v>
      </c>
      <c r="F28" s="212">
        <f>E28*(1+Assumptions!$C$10)^-(B28-Assumptions!$C$3)</f>
        <v>0</v>
      </c>
      <c r="G28" s="253"/>
      <c r="H28" s="253"/>
      <c r="I28" s="284"/>
      <c r="J28" s="284"/>
      <c r="K28" s="284"/>
      <c r="L28" s="284"/>
    </row>
    <row r="29" spans="2:13" x14ac:dyDescent="0.2">
      <c r="B29" s="261">
        <f t="shared" si="1"/>
        <v>2043</v>
      </c>
      <c r="C29" s="262">
        <f t="shared" si="0"/>
        <v>0</v>
      </c>
      <c r="D29" s="263">
        <f>C29*(1+Assumptions!$C$10)^-($B29-Assumptions!$C$3)</f>
        <v>0</v>
      </c>
      <c r="E29" s="264">
        <f>IF($B29=Assumptions!$C$8,'Capital Costs'!$K$21,0)</f>
        <v>0</v>
      </c>
      <c r="F29" s="212">
        <f>E29*(1+Assumptions!$C$10)^-(B29-Assumptions!$C$3)</f>
        <v>0</v>
      </c>
      <c r="G29" s="253"/>
      <c r="H29" s="253"/>
      <c r="M29" s="284"/>
    </row>
    <row r="30" spans="2:13" x14ac:dyDescent="0.2">
      <c r="B30" s="261">
        <f t="shared" si="1"/>
        <v>2044</v>
      </c>
      <c r="C30" s="262">
        <f t="shared" si="0"/>
        <v>0</v>
      </c>
      <c r="D30" s="263">
        <f>C30*(1+Assumptions!$C$10)^-($B30-Assumptions!$C$3)</f>
        <v>0</v>
      </c>
      <c r="E30" s="264">
        <f>IF($B30=Assumptions!$C$8,'Capital Costs'!$K$21,0)</f>
        <v>0</v>
      </c>
      <c r="F30" s="212">
        <f>E30*(1+Assumptions!$C$10)^-(B30-Assumptions!$C$3)</f>
        <v>0</v>
      </c>
      <c r="G30" s="253"/>
      <c r="H30" s="253"/>
    </row>
    <row r="31" spans="2:13" x14ac:dyDescent="0.2">
      <c r="B31" s="261">
        <f t="shared" si="1"/>
        <v>2045</v>
      </c>
      <c r="C31" s="262">
        <f t="shared" si="0"/>
        <v>0</v>
      </c>
      <c r="D31" s="263">
        <f>C31*(1+Assumptions!$C$10)^-($B31-Assumptions!$C$3)</f>
        <v>0</v>
      </c>
      <c r="E31" s="264">
        <f>IF($B31=Assumptions!$C$8,'Capital Costs'!$K$21,0)</f>
        <v>4868482.4075026587</v>
      </c>
      <c r="F31" s="212">
        <f>E31*(1+Assumptions!$C$10)^-(B31-Assumptions!$C$3)</f>
        <v>2412372.1357324915</v>
      </c>
      <c r="G31" s="253"/>
      <c r="H31" s="253"/>
    </row>
    <row r="32" spans="2:13" x14ac:dyDescent="0.2">
      <c r="B32" s="261">
        <f t="shared" si="1"/>
        <v>2046</v>
      </c>
      <c r="C32" s="262">
        <f t="shared" si="0"/>
        <v>0</v>
      </c>
      <c r="D32" s="263">
        <f>C32*(1+Assumptions!$C$10)^-($B32-Assumptions!$C$3)</f>
        <v>0</v>
      </c>
      <c r="E32" s="264">
        <f>IF($B32=Assumptions!$C$8,'Capital Costs'!$K$21,0)</f>
        <v>0</v>
      </c>
      <c r="F32" s="212">
        <f>E32*(1+Assumptions!$C$10)^-(B32-Assumptions!$C$3)</f>
        <v>0</v>
      </c>
      <c r="G32" s="253"/>
      <c r="H32" s="253"/>
    </row>
    <row r="33" spans="2:8" x14ac:dyDescent="0.2">
      <c r="B33" s="261">
        <f t="shared" si="1"/>
        <v>2047</v>
      </c>
      <c r="C33" s="262">
        <f t="shared" si="0"/>
        <v>0</v>
      </c>
      <c r="D33" s="263">
        <f>C33*(1+Assumptions!$C$10)^-($B33-Assumptions!$C$3)</f>
        <v>0</v>
      </c>
      <c r="E33" s="264">
        <f>IF($B33=Assumptions!$C$8,'Capital Costs'!$K$21,0)</f>
        <v>0</v>
      </c>
      <c r="F33" s="212">
        <f>E33*(1+Assumptions!$C$10)^-(B33-Assumptions!$C$3)</f>
        <v>0</v>
      </c>
      <c r="G33" s="253"/>
      <c r="H33" s="253"/>
    </row>
    <row r="34" spans="2:8" x14ac:dyDescent="0.2">
      <c r="B34" s="261">
        <f t="shared" si="1"/>
        <v>2048</v>
      </c>
      <c r="C34" s="262">
        <f t="shared" si="0"/>
        <v>0</v>
      </c>
      <c r="D34" s="263">
        <f>C34*(1+Assumptions!$C$10)^-($B34-Assumptions!$C$3)</f>
        <v>0</v>
      </c>
      <c r="E34" s="264">
        <f>IF($B34=Assumptions!$C$8,'Capital Costs'!$K$21,0)</f>
        <v>0</v>
      </c>
      <c r="F34" s="212">
        <f>E34*(1+Assumptions!$C$10)^-(B34-Assumptions!$C$3)</f>
        <v>0</v>
      </c>
      <c r="G34" s="253"/>
      <c r="H34" s="253"/>
    </row>
    <row r="35" spans="2:8" ht="12.75" thickBot="1" x14ac:dyDescent="0.25">
      <c r="B35" s="285">
        <f t="shared" si="1"/>
        <v>2049</v>
      </c>
      <c r="C35" s="286">
        <f t="shared" si="0"/>
        <v>0</v>
      </c>
      <c r="D35" s="287">
        <f>C35*(1+Assumptions!$C$10)^-($B35-Assumptions!$C$3)</f>
        <v>0</v>
      </c>
      <c r="E35" s="288">
        <f>IF($B35=Assumptions!$C$8,'Capital Costs'!$K$21,0)</f>
        <v>0</v>
      </c>
      <c r="F35" s="222">
        <f>E35*(1+Assumptions!$C$10)^-(B35-Assumptions!$C$3)</f>
        <v>0</v>
      </c>
      <c r="G35" s="253"/>
      <c r="H35" s="253"/>
    </row>
    <row r="36" spans="2:8" x14ac:dyDescent="0.2">
      <c r="C36" s="227"/>
      <c r="D36" s="227">
        <f>SUM(D8:D35)</f>
        <v>28544769.710701939</v>
      </c>
      <c r="F36" s="227">
        <f>SUM(F8:F35)</f>
        <v>2412372.1357324915</v>
      </c>
      <c r="G36" s="227"/>
      <c r="H36" s="227"/>
    </row>
    <row r="39" spans="2:8" ht="12" customHeight="1" x14ac:dyDescent="0.2">
      <c r="B39" s="190" t="s">
        <v>131</v>
      </c>
      <c r="G39" s="284"/>
      <c r="H39" s="284"/>
    </row>
    <row r="40" spans="2:8" x14ac:dyDescent="0.2">
      <c r="B40" s="228" t="s">
        <v>44</v>
      </c>
      <c r="C40" s="229" t="s">
        <v>947</v>
      </c>
      <c r="D40" s="229"/>
      <c r="E40" s="229"/>
      <c r="F40" s="229"/>
    </row>
    <row r="41" spans="2:8" x14ac:dyDescent="0.2">
      <c r="C41" s="229"/>
      <c r="D41" s="229"/>
      <c r="E41" s="229"/>
      <c r="F41" s="229"/>
    </row>
    <row r="42" spans="2:8" x14ac:dyDescent="0.2">
      <c r="C42" s="229"/>
      <c r="D42" s="229"/>
      <c r="E42" s="229"/>
      <c r="F42" s="229"/>
    </row>
    <row r="43" spans="2:8" x14ac:dyDescent="0.2">
      <c r="B43" s="228" t="s">
        <v>45</v>
      </c>
      <c r="C43" s="190" t="s">
        <v>948</v>
      </c>
    </row>
  </sheetData>
  <mergeCells count="19">
    <mergeCell ref="C40:F42"/>
    <mergeCell ref="I21:J21"/>
    <mergeCell ref="L8:L10"/>
    <mergeCell ref="I8:I10"/>
    <mergeCell ref="J8:J10"/>
    <mergeCell ref="K8:K10"/>
    <mergeCell ref="I13:J13"/>
    <mergeCell ref="I16:I18"/>
    <mergeCell ref="J16:J18"/>
    <mergeCell ref="K16:K18"/>
    <mergeCell ref="C4:D4"/>
    <mergeCell ref="E4:F4"/>
    <mergeCell ref="C5:D5"/>
    <mergeCell ref="E5:F5"/>
    <mergeCell ref="B6:B7"/>
    <mergeCell ref="C6:C7"/>
    <mergeCell ref="D6:D7"/>
    <mergeCell ref="E6:E7"/>
    <mergeCell ref="F6:F7"/>
  </mergeCells>
  <pageMargins left="0.25" right="0.25" top="0.75" bottom="0.75" header="0.3" footer="0.3"/>
  <pageSetup paperSize="11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D13E3-EDD5-4D42-8160-B2BFDE235332}">
  <dimension ref="A1:J85"/>
  <sheetViews>
    <sheetView showGridLines="0" topLeftCell="A72" workbookViewId="0">
      <selection activeCell="F83" sqref="F83"/>
    </sheetView>
  </sheetViews>
  <sheetFormatPr defaultRowHeight="15" x14ac:dyDescent="0.25"/>
  <cols>
    <col min="1" max="2" width="5" style="22" customWidth="1"/>
    <col min="3" max="3" width="48" style="22" customWidth="1"/>
    <col min="4" max="4" width="14.28515625" style="22" bestFit="1" customWidth="1"/>
    <col min="5" max="6" width="9" style="22" customWidth="1"/>
    <col min="7" max="7" width="1" style="22" customWidth="1"/>
    <col min="8" max="9" width="12" style="22" customWidth="1"/>
  </cols>
  <sheetData>
    <row r="1" spans="1:1" ht="15.75" x14ac:dyDescent="0.25">
      <c r="A1" s="21" t="s">
        <v>135</v>
      </c>
    </row>
    <row r="2" spans="1:1" ht="15.75" x14ac:dyDescent="0.25">
      <c r="A2" s="21" t="s">
        <v>136</v>
      </c>
    </row>
    <row r="3" spans="1:1" x14ac:dyDescent="0.25">
      <c r="A3" s="21" t="s">
        <v>137</v>
      </c>
    </row>
    <row r="4" spans="1:1" x14ac:dyDescent="0.25">
      <c r="A4" s="21" t="s">
        <v>138</v>
      </c>
    </row>
    <row r="5" spans="1:1" x14ac:dyDescent="0.25">
      <c r="A5" s="21" t="s">
        <v>139</v>
      </c>
    </row>
    <row r="6" spans="1:1" ht="15.75" x14ac:dyDescent="0.25">
      <c r="A6" s="23" t="s">
        <v>140</v>
      </c>
    </row>
    <row r="8" spans="1:1" ht="15.75" x14ac:dyDescent="0.25">
      <c r="A8" s="24" t="s">
        <v>141</v>
      </c>
    </row>
    <row r="9" spans="1:1" x14ac:dyDescent="0.25">
      <c r="A9" s="24" t="s">
        <v>142</v>
      </c>
    </row>
    <row r="10" spans="1:1" x14ac:dyDescent="0.25">
      <c r="A10" s="24" t="s">
        <v>143</v>
      </c>
    </row>
    <row r="11" spans="1:1" x14ac:dyDescent="0.25">
      <c r="A11" s="24" t="s">
        <v>144</v>
      </c>
    </row>
    <row r="12" spans="1:1" x14ac:dyDescent="0.25">
      <c r="A12" s="21" t="s">
        <v>145</v>
      </c>
    </row>
    <row r="14" spans="1:1" ht="15.75" x14ac:dyDescent="0.25">
      <c r="A14" s="21" t="s">
        <v>146</v>
      </c>
    </row>
    <row r="15" spans="1:1" x14ac:dyDescent="0.25">
      <c r="A15" s="6" t="s">
        <v>147</v>
      </c>
    </row>
    <row r="16" spans="1:1" x14ac:dyDescent="0.25">
      <c r="A16" s="6" t="s">
        <v>148</v>
      </c>
    </row>
    <row r="17" spans="1:10" x14ac:dyDescent="0.25">
      <c r="A17" s="6" t="s">
        <v>149</v>
      </c>
    </row>
    <row r="18" spans="1:10" x14ac:dyDescent="0.25">
      <c r="A18" s="6" t="s">
        <v>150</v>
      </c>
    </row>
    <row r="20" spans="1:10" x14ac:dyDescent="0.25">
      <c r="A20" s="6" t="s">
        <v>151</v>
      </c>
    </row>
    <row r="22" spans="1:10" x14ac:dyDescent="0.25">
      <c r="A22" s="25">
        <v>103</v>
      </c>
      <c r="B22" s="26">
        <v>100</v>
      </c>
      <c r="C22" s="27" t="s">
        <v>152</v>
      </c>
      <c r="D22" s="132" t="s">
        <v>153</v>
      </c>
      <c r="E22" s="132"/>
      <c r="F22" s="28">
        <v>1</v>
      </c>
      <c r="G22" s="133">
        <v>15000</v>
      </c>
      <c r="H22" s="133"/>
      <c r="I22" s="30">
        <v>15000</v>
      </c>
      <c r="J22" s="187" t="s">
        <v>925</v>
      </c>
    </row>
    <row r="23" spans="1:10" x14ac:dyDescent="0.25">
      <c r="A23" s="25">
        <v>202</v>
      </c>
      <c r="B23" s="26">
        <v>132</v>
      </c>
      <c r="C23" s="27" t="s">
        <v>154</v>
      </c>
      <c r="D23" s="134" t="s">
        <v>155</v>
      </c>
      <c r="E23" s="134"/>
      <c r="F23" s="28">
        <v>6858</v>
      </c>
      <c r="G23" s="135">
        <v>9</v>
      </c>
      <c r="H23" s="135"/>
      <c r="I23" s="30">
        <v>61722</v>
      </c>
      <c r="J23" s="187" t="s">
        <v>925</v>
      </c>
    </row>
    <row r="24" spans="1:10" x14ac:dyDescent="0.25">
      <c r="A24" s="25">
        <v>202</v>
      </c>
      <c r="B24" s="26">
        <v>170</v>
      </c>
      <c r="C24" s="27" t="s">
        <v>156</v>
      </c>
      <c r="D24" s="134" t="s">
        <v>157</v>
      </c>
      <c r="E24" s="134"/>
      <c r="F24" s="28">
        <v>190</v>
      </c>
      <c r="G24" s="135">
        <v>18</v>
      </c>
      <c r="H24" s="135"/>
      <c r="I24" s="30">
        <v>3420</v>
      </c>
      <c r="J24" s="187" t="s">
        <v>925</v>
      </c>
    </row>
    <row r="25" spans="1:10" x14ac:dyDescent="0.25">
      <c r="A25" s="25">
        <v>203</v>
      </c>
      <c r="B25" s="26">
        <v>101</v>
      </c>
      <c r="C25" s="27" t="s">
        <v>158</v>
      </c>
      <c r="D25" s="134" t="s">
        <v>159</v>
      </c>
      <c r="E25" s="134"/>
      <c r="F25" s="28">
        <v>11610</v>
      </c>
      <c r="G25" s="135">
        <v>15</v>
      </c>
      <c r="H25" s="135"/>
      <c r="I25" s="30">
        <v>174150</v>
      </c>
      <c r="J25" s="187" t="s">
        <v>925</v>
      </c>
    </row>
    <row r="26" spans="1:10" x14ac:dyDescent="0.25">
      <c r="A26" s="25">
        <v>203</v>
      </c>
      <c r="B26" s="26">
        <v>109</v>
      </c>
      <c r="C26" s="27" t="s">
        <v>160</v>
      </c>
      <c r="D26" s="134" t="s">
        <v>159</v>
      </c>
      <c r="E26" s="134"/>
      <c r="F26" s="28">
        <v>4191</v>
      </c>
      <c r="G26" s="135">
        <v>3</v>
      </c>
      <c r="H26" s="135"/>
      <c r="I26" s="30">
        <v>12573</v>
      </c>
      <c r="J26" s="187" t="s">
        <v>925</v>
      </c>
    </row>
    <row r="27" spans="1:10" x14ac:dyDescent="0.25">
      <c r="A27" s="25">
        <v>203</v>
      </c>
      <c r="B27" s="26">
        <v>119</v>
      </c>
      <c r="C27" s="27" t="s">
        <v>161</v>
      </c>
      <c r="D27" s="134" t="s">
        <v>159</v>
      </c>
      <c r="E27" s="134"/>
      <c r="F27" s="28">
        <v>1103</v>
      </c>
      <c r="G27" s="135">
        <v>35</v>
      </c>
      <c r="H27" s="135"/>
      <c r="I27" s="30">
        <v>38605</v>
      </c>
      <c r="J27" s="187" t="s">
        <v>925</v>
      </c>
    </row>
    <row r="28" spans="1:10" x14ac:dyDescent="0.25">
      <c r="A28" s="25">
        <v>203</v>
      </c>
      <c r="B28" s="26">
        <v>140</v>
      </c>
      <c r="C28" s="27" t="s">
        <v>162</v>
      </c>
      <c r="D28" s="134" t="s">
        <v>159</v>
      </c>
      <c r="E28" s="134"/>
      <c r="F28" s="28">
        <v>1052</v>
      </c>
      <c r="G28" s="135">
        <v>34</v>
      </c>
      <c r="H28" s="135"/>
      <c r="I28" s="30">
        <v>35768</v>
      </c>
      <c r="J28" s="187" t="s">
        <v>925</v>
      </c>
    </row>
    <row r="29" spans="1:10" x14ac:dyDescent="0.25">
      <c r="A29" s="25">
        <v>216</v>
      </c>
      <c r="B29" s="26">
        <v>100</v>
      </c>
      <c r="C29" s="27" t="s">
        <v>163</v>
      </c>
      <c r="D29" s="132" t="s">
        <v>164</v>
      </c>
      <c r="E29" s="132"/>
      <c r="F29" s="28">
        <v>208</v>
      </c>
      <c r="G29" s="135">
        <v>30</v>
      </c>
      <c r="H29" s="135"/>
      <c r="I29" s="30">
        <v>6240</v>
      </c>
      <c r="J29" s="40" t="s">
        <v>233</v>
      </c>
    </row>
    <row r="30" spans="1:10" x14ac:dyDescent="0.25">
      <c r="A30" s="25">
        <v>230</v>
      </c>
      <c r="B30" s="26">
        <v>165</v>
      </c>
      <c r="C30" s="27" t="s">
        <v>165</v>
      </c>
      <c r="D30" s="132" t="s">
        <v>166</v>
      </c>
      <c r="E30" s="132"/>
      <c r="F30" s="28">
        <v>6</v>
      </c>
      <c r="G30" s="133">
        <v>1000</v>
      </c>
      <c r="H30" s="133"/>
      <c r="I30" s="30">
        <v>6000</v>
      </c>
      <c r="J30" s="187" t="s">
        <v>925</v>
      </c>
    </row>
    <row r="31" spans="1:10" x14ac:dyDescent="0.25">
      <c r="A31" s="25">
        <v>251</v>
      </c>
      <c r="B31" s="26">
        <v>200</v>
      </c>
      <c r="C31" s="27" t="s">
        <v>167</v>
      </c>
      <c r="D31" s="132" t="s">
        <v>168</v>
      </c>
      <c r="E31" s="132"/>
      <c r="F31" s="32">
        <v>6.5</v>
      </c>
      <c r="G31" s="135">
        <v>480</v>
      </c>
      <c r="H31" s="135"/>
      <c r="I31" s="30">
        <v>3120</v>
      </c>
      <c r="J31" s="187" t="s">
        <v>925</v>
      </c>
    </row>
    <row r="32" spans="1:10" x14ac:dyDescent="0.25">
      <c r="A32" s="25">
        <v>251</v>
      </c>
      <c r="B32" s="28">
        <v>2000</v>
      </c>
      <c r="C32" s="27" t="s">
        <v>169</v>
      </c>
      <c r="D32" s="132" t="s">
        <v>168</v>
      </c>
      <c r="E32" s="132"/>
      <c r="F32" s="32">
        <v>6.5</v>
      </c>
      <c r="G32" s="135">
        <v>50</v>
      </c>
      <c r="H32" s="135"/>
      <c r="I32" s="33">
        <v>325</v>
      </c>
      <c r="J32" s="40" t="s">
        <v>233</v>
      </c>
    </row>
    <row r="33" spans="1:10" x14ac:dyDescent="0.25">
      <c r="A33" s="25">
        <v>253</v>
      </c>
      <c r="B33" s="26">
        <v>101</v>
      </c>
      <c r="C33" s="27" t="s">
        <v>170</v>
      </c>
      <c r="D33" s="132" t="s">
        <v>168</v>
      </c>
      <c r="E33" s="132"/>
      <c r="F33" s="28">
        <v>13</v>
      </c>
      <c r="G33" s="135">
        <v>250</v>
      </c>
      <c r="H33" s="135"/>
      <c r="I33" s="30">
        <v>3250</v>
      </c>
      <c r="J33" s="40" t="s">
        <v>233</v>
      </c>
    </row>
    <row r="34" spans="1:10" x14ac:dyDescent="0.25">
      <c r="A34" s="25">
        <v>255</v>
      </c>
      <c r="B34" s="26">
        <v>103</v>
      </c>
      <c r="C34" s="27" t="s">
        <v>171</v>
      </c>
      <c r="D34" s="134" t="s">
        <v>155</v>
      </c>
      <c r="E34" s="134"/>
      <c r="F34" s="28">
        <v>107</v>
      </c>
      <c r="G34" s="135">
        <v>3</v>
      </c>
      <c r="H34" s="135"/>
      <c r="I34" s="33">
        <v>321</v>
      </c>
      <c r="J34" s="187" t="s">
        <v>925</v>
      </c>
    </row>
    <row r="35" spans="1:10" x14ac:dyDescent="0.25">
      <c r="A35" s="25">
        <v>256</v>
      </c>
      <c r="B35" s="26">
        <v>200</v>
      </c>
      <c r="C35" s="27" t="s">
        <v>172</v>
      </c>
      <c r="D35" s="134" t="s">
        <v>159</v>
      </c>
      <c r="E35" s="134"/>
      <c r="F35" s="28">
        <v>48</v>
      </c>
      <c r="G35" s="135">
        <v>75</v>
      </c>
      <c r="H35" s="135"/>
      <c r="I35" s="30">
        <v>3600</v>
      </c>
      <c r="J35" s="187" t="s">
        <v>925</v>
      </c>
    </row>
    <row r="36" spans="1:10" x14ac:dyDescent="0.25">
      <c r="A36" s="25">
        <v>260</v>
      </c>
      <c r="B36" s="26">
        <v>100</v>
      </c>
      <c r="C36" s="27" t="s">
        <v>173</v>
      </c>
      <c r="D36" s="134" t="s">
        <v>157</v>
      </c>
      <c r="E36" s="134"/>
      <c r="F36" s="28">
        <v>2151</v>
      </c>
      <c r="G36" s="135">
        <v>2</v>
      </c>
      <c r="H36" s="135"/>
      <c r="I36" s="30">
        <v>4302</v>
      </c>
      <c r="J36" s="187" t="s">
        <v>925</v>
      </c>
    </row>
    <row r="37" spans="1:10" x14ac:dyDescent="0.25">
      <c r="A37" s="25">
        <v>260</v>
      </c>
      <c r="B37" s="26">
        <v>101</v>
      </c>
      <c r="C37" s="27" t="s">
        <v>174</v>
      </c>
      <c r="D37" s="134" t="s">
        <v>157</v>
      </c>
      <c r="E37" s="134"/>
      <c r="F37" s="28">
        <v>2151</v>
      </c>
      <c r="G37" s="135">
        <v>0.5</v>
      </c>
      <c r="H37" s="135"/>
      <c r="I37" s="30">
        <v>1075.5</v>
      </c>
      <c r="J37" s="40" t="s">
        <v>233</v>
      </c>
    </row>
    <row r="38" spans="1:10" x14ac:dyDescent="0.25">
      <c r="A38" s="25">
        <v>261</v>
      </c>
      <c r="B38" s="26">
        <v>112</v>
      </c>
      <c r="C38" s="27" t="s">
        <v>175</v>
      </c>
      <c r="D38" s="134" t="s">
        <v>157</v>
      </c>
      <c r="E38" s="134"/>
      <c r="F38" s="28">
        <v>2653</v>
      </c>
      <c r="G38" s="135">
        <v>2</v>
      </c>
      <c r="H38" s="135"/>
      <c r="I38" s="30">
        <v>5306</v>
      </c>
      <c r="J38" s="187" t="s">
        <v>925</v>
      </c>
    </row>
    <row r="39" spans="1:10" x14ac:dyDescent="0.25">
      <c r="A39" s="25">
        <v>261</v>
      </c>
      <c r="B39" s="26">
        <v>113</v>
      </c>
      <c r="C39" s="27" t="s">
        <v>176</v>
      </c>
      <c r="D39" s="134" t="s">
        <v>157</v>
      </c>
      <c r="E39" s="134"/>
      <c r="F39" s="28">
        <v>172</v>
      </c>
      <c r="G39" s="135">
        <v>0.5</v>
      </c>
      <c r="H39" s="135"/>
      <c r="I39" s="33">
        <v>86</v>
      </c>
      <c r="J39" s="40" t="s">
        <v>233</v>
      </c>
    </row>
    <row r="40" spans="1:10" x14ac:dyDescent="0.25">
      <c r="A40" s="25">
        <v>302</v>
      </c>
      <c r="B40" s="26">
        <v>120</v>
      </c>
      <c r="C40" s="27" t="s">
        <v>177</v>
      </c>
      <c r="D40" s="132" t="s">
        <v>178</v>
      </c>
      <c r="E40" s="132"/>
      <c r="F40" s="28">
        <v>3560</v>
      </c>
      <c r="G40" s="135">
        <v>23</v>
      </c>
      <c r="H40" s="135"/>
      <c r="I40" s="30">
        <v>81880</v>
      </c>
      <c r="J40" s="187" t="s">
        <v>925</v>
      </c>
    </row>
    <row r="41" spans="1:10" x14ac:dyDescent="0.25">
      <c r="A41" s="25">
        <v>401</v>
      </c>
      <c r="B41" s="26">
        <v>50</v>
      </c>
      <c r="C41" s="27" t="s">
        <v>179</v>
      </c>
      <c r="D41" s="132" t="s">
        <v>180</v>
      </c>
      <c r="E41" s="132"/>
      <c r="F41" s="28">
        <v>1330</v>
      </c>
      <c r="G41" s="135">
        <v>3</v>
      </c>
      <c r="H41" s="135"/>
      <c r="I41" s="30">
        <v>3990</v>
      </c>
      <c r="J41" s="187" t="s">
        <v>925</v>
      </c>
    </row>
    <row r="42" spans="1:10" x14ac:dyDescent="0.25">
      <c r="A42" s="25">
        <v>401</v>
      </c>
      <c r="B42" s="26">
        <v>60</v>
      </c>
      <c r="C42" s="27" t="s">
        <v>181</v>
      </c>
      <c r="D42" s="132" t="s">
        <v>180</v>
      </c>
      <c r="E42" s="132"/>
      <c r="F42" s="28">
        <v>6891</v>
      </c>
      <c r="G42" s="135">
        <v>4</v>
      </c>
      <c r="H42" s="135"/>
      <c r="I42" s="30">
        <v>27564</v>
      </c>
      <c r="J42" s="187" t="s">
        <v>925</v>
      </c>
    </row>
    <row r="43" spans="1:10" x14ac:dyDescent="0.25">
      <c r="A43" s="25">
        <v>401</v>
      </c>
      <c r="B43" s="26">
        <v>70</v>
      </c>
      <c r="C43" s="27" t="s">
        <v>182</v>
      </c>
      <c r="D43" s="132" t="s">
        <v>180</v>
      </c>
      <c r="E43" s="132"/>
      <c r="F43" s="28">
        <v>1299</v>
      </c>
      <c r="G43" s="135">
        <v>3</v>
      </c>
      <c r="H43" s="135"/>
      <c r="I43" s="30">
        <v>3897</v>
      </c>
      <c r="J43" s="187" t="s">
        <v>925</v>
      </c>
    </row>
    <row r="44" spans="1:10" x14ac:dyDescent="0.25">
      <c r="A44" s="25">
        <v>411</v>
      </c>
      <c r="B44" s="26">
        <v>112</v>
      </c>
      <c r="C44" s="27" t="s">
        <v>183</v>
      </c>
      <c r="D44" s="134" t="s">
        <v>155</v>
      </c>
      <c r="E44" s="134"/>
      <c r="F44" s="28">
        <v>3410</v>
      </c>
      <c r="G44" s="135">
        <v>2</v>
      </c>
      <c r="H44" s="135"/>
      <c r="I44" s="30">
        <v>6820</v>
      </c>
      <c r="J44" s="187" t="s">
        <v>925</v>
      </c>
    </row>
    <row r="45" spans="1:10" x14ac:dyDescent="0.25">
      <c r="A45" s="25">
        <v>430</v>
      </c>
      <c r="B45" s="26">
        <v>45</v>
      </c>
      <c r="C45" s="27" t="s">
        <v>184</v>
      </c>
      <c r="D45" s="132" t="s">
        <v>178</v>
      </c>
      <c r="E45" s="132"/>
      <c r="F45" s="28">
        <v>1526</v>
      </c>
      <c r="G45" s="135">
        <v>100</v>
      </c>
      <c r="H45" s="135"/>
      <c r="I45" s="30">
        <v>152600</v>
      </c>
      <c r="J45" s="187" t="s">
        <v>925</v>
      </c>
    </row>
    <row r="46" spans="1:10" x14ac:dyDescent="0.25">
      <c r="A46" s="25">
        <v>430</v>
      </c>
      <c r="B46" s="28">
        <v>1000</v>
      </c>
      <c r="C46" s="27" t="s">
        <v>185</v>
      </c>
      <c r="D46" s="134" t="s">
        <v>186</v>
      </c>
      <c r="E46" s="134"/>
      <c r="F46" s="28">
        <v>13</v>
      </c>
      <c r="G46" s="135">
        <v>30</v>
      </c>
      <c r="H46" s="135"/>
      <c r="I46" s="33">
        <v>390</v>
      </c>
      <c r="J46" s="40" t="s">
        <v>233</v>
      </c>
    </row>
    <row r="47" spans="1:10" x14ac:dyDescent="0.25">
      <c r="A47" s="25">
        <v>430</v>
      </c>
      <c r="B47" s="28">
        <v>5818</v>
      </c>
      <c r="C47" s="27" t="s">
        <v>187</v>
      </c>
      <c r="D47" s="132" t="s">
        <v>178</v>
      </c>
      <c r="E47" s="132"/>
      <c r="F47" s="28">
        <v>93</v>
      </c>
      <c r="G47" s="133">
        <v>1000</v>
      </c>
      <c r="H47" s="133"/>
      <c r="I47" s="30">
        <v>93000</v>
      </c>
      <c r="J47" s="187" t="s">
        <v>925</v>
      </c>
    </row>
    <row r="48" spans="1:10" x14ac:dyDescent="0.25">
      <c r="A48" s="25">
        <v>702</v>
      </c>
      <c r="B48" s="26">
        <v>100</v>
      </c>
      <c r="C48" s="27" t="s">
        <v>188</v>
      </c>
      <c r="D48" s="132" t="s">
        <v>153</v>
      </c>
      <c r="E48" s="132"/>
      <c r="F48" s="28">
        <v>1</v>
      </c>
      <c r="G48" s="133">
        <v>100000</v>
      </c>
      <c r="H48" s="133"/>
      <c r="I48" s="30">
        <v>100000</v>
      </c>
      <c r="J48" s="40" t="s">
        <v>233</v>
      </c>
    </row>
    <row r="49" spans="1:10" x14ac:dyDescent="0.25">
      <c r="A49" s="25">
        <v>704</v>
      </c>
      <c r="B49" s="26">
        <v>100</v>
      </c>
      <c r="C49" s="27" t="s">
        <v>189</v>
      </c>
      <c r="D49" s="132" t="s">
        <v>190</v>
      </c>
      <c r="E49" s="132"/>
      <c r="F49" s="28">
        <v>120</v>
      </c>
      <c r="G49" s="135">
        <v>50</v>
      </c>
      <c r="H49" s="135"/>
      <c r="I49" s="30">
        <v>6000</v>
      </c>
      <c r="J49" s="40" t="s">
        <v>233</v>
      </c>
    </row>
    <row r="50" spans="1:10" x14ac:dyDescent="0.25">
      <c r="A50" s="25">
        <v>704</v>
      </c>
      <c r="B50" s="28">
        <v>1000</v>
      </c>
      <c r="C50" s="27" t="s">
        <v>191</v>
      </c>
      <c r="D50" s="132" t="s">
        <v>192</v>
      </c>
      <c r="E50" s="132"/>
      <c r="F50" s="28">
        <v>1589</v>
      </c>
      <c r="G50" s="135">
        <v>2</v>
      </c>
      <c r="H50" s="135"/>
      <c r="I50" s="30">
        <v>3178</v>
      </c>
      <c r="J50" s="40" t="s">
        <v>233</v>
      </c>
    </row>
    <row r="51" spans="1:10" x14ac:dyDescent="0.25">
      <c r="A51" s="25">
        <v>704</v>
      </c>
      <c r="B51" s="28">
        <v>1052</v>
      </c>
      <c r="C51" s="27" t="s">
        <v>193</v>
      </c>
      <c r="D51" s="134" t="s">
        <v>186</v>
      </c>
      <c r="E51" s="134"/>
      <c r="F51" s="28">
        <v>14</v>
      </c>
      <c r="G51" s="135">
        <v>100</v>
      </c>
      <c r="H51" s="135"/>
      <c r="I51" s="30">
        <v>1400</v>
      </c>
      <c r="J51" s="40" t="s">
        <v>233</v>
      </c>
    </row>
    <row r="52" spans="1:10" x14ac:dyDescent="0.25">
      <c r="A52" s="25">
        <v>704</v>
      </c>
      <c r="B52" s="28">
        <v>1060</v>
      </c>
      <c r="C52" s="27" t="s">
        <v>194</v>
      </c>
      <c r="D52" s="134" t="s">
        <v>186</v>
      </c>
      <c r="E52" s="134"/>
      <c r="F52" s="28">
        <v>28</v>
      </c>
      <c r="G52" s="135">
        <v>25</v>
      </c>
      <c r="H52" s="135"/>
      <c r="I52" s="33">
        <v>700</v>
      </c>
      <c r="J52" s="40" t="s">
        <v>233</v>
      </c>
    </row>
    <row r="53" spans="1:10" x14ac:dyDescent="0.25">
      <c r="A53" s="25">
        <v>704</v>
      </c>
      <c r="B53" s="28">
        <v>1080</v>
      </c>
      <c r="C53" s="27" t="s">
        <v>195</v>
      </c>
      <c r="D53" s="134" t="s">
        <v>186</v>
      </c>
      <c r="E53" s="134"/>
      <c r="F53" s="28">
        <v>30</v>
      </c>
      <c r="G53" s="135">
        <v>30</v>
      </c>
      <c r="H53" s="135"/>
      <c r="I53" s="33">
        <v>900</v>
      </c>
      <c r="J53" s="40" t="s">
        <v>233</v>
      </c>
    </row>
    <row r="54" spans="1:10" x14ac:dyDescent="0.25">
      <c r="A54" s="25">
        <v>704</v>
      </c>
      <c r="B54" s="28">
        <v>1500</v>
      </c>
      <c r="C54" s="27" t="s">
        <v>196</v>
      </c>
      <c r="D54" s="134" t="s">
        <v>197</v>
      </c>
      <c r="E54" s="134"/>
      <c r="F54" s="28">
        <v>210</v>
      </c>
      <c r="G54" s="135">
        <v>6</v>
      </c>
      <c r="H54" s="135"/>
      <c r="I54" s="30">
        <v>1260</v>
      </c>
      <c r="J54" s="40" t="s">
        <v>233</v>
      </c>
    </row>
    <row r="55" spans="1:10" x14ac:dyDescent="0.25">
      <c r="A55" s="25">
        <v>706</v>
      </c>
      <c r="B55" s="26">
        <v>500</v>
      </c>
      <c r="C55" s="27" t="s">
        <v>198</v>
      </c>
      <c r="D55" s="134" t="s">
        <v>186</v>
      </c>
      <c r="E55" s="134"/>
      <c r="F55" s="28">
        <v>1</v>
      </c>
      <c r="G55" s="133">
        <v>12000</v>
      </c>
      <c r="H55" s="133"/>
      <c r="I55" s="30">
        <v>12000</v>
      </c>
      <c r="J55" s="40" t="s">
        <v>233</v>
      </c>
    </row>
    <row r="56" spans="1:10" x14ac:dyDescent="0.25">
      <c r="A56" s="6" t="s">
        <v>147</v>
      </c>
    </row>
    <row r="57" spans="1:10" x14ac:dyDescent="0.25">
      <c r="A57" s="6" t="s">
        <v>148</v>
      </c>
    </row>
    <row r="58" spans="1:10" x14ac:dyDescent="0.25">
      <c r="A58" s="6" t="s">
        <v>149</v>
      </c>
    </row>
    <row r="59" spans="1:10" x14ac:dyDescent="0.25">
      <c r="A59" s="6" t="s">
        <v>150</v>
      </c>
    </row>
    <row r="61" spans="1:10" x14ac:dyDescent="0.25">
      <c r="A61" s="6" t="s">
        <v>151</v>
      </c>
    </row>
    <row r="62" spans="1:10" x14ac:dyDescent="0.25">
      <c r="A62" s="25">
        <v>706</v>
      </c>
      <c r="B62" s="26">
        <v>550</v>
      </c>
      <c r="C62" s="136" t="s">
        <v>199</v>
      </c>
      <c r="D62" s="136"/>
      <c r="E62" s="34" t="s">
        <v>186</v>
      </c>
      <c r="F62" s="137">
        <v>1</v>
      </c>
      <c r="G62" s="137"/>
      <c r="H62" s="29">
        <v>6000</v>
      </c>
      <c r="I62">
        <f>H62*F62</f>
        <v>6000</v>
      </c>
      <c r="J62" s="187" t="s">
        <v>925</v>
      </c>
    </row>
    <row r="63" spans="1:10" x14ac:dyDescent="0.25">
      <c r="A63" s="25">
        <v>706</v>
      </c>
      <c r="B63" s="26">
        <v>600</v>
      </c>
      <c r="C63" s="136" t="s">
        <v>200</v>
      </c>
      <c r="D63" s="136"/>
      <c r="E63" s="34" t="s">
        <v>186</v>
      </c>
      <c r="F63" s="137">
        <v>1</v>
      </c>
      <c r="G63" s="137"/>
      <c r="H63" s="29">
        <v>5500</v>
      </c>
      <c r="I63">
        <f t="shared" ref="I63:I79" si="0">H63*F63</f>
        <v>5500</v>
      </c>
      <c r="J63" s="187" t="s">
        <v>925</v>
      </c>
    </row>
    <row r="64" spans="1:10" x14ac:dyDescent="0.25">
      <c r="A64" s="25">
        <v>709</v>
      </c>
      <c r="B64" s="26">
        <v>100</v>
      </c>
      <c r="C64" s="136" t="s">
        <v>201</v>
      </c>
      <c r="D64" s="136"/>
      <c r="E64" s="34" t="s">
        <v>155</v>
      </c>
      <c r="F64" s="137">
        <v>678</v>
      </c>
      <c r="G64" s="137"/>
      <c r="H64" s="31">
        <v>3</v>
      </c>
      <c r="I64">
        <f t="shared" si="0"/>
        <v>2034</v>
      </c>
      <c r="J64" s="187" t="s">
        <v>925</v>
      </c>
    </row>
    <row r="65" spans="1:10" x14ac:dyDescent="0.25">
      <c r="A65" s="25">
        <v>709</v>
      </c>
      <c r="B65" s="26">
        <v>155</v>
      </c>
      <c r="C65" s="136" t="s">
        <v>202</v>
      </c>
      <c r="D65" s="136"/>
      <c r="E65" s="34" t="s">
        <v>155</v>
      </c>
      <c r="F65" s="137">
        <v>129</v>
      </c>
      <c r="G65" s="137"/>
      <c r="H65" s="31">
        <v>5</v>
      </c>
      <c r="I65">
        <f t="shared" si="0"/>
        <v>645</v>
      </c>
      <c r="J65" s="187" t="s">
        <v>925</v>
      </c>
    </row>
    <row r="66" spans="1:10" x14ac:dyDescent="0.25">
      <c r="A66" s="25">
        <v>714</v>
      </c>
      <c r="B66" s="26">
        <v>615</v>
      </c>
      <c r="C66" s="136" t="s">
        <v>203</v>
      </c>
      <c r="D66" s="136"/>
      <c r="E66" s="34" t="s">
        <v>157</v>
      </c>
      <c r="F66" s="137">
        <v>12</v>
      </c>
      <c r="G66" s="137"/>
      <c r="H66" s="31">
        <v>350</v>
      </c>
      <c r="I66">
        <f t="shared" si="0"/>
        <v>4200</v>
      </c>
      <c r="J66" s="187" t="s">
        <v>925</v>
      </c>
    </row>
    <row r="67" spans="1:10" x14ac:dyDescent="0.25">
      <c r="A67" s="25">
        <v>714</v>
      </c>
      <c r="B67" s="28">
        <v>4105</v>
      </c>
      <c r="C67" s="136" t="s">
        <v>204</v>
      </c>
      <c r="D67" s="136"/>
      <c r="E67" s="34" t="s">
        <v>157</v>
      </c>
      <c r="F67" s="137">
        <v>71</v>
      </c>
      <c r="G67" s="137"/>
      <c r="H67" s="31">
        <v>450</v>
      </c>
      <c r="I67">
        <f t="shared" si="0"/>
        <v>31950</v>
      </c>
      <c r="J67" s="187" t="s">
        <v>925</v>
      </c>
    </row>
    <row r="68" spans="1:10" x14ac:dyDescent="0.25">
      <c r="A68" s="25">
        <v>714</v>
      </c>
      <c r="B68" s="28">
        <v>4115</v>
      </c>
      <c r="C68" s="136" t="s">
        <v>205</v>
      </c>
      <c r="D68" s="136"/>
      <c r="E68" s="34" t="s">
        <v>157</v>
      </c>
      <c r="F68" s="137">
        <v>76</v>
      </c>
      <c r="G68" s="137"/>
      <c r="H68" s="31">
        <v>550</v>
      </c>
      <c r="I68">
        <f t="shared" si="0"/>
        <v>41800</v>
      </c>
      <c r="J68" s="187" t="s">
        <v>925</v>
      </c>
    </row>
    <row r="69" spans="1:10" x14ac:dyDescent="0.25">
      <c r="A69" s="25">
        <v>714</v>
      </c>
      <c r="B69" s="28">
        <v>9660</v>
      </c>
      <c r="C69" s="136" t="s">
        <v>206</v>
      </c>
      <c r="D69" s="136"/>
      <c r="E69" s="34" t="s">
        <v>186</v>
      </c>
      <c r="F69" s="137">
        <v>2</v>
      </c>
      <c r="G69" s="137"/>
      <c r="H69" s="31">
        <v>700</v>
      </c>
      <c r="I69">
        <f t="shared" si="0"/>
        <v>1400</v>
      </c>
      <c r="J69" s="187" t="s">
        <v>925</v>
      </c>
    </row>
    <row r="70" spans="1:10" x14ac:dyDescent="0.25">
      <c r="A70" s="25">
        <v>754</v>
      </c>
      <c r="B70" s="26">
        <v>110</v>
      </c>
      <c r="C70" s="136" t="s">
        <v>207</v>
      </c>
      <c r="D70" s="136"/>
      <c r="E70" s="34" t="s">
        <v>197</v>
      </c>
      <c r="F70" s="137">
        <v>96</v>
      </c>
      <c r="G70" s="137"/>
      <c r="H70" s="31">
        <v>25</v>
      </c>
      <c r="I70">
        <f t="shared" si="0"/>
        <v>2400</v>
      </c>
      <c r="J70" s="187" t="s">
        <v>925</v>
      </c>
    </row>
    <row r="71" spans="1:10" x14ac:dyDescent="0.25">
      <c r="A71" s="25">
        <v>754</v>
      </c>
      <c r="B71" s="26">
        <v>112</v>
      </c>
      <c r="C71" s="136" t="s">
        <v>208</v>
      </c>
      <c r="D71" s="136"/>
      <c r="E71" s="34" t="s">
        <v>197</v>
      </c>
      <c r="F71" s="137">
        <v>145</v>
      </c>
      <c r="G71" s="137"/>
      <c r="H71" s="31">
        <v>20</v>
      </c>
      <c r="I71">
        <f t="shared" si="0"/>
        <v>2900</v>
      </c>
      <c r="J71" s="187" t="s">
        <v>925</v>
      </c>
    </row>
    <row r="72" spans="1:10" x14ac:dyDescent="0.25">
      <c r="A72" s="25">
        <v>754</v>
      </c>
      <c r="B72" s="26">
        <v>206</v>
      </c>
      <c r="C72" s="136" t="s">
        <v>209</v>
      </c>
      <c r="D72" s="136"/>
      <c r="E72" s="34" t="s">
        <v>157</v>
      </c>
      <c r="F72" s="137">
        <v>392</v>
      </c>
      <c r="G72" s="137"/>
      <c r="H72" s="31">
        <v>20</v>
      </c>
      <c r="I72">
        <f t="shared" si="0"/>
        <v>7840</v>
      </c>
      <c r="J72" s="187" t="s">
        <v>925</v>
      </c>
    </row>
    <row r="73" spans="1:10" x14ac:dyDescent="0.25">
      <c r="A73" s="25">
        <v>754</v>
      </c>
      <c r="B73" s="26">
        <v>592</v>
      </c>
      <c r="C73" s="136" t="s">
        <v>210</v>
      </c>
      <c r="D73" s="136"/>
      <c r="E73" s="34" t="s">
        <v>186</v>
      </c>
      <c r="F73" s="137">
        <v>2</v>
      </c>
      <c r="G73" s="137"/>
      <c r="H73" s="31">
        <v>60</v>
      </c>
      <c r="I73">
        <f t="shared" si="0"/>
        <v>120</v>
      </c>
      <c r="J73" s="187" t="s">
        <v>925</v>
      </c>
    </row>
    <row r="74" spans="1:10" x14ac:dyDescent="0.25">
      <c r="A74" s="25">
        <v>754</v>
      </c>
      <c r="B74" s="26">
        <v>805</v>
      </c>
      <c r="C74" s="136" t="s">
        <v>211</v>
      </c>
      <c r="D74" s="136"/>
      <c r="E74" s="34" t="s">
        <v>186</v>
      </c>
      <c r="F74" s="137">
        <v>6</v>
      </c>
      <c r="G74" s="137"/>
      <c r="H74" s="31">
        <v>50</v>
      </c>
      <c r="I74">
        <f t="shared" si="0"/>
        <v>300</v>
      </c>
      <c r="J74" s="187" t="s">
        <v>925</v>
      </c>
    </row>
    <row r="75" spans="1:10" x14ac:dyDescent="0.25">
      <c r="A75" s="25">
        <v>762</v>
      </c>
      <c r="B75" s="26">
        <v>113</v>
      </c>
      <c r="C75" s="136" t="s">
        <v>212</v>
      </c>
      <c r="D75" s="136"/>
      <c r="E75" s="34" t="s">
        <v>157</v>
      </c>
      <c r="F75" s="137">
        <v>8007</v>
      </c>
      <c r="G75" s="137"/>
      <c r="H75" s="31">
        <v>0.5</v>
      </c>
      <c r="I75">
        <f t="shared" si="0"/>
        <v>4003.5</v>
      </c>
      <c r="J75" s="187" t="s">
        <v>925</v>
      </c>
    </row>
    <row r="76" spans="1:10" x14ac:dyDescent="0.25">
      <c r="A76" s="25">
        <v>762</v>
      </c>
      <c r="B76" s="26">
        <v>115</v>
      </c>
      <c r="C76" s="136" t="s">
        <v>213</v>
      </c>
      <c r="D76" s="136"/>
      <c r="E76" s="34" t="s">
        <v>157</v>
      </c>
      <c r="F76" s="137">
        <v>212</v>
      </c>
      <c r="G76" s="137"/>
      <c r="H76" s="31">
        <v>1</v>
      </c>
      <c r="I76">
        <f t="shared" si="0"/>
        <v>212</v>
      </c>
      <c r="J76" s="187" t="s">
        <v>925</v>
      </c>
    </row>
    <row r="77" spans="1:10" x14ac:dyDescent="0.25">
      <c r="A77" s="25">
        <v>762</v>
      </c>
      <c r="B77" s="26">
        <v>117</v>
      </c>
      <c r="C77" s="136" t="s">
        <v>214</v>
      </c>
      <c r="D77" s="136"/>
      <c r="E77" s="34" t="s">
        <v>157</v>
      </c>
      <c r="F77" s="137">
        <v>48</v>
      </c>
      <c r="G77" s="137"/>
      <c r="H77" s="31">
        <v>25</v>
      </c>
      <c r="I77">
        <f t="shared" si="0"/>
        <v>1200</v>
      </c>
      <c r="J77" s="187" t="s">
        <v>925</v>
      </c>
    </row>
    <row r="78" spans="1:10" x14ac:dyDescent="0.25">
      <c r="A78" s="25">
        <v>770</v>
      </c>
      <c r="B78" s="26">
        <v>220</v>
      </c>
      <c r="C78" s="136" t="s">
        <v>215</v>
      </c>
      <c r="D78" s="136"/>
      <c r="E78" s="34" t="s">
        <v>157</v>
      </c>
      <c r="F78" s="137">
        <v>1085</v>
      </c>
      <c r="G78" s="137"/>
      <c r="H78" s="31">
        <v>4</v>
      </c>
      <c r="I78">
        <f t="shared" si="0"/>
        <v>4340</v>
      </c>
      <c r="J78" s="187" t="s">
        <v>925</v>
      </c>
    </row>
    <row r="79" spans="1:10" x14ac:dyDescent="0.25">
      <c r="A79" s="35">
        <v>770</v>
      </c>
      <c r="B79" s="36">
        <v>445</v>
      </c>
      <c r="C79" s="138" t="s">
        <v>216</v>
      </c>
      <c r="D79" s="138"/>
      <c r="E79" s="37" t="s">
        <v>157</v>
      </c>
      <c r="F79" s="139">
        <v>1125</v>
      </c>
      <c r="G79" s="139"/>
      <c r="H79" s="38">
        <v>5</v>
      </c>
      <c r="I79">
        <f t="shared" si="0"/>
        <v>5625</v>
      </c>
      <c r="J79" s="187" t="s">
        <v>925</v>
      </c>
    </row>
    <row r="80" spans="1:10" x14ac:dyDescent="0.25">
      <c r="I80" s="119">
        <f>SUM(I21:I79)*0.1</f>
        <v>99291.200000000012</v>
      </c>
      <c r="J80" s="40" t="s">
        <v>233</v>
      </c>
    </row>
    <row r="81" spans="1:4" x14ac:dyDescent="0.25">
      <c r="A81" s="6" t="s">
        <v>217</v>
      </c>
    </row>
    <row r="82" spans="1:4" x14ac:dyDescent="0.25">
      <c r="A82" s="21" t="s">
        <v>218</v>
      </c>
    </row>
    <row r="83" spans="1:4" x14ac:dyDescent="0.25">
      <c r="A83" s="39" t="s">
        <v>219</v>
      </c>
    </row>
    <row r="84" spans="1:4" x14ac:dyDescent="0.25">
      <c r="A84" s="39" t="s">
        <v>220</v>
      </c>
      <c r="D84" s="118">
        <v>1092203.2</v>
      </c>
    </row>
    <row r="85" spans="1:4" x14ac:dyDescent="0.25">
      <c r="A85" s="21" t="s">
        <v>221</v>
      </c>
    </row>
  </sheetData>
  <mergeCells count="104">
    <mergeCell ref="C79:D79"/>
    <mergeCell ref="F79:G79"/>
    <mergeCell ref="C76:D76"/>
    <mergeCell ref="F76:G76"/>
    <mergeCell ref="C77:D77"/>
    <mergeCell ref="F77:G77"/>
    <mergeCell ref="C78:D78"/>
    <mergeCell ref="F78:G78"/>
    <mergeCell ref="C73:D73"/>
    <mergeCell ref="F73:G73"/>
    <mergeCell ref="C74:D74"/>
    <mergeCell ref="F74:G74"/>
    <mergeCell ref="C75:D75"/>
    <mergeCell ref="F75:G75"/>
    <mergeCell ref="C70:D70"/>
    <mergeCell ref="F70:G70"/>
    <mergeCell ref="C71:D71"/>
    <mergeCell ref="F71:G71"/>
    <mergeCell ref="C72:D72"/>
    <mergeCell ref="F72:G72"/>
    <mergeCell ref="C67:D67"/>
    <mergeCell ref="F67:G67"/>
    <mergeCell ref="C68:D68"/>
    <mergeCell ref="F68:G68"/>
    <mergeCell ref="C69:D69"/>
    <mergeCell ref="F69:G69"/>
    <mergeCell ref="C64:D64"/>
    <mergeCell ref="F64:G64"/>
    <mergeCell ref="C65:D65"/>
    <mergeCell ref="F65:G65"/>
    <mergeCell ref="C66:D66"/>
    <mergeCell ref="F66:G66"/>
    <mergeCell ref="D55:E55"/>
    <mergeCell ref="G55:H55"/>
    <mergeCell ref="C62:D62"/>
    <mergeCell ref="F62:G62"/>
    <mergeCell ref="C63:D63"/>
    <mergeCell ref="F63:G63"/>
    <mergeCell ref="D52:E52"/>
    <mergeCell ref="G52:H52"/>
    <mergeCell ref="D53:E53"/>
    <mergeCell ref="G53:H53"/>
    <mergeCell ref="D54:E54"/>
    <mergeCell ref="G54:H54"/>
    <mergeCell ref="D49:E49"/>
    <mergeCell ref="G49:H49"/>
    <mergeCell ref="D50:E50"/>
    <mergeCell ref="G50:H50"/>
    <mergeCell ref="D51:E51"/>
    <mergeCell ref="G51:H51"/>
    <mergeCell ref="D46:E46"/>
    <mergeCell ref="G46:H46"/>
    <mergeCell ref="D47:E47"/>
    <mergeCell ref="G47:H47"/>
    <mergeCell ref="D48:E48"/>
    <mergeCell ref="G48:H48"/>
    <mergeCell ref="D43:E43"/>
    <mergeCell ref="G43:H43"/>
    <mergeCell ref="D44:E44"/>
    <mergeCell ref="G44:H44"/>
    <mergeCell ref="D45:E45"/>
    <mergeCell ref="G45:H45"/>
    <mergeCell ref="D40:E40"/>
    <mergeCell ref="G40:H40"/>
    <mergeCell ref="D41:E41"/>
    <mergeCell ref="G41:H41"/>
    <mergeCell ref="D42:E42"/>
    <mergeCell ref="G42:H42"/>
    <mergeCell ref="D37:E37"/>
    <mergeCell ref="G37:H37"/>
    <mergeCell ref="D38:E38"/>
    <mergeCell ref="G38:H38"/>
    <mergeCell ref="D39:E39"/>
    <mergeCell ref="G39:H39"/>
    <mergeCell ref="D35:E35"/>
    <mergeCell ref="G35:H35"/>
    <mergeCell ref="D36:E36"/>
    <mergeCell ref="G36:H36"/>
    <mergeCell ref="D31:E31"/>
    <mergeCell ref="G31:H31"/>
    <mergeCell ref="D32:E32"/>
    <mergeCell ref="G32:H32"/>
    <mergeCell ref="D33:E33"/>
    <mergeCell ref="G33:H33"/>
    <mergeCell ref="D30:E30"/>
    <mergeCell ref="G30:H30"/>
    <mergeCell ref="D25:E25"/>
    <mergeCell ref="G25:H25"/>
    <mergeCell ref="D26:E26"/>
    <mergeCell ref="G26:H26"/>
    <mergeCell ref="D27:E27"/>
    <mergeCell ref="G27:H27"/>
    <mergeCell ref="D34:E34"/>
    <mergeCell ref="G34:H34"/>
    <mergeCell ref="D22:E22"/>
    <mergeCell ref="G22:H22"/>
    <mergeCell ref="D23:E23"/>
    <mergeCell ref="G23:H23"/>
    <mergeCell ref="D24:E24"/>
    <mergeCell ref="G24:H24"/>
    <mergeCell ref="D28:E28"/>
    <mergeCell ref="G28:H28"/>
    <mergeCell ref="D29:E29"/>
    <mergeCell ref="G29:H2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E35E-0138-4174-9053-BAB61A23ADC8}">
  <dimension ref="A1:L136"/>
  <sheetViews>
    <sheetView showGridLines="0" topLeftCell="A104" workbookViewId="0">
      <selection activeCell="K119" sqref="K119"/>
    </sheetView>
  </sheetViews>
  <sheetFormatPr defaultRowHeight="15" x14ac:dyDescent="0.25"/>
  <cols>
    <col min="1" max="1" width="5" style="22" customWidth="1"/>
    <col min="2" max="2" width="5.85546875" style="22" customWidth="1"/>
    <col min="3" max="3" width="45" style="22" customWidth="1"/>
    <col min="4" max="4" width="4" style="22" customWidth="1"/>
    <col min="5" max="5" width="1.85546875" style="22" customWidth="1"/>
    <col min="6" max="6" width="12.5703125" style="22" bestFit="1" customWidth="1"/>
    <col min="7" max="7" width="1" style="22" customWidth="1"/>
    <col min="8" max="8" width="8" style="22" customWidth="1"/>
    <col min="9" max="9" width="1.85546875" style="22" customWidth="1"/>
    <col min="10" max="10" width="9.85546875" style="22" customWidth="1"/>
    <col min="11" max="11" width="17.85546875" style="22" customWidth="1"/>
    <col min="12" max="12" width="18.28515625" style="22" bestFit="1" customWidth="1"/>
    <col min="14" max="14" width="12.7109375" bestFit="1" customWidth="1"/>
  </cols>
  <sheetData>
    <row r="1" spans="1:12" x14ac:dyDescent="0.25">
      <c r="A1" s="22" t="s">
        <v>239</v>
      </c>
      <c r="K1"/>
      <c r="L1"/>
    </row>
    <row r="2" spans="1:12" x14ac:dyDescent="0.25">
      <c r="A2" s="22" t="s">
        <v>240</v>
      </c>
      <c r="K2"/>
      <c r="L2"/>
    </row>
    <row r="3" spans="1:12" x14ac:dyDescent="0.25">
      <c r="A3" s="42" t="s">
        <v>241</v>
      </c>
      <c r="K3"/>
      <c r="L3"/>
    </row>
    <row r="4" spans="1:12" ht="15.75" x14ac:dyDescent="0.25">
      <c r="A4" s="43" t="s">
        <v>242</v>
      </c>
      <c r="K4"/>
      <c r="L4"/>
    </row>
    <row r="5" spans="1:12" x14ac:dyDescent="0.25">
      <c r="K5"/>
      <c r="L5"/>
    </row>
    <row r="6" spans="1:12" x14ac:dyDescent="0.25">
      <c r="A6" s="44" t="s">
        <v>243</v>
      </c>
      <c r="K6"/>
      <c r="L6"/>
    </row>
    <row r="7" spans="1:12" x14ac:dyDescent="0.25">
      <c r="A7" s="45" t="s">
        <v>244</v>
      </c>
      <c r="K7"/>
      <c r="L7"/>
    </row>
    <row r="8" spans="1:12" x14ac:dyDescent="0.25">
      <c r="A8" s="45" t="s">
        <v>245</v>
      </c>
      <c r="K8"/>
      <c r="L8"/>
    </row>
    <row r="9" spans="1:12" x14ac:dyDescent="0.25">
      <c r="A9" s="42" t="s">
        <v>246</v>
      </c>
      <c r="K9"/>
      <c r="L9"/>
    </row>
    <row r="10" spans="1:12" x14ac:dyDescent="0.25">
      <c r="A10" s="42" t="s">
        <v>247</v>
      </c>
      <c r="K10"/>
      <c r="L10"/>
    </row>
    <row r="11" spans="1:12" x14ac:dyDescent="0.25">
      <c r="A11" s="22" t="s">
        <v>248</v>
      </c>
      <c r="K11"/>
      <c r="L11"/>
    </row>
    <row r="12" spans="1:12" x14ac:dyDescent="0.25">
      <c r="A12" s="42" t="s">
        <v>249</v>
      </c>
      <c r="K12"/>
      <c r="L12"/>
    </row>
    <row r="13" spans="1:12" x14ac:dyDescent="0.25">
      <c r="K13"/>
      <c r="L13"/>
    </row>
    <row r="14" spans="1:12" x14ac:dyDescent="0.25">
      <c r="A14" s="22" t="s">
        <v>250</v>
      </c>
      <c r="K14"/>
      <c r="L14"/>
    </row>
    <row r="15" spans="1:12" ht="24" x14ac:dyDescent="0.25">
      <c r="A15" s="46" t="s">
        <v>251</v>
      </c>
      <c r="B15" s="47" t="s">
        <v>252</v>
      </c>
      <c r="C15" s="140" t="s">
        <v>253</v>
      </c>
      <c r="D15" s="140"/>
      <c r="E15" s="141" t="s">
        <v>254</v>
      </c>
      <c r="F15" s="141"/>
      <c r="G15" s="142" t="s">
        <v>255</v>
      </c>
      <c r="H15" s="142"/>
      <c r="I15" s="142"/>
      <c r="J15" s="48" t="s">
        <v>256</v>
      </c>
      <c r="K15"/>
      <c r="L15"/>
    </row>
    <row r="16" spans="1:12" x14ac:dyDescent="0.25">
      <c r="A16" s="49">
        <v>103</v>
      </c>
      <c r="B16" s="50">
        <v>100</v>
      </c>
      <c r="C16" s="143" t="s">
        <v>257</v>
      </c>
      <c r="D16" s="143"/>
      <c r="E16" s="144" t="s">
        <v>258</v>
      </c>
      <c r="F16" s="144"/>
      <c r="G16" s="145">
        <v>1</v>
      </c>
      <c r="H16" s="145"/>
      <c r="I16" s="145"/>
      <c r="J16" s="51">
        <v>55000</v>
      </c>
      <c r="K16" s="122">
        <f>J16*G16</f>
        <v>55000</v>
      </c>
      <c r="L16" s="40" t="s">
        <v>233</v>
      </c>
    </row>
    <row r="17" spans="1:12" x14ac:dyDescent="0.25">
      <c r="A17" s="52">
        <v>107</v>
      </c>
      <c r="B17" s="53">
        <v>121</v>
      </c>
      <c r="C17" s="146" t="s">
        <v>259</v>
      </c>
      <c r="D17" s="146"/>
      <c r="E17" s="147" t="s">
        <v>258</v>
      </c>
      <c r="F17" s="147"/>
      <c r="G17" s="148">
        <v>1</v>
      </c>
      <c r="H17" s="148"/>
      <c r="I17" s="148"/>
      <c r="J17" s="55">
        <v>4000</v>
      </c>
      <c r="K17" s="122">
        <f>J17*G17</f>
        <v>4000</v>
      </c>
      <c r="L17" s="40" t="s">
        <v>233</v>
      </c>
    </row>
    <row r="18" spans="1:12" x14ac:dyDescent="0.25">
      <c r="A18" s="52">
        <v>107</v>
      </c>
      <c r="B18" s="53">
        <v>122</v>
      </c>
      <c r="C18" s="146" t="s">
        <v>260</v>
      </c>
      <c r="D18" s="146"/>
      <c r="E18" s="147" t="s">
        <v>258</v>
      </c>
      <c r="F18" s="147"/>
      <c r="G18" s="148">
        <v>1</v>
      </c>
      <c r="H18" s="148"/>
      <c r="I18" s="148"/>
      <c r="J18" s="55">
        <v>4000</v>
      </c>
      <c r="K18" s="122">
        <f>J18*G18</f>
        <v>4000</v>
      </c>
      <c r="L18" s="40" t="s">
        <v>233</v>
      </c>
    </row>
    <row r="19" spans="1:12" x14ac:dyDescent="0.25">
      <c r="A19" s="52">
        <v>107</v>
      </c>
      <c r="B19" s="53">
        <v>123</v>
      </c>
      <c r="C19" s="146" t="s">
        <v>261</v>
      </c>
      <c r="D19" s="146"/>
      <c r="E19" s="147" t="s">
        <v>258</v>
      </c>
      <c r="F19" s="147"/>
      <c r="G19" s="148">
        <v>1</v>
      </c>
      <c r="H19" s="148"/>
      <c r="I19" s="148"/>
      <c r="J19" s="55">
        <v>8000</v>
      </c>
      <c r="K19" s="122">
        <f>J19*G19</f>
        <v>8000</v>
      </c>
      <c r="L19" s="40" t="s">
        <v>233</v>
      </c>
    </row>
    <row r="20" spans="1:12" x14ac:dyDescent="0.25">
      <c r="A20" s="52">
        <v>107</v>
      </c>
      <c r="B20" s="53">
        <v>124</v>
      </c>
      <c r="C20" s="146" t="s">
        <v>262</v>
      </c>
      <c r="D20" s="146"/>
      <c r="E20" s="147" t="s">
        <v>258</v>
      </c>
      <c r="F20" s="147"/>
      <c r="G20" s="148">
        <v>1</v>
      </c>
      <c r="H20" s="148"/>
      <c r="I20" s="148"/>
      <c r="J20" s="55">
        <v>4000</v>
      </c>
      <c r="K20" s="122">
        <f>J20*G20</f>
        <v>4000</v>
      </c>
      <c r="L20" s="40" t="s">
        <v>233</v>
      </c>
    </row>
    <row r="21" spans="1:12" x14ac:dyDescent="0.25">
      <c r="A21" s="52">
        <v>107</v>
      </c>
      <c r="B21" s="53">
        <v>141</v>
      </c>
      <c r="C21" s="146" t="s">
        <v>263</v>
      </c>
      <c r="D21" s="146"/>
      <c r="E21" s="147" t="s">
        <v>258</v>
      </c>
      <c r="F21" s="147"/>
      <c r="G21" s="148">
        <v>1</v>
      </c>
      <c r="H21" s="148"/>
      <c r="I21" s="148"/>
      <c r="J21" s="55">
        <v>21100</v>
      </c>
      <c r="K21" s="122">
        <f>J21*G21</f>
        <v>21100</v>
      </c>
      <c r="L21" s="40" t="s">
        <v>233</v>
      </c>
    </row>
    <row r="22" spans="1:12" x14ac:dyDescent="0.25">
      <c r="A22" s="52">
        <v>107</v>
      </c>
      <c r="B22" s="53">
        <v>142</v>
      </c>
      <c r="C22" s="146" t="s">
        <v>264</v>
      </c>
      <c r="D22" s="146"/>
      <c r="E22" s="147" t="s">
        <v>258</v>
      </c>
      <c r="F22" s="147"/>
      <c r="G22" s="148">
        <v>1</v>
      </c>
      <c r="H22" s="148"/>
      <c r="I22" s="148"/>
      <c r="J22" s="55">
        <v>1500</v>
      </c>
      <c r="K22" s="122">
        <f>J22*G22</f>
        <v>1500</v>
      </c>
      <c r="L22" s="40" t="s">
        <v>233</v>
      </c>
    </row>
    <row r="23" spans="1:12" x14ac:dyDescent="0.25">
      <c r="A23" s="52">
        <v>107</v>
      </c>
      <c r="B23" s="53">
        <v>143</v>
      </c>
      <c r="C23" s="146" t="s">
        <v>265</v>
      </c>
      <c r="D23" s="146"/>
      <c r="E23" s="147" t="s">
        <v>258</v>
      </c>
      <c r="F23" s="147"/>
      <c r="G23" s="148">
        <v>1</v>
      </c>
      <c r="H23" s="148"/>
      <c r="I23" s="148"/>
      <c r="J23" s="55">
        <v>51900</v>
      </c>
      <c r="K23" s="122">
        <f>J23*G23</f>
        <v>51900</v>
      </c>
      <c r="L23" s="40" t="s">
        <v>233</v>
      </c>
    </row>
    <row r="24" spans="1:12" x14ac:dyDescent="0.25">
      <c r="A24" s="52">
        <v>107</v>
      </c>
      <c r="B24" s="53">
        <v>144</v>
      </c>
      <c r="C24" s="146" t="s">
        <v>266</v>
      </c>
      <c r="D24" s="146"/>
      <c r="E24" s="147" t="s">
        <v>258</v>
      </c>
      <c r="F24" s="147"/>
      <c r="G24" s="148">
        <v>1</v>
      </c>
      <c r="H24" s="148"/>
      <c r="I24" s="148"/>
      <c r="J24" s="55">
        <v>21100</v>
      </c>
      <c r="K24" s="122">
        <f>J24*G24</f>
        <v>21100</v>
      </c>
      <c r="L24" s="40" t="s">
        <v>233</v>
      </c>
    </row>
    <row r="25" spans="1:12" x14ac:dyDescent="0.25">
      <c r="A25" s="52">
        <v>107</v>
      </c>
      <c r="B25" s="53">
        <v>145</v>
      </c>
      <c r="C25" s="146" t="s">
        <v>267</v>
      </c>
      <c r="D25" s="146"/>
      <c r="E25" s="147" t="s">
        <v>268</v>
      </c>
      <c r="F25" s="147"/>
      <c r="G25" s="148">
        <v>1600</v>
      </c>
      <c r="H25" s="148"/>
      <c r="I25" s="148"/>
      <c r="J25" s="56">
        <v>14</v>
      </c>
      <c r="K25" s="122">
        <f>J25*G25</f>
        <v>22400</v>
      </c>
      <c r="L25" s="40" t="s">
        <v>233</v>
      </c>
    </row>
    <row r="26" spans="1:12" x14ac:dyDescent="0.25">
      <c r="A26" s="52">
        <v>109</v>
      </c>
      <c r="B26" s="57">
        <v>1000</v>
      </c>
      <c r="C26" s="146" t="s">
        <v>269</v>
      </c>
      <c r="D26" s="146"/>
      <c r="E26" s="147" t="s">
        <v>258</v>
      </c>
      <c r="F26" s="147"/>
      <c r="G26" s="148">
        <v>1</v>
      </c>
      <c r="H26" s="148"/>
      <c r="I26" s="148"/>
      <c r="J26" s="55">
        <v>12000</v>
      </c>
      <c r="K26" s="122">
        <f>J26*G26</f>
        <v>12000</v>
      </c>
      <c r="L26" s="40" t="s">
        <v>233</v>
      </c>
    </row>
    <row r="27" spans="1:12" x14ac:dyDescent="0.25">
      <c r="A27" s="52">
        <v>202</v>
      </c>
      <c r="B27" s="53">
        <v>174</v>
      </c>
      <c r="C27" s="146" t="s">
        <v>270</v>
      </c>
      <c r="D27" s="146"/>
      <c r="E27" s="149" t="s">
        <v>271</v>
      </c>
      <c r="F27" s="149"/>
      <c r="G27" s="148">
        <v>747</v>
      </c>
      <c r="H27" s="148"/>
      <c r="I27" s="148"/>
      <c r="J27" s="56">
        <v>34</v>
      </c>
      <c r="K27" s="122">
        <f>J27*G27</f>
        <v>25398</v>
      </c>
      <c r="L27" s="40" t="s">
        <v>233</v>
      </c>
    </row>
    <row r="28" spans="1:12" x14ac:dyDescent="0.25">
      <c r="A28" s="52">
        <v>203</v>
      </c>
      <c r="B28" s="53">
        <v>101</v>
      </c>
      <c r="C28" s="146" t="s">
        <v>272</v>
      </c>
      <c r="D28" s="146"/>
      <c r="E28" s="149" t="s">
        <v>273</v>
      </c>
      <c r="F28" s="149"/>
      <c r="G28" s="148">
        <v>33232</v>
      </c>
      <c r="H28" s="148"/>
      <c r="I28" s="148"/>
      <c r="J28" s="56">
        <v>22</v>
      </c>
      <c r="K28" s="122">
        <f>J28*G28</f>
        <v>731104</v>
      </c>
      <c r="L28" s="187" t="s">
        <v>925</v>
      </c>
    </row>
    <row r="29" spans="1:12" x14ac:dyDescent="0.25">
      <c r="A29" s="52">
        <v>203</v>
      </c>
      <c r="B29" s="53">
        <v>109</v>
      </c>
      <c r="C29" s="146" t="s">
        <v>274</v>
      </c>
      <c r="D29" s="146"/>
      <c r="E29" s="149" t="s">
        <v>273</v>
      </c>
      <c r="F29" s="149"/>
      <c r="G29" s="148">
        <v>64320</v>
      </c>
      <c r="H29" s="148"/>
      <c r="I29" s="148"/>
      <c r="J29" s="56">
        <v>7.5</v>
      </c>
      <c r="K29" s="122">
        <f>J29*G29</f>
        <v>482400</v>
      </c>
      <c r="L29" s="187" t="s">
        <v>925</v>
      </c>
    </row>
    <row r="30" spans="1:12" x14ac:dyDescent="0.25">
      <c r="A30" s="52">
        <v>203</v>
      </c>
      <c r="B30" s="53">
        <v>113</v>
      </c>
      <c r="C30" s="146" t="s">
        <v>275</v>
      </c>
      <c r="D30" s="146"/>
      <c r="E30" s="149" t="s">
        <v>273</v>
      </c>
      <c r="F30" s="149"/>
      <c r="G30" s="148">
        <v>10108</v>
      </c>
      <c r="H30" s="148"/>
      <c r="I30" s="148"/>
      <c r="J30" s="56">
        <v>12</v>
      </c>
      <c r="K30" s="122">
        <f>J30*G30</f>
        <v>121296</v>
      </c>
      <c r="L30" s="40" t="s">
        <v>233</v>
      </c>
    </row>
    <row r="31" spans="1:12" x14ac:dyDescent="0.25">
      <c r="A31" s="52">
        <v>203</v>
      </c>
      <c r="B31" s="53">
        <v>140</v>
      </c>
      <c r="C31" s="146" t="s">
        <v>276</v>
      </c>
      <c r="D31" s="146"/>
      <c r="E31" s="149" t="s">
        <v>273</v>
      </c>
      <c r="F31" s="149"/>
      <c r="G31" s="148">
        <v>42601</v>
      </c>
      <c r="H31" s="148"/>
      <c r="I31" s="148"/>
      <c r="J31" s="56">
        <v>18</v>
      </c>
      <c r="K31" s="122">
        <f>J31*G31</f>
        <v>766818</v>
      </c>
      <c r="L31" s="187" t="s">
        <v>925</v>
      </c>
    </row>
    <row r="32" spans="1:12" x14ac:dyDescent="0.25">
      <c r="A32" s="52">
        <v>216</v>
      </c>
      <c r="B32" s="53">
        <v>100</v>
      </c>
      <c r="C32" s="146" t="s">
        <v>277</v>
      </c>
      <c r="D32" s="146"/>
      <c r="E32" s="147" t="s">
        <v>278</v>
      </c>
      <c r="F32" s="147"/>
      <c r="G32" s="148">
        <v>2335</v>
      </c>
      <c r="H32" s="148"/>
      <c r="I32" s="148"/>
      <c r="J32" s="56">
        <v>45</v>
      </c>
      <c r="K32" s="122">
        <f>J32*G32</f>
        <v>105075</v>
      </c>
      <c r="L32" s="40" t="s">
        <v>233</v>
      </c>
    </row>
    <row r="33" spans="1:12" x14ac:dyDescent="0.25">
      <c r="A33" s="52">
        <v>251</v>
      </c>
      <c r="B33" s="53">
        <v>200</v>
      </c>
      <c r="C33" s="146" t="s">
        <v>279</v>
      </c>
      <c r="D33" s="146"/>
      <c r="E33" s="147" t="s">
        <v>280</v>
      </c>
      <c r="F33" s="147"/>
      <c r="G33" s="150">
        <v>41.92</v>
      </c>
      <c r="H33" s="150"/>
      <c r="I33" s="150"/>
      <c r="J33" s="56">
        <v>500</v>
      </c>
      <c r="K33" s="122">
        <f>J33*G33</f>
        <v>20960</v>
      </c>
      <c r="L33" s="187" t="s">
        <v>925</v>
      </c>
    </row>
    <row r="34" spans="1:12" x14ac:dyDescent="0.25">
      <c r="A34" s="52">
        <v>251</v>
      </c>
      <c r="B34" s="57">
        <v>1000</v>
      </c>
      <c r="C34" s="146" t="s">
        <v>281</v>
      </c>
      <c r="D34" s="146"/>
      <c r="E34" s="147" t="s">
        <v>280</v>
      </c>
      <c r="F34" s="147"/>
      <c r="G34" s="150">
        <v>3.85</v>
      </c>
      <c r="H34" s="150"/>
      <c r="I34" s="150"/>
      <c r="J34" s="56">
        <v>700</v>
      </c>
      <c r="K34" s="122">
        <f>J34*G34</f>
        <v>2695</v>
      </c>
      <c r="L34" s="187" t="s">
        <v>925</v>
      </c>
    </row>
    <row r="35" spans="1:12" x14ac:dyDescent="0.25">
      <c r="A35" s="52">
        <v>251</v>
      </c>
      <c r="B35" s="57">
        <v>2000</v>
      </c>
      <c r="C35" s="146" t="s">
        <v>282</v>
      </c>
      <c r="D35" s="146"/>
      <c r="E35" s="147" t="s">
        <v>280</v>
      </c>
      <c r="F35" s="147"/>
      <c r="G35" s="150">
        <v>46.11</v>
      </c>
      <c r="H35" s="150"/>
      <c r="I35" s="150"/>
      <c r="J35" s="56">
        <v>136</v>
      </c>
      <c r="K35" s="122">
        <f>J35*G35</f>
        <v>6270.96</v>
      </c>
      <c r="L35" s="40" t="s">
        <v>233</v>
      </c>
    </row>
    <row r="36" spans="1:12" x14ac:dyDescent="0.25">
      <c r="A36" s="52">
        <v>253</v>
      </c>
      <c r="B36" s="53">
        <v>61</v>
      </c>
      <c r="C36" s="146" t="s">
        <v>283</v>
      </c>
      <c r="D36" s="146"/>
      <c r="E36" s="147" t="s">
        <v>280</v>
      </c>
      <c r="F36" s="147"/>
      <c r="G36" s="150">
        <v>90.63</v>
      </c>
      <c r="H36" s="150"/>
      <c r="I36" s="150"/>
      <c r="J36" s="56">
        <v>391</v>
      </c>
      <c r="K36" s="122">
        <f>J36*G36</f>
        <v>35436.33</v>
      </c>
      <c r="L36" s="40" t="s">
        <v>233</v>
      </c>
    </row>
    <row r="37" spans="1:12" x14ac:dyDescent="0.25">
      <c r="A37" s="52">
        <v>255</v>
      </c>
      <c r="B37" s="53">
        <v>102</v>
      </c>
      <c r="C37" s="146" t="s">
        <v>284</v>
      </c>
      <c r="D37" s="146"/>
      <c r="E37" s="149" t="s">
        <v>285</v>
      </c>
      <c r="F37" s="149"/>
      <c r="G37" s="148">
        <v>3685</v>
      </c>
      <c r="H37" s="148"/>
      <c r="I37" s="148"/>
      <c r="J37" s="56">
        <v>2.2999999999999998</v>
      </c>
      <c r="K37" s="122">
        <f>J37*G37</f>
        <v>8475.5</v>
      </c>
      <c r="L37" s="187" t="s">
        <v>925</v>
      </c>
    </row>
    <row r="38" spans="1:12" x14ac:dyDescent="0.25">
      <c r="A38" s="52">
        <v>255</v>
      </c>
      <c r="B38" s="53">
        <v>201</v>
      </c>
      <c r="C38" s="146" t="s">
        <v>286</v>
      </c>
      <c r="D38" s="146"/>
      <c r="E38" s="149" t="s">
        <v>285</v>
      </c>
      <c r="F38" s="149"/>
      <c r="G38" s="148">
        <v>54</v>
      </c>
      <c r="H38" s="148"/>
      <c r="I38" s="148"/>
      <c r="J38" s="56">
        <v>7</v>
      </c>
      <c r="K38" s="122">
        <f>J38*G38</f>
        <v>378</v>
      </c>
      <c r="L38" s="187" t="s">
        <v>925</v>
      </c>
    </row>
    <row r="39" spans="1:12" x14ac:dyDescent="0.25">
      <c r="A39" s="52">
        <v>260</v>
      </c>
      <c r="B39" s="53">
        <v>200</v>
      </c>
      <c r="C39" s="146" t="s">
        <v>287</v>
      </c>
      <c r="D39" s="146"/>
      <c r="E39" s="149" t="s">
        <v>271</v>
      </c>
      <c r="F39" s="149"/>
      <c r="G39" s="148">
        <v>15332</v>
      </c>
      <c r="H39" s="148"/>
      <c r="I39" s="148"/>
      <c r="J39" s="56">
        <v>2.5</v>
      </c>
      <c r="K39" s="122">
        <f>J39*G39</f>
        <v>38330</v>
      </c>
      <c r="L39" s="187" t="s">
        <v>925</v>
      </c>
    </row>
    <row r="40" spans="1:12" x14ac:dyDescent="0.25">
      <c r="A40" s="52">
        <v>260</v>
      </c>
      <c r="B40" s="53">
        <v>201</v>
      </c>
      <c r="C40" s="146" t="s">
        <v>288</v>
      </c>
      <c r="D40" s="146"/>
      <c r="E40" s="149" t="s">
        <v>271</v>
      </c>
      <c r="F40" s="149"/>
      <c r="G40" s="148">
        <v>15332</v>
      </c>
      <c r="H40" s="148"/>
      <c r="I40" s="148"/>
      <c r="J40" s="56">
        <v>0.55000000000000004</v>
      </c>
      <c r="K40" s="122">
        <f>J40*G40</f>
        <v>8432.6</v>
      </c>
      <c r="L40" s="40" t="s">
        <v>233</v>
      </c>
    </row>
    <row r="41" spans="1:12" x14ac:dyDescent="0.25">
      <c r="A41" s="52">
        <v>261</v>
      </c>
      <c r="B41" s="53">
        <v>112</v>
      </c>
      <c r="C41" s="146" t="s">
        <v>289</v>
      </c>
      <c r="D41" s="146"/>
      <c r="E41" s="149" t="s">
        <v>271</v>
      </c>
      <c r="F41" s="149"/>
      <c r="G41" s="148">
        <v>62437</v>
      </c>
      <c r="H41" s="148"/>
      <c r="I41" s="148"/>
      <c r="J41" s="56">
        <v>2.5</v>
      </c>
      <c r="K41" s="122">
        <f>J41*G41</f>
        <v>156092.5</v>
      </c>
      <c r="L41" s="187" t="s">
        <v>925</v>
      </c>
    </row>
    <row r="42" spans="1:12" x14ac:dyDescent="0.25">
      <c r="A42" s="52">
        <v>261</v>
      </c>
      <c r="B42" s="53">
        <v>113</v>
      </c>
      <c r="C42" s="146" t="s">
        <v>290</v>
      </c>
      <c r="D42" s="146"/>
      <c r="E42" s="149" t="s">
        <v>271</v>
      </c>
      <c r="F42" s="149"/>
      <c r="G42" s="148">
        <v>23821</v>
      </c>
      <c r="H42" s="148"/>
      <c r="I42" s="148"/>
      <c r="J42" s="56">
        <v>0.55000000000000004</v>
      </c>
      <c r="K42" s="122">
        <f>J42*G42</f>
        <v>13101.550000000001</v>
      </c>
      <c r="L42" s="40" t="s">
        <v>233</v>
      </c>
    </row>
    <row r="43" spans="1:12" x14ac:dyDescent="0.25">
      <c r="A43" s="52">
        <v>261</v>
      </c>
      <c r="B43" s="53">
        <v>120</v>
      </c>
      <c r="C43" s="146" t="s">
        <v>291</v>
      </c>
      <c r="D43" s="146"/>
      <c r="E43" s="149" t="s">
        <v>271</v>
      </c>
      <c r="F43" s="149"/>
      <c r="G43" s="148">
        <v>280</v>
      </c>
      <c r="H43" s="148"/>
      <c r="I43" s="148"/>
      <c r="J43" s="56">
        <v>4.1500000000000004</v>
      </c>
      <c r="K43" s="122">
        <f>J43*G43</f>
        <v>1162</v>
      </c>
      <c r="L43" s="187" t="s">
        <v>925</v>
      </c>
    </row>
    <row r="44" spans="1:12" x14ac:dyDescent="0.25">
      <c r="A44" s="52">
        <v>261</v>
      </c>
      <c r="B44" s="53">
        <v>121</v>
      </c>
      <c r="C44" s="146" t="s">
        <v>292</v>
      </c>
      <c r="D44" s="146"/>
      <c r="E44" s="149" t="s">
        <v>271</v>
      </c>
      <c r="F44" s="149"/>
      <c r="G44" s="148">
        <v>280</v>
      </c>
      <c r="H44" s="148"/>
      <c r="I44" s="148"/>
      <c r="J44" s="56">
        <v>0.55000000000000004</v>
      </c>
      <c r="K44" s="122">
        <f>J44*G44</f>
        <v>154</v>
      </c>
      <c r="L44" s="40" t="s">
        <v>233</v>
      </c>
    </row>
    <row r="45" spans="1:12" x14ac:dyDescent="0.25">
      <c r="A45" s="52">
        <v>302</v>
      </c>
      <c r="B45" s="53">
        <v>120</v>
      </c>
      <c r="C45" s="146" t="s">
        <v>293</v>
      </c>
      <c r="D45" s="146"/>
      <c r="E45" s="151" t="s">
        <v>294</v>
      </c>
      <c r="F45" s="151"/>
      <c r="G45" s="148">
        <v>79041</v>
      </c>
      <c r="H45" s="148"/>
      <c r="I45" s="148"/>
      <c r="J45" s="56">
        <v>22</v>
      </c>
      <c r="K45" s="122">
        <f>J45*G45</f>
        <v>1738902</v>
      </c>
      <c r="L45" s="187" t="s">
        <v>925</v>
      </c>
    </row>
    <row r="46" spans="1:12" x14ac:dyDescent="0.25">
      <c r="A46" s="52">
        <v>401</v>
      </c>
      <c r="B46" s="53">
        <v>50</v>
      </c>
      <c r="C46" s="146" t="s">
        <v>295</v>
      </c>
      <c r="D46" s="146"/>
      <c r="E46" s="149" t="s">
        <v>296</v>
      </c>
      <c r="F46" s="149"/>
      <c r="G46" s="148">
        <v>6918</v>
      </c>
      <c r="H46" s="148"/>
      <c r="I46" s="148"/>
      <c r="J46" s="56">
        <v>4.0999999999999996</v>
      </c>
      <c r="K46" s="122">
        <f>J46*G46</f>
        <v>28363.8</v>
      </c>
      <c r="L46" s="187" t="s">
        <v>925</v>
      </c>
    </row>
    <row r="47" spans="1:12" x14ac:dyDescent="0.25">
      <c r="A47" s="52">
        <v>401</v>
      </c>
      <c r="B47" s="53">
        <v>60</v>
      </c>
      <c r="C47" s="146" t="s">
        <v>297</v>
      </c>
      <c r="D47" s="146"/>
      <c r="E47" s="149" t="s">
        <v>296</v>
      </c>
      <c r="F47" s="149"/>
      <c r="G47" s="148">
        <v>21639</v>
      </c>
      <c r="H47" s="148"/>
      <c r="I47" s="148"/>
      <c r="J47" s="56">
        <v>5.4</v>
      </c>
      <c r="K47" s="122">
        <f>J47*G47</f>
        <v>116850.6</v>
      </c>
      <c r="L47" s="187" t="s">
        <v>925</v>
      </c>
    </row>
    <row r="48" spans="1:12" x14ac:dyDescent="0.25">
      <c r="A48" s="52">
        <v>401</v>
      </c>
      <c r="B48" s="53">
        <v>160</v>
      </c>
      <c r="C48" s="146" t="s">
        <v>298</v>
      </c>
      <c r="D48" s="146"/>
      <c r="E48" s="151" t="s">
        <v>294</v>
      </c>
      <c r="F48" s="151"/>
      <c r="G48" s="148">
        <v>466</v>
      </c>
      <c r="H48" s="148"/>
      <c r="I48" s="148"/>
      <c r="J48" s="56">
        <v>65</v>
      </c>
      <c r="K48" s="122">
        <f>J48*G48</f>
        <v>30290</v>
      </c>
      <c r="L48" s="187" t="s">
        <v>925</v>
      </c>
    </row>
    <row r="49" spans="1:12" x14ac:dyDescent="0.25">
      <c r="A49" s="52">
        <v>411</v>
      </c>
      <c r="B49" s="53">
        <v>105</v>
      </c>
      <c r="C49" s="146" t="s">
        <v>299</v>
      </c>
      <c r="D49" s="146"/>
      <c r="E49" s="149" t="s">
        <v>285</v>
      </c>
      <c r="F49" s="149"/>
      <c r="G49" s="148">
        <v>28088</v>
      </c>
      <c r="H49" s="148"/>
      <c r="I49" s="148"/>
      <c r="J49" s="56">
        <v>2</v>
      </c>
      <c r="K49" s="122">
        <f>J49*G49</f>
        <v>56176</v>
      </c>
      <c r="L49" s="187" t="s">
        <v>925</v>
      </c>
    </row>
    <row r="50" spans="1:12" x14ac:dyDescent="0.25">
      <c r="A50" s="41" t="s">
        <v>300</v>
      </c>
      <c r="K50"/>
      <c r="L50"/>
    </row>
    <row r="51" spans="1:12" x14ac:dyDescent="0.25">
      <c r="A51" s="41" t="s">
        <v>254</v>
      </c>
      <c r="K51" s="122"/>
      <c r="L51"/>
    </row>
    <row r="52" spans="1:12" x14ac:dyDescent="0.25">
      <c r="A52" s="41" t="s">
        <v>255</v>
      </c>
      <c r="K52" s="122"/>
      <c r="L52"/>
    </row>
    <row r="53" spans="1:12" x14ac:dyDescent="0.25">
      <c r="A53" s="41" t="s">
        <v>256</v>
      </c>
      <c r="K53" s="122"/>
      <c r="L53"/>
    </row>
    <row r="54" spans="1:12" x14ac:dyDescent="0.25">
      <c r="K54" s="122"/>
      <c r="L54"/>
    </row>
    <row r="55" spans="1:12" x14ac:dyDescent="0.25">
      <c r="A55" s="41" t="s">
        <v>301</v>
      </c>
      <c r="K55" s="122"/>
      <c r="L55"/>
    </row>
    <row r="56" spans="1:12" x14ac:dyDescent="0.25">
      <c r="K56" s="122"/>
      <c r="L56"/>
    </row>
    <row r="57" spans="1:12" x14ac:dyDescent="0.25">
      <c r="A57" s="57">
        <v>430</v>
      </c>
      <c r="B57" s="53">
        <v>45</v>
      </c>
      <c r="C57" s="146" t="s">
        <v>302</v>
      </c>
      <c r="D57" s="146"/>
      <c r="E57" s="146"/>
      <c r="F57" s="154" t="s">
        <v>294</v>
      </c>
      <c r="G57" s="154"/>
      <c r="H57" s="58">
        <v>22131</v>
      </c>
      <c r="I57" s="153">
        <v>150</v>
      </c>
      <c r="J57" s="153"/>
      <c r="K57" s="122">
        <f>H57*I57</f>
        <v>3319650</v>
      </c>
      <c r="L57" s="187" t="s">
        <v>925</v>
      </c>
    </row>
    <row r="58" spans="1:12" x14ac:dyDescent="0.25">
      <c r="A58" s="57">
        <v>430</v>
      </c>
      <c r="B58" s="57">
        <v>1000</v>
      </c>
      <c r="C58" s="146" t="s">
        <v>303</v>
      </c>
      <c r="D58" s="146"/>
      <c r="E58" s="146"/>
      <c r="F58" s="152" t="s">
        <v>304</v>
      </c>
      <c r="G58" s="152"/>
      <c r="H58" s="58">
        <v>126</v>
      </c>
      <c r="I58" s="153">
        <v>65</v>
      </c>
      <c r="J58" s="153"/>
      <c r="K58" s="122">
        <f t="shared" ref="K58:K99" si="0">H58*I58</f>
        <v>8190</v>
      </c>
      <c r="L58" s="187" t="s">
        <v>925</v>
      </c>
    </row>
    <row r="59" spans="1:12" x14ac:dyDescent="0.25">
      <c r="A59" s="57">
        <v>430</v>
      </c>
      <c r="B59" s="57">
        <v>5818</v>
      </c>
      <c r="C59" s="146" t="s">
        <v>305</v>
      </c>
      <c r="D59" s="146"/>
      <c r="E59" s="146"/>
      <c r="F59" s="154" t="s">
        <v>294</v>
      </c>
      <c r="G59" s="154"/>
      <c r="H59" s="58">
        <v>1328</v>
      </c>
      <c r="I59" s="153">
        <v>900</v>
      </c>
      <c r="J59" s="153"/>
      <c r="K59" s="122">
        <f t="shared" si="0"/>
        <v>1195200</v>
      </c>
      <c r="L59" s="187" t="s">
        <v>925</v>
      </c>
    </row>
    <row r="60" spans="1:12" x14ac:dyDescent="0.25">
      <c r="A60" s="57">
        <v>702</v>
      </c>
      <c r="B60" s="53">
        <v>100</v>
      </c>
      <c r="C60" s="146" t="s">
        <v>306</v>
      </c>
      <c r="D60" s="146"/>
      <c r="E60" s="146"/>
      <c r="F60" s="155" t="s">
        <v>258</v>
      </c>
      <c r="G60" s="155"/>
      <c r="H60" s="58">
        <v>1</v>
      </c>
      <c r="I60" s="156">
        <v>1300000</v>
      </c>
      <c r="J60" s="156"/>
      <c r="K60" s="122">
        <f t="shared" si="0"/>
        <v>1300000</v>
      </c>
      <c r="L60" s="40" t="s">
        <v>233</v>
      </c>
    </row>
    <row r="61" spans="1:12" x14ac:dyDescent="0.25">
      <c r="A61" s="57">
        <v>704</v>
      </c>
      <c r="B61" s="53">
        <v>100</v>
      </c>
      <c r="C61" s="146" t="s">
        <v>307</v>
      </c>
      <c r="D61" s="146"/>
      <c r="E61" s="146"/>
      <c r="F61" s="154" t="s">
        <v>308</v>
      </c>
      <c r="G61" s="154"/>
      <c r="H61" s="58">
        <v>3600</v>
      </c>
      <c r="I61" s="153">
        <v>58</v>
      </c>
      <c r="J61" s="153"/>
      <c r="K61" s="122">
        <f t="shared" si="0"/>
        <v>208800</v>
      </c>
      <c r="L61" s="40" t="s">
        <v>233</v>
      </c>
    </row>
    <row r="62" spans="1:12" x14ac:dyDescent="0.25">
      <c r="A62" s="57">
        <v>704</v>
      </c>
      <c r="B62" s="57">
        <v>1000</v>
      </c>
      <c r="C62" s="146" t="s">
        <v>309</v>
      </c>
      <c r="D62" s="146"/>
      <c r="E62" s="146"/>
      <c r="F62" s="154" t="s">
        <v>310</v>
      </c>
      <c r="G62" s="154"/>
      <c r="H62" s="58">
        <v>5350</v>
      </c>
      <c r="I62" s="153">
        <v>1.3</v>
      </c>
      <c r="J62" s="153"/>
      <c r="K62" s="122">
        <f t="shared" si="0"/>
        <v>6955</v>
      </c>
      <c r="L62" s="40" t="s">
        <v>233</v>
      </c>
    </row>
    <row r="63" spans="1:12" x14ac:dyDescent="0.25">
      <c r="A63" s="57">
        <v>704</v>
      </c>
      <c r="B63" s="57">
        <v>1048</v>
      </c>
      <c r="C63" s="146" t="s">
        <v>311</v>
      </c>
      <c r="D63" s="146"/>
      <c r="E63" s="146"/>
      <c r="F63" s="152" t="s">
        <v>304</v>
      </c>
      <c r="G63" s="152"/>
      <c r="H63" s="58">
        <v>10</v>
      </c>
      <c r="I63" s="153">
        <v>800</v>
      </c>
      <c r="J63" s="153"/>
      <c r="K63" s="122">
        <f t="shared" si="0"/>
        <v>8000</v>
      </c>
      <c r="L63" s="40" t="s">
        <v>233</v>
      </c>
    </row>
    <row r="64" spans="1:12" x14ac:dyDescent="0.25">
      <c r="A64" s="57">
        <v>704</v>
      </c>
      <c r="B64" s="57">
        <v>1052</v>
      </c>
      <c r="C64" s="146" t="s">
        <v>312</v>
      </c>
      <c r="D64" s="146"/>
      <c r="E64" s="146"/>
      <c r="F64" s="152" t="s">
        <v>304</v>
      </c>
      <c r="G64" s="152"/>
      <c r="H64" s="58">
        <v>10</v>
      </c>
      <c r="I64" s="153">
        <v>100</v>
      </c>
      <c r="J64" s="153"/>
      <c r="K64" s="122">
        <f t="shared" si="0"/>
        <v>1000</v>
      </c>
      <c r="L64" s="40" t="s">
        <v>233</v>
      </c>
    </row>
    <row r="65" spans="1:12" x14ac:dyDescent="0.25">
      <c r="A65" s="57">
        <v>704</v>
      </c>
      <c r="B65" s="57">
        <v>1060</v>
      </c>
      <c r="C65" s="146" t="s">
        <v>313</v>
      </c>
      <c r="D65" s="146"/>
      <c r="E65" s="146"/>
      <c r="F65" s="152" t="s">
        <v>304</v>
      </c>
      <c r="G65" s="152"/>
      <c r="H65" s="58">
        <v>100</v>
      </c>
      <c r="I65" s="153">
        <v>25</v>
      </c>
      <c r="J65" s="153"/>
      <c r="K65" s="122">
        <f t="shared" si="0"/>
        <v>2500</v>
      </c>
      <c r="L65" s="40" t="s">
        <v>233</v>
      </c>
    </row>
    <row r="66" spans="1:12" x14ac:dyDescent="0.25">
      <c r="A66" s="57">
        <v>704</v>
      </c>
      <c r="B66" s="57">
        <v>1080</v>
      </c>
      <c r="C66" s="146" t="s">
        <v>314</v>
      </c>
      <c r="D66" s="146"/>
      <c r="E66" s="146"/>
      <c r="F66" s="152" t="s">
        <v>304</v>
      </c>
      <c r="G66" s="152"/>
      <c r="H66" s="58">
        <v>363</v>
      </c>
      <c r="I66" s="153">
        <v>30</v>
      </c>
      <c r="J66" s="153"/>
      <c r="K66" s="122">
        <f t="shared" si="0"/>
        <v>10890</v>
      </c>
      <c r="L66" s="40" t="s">
        <v>233</v>
      </c>
    </row>
    <row r="67" spans="1:12" x14ac:dyDescent="0.25">
      <c r="A67" s="57">
        <v>704</v>
      </c>
      <c r="B67" s="57">
        <v>1185</v>
      </c>
      <c r="C67" s="146" t="s">
        <v>315</v>
      </c>
      <c r="D67" s="146"/>
      <c r="E67" s="146"/>
      <c r="F67" s="152" t="s">
        <v>316</v>
      </c>
      <c r="G67" s="152"/>
      <c r="H67" s="58">
        <v>1800</v>
      </c>
      <c r="I67" s="153">
        <v>65</v>
      </c>
      <c r="J67" s="153"/>
      <c r="K67" s="122">
        <f t="shared" si="0"/>
        <v>117000</v>
      </c>
      <c r="L67" s="40" t="s">
        <v>233</v>
      </c>
    </row>
    <row r="68" spans="1:12" x14ac:dyDescent="0.25">
      <c r="A68" s="57">
        <v>704</v>
      </c>
      <c r="B68" s="57">
        <v>1500</v>
      </c>
      <c r="C68" s="146" t="s">
        <v>317</v>
      </c>
      <c r="D68" s="146"/>
      <c r="E68" s="146"/>
      <c r="F68" s="152" t="s">
        <v>318</v>
      </c>
      <c r="G68" s="152"/>
      <c r="H68" s="58">
        <v>9518</v>
      </c>
      <c r="I68" s="153">
        <v>5.5</v>
      </c>
      <c r="J68" s="153"/>
      <c r="K68" s="122">
        <f t="shared" si="0"/>
        <v>52349</v>
      </c>
      <c r="L68" s="40" t="s">
        <v>233</v>
      </c>
    </row>
    <row r="69" spans="1:12" x14ac:dyDescent="0.25">
      <c r="A69" s="57">
        <v>706</v>
      </c>
      <c r="B69" s="53">
        <v>500</v>
      </c>
      <c r="C69" s="146" t="s">
        <v>319</v>
      </c>
      <c r="D69" s="146"/>
      <c r="E69" s="146"/>
      <c r="F69" s="152" t="s">
        <v>304</v>
      </c>
      <c r="G69" s="152"/>
      <c r="H69" s="58">
        <v>1</v>
      </c>
      <c r="I69" s="157">
        <v>17300</v>
      </c>
      <c r="J69" s="157"/>
      <c r="K69" s="122">
        <f t="shared" si="0"/>
        <v>17300</v>
      </c>
      <c r="L69" s="40" t="s">
        <v>233</v>
      </c>
    </row>
    <row r="70" spans="1:12" x14ac:dyDescent="0.25">
      <c r="A70" s="57">
        <v>706</v>
      </c>
      <c r="B70" s="53">
        <v>550</v>
      </c>
      <c r="C70" s="146" t="s">
        <v>320</v>
      </c>
      <c r="D70" s="146"/>
      <c r="E70" s="146"/>
      <c r="F70" s="152" t="s">
        <v>304</v>
      </c>
      <c r="G70" s="152"/>
      <c r="H70" s="58">
        <v>1</v>
      </c>
      <c r="I70" s="157">
        <v>7500</v>
      </c>
      <c r="J70" s="157"/>
      <c r="K70" s="122">
        <f t="shared" si="0"/>
        <v>7500</v>
      </c>
      <c r="L70" s="40" t="s">
        <v>233</v>
      </c>
    </row>
    <row r="71" spans="1:12" x14ac:dyDescent="0.25">
      <c r="A71" s="57">
        <v>706</v>
      </c>
      <c r="B71" s="53">
        <v>600</v>
      </c>
      <c r="C71" s="146" t="s">
        <v>321</v>
      </c>
      <c r="D71" s="146"/>
      <c r="E71" s="146"/>
      <c r="F71" s="152" t="s">
        <v>304</v>
      </c>
      <c r="G71" s="152"/>
      <c r="H71" s="58">
        <v>1</v>
      </c>
      <c r="I71" s="157">
        <v>7500</v>
      </c>
      <c r="J71" s="157"/>
      <c r="K71" s="122">
        <f t="shared" si="0"/>
        <v>7500</v>
      </c>
      <c r="L71" s="40" t="s">
        <v>233</v>
      </c>
    </row>
    <row r="72" spans="1:12" x14ac:dyDescent="0.25">
      <c r="A72" s="57">
        <v>709</v>
      </c>
      <c r="B72" s="53">
        <v>100</v>
      </c>
      <c r="C72" s="146" t="s">
        <v>322</v>
      </c>
      <c r="D72" s="146"/>
      <c r="E72" s="146"/>
      <c r="F72" s="152" t="s">
        <v>285</v>
      </c>
      <c r="G72" s="152"/>
      <c r="H72" s="58">
        <v>98543</v>
      </c>
      <c r="I72" s="153">
        <v>1.76</v>
      </c>
      <c r="J72" s="153"/>
      <c r="K72" s="122">
        <f t="shared" si="0"/>
        <v>173435.68</v>
      </c>
      <c r="L72" s="40" t="s">
        <v>233</v>
      </c>
    </row>
    <row r="73" spans="1:12" x14ac:dyDescent="0.25">
      <c r="A73" s="57">
        <v>714</v>
      </c>
      <c r="B73" s="53">
        <v>615</v>
      </c>
      <c r="C73" s="146" t="s">
        <v>323</v>
      </c>
      <c r="D73" s="146"/>
      <c r="E73" s="146"/>
      <c r="F73" s="152" t="s">
        <v>271</v>
      </c>
      <c r="G73" s="152"/>
      <c r="H73" s="58">
        <v>236</v>
      </c>
      <c r="I73" s="153">
        <v>325</v>
      </c>
      <c r="J73" s="153"/>
      <c r="K73" s="122">
        <f t="shared" si="0"/>
        <v>76700</v>
      </c>
      <c r="L73" s="187" t="s">
        <v>925</v>
      </c>
    </row>
    <row r="74" spans="1:12" x14ac:dyDescent="0.25">
      <c r="A74" s="57">
        <v>714</v>
      </c>
      <c r="B74" s="53">
        <v>820</v>
      </c>
      <c r="C74" s="146" t="s">
        <v>324</v>
      </c>
      <c r="D74" s="146"/>
      <c r="E74" s="146"/>
      <c r="F74" s="152" t="s">
        <v>271</v>
      </c>
      <c r="G74" s="152"/>
      <c r="H74" s="58">
        <v>34</v>
      </c>
      <c r="I74" s="153">
        <v>350</v>
      </c>
      <c r="J74" s="153"/>
      <c r="K74" s="122">
        <f t="shared" si="0"/>
        <v>11900</v>
      </c>
      <c r="L74" s="187" t="s">
        <v>925</v>
      </c>
    </row>
    <row r="75" spans="1:12" x14ac:dyDescent="0.25">
      <c r="A75" s="57">
        <v>714</v>
      </c>
      <c r="B75" s="57">
        <v>1005</v>
      </c>
      <c r="C75" s="146" t="s">
        <v>325</v>
      </c>
      <c r="D75" s="146"/>
      <c r="E75" s="146"/>
      <c r="F75" s="152" t="s">
        <v>271</v>
      </c>
      <c r="G75" s="152"/>
      <c r="H75" s="58">
        <v>180</v>
      </c>
      <c r="I75" s="153">
        <v>375</v>
      </c>
      <c r="J75" s="153"/>
      <c r="K75" s="122">
        <f t="shared" si="0"/>
        <v>67500</v>
      </c>
      <c r="L75" s="187" t="s">
        <v>925</v>
      </c>
    </row>
    <row r="76" spans="1:12" x14ac:dyDescent="0.25">
      <c r="A76" s="57">
        <v>714</v>
      </c>
      <c r="B76" s="57">
        <v>1210</v>
      </c>
      <c r="C76" s="146" t="s">
        <v>326</v>
      </c>
      <c r="D76" s="146"/>
      <c r="E76" s="146"/>
      <c r="F76" s="152" t="s">
        <v>271</v>
      </c>
      <c r="G76" s="152"/>
      <c r="H76" s="58">
        <v>30</v>
      </c>
      <c r="I76" s="153">
        <v>400</v>
      </c>
      <c r="J76" s="153"/>
      <c r="K76" s="122">
        <f t="shared" si="0"/>
        <v>12000</v>
      </c>
      <c r="L76" s="187" t="s">
        <v>925</v>
      </c>
    </row>
    <row r="77" spans="1:12" x14ac:dyDescent="0.25">
      <c r="A77" s="57">
        <v>714</v>
      </c>
      <c r="B77" s="57">
        <v>1510</v>
      </c>
      <c r="C77" s="146" t="s">
        <v>327</v>
      </c>
      <c r="D77" s="146"/>
      <c r="E77" s="146"/>
      <c r="F77" s="152" t="s">
        <v>271</v>
      </c>
      <c r="G77" s="152"/>
      <c r="H77" s="58">
        <v>28</v>
      </c>
      <c r="I77" s="153">
        <v>450</v>
      </c>
      <c r="J77" s="153"/>
      <c r="K77" s="122">
        <f t="shared" si="0"/>
        <v>12600</v>
      </c>
      <c r="L77" s="187" t="s">
        <v>925</v>
      </c>
    </row>
    <row r="78" spans="1:12" x14ac:dyDescent="0.25">
      <c r="A78" s="57">
        <v>714</v>
      </c>
      <c r="B78" s="57">
        <v>4099</v>
      </c>
      <c r="C78" s="146" t="s">
        <v>328</v>
      </c>
      <c r="D78" s="146"/>
      <c r="E78" s="146"/>
      <c r="F78" s="152" t="s">
        <v>271</v>
      </c>
      <c r="G78" s="152"/>
      <c r="H78" s="58">
        <v>104</v>
      </c>
      <c r="I78" s="153">
        <v>112</v>
      </c>
      <c r="J78" s="153"/>
      <c r="K78" s="122">
        <f t="shared" si="0"/>
        <v>11648</v>
      </c>
      <c r="L78" s="187" t="s">
        <v>925</v>
      </c>
    </row>
    <row r="79" spans="1:12" x14ac:dyDescent="0.25">
      <c r="A79" s="57">
        <v>714</v>
      </c>
      <c r="B79" s="57">
        <v>4106</v>
      </c>
      <c r="C79" s="146" t="s">
        <v>329</v>
      </c>
      <c r="D79" s="146"/>
      <c r="E79" s="146"/>
      <c r="F79" s="152" t="s">
        <v>271</v>
      </c>
      <c r="G79" s="152"/>
      <c r="H79" s="58">
        <v>440</v>
      </c>
      <c r="I79" s="153">
        <v>126</v>
      </c>
      <c r="J79" s="153"/>
      <c r="K79" s="122">
        <f t="shared" si="0"/>
        <v>55440</v>
      </c>
      <c r="L79" s="187" t="s">
        <v>925</v>
      </c>
    </row>
    <row r="80" spans="1:12" x14ac:dyDescent="0.25">
      <c r="A80" s="57">
        <v>714</v>
      </c>
      <c r="B80" s="57">
        <v>4113</v>
      </c>
      <c r="C80" s="146" t="s">
        <v>330</v>
      </c>
      <c r="D80" s="146"/>
      <c r="E80" s="146"/>
      <c r="F80" s="152" t="s">
        <v>271</v>
      </c>
      <c r="G80" s="152"/>
      <c r="H80" s="58">
        <v>72</v>
      </c>
      <c r="I80" s="153">
        <v>155</v>
      </c>
      <c r="J80" s="153"/>
      <c r="K80" s="122">
        <f t="shared" si="0"/>
        <v>11160</v>
      </c>
      <c r="L80" s="187" t="s">
        <v>925</v>
      </c>
    </row>
    <row r="81" spans="1:12" x14ac:dyDescent="0.25">
      <c r="A81" s="57">
        <v>714</v>
      </c>
      <c r="B81" s="57">
        <v>5035</v>
      </c>
      <c r="C81" s="146" t="s">
        <v>331</v>
      </c>
      <c r="D81" s="146"/>
      <c r="E81" s="146"/>
      <c r="F81" s="152" t="s">
        <v>271</v>
      </c>
      <c r="G81" s="152"/>
      <c r="H81" s="58">
        <v>10</v>
      </c>
      <c r="I81" s="153">
        <v>100</v>
      </c>
      <c r="J81" s="153"/>
      <c r="K81" s="122">
        <f t="shared" si="0"/>
        <v>1000</v>
      </c>
      <c r="L81" s="187" t="s">
        <v>925</v>
      </c>
    </row>
    <row r="82" spans="1:12" x14ac:dyDescent="0.25">
      <c r="A82" s="57">
        <v>714</v>
      </c>
      <c r="B82" s="57">
        <v>9660</v>
      </c>
      <c r="C82" s="146" t="s">
        <v>332</v>
      </c>
      <c r="D82" s="146"/>
      <c r="E82" s="146"/>
      <c r="F82" s="152" t="s">
        <v>304</v>
      </c>
      <c r="G82" s="152"/>
      <c r="H82" s="58">
        <v>35</v>
      </c>
      <c r="I82" s="153">
        <v>678</v>
      </c>
      <c r="J82" s="153"/>
      <c r="K82" s="122">
        <f t="shared" si="0"/>
        <v>23730</v>
      </c>
      <c r="L82" s="40" t="s">
        <v>233</v>
      </c>
    </row>
    <row r="83" spans="1:12" x14ac:dyDescent="0.25">
      <c r="A83" s="57">
        <v>720</v>
      </c>
      <c r="B83" s="53">
        <v>110</v>
      </c>
      <c r="C83" s="146" t="s">
        <v>333</v>
      </c>
      <c r="D83" s="146"/>
      <c r="E83" s="146"/>
      <c r="F83" s="152" t="s">
        <v>304</v>
      </c>
      <c r="G83" s="152"/>
      <c r="H83" s="58">
        <v>35</v>
      </c>
      <c r="I83" s="153">
        <v>210</v>
      </c>
      <c r="J83" s="153"/>
      <c r="K83" s="122">
        <f t="shared" si="0"/>
        <v>7350</v>
      </c>
      <c r="L83" s="40" t="s">
        <v>233</v>
      </c>
    </row>
    <row r="84" spans="1:12" x14ac:dyDescent="0.25">
      <c r="A84" s="57">
        <v>720</v>
      </c>
      <c r="B84" s="53">
        <v>125</v>
      </c>
      <c r="C84" s="146" t="s">
        <v>334</v>
      </c>
      <c r="D84" s="146"/>
      <c r="E84" s="146"/>
      <c r="F84" s="152" t="s">
        <v>304</v>
      </c>
      <c r="G84" s="152"/>
      <c r="H84" s="58">
        <v>22</v>
      </c>
      <c r="I84" s="153">
        <v>261</v>
      </c>
      <c r="J84" s="153"/>
      <c r="K84" s="122">
        <f t="shared" si="0"/>
        <v>5742</v>
      </c>
      <c r="L84" s="40" t="s">
        <v>233</v>
      </c>
    </row>
    <row r="85" spans="1:12" x14ac:dyDescent="0.25">
      <c r="A85" s="57">
        <v>720</v>
      </c>
      <c r="B85" s="53">
        <v>130</v>
      </c>
      <c r="C85" s="146" t="s">
        <v>335</v>
      </c>
      <c r="D85" s="146"/>
      <c r="E85" s="146"/>
      <c r="F85" s="152" t="s">
        <v>304</v>
      </c>
      <c r="G85" s="152"/>
      <c r="H85" s="58">
        <v>23</v>
      </c>
      <c r="I85" s="153">
        <v>62.6</v>
      </c>
      <c r="J85" s="153"/>
      <c r="K85" s="122">
        <f t="shared" si="0"/>
        <v>1439.8</v>
      </c>
      <c r="L85" s="40" t="s">
        <v>233</v>
      </c>
    </row>
    <row r="86" spans="1:12" x14ac:dyDescent="0.25">
      <c r="A86" s="57">
        <v>720</v>
      </c>
      <c r="B86" s="53">
        <v>135</v>
      </c>
      <c r="C86" s="146" t="s">
        <v>336</v>
      </c>
      <c r="D86" s="146"/>
      <c r="E86" s="146"/>
      <c r="F86" s="152" t="s">
        <v>304</v>
      </c>
      <c r="G86" s="152"/>
      <c r="H86" s="58">
        <v>14</v>
      </c>
      <c r="I86" s="153">
        <v>62.6</v>
      </c>
      <c r="J86" s="153"/>
      <c r="K86" s="122">
        <f t="shared" si="0"/>
        <v>876.4</v>
      </c>
      <c r="L86" s="40" t="s">
        <v>233</v>
      </c>
    </row>
    <row r="87" spans="1:12" x14ac:dyDescent="0.25">
      <c r="A87" s="57">
        <v>754</v>
      </c>
      <c r="B87" s="53">
        <v>110</v>
      </c>
      <c r="C87" s="146" t="s">
        <v>337</v>
      </c>
      <c r="D87" s="146"/>
      <c r="E87" s="146"/>
      <c r="F87" s="152" t="s">
        <v>318</v>
      </c>
      <c r="G87" s="152"/>
      <c r="H87" s="58">
        <v>265</v>
      </c>
      <c r="I87" s="153">
        <v>25</v>
      </c>
      <c r="J87" s="153"/>
      <c r="K87" s="122">
        <f t="shared" si="0"/>
        <v>6625</v>
      </c>
      <c r="L87" s="40" t="s">
        <v>233</v>
      </c>
    </row>
    <row r="88" spans="1:12" x14ac:dyDescent="0.25">
      <c r="A88" s="57">
        <v>754</v>
      </c>
      <c r="B88" s="53">
        <v>112</v>
      </c>
      <c r="C88" s="146" t="s">
        <v>338</v>
      </c>
      <c r="D88" s="146"/>
      <c r="E88" s="146"/>
      <c r="F88" s="152" t="s">
        <v>318</v>
      </c>
      <c r="G88" s="152"/>
      <c r="H88" s="58">
        <v>287</v>
      </c>
      <c r="I88" s="153">
        <v>22</v>
      </c>
      <c r="J88" s="153"/>
      <c r="K88" s="122">
        <f t="shared" si="0"/>
        <v>6314</v>
      </c>
      <c r="L88" s="40" t="s">
        <v>233</v>
      </c>
    </row>
    <row r="89" spans="1:12" x14ac:dyDescent="0.25">
      <c r="A89" s="57">
        <v>754</v>
      </c>
      <c r="B89" s="53">
        <v>206</v>
      </c>
      <c r="C89" s="146" t="s">
        <v>339</v>
      </c>
      <c r="D89" s="146"/>
      <c r="E89" s="146"/>
      <c r="F89" s="152" t="s">
        <v>271</v>
      </c>
      <c r="G89" s="152"/>
      <c r="H89" s="58">
        <v>1048</v>
      </c>
      <c r="I89" s="153">
        <v>30</v>
      </c>
      <c r="J89" s="153"/>
      <c r="K89" s="122">
        <f t="shared" si="0"/>
        <v>31440</v>
      </c>
      <c r="L89" s="40" t="s">
        <v>233</v>
      </c>
    </row>
    <row r="90" spans="1:12" x14ac:dyDescent="0.25">
      <c r="A90" s="57">
        <v>754</v>
      </c>
      <c r="B90" s="53">
        <v>561</v>
      </c>
      <c r="C90" s="146" t="s">
        <v>340</v>
      </c>
      <c r="D90" s="146"/>
      <c r="E90" s="146"/>
      <c r="F90" s="152" t="s">
        <v>304</v>
      </c>
      <c r="G90" s="152"/>
      <c r="H90" s="58">
        <v>1</v>
      </c>
      <c r="I90" s="153">
        <v>200</v>
      </c>
      <c r="J90" s="153"/>
      <c r="K90" s="122">
        <f t="shared" si="0"/>
        <v>200</v>
      </c>
      <c r="L90" s="40" t="s">
        <v>233</v>
      </c>
    </row>
    <row r="91" spans="1:12" x14ac:dyDescent="0.25">
      <c r="A91" s="57">
        <v>754</v>
      </c>
      <c r="B91" s="53">
        <v>562</v>
      </c>
      <c r="C91" s="146" t="s">
        <v>341</v>
      </c>
      <c r="D91" s="146"/>
      <c r="E91" s="146"/>
      <c r="F91" s="152" t="s">
        <v>304</v>
      </c>
      <c r="G91" s="152"/>
      <c r="H91" s="58">
        <v>1</v>
      </c>
      <c r="I91" s="153">
        <v>230</v>
      </c>
      <c r="J91" s="153"/>
      <c r="K91" s="122">
        <f t="shared" si="0"/>
        <v>230</v>
      </c>
      <c r="L91" s="40" t="s">
        <v>233</v>
      </c>
    </row>
    <row r="92" spans="1:12" x14ac:dyDescent="0.25">
      <c r="A92" s="57">
        <v>754</v>
      </c>
      <c r="B92" s="53">
        <v>563</v>
      </c>
      <c r="C92" s="146" t="s">
        <v>342</v>
      </c>
      <c r="D92" s="146"/>
      <c r="E92" s="146"/>
      <c r="F92" s="152" t="s">
        <v>304</v>
      </c>
      <c r="G92" s="152"/>
      <c r="H92" s="58">
        <v>2</v>
      </c>
      <c r="I92" s="153">
        <v>260</v>
      </c>
      <c r="J92" s="153"/>
      <c r="K92" s="122">
        <f t="shared" si="0"/>
        <v>520</v>
      </c>
      <c r="L92" s="40" t="s">
        <v>233</v>
      </c>
    </row>
    <row r="93" spans="1:12" x14ac:dyDescent="0.25">
      <c r="A93" s="57">
        <v>754</v>
      </c>
      <c r="B93" s="53">
        <v>592</v>
      </c>
      <c r="C93" s="146" t="s">
        <v>343</v>
      </c>
      <c r="D93" s="146"/>
      <c r="E93" s="146"/>
      <c r="F93" s="152" t="s">
        <v>304</v>
      </c>
      <c r="G93" s="152"/>
      <c r="H93" s="58">
        <v>7</v>
      </c>
      <c r="I93" s="153">
        <v>62.6</v>
      </c>
      <c r="J93" s="153"/>
      <c r="K93" s="122">
        <f t="shared" si="0"/>
        <v>438.2</v>
      </c>
      <c r="L93" s="40" t="s">
        <v>233</v>
      </c>
    </row>
    <row r="94" spans="1:12" x14ac:dyDescent="0.25">
      <c r="A94" s="57">
        <v>754</v>
      </c>
      <c r="B94" s="53">
        <v>593</v>
      </c>
      <c r="C94" s="146" t="s">
        <v>344</v>
      </c>
      <c r="D94" s="146"/>
      <c r="E94" s="146"/>
      <c r="F94" s="152" t="s">
        <v>304</v>
      </c>
      <c r="G94" s="152"/>
      <c r="H94" s="58">
        <v>1</v>
      </c>
      <c r="I94" s="153">
        <v>200</v>
      </c>
      <c r="J94" s="153"/>
      <c r="K94" s="122">
        <f t="shared" si="0"/>
        <v>200</v>
      </c>
      <c r="L94" s="40" t="s">
        <v>233</v>
      </c>
    </row>
    <row r="95" spans="1:12" x14ac:dyDescent="0.25">
      <c r="A95" s="57">
        <v>754</v>
      </c>
      <c r="B95" s="53">
        <v>801</v>
      </c>
      <c r="C95" s="146" t="s">
        <v>345</v>
      </c>
      <c r="D95" s="146"/>
      <c r="E95" s="146"/>
      <c r="F95" s="152" t="s">
        <v>304</v>
      </c>
      <c r="G95" s="152"/>
      <c r="H95" s="58">
        <v>2</v>
      </c>
      <c r="I95" s="153">
        <v>200</v>
      </c>
      <c r="J95" s="153"/>
      <c r="K95" s="122">
        <f t="shared" si="0"/>
        <v>400</v>
      </c>
      <c r="L95" s="40" t="s">
        <v>233</v>
      </c>
    </row>
    <row r="96" spans="1:12" x14ac:dyDescent="0.25">
      <c r="A96" s="57">
        <v>754</v>
      </c>
      <c r="B96" s="53">
        <v>805</v>
      </c>
      <c r="C96" s="146" t="s">
        <v>346</v>
      </c>
      <c r="D96" s="146"/>
      <c r="E96" s="146"/>
      <c r="F96" s="152" t="s">
        <v>304</v>
      </c>
      <c r="G96" s="152"/>
      <c r="H96" s="58">
        <v>27</v>
      </c>
      <c r="I96" s="153">
        <v>52.1</v>
      </c>
      <c r="J96" s="153"/>
      <c r="K96" s="122">
        <f t="shared" si="0"/>
        <v>1406.7</v>
      </c>
      <c r="L96" s="187" t="s">
        <v>925</v>
      </c>
    </row>
    <row r="97" spans="1:12" x14ac:dyDescent="0.25">
      <c r="A97" s="57">
        <v>760</v>
      </c>
      <c r="B97" s="53">
        <v>5</v>
      </c>
      <c r="C97" s="146" t="s">
        <v>347</v>
      </c>
      <c r="D97" s="146"/>
      <c r="E97" s="146"/>
      <c r="F97" s="154" t="s">
        <v>348</v>
      </c>
      <c r="G97" s="154"/>
      <c r="H97" s="59">
        <v>7.577</v>
      </c>
      <c r="I97" s="157">
        <v>1000</v>
      </c>
      <c r="J97" s="157"/>
      <c r="K97" s="122">
        <f t="shared" si="0"/>
        <v>7577</v>
      </c>
      <c r="L97" s="187" t="s">
        <v>925</v>
      </c>
    </row>
    <row r="98" spans="1:12" x14ac:dyDescent="0.25">
      <c r="A98" s="57">
        <v>760</v>
      </c>
      <c r="B98" s="53">
        <v>7</v>
      </c>
      <c r="C98" s="146" t="s">
        <v>349</v>
      </c>
      <c r="D98" s="146"/>
      <c r="E98" s="146"/>
      <c r="F98" s="154" t="s">
        <v>348</v>
      </c>
      <c r="G98" s="154"/>
      <c r="H98" s="59">
        <v>1.5309999999999999</v>
      </c>
      <c r="I98" s="157">
        <v>1100</v>
      </c>
      <c r="J98" s="157"/>
      <c r="K98" s="122">
        <f t="shared" si="0"/>
        <v>1684.1</v>
      </c>
      <c r="L98" s="187" t="s">
        <v>925</v>
      </c>
    </row>
    <row r="99" spans="1:12" x14ac:dyDescent="0.25">
      <c r="A99" s="57">
        <v>760</v>
      </c>
      <c r="B99" s="53">
        <v>10</v>
      </c>
      <c r="C99" s="146" t="s">
        <v>350</v>
      </c>
      <c r="D99" s="146"/>
      <c r="E99" s="146"/>
      <c r="F99" s="154" t="s">
        <v>351</v>
      </c>
      <c r="G99" s="154"/>
      <c r="H99" s="58">
        <v>1</v>
      </c>
      <c r="I99" s="157">
        <v>2000</v>
      </c>
      <c r="J99" s="157"/>
      <c r="K99" s="122">
        <f t="shared" si="0"/>
        <v>2000</v>
      </c>
      <c r="L99" s="187" t="s">
        <v>925</v>
      </c>
    </row>
    <row r="100" spans="1:12" x14ac:dyDescent="0.25">
      <c r="A100" s="41" t="s">
        <v>300</v>
      </c>
      <c r="K100" s="122"/>
      <c r="L100"/>
    </row>
    <row r="101" spans="1:12" x14ac:dyDescent="0.25">
      <c r="A101" s="41" t="s">
        <v>254</v>
      </c>
      <c r="K101" s="122"/>
      <c r="L101"/>
    </row>
    <row r="102" spans="1:12" x14ac:dyDescent="0.25">
      <c r="A102" s="41" t="s">
        <v>255</v>
      </c>
      <c r="K102" s="122"/>
      <c r="L102"/>
    </row>
    <row r="103" spans="1:12" x14ac:dyDescent="0.25">
      <c r="A103" s="41" t="s">
        <v>256</v>
      </c>
      <c r="K103" s="122"/>
      <c r="L103"/>
    </row>
    <row r="104" spans="1:12" x14ac:dyDescent="0.25">
      <c r="K104" s="122"/>
      <c r="L104"/>
    </row>
    <row r="105" spans="1:12" x14ac:dyDescent="0.25">
      <c r="A105" s="41" t="s">
        <v>301</v>
      </c>
      <c r="K105" s="122"/>
      <c r="L105"/>
    </row>
    <row r="106" spans="1:12" x14ac:dyDescent="0.25">
      <c r="A106" s="52">
        <v>762</v>
      </c>
      <c r="B106" s="53">
        <v>103</v>
      </c>
      <c r="C106" s="54" t="s">
        <v>352</v>
      </c>
      <c r="D106" s="158" t="s">
        <v>318</v>
      </c>
      <c r="E106" s="158"/>
      <c r="F106" s="158"/>
      <c r="G106" s="158"/>
      <c r="H106" s="148">
        <v>242</v>
      </c>
      <c r="I106" s="148"/>
      <c r="J106" s="121">
        <v>5</v>
      </c>
      <c r="K106" s="122">
        <f>J106*H106</f>
        <v>1210</v>
      </c>
      <c r="L106" s="187" t="s">
        <v>925</v>
      </c>
    </row>
    <row r="107" spans="1:12" x14ac:dyDescent="0.25">
      <c r="A107" s="52">
        <v>762</v>
      </c>
      <c r="B107" s="53">
        <v>112</v>
      </c>
      <c r="C107" s="54" t="s">
        <v>353</v>
      </c>
      <c r="D107" s="158" t="s">
        <v>318</v>
      </c>
      <c r="E107" s="158"/>
      <c r="F107" s="158"/>
      <c r="G107" s="158"/>
      <c r="H107" s="148">
        <v>1674</v>
      </c>
      <c r="I107" s="148"/>
      <c r="J107" s="121">
        <v>19.8</v>
      </c>
      <c r="K107" s="122">
        <f>J107*H107</f>
        <v>33145.200000000004</v>
      </c>
      <c r="L107" s="187" t="s">
        <v>925</v>
      </c>
    </row>
    <row r="108" spans="1:12" x14ac:dyDescent="0.25">
      <c r="A108" s="52">
        <v>762</v>
      </c>
      <c r="B108" s="53">
        <v>114</v>
      </c>
      <c r="C108" s="54" t="s">
        <v>354</v>
      </c>
      <c r="D108" s="158" t="s">
        <v>271</v>
      </c>
      <c r="E108" s="158"/>
      <c r="F108" s="158"/>
      <c r="G108" s="158"/>
      <c r="H108" s="148">
        <v>93229</v>
      </c>
      <c r="I108" s="148"/>
      <c r="J108" s="121">
        <v>0.75</v>
      </c>
      <c r="K108" s="122">
        <f>J108*H108</f>
        <v>69921.75</v>
      </c>
      <c r="L108" s="187" t="s">
        <v>925</v>
      </c>
    </row>
    <row r="109" spans="1:12" x14ac:dyDescent="0.25">
      <c r="A109" s="52">
        <v>762</v>
      </c>
      <c r="B109" s="53">
        <v>117</v>
      </c>
      <c r="C109" s="54" t="s">
        <v>355</v>
      </c>
      <c r="D109" s="158" t="s">
        <v>271</v>
      </c>
      <c r="E109" s="158"/>
      <c r="F109" s="158"/>
      <c r="G109" s="158"/>
      <c r="H109" s="148">
        <v>732</v>
      </c>
      <c r="I109" s="148"/>
      <c r="J109" s="121">
        <v>30</v>
      </c>
      <c r="K109" s="122">
        <f>J109*H109</f>
        <v>21960</v>
      </c>
      <c r="L109" s="187" t="s">
        <v>925</v>
      </c>
    </row>
    <row r="110" spans="1:12" x14ac:dyDescent="0.25">
      <c r="A110" s="52">
        <v>762</v>
      </c>
      <c r="B110" s="53">
        <v>119</v>
      </c>
      <c r="C110" s="54" t="s">
        <v>356</v>
      </c>
      <c r="D110" s="159" t="s">
        <v>271</v>
      </c>
      <c r="E110" s="159"/>
      <c r="F110" s="159"/>
      <c r="G110" s="159"/>
      <c r="H110" s="148">
        <v>5527</v>
      </c>
      <c r="I110" s="148"/>
      <c r="J110" s="121">
        <v>1.5</v>
      </c>
      <c r="K110" s="122">
        <f>J110*H110</f>
        <v>8290.5</v>
      </c>
      <c r="L110" s="187" t="s">
        <v>925</v>
      </c>
    </row>
    <row r="111" spans="1:12" x14ac:dyDescent="0.25">
      <c r="A111" s="52">
        <v>762</v>
      </c>
      <c r="B111" s="53">
        <v>430</v>
      </c>
      <c r="C111" s="54" t="s">
        <v>357</v>
      </c>
      <c r="D111" s="158" t="s">
        <v>271</v>
      </c>
      <c r="E111" s="158"/>
      <c r="F111" s="158"/>
      <c r="G111" s="158"/>
      <c r="H111" s="148">
        <v>99902</v>
      </c>
      <c r="I111" s="148"/>
      <c r="J111" s="121">
        <v>0.15</v>
      </c>
      <c r="K111" s="122">
        <f>J111*H111</f>
        <v>14985.3</v>
      </c>
      <c r="L111" s="40" t="s">
        <v>233</v>
      </c>
    </row>
    <row r="112" spans="1:12" x14ac:dyDescent="0.25">
      <c r="A112" s="52">
        <v>762</v>
      </c>
      <c r="B112" s="53">
        <v>434</v>
      </c>
      <c r="C112" s="54" t="s">
        <v>358</v>
      </c>
      <c r="D112" s="158" t="s">
        <v>271</v>
      </c>
      <c r="E112" s="158"/>
      <c r="F112" s="158"/>
      <c r="G112" s="158"/>
      <c r="H112" s="148">
        <v>5527</v>
      </c>
      <c r="I112" s="148"/>
      <c r="J112" s="121">
        <v>0.4</v>
      </c>
      <c r="K112" s="122">
        <f>J112*H112</f>
        <v>2210.8000000000002</v>
      </c>
      <c r="L112" s="40" t="s">
        <v>233</v>
      </c>
    </row>
    <row r="113" spans="1:12" x14ac:dyDescent="0.25">
      <c r="A113" s="52">
        <v>762</v>
      </c>
      <c r="B113" s="57">
        <v>1106</v>
      </c>
      <c r="C113" s="54" t="s">
        <v>359</v>
      </c>
      <c r="D113" s="158" t="s">
        <v>271</v>
      </c>
      <c r="E113" s="158"/>
      <c r="F113" s="158"/>
      <c r="G113" s="158"/>
      <c r="H113" s="148">
        <v>6673</v>
      </c>
      <c r="I113" s="148"/>
      <c r="J113" s="121">
        <v>0.4</v>
      </c>
      <c r="K113" s="122">
        <f>J113*H113</f>
        <v>2669.2000000000003</v>
      </c>
      <c r="L113" s="40" t="s">
        <v>233</v>
      </c>
    </row>
    <row r="114" spans="1:12" x14ac:dyDescent="0.25">
      <c r="A114" s="52">
        <v>762</v>
      </c>
      <c r="B114" s="57">
        <v>1124</v>
      </c>
      <c r="C114" s="54" t="s">
        <v>360</v>
      </c>
      <c r="D114" s="158" t="s">
        <v>271</v>
      </c>
      <c r="E114" s="158"/>
      <c r="F114" s="158"/>
      <c r="G114" s="158"/>
      <c r="H114" s="148">
        <v>144</v>
      </c>
      <c r="I114" s="148"/>
      <c r="J114" s="121">
        <v>6.5</v>
      </c>
      <c r="K114" s="122">
        <f>J114*H114</f>
        <v>936</v>
      </c>
      <c r="L114" s="40" t="s">
        <v>233</v>
      </c>
    </row>
    <row r="115" spans="1:12" x14ac:dyDescent="0.25">
      <c r="A115" s="52">
        <v>766</v>
      </c>
      <c r="B115" s="53">
        <v>100</v>
      </c>
      <c r="C115" s="54" t="s">
        <v>361</v>
      </c>
      <c r="D115" s="158" t="s">
        <v>304</v>
      </c>
      <c r="E115" s="158"/>
      <c r="F115" s="158"/>
      <c r="G115" s="158"/>
      <c r="H115" s="148">
        <v>2</v>
      </c>
      <c r="I115" s="148"/>
      <c r="J115" s="121">
        <v>250</v>
      </c>
      <c r="K115" s="122">
        <f>J115*H115</f>
        <v>500</v>
      </c>
      <c r="L115" s="40" t="s">
        <v>233</v>
      </c>
    </row>
    <row r="116" spans="1:12" x14ac:dyDescent="0.25">
      <c r="A116" s="52">
        <v>772</v>
      </c>
      <c r="B116" s="57">
        <v>3150</v>
      </c>
      <c r="C116" s="54" t="s">
        <v>362</v>
      </c>
      <c r="D116" s="158" t="s">
        <v>304</v>
      </c>
      <c r="E116" s="158"/>
      <c r="F116" s="158"/>
      <c r="G116" s="158"/>
      <c r="H116" s="148">
        <v>2</v>
      </c>
      <c r="I116" s="148"/>
      <c r="J116" s="120">
        <v>2000</v>
      </c>
      <c r="K116" s="122">
        <f>J116*H116</f>
        <v>4000</v>
      </c>
      <c r="L116" s="40" t="s">
        <v>233</v>
      </c>
    </row>
    <row r="117" spans="1:12" x14ac:dyDescent="0.25">
      <c r="A117" s="60">
        <v>990</v>
      </c>
      <c r="B117" s="61">
        <v>400</v>
      </c>
      <c r="C117" s="62" t="s">
        <v>363</v>
      </c>
      <c r="D117" s="160" t="s">
        <v>304</v>
      </c>
      <c r="E117" s="160"/>
      <c r="F117" s="160"/>
      <c r="G117" s="160"/>
      <c r="H117" s="161">
        <v>1</v>
      </c>
      <c r="I117" s="161"/>
      <c r="J117" s="665">
        <v>2000</v>
      </c>
      <c r="K117" s="122">
        <f>J117*H117</f>
        <v>2000</v>
      </c>
      <c r="L117" s="40" t="s">
        <v>233</v>
      </c>
    </row>
    <row r="118" spans="1:12" x14ac:dyDescent="0.25">
      <c r="K118" s="122">
        <f>SUM(K16:K117)*0.1</f>
        <v>1165538.1469999999</v>
      </c>
      <c r="L118" s="40" t="s">
        <v>233</v>
      </c>
    </row>
    <row r="119" spans="1:12" x14ac:dyDescent="0.25">
      <c r="A119" s="41" t="s">
        <v>364</v>
      </c>
      <c r="K119"/>
      <c r="L119"/>
    </row>
    <row r="120" spans="1:12" x14ac:dyDescent="0.25">
      <c r="A120" s="63" t="s">
        <v>365</v>
      </c>
      <c r="K120"/>
      <c r="L120"/>
    </row>
    <row r="121" spans="1:12" x14ac:dyDescent="0.25">
      <c r="A121" s="64" t="s">
        <v>366</v>
      </c>
      <c r="K121"/>
      <c r="L121"/>
    </row>
    <row r="122" spans="1:12" x14ac:dyDescent="0.25">
      <c r="A122" s="64" t="s">
        <v>367</v>
      </c>
      <c r="F122" s="119">
        <v>12820919.6</v>
      </c>
      <c r="K122"/>
      <c r="L122"/>
    </row>
    <row r="123" spans="1:12" x14ac:dyDescent="0.25">
      <c r="A123" s="63" t="s">
        <v>368</v>
      </c>
      <c r="K123"/>
      <c r="L123"/>
    </row>
    <row r="124" spans="1:12" x14ac:dyDescent="0.25">
      <c r="K124"/>
      <c r="L124"/>
    </row>
    <row r="125" spans="1:12" x14ac:dyDescent="0.25">
      <c r="K125"/>
      <c r="L125"/>
    </row>
    <row r="126" spans="1:12" x14ac:dyDescent="0.25">
      <c r="K126"/>
      <c r="L126"/>
    </row>
    <row r="127" spans="1:12" x14ac:dyDescent="0.25">
      <c r="L127"/>
    </row>
    <row r="128" spans="1:12" x14ac:dyDescent="0.25">
      <c r="L128"/>
    </row>
    <row r="129" spans="12:12" x14ac:dyDescent="0.25">
      <c r="L129"/>
    </row>
    <row r="130" spans="12:12" x14ac:dyDescent="0.25">
      <c r="L130"/>
    </row>
    <row r="131" spans="12:12" x14ac:dyDescent="0.25">
      <c r="L131"/>
    </row>
    <row r="132" spans="12:12" x14ac:dyDescent="0.25">
      <c r="L132"/>
    </row>
    <row r="133" spans="12:12" x14ac:dyDescent="0.25">
      <c r="L133"/>
    </row>
    <row r="134" spans="12:12" x14ac:dyDescent="0.25">
      <c r="L134"/>
    </row>
    <row r="135" spans="12:12" x14ac:dyDescent="0.25">
      <c r="L135"/>
    </row>
    <row r="136" spans="12:12" x14ac:dyDescent="0.25">
      <c r="L136"/>
    </row>
  </sheetData>
  <mergeCells count="258">
    <mergeCell ref="D116:G116"/>
    <mergeCell ref="H116:I116"/>
    <mergeCell ref="D117:G117"/>
    <mergeCell ref="H117:I117"/>
    <mergeCell ref="D114:G114"/>
    <mergeCell ref="H114:I114"/>
    <mergeCell ref="D115:G115"/>
    <mergeCell ref="H115:I115"/>
    <mergeCell ref="D112:G112"/>
    <mergeCell ref="H112:I112"/>
    <mergeCell ref="D113:G113"/>
    <mergeCell ref="H113:I113"/>
    <mergeCell ref="D110:G110"/>
    <mergeCell ref="H110:I110"/>
    <mergeCell ref="D111:G111"/>
    <mergeCell ref="H111:I111"/>
    <mergeCell ref="D108:G108"/>
    <mergeCell ref="H108:I108"/>
    <mergeCell ref="D109:G109"/>
    <mergeCell ref="H109:I109"/>
    <mergeCell ref="D106:G106"/>
    <mergeCell ref="H106:I106"/>
    <mergeCell ref="D107:G107"/>
    <mergeCell ref="H107:I107"/>
    <mergeCell ref="C98:E98"/>
    <mergeCell ref="F98:G98"/>
    <mergeCell ref="I98:J98"/>
    <mergeCell ref="C99:E99"/>
    <mergeCell ref="F99:G99"/>
    <mergeCell ref="I99:J99"/>
    <mergeCell ref="C96:E96"/>
    <mergeCell ref="F96:G96"/>
    <mergeCell ref="I96:J96"/>
    <mergeCell ref="C97:E97"/>
    <mergeCell ref="F97:G97"/>
    <mergeCell ref="I97:J97"/>
    <mergeCell ref="C94:E94"/>
    <mergeCell ref="F94:G94"/>
    <mergeCell ref="I94:J94"/>
    <mergeCell ref="C95:E95"/>
    <mergeCell ref="F95:G95"/>
    <mergeCell ref="I95:J95"/>
    <mergeCell ref="C92:E92"/>
    <mergeCell ref="F92:G92"/>
    <mergeCell ref="I92:J92"/>
    <mergeCell ref="C93:E93"/>
    <mergeCell ref="F93:G93"/>
    <mergeCell ref="I93:J93"/>
    <mergeCell ref="C90:E90"/>
    <mergeCell ref="F90:G90"/>
    <mergeCell ref="I90:J90"/>
    <mergeCell ref="C91:E91"/>
    <mergeCell ref="F91:G91"/>
    <mergeCell ref="I91:J91"/>
    <mergeCell ref="C88:E88"/>
    <mergeCell ref="F88:G88"/>
    <mergeCell ref="I88:J88"/>
    <mergeCell ref="C89:E89"/>
    <mergeCell ref="F89:G89"/>
    <mergeCell ref="I89:J89"/>
    <mergeCell ref="C86:E86"/>
    <mergeCell ref="F86:G86"/>
    <mergeCell ref="I86:J86"/>
    <mergeCell ref="C87:E87"/>
    <mergeCell ref="F87:G87"/>
    <mergeCell ref="I87:J87"/>
    <mergeCell ref="C84:E84"/>
    <mergeCell ref="F84:G84"/>
    <mergeCell ref="I84:J84"/>
    <mergeCell ref="C85:E85"/>
    <mergeCell ref="F85:G85"/>
    <mergeCell ref="I85:J85"/>
    <mergeCell ref="C82:E82"/>
    <mergeCell ref="F82:G82"/>
    <mergeCell ref="I82:J82"/>
    <mergeCell ref="C83:E83"/>
    <mergeCell ref="F83:G83"/>
    <mergeCell ref="I83:J83"/>
    <mergeCell ref="C80:E80"/>
    <mergeCell ref="F80:G80"/>
    <mergeCell ref="I80:J80"/>
    <mergeCell ref="C81:E81"/>
    <mergeCell ref="F81:G81"/>
    <mergeCell ref="I81:J81"/>
    <mergeCell ref="C78:E78"/>
    <mergeCell ref="F78:G78"/>
    <mergeCell ref="I78:J78"/>
    <mergeCell ref="C79:E79"/>
    <mergeCell ref="F79:G79"/>
    <mergeCell ref="I79:J79"/>
    <mergeCell ref="C76:E76"/>
    <mergeCell ref="F76:G76"/>
    <mergeCell ref="I76:J76"/>
    <mergeCell ref="C77:E77"/>
    <mergeCell ref="F77:G77"/>
    <mergeCell ref="I77:J77"/>
    <mergeCell ref="C74:E74"/>
    <mergeCell ref="F74:G74"/>
    <mergeCell ref="I74:J74"/>
    <mergeCell ref="C75:E75"/>
    <mergeCell ref="F75:G75"/>
    <mergeCell ref="I75:J75"/>
    <mergeCell ref="C72:E72"/>
    <mergeCell ref="F72:G72"/>
    <mergeCell ref="I72:J72"/>
    <mergeCell ref="C73:E73"/>
    <mergeCell ref="F73:G73"/>
    <mergeCell ref="I73:J73"/>
    <mergeCell ref="C70:E70"/>
    <mergeCell ref="F70:G70"/>
    <mergeCell ref="I70:J70"/>
    <mergeCell ref="C71:E71"/>
    <mergeCell ref="F71:G71"/>
    <mergeCell ref="I71:J71"/>
    <mergeCell ref="C68:E68"/>
    <mergeCell ref="F68:G68"/>
    <mergeCell ref="I68:J68"/>
    <mergeCell ref="C69:E69"/>
    <mergeCell ref="F69:G69"/>
    <mergeCell ref="I69:J69"/>
    <mergeCell ref="C66:E66"/>
    <mergeCell ref="F66:G66"/>
    <mergeCell ref="I66:J66"/>
    <mergeCell ref="C67:E67"/>
    <mergeCell ref="F67:G67"/>
    <mergeCell ref="I67:J67"/>
    <mergeCell ref="C64:E64"/>
    <mergeCell ref="F64:G64"/>
    <mergeCell ref="I64:J64"/>
    <mergeCell ref="C65:E65"/>
    <mergeCell ref="F65:G65"/>
    <mergeCell ref="I65:J65"/>
    <mergeCell ref="C62:E62"/>
    <mergeCell ref="F62:G62"/>
    <mergeCell ref="I62:J62"/>
    <mergeCell ref="C63:E63"/>
    <mergeCell ref="F63:G63"/>
    <mergeCell ref="I63:J63"/>
    <mergeCell ref="C60:E60"/>
    <mergeCell ref="F60:G60"/>
    <mergeCell ref="I60:J60"/>
    <mergeCell ref="C61:E61"/>
    <mergeCell ref="F61:G61"/>
    <mergeCell ref="I61:J61"/>
    <mergeCell ref="C58:E58"/>
    <mergeCell ref="F58:G58"/>
    <mergeCell ref="I58:J58"/>
    <mergeCell ref="C59:E59"/>
    <mergeCell ref="F59:G59"/>
    <mergeCell ref="I59:J59"/>
    <mergeCell ref="C49:D49"/>
    <mergeCell ref="E49:F49"/>
    <mergeCell ref="G49:I49"/>
    <mergeCell ref="C57:E57"/>
    <mergeCell ref="F57:G57"/>
    <mergeCell ref="I57:J57"/>
    <mergeCell ref="C47:D47"/>
    <mergeCell ref="E47:F47"/>
    <mergeCell ref="G47:I47"/>
    <mergeCell ref="C48:D48"/>
    <mergeCell ref="E48:F48"/>
    <mergeCell ref="G48:I48"/>
    <mergeCell ref="C45:D45"/>
    <mergeCell ref="E45:F45"/>
    <mergeCell ref="G45:I45"/>
    <mergeCell ref="C46:D46"/>
    <mergeCell ref="E46:F46"/>
    <mergeCell ref="G46:I46"/>
    <mergeCell ref="C43:D43"/>
    <mergeCell ref="E43:F43"/>
    <mergeCell ref="G43:I43"/>
    <mergeCell ref="C44:D44"/>
    <mergeCell ref="E44:F44"/>
    <mergeCell ref="G44:I44"/>
    <mergeCell ref="C41:D41"/>
    <mergeCell ref="E41:F41"/>
    <mergeCell ref="G41:I41"/>
    <mergeCell ref="C42:D42"/>
    <mergeCell ref="E42:F42"/>
    <mergeCell ref="G42:I42"/>
    <mergeCell ref="C39:D39"/>
    <mergeCell ref="E39:F39"/>
    <mergeCell ref="G39:I39"/>
    <mergeCell ref="C40:D40"/>
    <mergeCell ref="E40:F40"/>
    <mergeCell ref="G40:I40"/>
    <mergeCell ref="C37:D37"/>
    <mergeCell ref="E37:F37"/>
    <mergeCell ref="G37:I37"/>
    <mergeCell ref="C38:D38"/>
    <mergeCell ref="E38:F38"/>
    <mergeCell ref="G38:I38"/>
    <mergeCell ref="C35:D35"/>
    <mergeCell ref="E35:F35"/>
    <mergeCell ref="G35:I35"/>
    <mergeCell ref="C36:D36"/>
    <mergeCell ref="E36:F36"/>
    <mergeCell ref="G36:I36"/>
    <mergeCell ref="C33:D33"/>
    <mergeCell ref="E33:F33"/>
    <mergeCell ref="G33:I33"/>
    <mergeCell ref="C34:D34"/>
    <mergeCell ref="E34:F34"/>
    <mergeCell ref="G34:I34"/>
    <mergeCell ref="C31:D31"/>
    <mergeCell ref="E31:F31"/>
    <mergeCell ref="G31:I31"/>
    <mergeCell ref="C32:D32"/>
    <mergeCell ref="E32:F32"/>
    <mergeCell ref="G32:I32"/>
    <mergeCell ref="C29:D29"/>
    <mergeCell ref="E29:F29"/>
    <mergeCell ref="G29:I29"/>
    <mergeCell ref="C30:D30"/>
    <mergeCell ref="E30:F30"/>
    <mergeCell ref="G30:I30"/>
    <mergeCell ref="C27:D27"/>
    <mergeCell ref="E27:F27"/>
    <mergeCell ref="G27:I27"/>
    <mergeCell ref="C28:D28"/>
    <mergeCell ref="E28:F28"/>
    <mergeCell ref="G28:I28"/>
    <mergeCell ref="C25:D25"/>
    <mergeCell ref="E25:F25"/>
    <mergeCell ref="G25:I25"/>
    <mergeCell ref="C26:D26"/>
    <mergeCell ref="E26:F26"/>
    <mergeCell ref="G26:I26"/>
    <mergeCell ref="C23:D23"/>
    <mergeCell ref="E23:F23"/>
    <mergeCell ref="G23:I23"/>
    <mergeCell ref="C24:D24"/>
    <mergeCell ref="E24:F24"/>
    <mergeCell ref="G24:I24"/>
    <mergeCell ref="C21:D21"/>
    <mergeCell ref="E21:F21"/>
    <mergeCell ref="G21:I21"/>
    <mergeCell ref="C22:D22"/>
    <mergeCell ref="E22:F22"/>
    <mergeCell ref="G22:I22"/>
    <mergeCell ref="C20:D20"/>
    <mergeCell ref="E20:F20"/>
    <mergeCell ref="G20:I20"/>
    <mergeCell ref="C17:D17"/>
    <mergeCell ref="E17:F17"/>
    <mergeCell ref="G17:I17"/>
    <mergeCell ref="C18:D18"/>
    <mergeCell ref="E18:F18"/>
    <mergeCell ref="G18:I18"/>
    <mergeCell ref="C15:D15"/>
    <mergeCell ref="E15:F15"/>
    <mergeCell ref="G15:I15"/>
    <mergeCell ref="C16:D16"/>
    <mergeCell ref="E16:F16"/>
    <mergeCell ref="G16:I16"/>
    <mergeCell ref="C19:D19"/>
    <mergeCell ref="E19:F19"/>
    <mergeCell ref="G19:I1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DCFC2-8C2A-4F37-9D2A-387232C18C1E}">
  <dimension ref="A1:O110"/>
  <sheetViews>
    <sheetView showGridLines="0" topLeftCell="A100" zoomScale="115" zoomScaleNormal="115" workbookViewId="0">
      <selection activeCell="N105" sqref="N105"/>
    </sheetView>
  </sheetViews>
  <sheetFormatPr defaultRowHeight="15" x14ac:dyDescent="0.25"/>
  <cols>
    <col min="1" max="1" width="8" style="22" customWidth="1"/>
    <col min="2" max="2" width="1.85546875" style="22" customWidth="1"/>
    <col min="3" max="3" width="5" style="22" customWidth="1"/>
    <col min="4" max="4" width="1.85546875" style="22" customWidth="1"/>
    <col min="5" max="5" width="36" style="22" customWidth="1"/>
    <col min="6" max="7" width="5" style="22" customWidth="1"/>
    <col min="8" max="9" width="4" style="22" customWidth="1"/>
    <col min="10" max="10" width="10.85546875" style="22" customWidth="1"/>
    <col min="11" max="11" width="2.85546875" style="22" customWidth="1"/>
    <col min="12" max="12" width="13.85546875" style="22" bestFit="1" customWidth="1"/>
    <col min="13" max="13" width="2.85546875" style="22" customWidth="1"/>
    <col min="14" max="14" width="12.7109375" style="22" bestFit="1" customWidth="1"/>
  </cols>
  <sheetData>
    <row r="1" spans="1:15" x14ac:dyDescent="0.25">
      <c r="A1" s="65" t="s">
        <v>369</v>
      </c>
    </row>
    <row r="2" spans="1:15" x14ac:dyDescent="0.25">
      <c r="A2" s="65" t="s">
        <v>370</v>
      </c>
    </row>
    <row r="3" spans="1:15" x14ac:dyDescent="0.25">
      <c r="A3" s="65" t="s">
        <v>371</v>
      </c>
    </row>
    <row r="4" spans="1:15" x14ac:dyDescent="0.25">
      <c r="A4" s="65" t="s">
        <v>372</v>
      </c>
    </row>
    <row r="5" spans="1:15" x14ac:dyDescent="0.25">
      <c r="A5" s="65" t="s">
        <v>373</v>
      </c>
    </row>
    <row r="6" spans="1:15" x14ac:dyDescent="0.25">
      <c r="A6" s="65" t="s">
        <v>374</v>
      </c>
    </row>
    <row r="7" spans="1:15" x14ac:dyDescent="0.25">
      <c r="A7" s="65" t="s">
        <v>375</v>
      </c>
    </row>
    <row r="8" spans="1:15" x14ac:dyDescent="0.25">
      <c r="A8" s="65" t="s">
        <v>376</v>
      </c>
    </row>
    <row r="9" spans="1:15" x14ac:dyDescent="0.25">
      <c r="A9" s="65" t="s">
        <v>377</v>
      </c>
    </row>
    <row r="10" spans="1:15" x14ac:dyDescent="0.25">
      <c r="A10" s="65" t="s">
        <v>378</v>
      </c>
    </row>
    <row r="11" spans="1:15" x14ac:dyDescent="0.25">
      <c r="A11" s="65" t="s">
        <v>379</v>
      </c>
    </row>
    <row r="12" spans="1:15" x14ac:dyDescent="0.25">
      <c r="A12" s="65" t="s">
        <v>380</v>
      </c>
    </row>
    <row r="13" spans="1:15" x14ac:dyDescent="0.25">
      <c r="A13" s="65" t="s">
        <v>381</v>
      </c>
    </row>
    <row r="14" spans="1:15" ht="18" x14ac:dyDescent="0.25">
      <c r="A14" s="66" t="s">
        <v>382</v>
      </c>
      <c r="B14" s="66" t="s">
        <v>383</v>
      </c>
      <c r="C14" s="67" t="s">
        <v>384</v>
      </c>
      <c r="D14" s="66" t="s">
        <v>383</v>
      </c>
      <c r="E14" s="68" t="s">
        <v>385</v>
      </c>
      <c r="F14" s="163" t="s">
        <v>383</v>
      </c>
      <c r="G14" s="163"/>
      <c r="H14" s="70" t="s">
        <v>386</v>
      </c>
      <c r="I14" s="66" t="s">
        <v>383</v>
      </c>
      <c r="J14" s="71" t="s">
        <v>387</v>
      </c>
      <c r="K14" s="66" t="s">
        <v>383</v>
      </c>
      <c r="L14" s="71" t="s">
        <v>388</v>
      </c>
      <c r="M14" s="66" t="s">
        <v>383</v>
      </c>
      <c r="N14" s="72" t="s">
        <v>389</v>
      </c>
    </row>
    <row r="15" spans="1:15" ht="18" x14ac:dyDescent="0.25">
      <c r="A15" s="73">
        <v>103</v>
      </c>
      <c r="B15" s="74" t="s">
        <v>390</v>
      </c>
      <c r="C15" s="75">
        <v>100</v>
      </c>
      <c r="D15" s="76" t="s">
        <v>390</v>
      </c>
      <c r="E15" s="77" t="s">
        <v>391</v>
      </c>
      <c r="F15" s="162" t="s">
        <v>390</v>
      </c>
      <c r="G15" s="162"/>
      <c r="H15" s="77" t="s">
        <v>392</v>
      </c>
      <c r="I15" s="77" t="s">
        <v>390</v>
      </c>
      <c r="J15" s="78">
        <v>0.4</v>
      </c>
      <c r="K15" s="77" t="s">
        <v>390</v>
      </c>
      <c r="L15" s="79">
        <v>135000</v>
      </c>
      <c r="M15" s="77" t="s">
        <v>390</v>
      </c>
      <c r="N15" s="79">
        <v>54000</v>
      </c>
      <c r="O15" s="40" t="s">
        <v>233</v>
      </c>
    </row>
    <row r="16" spans="1:15" x14ac:dyDescent="0.25">
      <c r="A16" s="80"/>
      <c r="B16" s="74" t="s">
        <v>390</v>
      </c>
      <c r="C16" s="80"/>
      <c r="D16" s="76" t="s">
        <v>390</v>
      </c>
      <c r="E16" s="80"/>
      <c r="F16" s="162" t="s">
        <v>390</v>
      </c>
      <c r="G16" s="162"/>
      <c r="H16" s="80"/>
      <c r="I16" s="77" t="s">
        <v>390</v>
      </c>
      <c r="J16" s="80"/>
      <c r="K16" s="77" t="s">
        <v>390</v>
      </c>
      <c r="L16" s="80"/>
      <c r="M16" s="77" t="s">
        <v>390</v>
      </c>
      <c r="N16" s="80"/>
    </row>
    <row r="17" spans="1:15" ht="18" x14ac:dyDescent="0.25">
      <c r="A17" s="73">
        <v>107</v>
      </c>
      <c r="B17" s="74" t="s">
        <v>390</v>
      </c>
      <c r="C17" s="75">
        <v>100</v>
      </c>
      <c r="D17" s="76" t="s">
        <v>390</v>
      </c>
      <c r="E17" s="77" t="s">
        <v>393</v>
      </c>
      <c r="F17" s="162" t="s">
        <v>390</v>
      </c>
      <c r="G17" s="162"/>
      <c r="H17" s="77" t="s">
        <v>392</v>
      </c>
      <c r="I17" s="77" t="s">
        <v>390</v>
      </c>
      <c r="J17" s="78">
        <v>0.4</v>
      </c>
      <c r="K17" s="77" t="s">
        <v>390</v>
      </c>
      <c r="L17" s="79">
        <v>4000</v>
      </c>
      <c r="M17" s="77" t="s">
        <v>390</v>
      </c>
      <c r="N17" s="79">
        <v>1600</v>
      </c>
      <c r="O17" s="40" t="s">
        <v>233</v>
      </c>
    </row>
    <row r="18" spans="1:15" x14ac:dyDescent="0.25">
      <c r="A18" s="80"/>
      <c r="B18" s="74" t="s">
        <v>390</v>
      </c>
      <c r="C18" s="80"/>
      <c r="D18" s="76" t="s">
        <v>390</v>
      </c>
      <c r="E18" s="80"/>
      <c r="F18" s="162" t="s">
        <v>390</v>
      </c>
      <c r="G18" s="162"/>
      <c r="H18" s="80"/>
      <c r="I18" s="77" t="s">
        <v>390</v>
      </c>
      <c r="J18" s="80"/>
      <c r="K18" s="77" t="s">
        <v>390</v>
      </c>
      <c r="L18" s="80"/>
      <c r="M18" s="77" t="s">
        <v>390</v>
      </c>
      <c r="N18" s="80"/>
    </row>
    <row r="19" spans="1:15" ht="18" x14ac:dyDescent="0.25">
      <c r="A19" s="73">
        <v>107</v>
      </c>
      <c r="B19" s="74" t="s">
        <v>390</v>
      </c>
      <c r="C19" s="75">
        <v>140</v>
      </c>
      <c r="D19" s="76" t="s">
        <v>390</v>
      </c>
      <c r="E19" s="77" t="s">
        <v>394</v>
      </c>
      <c r="F19" s="162" t="s">
        <v>390</v>
      </c>
      <c r="G19" s="162"/>
      <c r="H19" s="77" t="s">
        <v>392</v>
      </c>
      <c r="I19" s="77" t="s">
        <v>390</v>
      </c>
      <c r="J19" s="78">
        <v>0.4</v>
      </c>
      <c r="K19" s="77" t="s">
        <v>390</v>
      </c>
      <c r="L19" s="79">
        <v>5000</v>
      </c>
      <c r="M19" s="77" t="s">
        <v>390</v>
      </c>
      <c r="N19" s="79">
        <v>2000</v>
      </c>
      <c r="O19" s="40" t="s">
        <v>233</v>
      </c>
    </row>
    <row r="20" spans="1:15" x14ac:dyDescent="0.25">
      <c r="A20" s="80"/>
      <c r="B20" s="74" t="s">
        <v>390</v>
      </c>
      <c r="C20" s="80"/>
      <c r="D20" s="76" t="s">
        <v>390</v>
      </c>
      <c r="E20" s="80"/>
      <c r="F20" s="162" t="s">
        <v>390</v>
      </c>
      <c r="G20" s="162"/>
      <c r="H20" s="80"/>
      <c r="I20" s="77" t="s">
        <v>390</v>
      </c>
      <c r="J20" s="80"/>
      <c r="K20" s="77" t="s">
        <v>390</v>
      </c>
      <c r="L20" s="80"/>
      <c r="M20" s="77" t="s">
        <v>390</v>
      </c>
      <c r="N20" s="80"/>
    </row>
    <row r="21" spans="1:15" ht="18" x14ac:dyDescent="0.25">
      <c r="A21" s="73">
        <v>109</v>
      </c>
      <c r="B21" s="74" t="s">
        <v>390</v>
      </c>
      <c r="C21" s="81">
        <v>1000</v>
      </c>
      <c r="D21" s="76" t="s">
        <v>390</v>
      </c>
      <c r="E21" s="77" t="s">
        <v>395</v>
      </c>
      <c r="F21" s="162" t="s">
        <v>390</v>
      </c>
      <c r="G21" s="162"/>
      <c r="H21" s="77" t="s">
        <v>392</v>
      </c>
      <c r="I21" s="77" t="s">
        <v>390</v>
      </c>
      <c r="J21" s="78">
        <v>0.4</v>
      </c>
      <c r="K21" s="77" t="s">
        <v>390</v>
      </c>
      <c r="L21" s="79">
        <v>13300</v>
      </c>
      <c r="M21" s="77" t="s">
        <v>390</v>
      </c>
      <c r="N21" s="79">
        <v>5320</v>
      </c>
      <c r="O21" s="40" t="s">
        <v>233</v>
      </c>
    </row>
    <row r="22" spans="1:15" x14ac:dyDescent="0.25">
      <c r="A22" s="80"/>
      <c r="B22" s="74" t="s">
        <v>390</v>
      </c>
      <c r="C22" s="80"/>
      <c r="D22" s="76" t="s">
        <v>390</v>
      </c>
      <c r="E22" s="80"/>
      <c r="F22" s="162" t="s">
        <v>390</v>
      </c>
      <c r="G22" s="162"/>
      <c r="H22" s="80"/>
      <c r="I22" s="77" t="s">
        <v>390</v>
      </c>
      <c r="J22" s="80"/>
      <c r="K22" s="77" t="s">
        <v>390</v>
      </c>
      <c r="L22" s="80"/>
      <c r="M22" s="77" t="s">
        <v>390</v>
      </c>
      <c r="N22" s="80"/>
    </row>
    <row r="23" spans="1:15" x14ac:dyDescent="0.25">
      <c r="A23" s="73">
        <v>202</v>
      </c>
      <c r="B23" s="74" t="s">
        <v>390</v>
      </c>
      <c r="C23" s="75">
        <v>135</v>
      </c>
      <c r="D23" s="76" t="s">
        <v>390</v>
      </c>
      <c r="E23" s="77" t="s">
        <v>396</v>
      </c>
      <c r="F23" s="162" t="s">
        <v>390</v>
      </c>
      <c r="G23" s="162"/>
      <c r="H23" s="77" t="s">
        <v>397</v>
      </c>
      <c r="I23" s="77" t="s">
        <v>390</v>
      </c>
      <c r="J23" s="82">
        <v>36275</v>
      </c>
      <c r="K23" s="77" t="s">
        <v>390</v>
      </c>
      <c r="L23" s="83">
        <v>22.75</v>
      </c>
      <c r="M23" s="77" t="s">
        <v>390</v>
      </c>
      <c r="N23" s="79">
        <v>825256.25</v>
      </c>
      <c r="O23" s="40" t="s">
        <v>233</v>
      </c>
    </row>
    <row r="24" spans="1:15" x14ac:dyDescent="0.25">
      <c r="A24" s="80"/>
      <c r="B24" s="74" t="s">
        <v>390</v>
      </c>
      <c r="C24" s="80"/>
      <c r="D24" s="76" t="s">
        <v>390</v>
      </c>
      <c r="E24" s="80"/>
      <c r="F24" s="162" t="s">
        <v>390</v>
      </c>
      <c r="G24" s="162"/>
      <c r="H24" s="80"/>
      <c r="I24" s="77" t="s">
        <v>390</v>
      </c>
      <c r="J24" s="80"/>
      <c r="K24" s="77" t="s">
        <v>390</v>
      </c>
      <c r="L24" s="80"/>
      <c r="M24" s="77" t="s">
        <v>390</v>
      </c>
      <c r="N24" s="80"/>
    </row>
    <row r="25" spans="1:15" x14ac:dyDescent="0.25">
      <c r="A25" s="73">
        <v>203</v>
      </c>
      <c r="B25" s="74" t="s">
        <v>390</v>
      </c>
      <c r="C25" s="75">
        <v>138</v>
      </c>
      <c r="D25" s="76" t="s">
        <v>390</v>
      </c>
      <c r="E25" s="77" t="s">
        <v>398</v>
      </c>
      <c r="F25" s="162" t="s">
        <v>390</v>
      </c>
      <c r="G25" s="162"/>
      <c r="H25" s="77" t="s">
        <v>399</v>
      </c>
      <c r="I25" s="77" t="s">
        <v>390</v>
      </c>
      <c r="J25" s="82">
        <v>3604</v>
      </c>
      <c r="K25" s="77" t="s">
        <v>390</v>
      </c>
      <c r="L25" s="83">
        <v>26.75</v>
      </c>
      <c r="M25" s="77" t="s">
        <v>390</v>
      </c>
      <c r="N25" s="79">
        <v>96407</v>
      </c>
      <c r="O25" s="187" t="s">
        <v>925</v>
      </c>
    </row>
    <row r="26" spans="1:15" x14ac:dyDescent="0.25">
      <c r="A26" s="80"/>
      <c r="B26" s="74" t="s">
        <v>390</v>
      </c>
      <c r="C26" s="80"/>
      <c r="D26" s="76" t="s">
        <v>390</v>
      </c>
      <c r="E26" s="80"/>
      <c r="F26" s="162" t="s">
        <v>390</v>
      </c>
      <c r="G26" s="162"/>
      <c r="H26" s="80"/>
      <c r="I26" s="77" t="s">
        <v>390</v>
      </c>
      <c r="J26" s="80"/>
      <c r="K26" s="77" t="s">
        <v>390</v>
      </c>
      <c r="L26" s="80"/>
      <c r="M26" s="77" t="s">
        <v>390</v>
      </c>
      <c r="N26" s="80"/>
    </row>
    <row r="27" spans="1:15" x14ac:dyDescent="0.25">
      <c r="A27" s="73">
        <v>203</v>
      </c>
      <c r="B27" s="74" t="s">
        <v>390</v>
      </c>
      <c r="C27" s="75">
        <v>238</v>
      </c>
      <c r="D27" s="76" t="s">
        <v>390</v>
      </c>
      <c r="E27" s="77" t="s">
        <v>400</v>
      </c>
      <c r="F27" s="162" t="s">
        <v>390</v>
      </c>
      <c r="G27" s="162"/>
      <c r="H27" s="77" t="s">
        <v>399</v>
      </c>
      <c r="I27" s="77" t="s">
        <v>390</v>
      </c>
      <c r="J27" s="82">
        <v>6758</v>
      </c>
      <c r="K27" s="77" t="s">
        <v>390</v>
      </c>
      <c r="L27" s="83">
        <v>70</v>
      </c>
      <c r="M27" s="77" t="s">
        <v>390</v>
      </c>
      <c r="N27" s="79">
        <v>473060</v>
      </c>
      <c r="O27" s="187" t="s">
        <v>925</v>
      </c>
    </row>
    <row r="28" spans="1:15" x14ac:dyDescent="0.25">
      <c r="A28" s="80"/>
      <c r="B28" s="74" t="s">
        <v>390</v>
      </c>
      <c r="C28" s="80"/>
      <c r="D28" s="76" t="s">
        <v>390</v>
      </c>
      <c r="E28" s="80"/>
      <c r="F28" s="162" t="s">
        <v>390</v>
      </c>
      <c r="G28" s="162"/>
      <c r="H28" s="80"/>
      <c r="I28" s="77" t="s">
        <v>390</v>
      </c>
      <c r="J28" s="80"/>
      <c r="K28" s="77" t="s">
        <v>390</v>
      </c>
      <c r="L28" s="80"/>
      <c r="M28" s="77" t="s">
        <v>390</v>
      </c>
      <c r="N28" s="80"/>
    </row>
    <row r="29" spans="1:15" ht="18" x14ac:dyDescent="0.25">
      <c r="A29" s="73">
        <v>230</v>
      </c>
      <c r="B29" s="74" t="s">
        <v>390</v>
      </c>
      <c r="C29" s="75">
        <v>125</v>
      </c>
      <c r="D29" s="76" t="s">
        <v>390</v>
      </c>
      <c r="E29" s="77" t="s">
        <v>401</v>
      </c>
      <c r="F29" s="162" t="s">
        <v>390</v>
      </c>
      <c r="G29" s="162"/>
      <c r="H29" s="77" t="s">
        <v>402</v>
      </c>
      <c r="I29" s="77" t="s">
        <v>390</v>
      </c>
      <c r="J29" s="78">
        <v>73.777000000000001</v>
      </c>
      <c r="K29" s="77" t="s">
        <v>390</v>
      </c>
      <c r="L29" s="83">
        <v>886</v>
      </c>
      <c r="M29" s="77" t="s">
        <v>390</v>
      </c>
      <c r="N29" s="79">
        <v>65366.42</v>
      </c>
      <c r="O29" s="187" t="s">
        <v>925</v>
      </c>
    </row>
    <row r="30" spans="1:15" x14ac:dyDescent="0.25">
      <c r="A30" s="80"/>
      <c r="B30" s="74" t="s">
        <v>390</v>
      </c>
      <c r="C30" s="80"/>
      <c r="D30" s="76" t="s">
        <v>390</v>
      </c>
      <c r="E30" s="80"/>
      <c r="F30" s="162" t="s">
        <v>390</v>
      </c>
      <c r="G30" s="162"/>
      <c r="H30" s="80"/>
      <c r="I30" s="77" t="s">
        <v>390</v>
      </c>
      <c r="J30" s="80"/>
      <c r="K30" s="77" t="s">
        <v>390</v>
      </c>
      <c r="L30" s="80"/>
      <c r="M30" s="77" t="s">
        <v>390</v>
      </c>
      <c r="N30" s="80"/>
    </row>
    <row r="31" spans="1:15" x14ac:dyDescent="0.25">
      <c r="A31" s="73">
        <v>302</v>
      </c>
      <c r="B31" s="74" t="s">
        <v>390</v>
      </c>
      <c r="C31" s="75">
        <v>120</v>
      </c>
      <c r="D31" s="76" t="s">
        <v>390</v>
      </c>
      <c r="E31" s="77" t="s">
        <v>403</v>
      </c>
      <c r="F31" s="162" t="s">
        <v>390</v>
      </c>
      <c r="G31" s="162"/>
      <c r="H31" s="77" t="s">
        <v>397</v>
      </c>
      <c r="I31" s="77" t="s">
        <v>390</v>
      </c>
      <c r="J31" s="82">
        <v>21577</v>
      </c>
      <c r="K31" s="77" t="s">
        <v>390</v>
      </c>
      <c r="L31" s="83">
        <v>19</v>
      </c>
      <c r="M31" s="77" t="s">
        <v>390</v>
      </c>
      <c r="N31" s="79">
        <v>409963</v>
      </c>
      <c r="O31" s="187" t="s">
        <v>925</v>
      </c>
    </row>
    <row r="32" spans="1:15" x14ac:dyDescent="0.25">
      <c r="A32" s="80"/>
      <c r="B32" s="74" t="s">
        <v>390</v>
      </c>
      <c r="C32" s="80"/>
      <c r="D32" s="76" t="s">
        <v>390</v>
      </c>
      <c r="E32" s="80"/>
      <c r="F32" s="162" t="s">
        <v>390</v>
      </c>
      <c r="G32" s="162"/>
      <c r="H32" s="80"/>
      <c r="I32" s="77" t="s">
        <v>390</v>
      </c>
      <c r="J32" s="80"/>
      <c r="K32" s="77" t="s">
        <v>390</v>
      </c>
      <c r="L32" s="80"/>
      <c r="M32" s="77" t="s">
        <v>390</v>
      </c>
      <c r="N32" s="80"/>
    </row>
    <row r="33" spans="1:15" x14ac:dyDescent="0.25">
      <c r="A33" s="73">
        <v>302</v>
      </c>
      <c r="B33" s="74" t="s">
        <v>390</v>
      </c>
      <c r="C33" s="75">
        <v>356</v>
      </c>
      <c r="D33" s="76" t="s">
        <v>390</v>
      </c>
      <c r="E33" s="77" t="s">
        <v>404</v>
      </c>
      <c r="F33" s="162" t="s">
        <v>390</v>
      </c>
      <c r="G33" s="162"/>
      <c r="H33" s="77" t="s">
        <v>397</v>
      </c>
      <c r="I33" s="77" t="s">
        <v>390</v>
      </c>
      <c r="J33" s="78">
        <v>692</v>
      </c>
      <c r="K33" s="77" t="s">
        <v>390</v>
      </c>
      <c r="L33" s="83">
        <v>28</v>
      </c>
      <c r="M33" s="77" t="s">
        <v>390</v>
      </c>
      <c r="N33" s="79">
        <v>19376</v>
      </c>
      <c r="O33" s="187" t="s">
        <v>925</v>
      </c>
    </row>
    <row r="34" spans="1:15" x14ac:dyDescent="0.25">
      <c r="A34" s="80"/>
      <c r="B34" s="74" t="s">
        <v>390</v>
      </c>
      <c r="C34" s="80"/>
      <c r="D34" s="76" t="s">
        <v>390</v>
      </c>
      <c r="E34" s="80"/>
      <c r="F34" s="162" t="s">
        <v>390</v>
      </c>
      <c r="G34" s="162"/>
      <c r="H34" s="80"/>
      <c r="I34" s="77" t="s">
        <v>390</v>
      </c>
      <c r="J34" s="80"/>
      <c r="K34" s="77" t="s">
        <v>390</v>
      </c>
      <c r="L34" s="80"/>
      <c r="M34" s="77" t="s">
        <v>390</v>
      </c>
      <c r="N34" s="80"/>
    </row>
    <row r="35" spans="1:15" x14ac:dyDescent="0.25">
      <c r="A35" s="73">
        <v>401</v>
      </c>
      <c r="B35" s="74" t="s">
        <v>390</v>
      </c>
      <c r="C35" s="75">
        <v>50</v>
      </c>
      <c r="D35" s="76" t="s">
        <v>390</v>
      </c>
      <c r="E35" s="77" t="s">
        <v>405</v>
      </c>
      <c r="F35" s="162" t="s">
        <v>390</v>
      </c>
      <c r="G35" s="162"/>
      <c r="H35" s="77" t="s">
        <v>406</v>
      </c>
      <c r="I35" s="77" t="s">
        <v>390</v>
      </c>
      <c r="J35" s="82">
        <v>103096</v>
      </c>
      <c r="K35" s="77" t="s">
        <v>390</v>
      </c>
      <c r="L35" s="83">
        <v>3.2</v>
      </c>
      <c r="M35" s="77" t="s">
        <v>390</v>
      </c>
      <c r="N35" s="79">
        <v>329907.20000000001</v>
      </c>
      <c r="O35" s="187" t="s">
        <v>925</v>
      </c>
    </row>
    <row r="36" spans="1:15" x14ac:dyDescent="0.25">
      <c r="A36" s="80"/>
      <c r="B36" s="74" t="s">
        <v>390</v>
      </c>
      <c r="C36" s="80"/>
      <c r="D36" s="76" t="s">
        <v>390</v>
      </c>
      <c r="E36" s="80"/>
      <c r="F36" s="162" t="s">
        <v>390</v>
      </c>
      <c r="G36" s="162"/>
      <c r="H36" s="80"/>
      <c r="I36" s="77" t="s">
        <v>390</v>
      </c>
      <c r="J36" s="80"/>
      <c r="K36" s="77" t="s">
        <v>390</v>
      </c>
      <c r="L36" s="80"/>
      <c r="M36" s="77" t="s">
        <v>390</v>
      </c>
      <c r="N36" s="80"/>
      <c r="O36" s="40"/>
    </row>
    <row r="37" spans="1:15" x14ac:dyDescent="0.25">
      <c r="A37" s="73">
        <v>401</v>
      </c>
      <c r="B37" s="74" t="s">
        <v>390</v>
      </c>
      <c r="C37" s="75">
        <v>60</v>
      </c>
      <c r="D37" s="76" t="s">
        <v>390</v>
      </c>
      <c r="E37" s="77" t="s">
        <v>407</v>
      </c>
      <c r="F37" s="162" t="s">
        <v>390</v>
      </c>
      <c r="G37" s="162"/>
      <c r="H37" s="77" t="s">
        <v>406</v>
      </c>
      <c r="I37" s="77" t="s">
        <v>390</v>
      </c>
      <c r="J37" s="82">
        <v>12467</v>
      </c>
      <c r="K37" s="77" t="s">
        <v>390</v>
      </c>
      <c r="L37" s="83">
        <v>4.4000000000000004</v>
      </c>
      <c r="M37" s="77" t="s">
        <v>390</v>
      </c>
      <c r="N37" s="79">
        <v>54854.8</v>
      </c>
      <c r="O37" s="187" t="s">
        <v>925</v>
      </c>
    </row>
    <row r="38" spans="1:15" x14ac:dyDescent="0.25">
      <c r="A38" s="80"/>
      <c r="B38" s="74" t="s">
        <v>390</v>
      </c>
      <c r="C38" s="80"/>
      <c r="D38" s="76" t="s">
        <v>390</v>
      </c>
      <c r="E38" s="80"/>
      <c r="F38" s="162" t="s">
        <v>390</v>
      </c>
      <c r="G38" s="162"/>
      <c r="H38" s="80"/>
      <c r="I38" s="77" t="s">
        <v>390</v>
      </c>
      <c r="J38" s="80"/>
      <c r="K38" s="77" t="s">
        <v>390</v>
      </c>
      <c r="L38" s="80"/>
      <c r="M38" s="77" t="s">
        <v>390</v>
      </c>
      <c r="N38" s="80"/>
    </row>
    <row r="39" spans="1:15" x14ac:dyDescent="0.25">
      <c r="A39" s="73">
        <v>401</v>
      </c>
      <c r="B39" s="74" t="s">
        <v>390</v>
      </c>
      <c r="C39" s="75">
        <v>70</v>
      </c>
      <c r="D39" s="76" t="s">
        <v>390</v>
      </c>
      <c r="E39" s="77" t="s">
        <v>408</v>
      </c>
      <c r="F39" s="162" t="s">
        <v>390</v>
      </c>
      <c r="G39" s="162"/>
      <c r="H39" s="77" t="s">
        <v>406</v>
      </c>
      <c r="I39" s="77" t="s">
        <v>390</v>
      </c>
      <c r="J39" s="82">
        <v>44796</v>
      </c>
      <c r="K39" s="77" t="s">
        <v>390</v>
      </c>
      <c r="L39" s="83">
        <v>4</v>
      </c>
      <c r="M39" s="77" t="s">
        <v>390</v>
      </c>
      <c r="N39" s="79">
        <v>179184</v>
      </c>
      <c r="O39" s="187" t="s">
        <v>925</v>
      </c>
    </row>
    <row r="40" spans="1:15" x14ac:dyDescent="0.25">
      <c r="A40" s="80"/>
      <c r="B40" s="74" t="s">
        <v>390</v>
      </c>
      <c r="C40" s="80"/>
      <c r="D40" s="76" t="s">
        <v>390</v>
      </c>
      <c r="E40" s="80"/>
      <c r="F40" s="162" t="s">
        <v>390</v>
      </c>
      <c r="G40" s="162"/>
      <c r="H40" s="80"/>
      <c r="I40" s="77" t="s">
        <v>390</v>
      </c>
      <c r="J40" s="80"/>
      <c r="K40" s="77" t="s">
        <v>390</v>
      </c>
      <c r="L40" s="80"/>
      <c r="M40" s="77" t="s">
        <v>390</v>
      </c>
      <c r="N40" s="80"/>
    </row>
    <row r="41" spans="1:15" x14ac:dyDescent="0.25">
      <c r="A41" s="73">
        <v>401</v>
      </c>
      <c r="B41" s="74" t="s">
        <v>390</v>
      </c>
      <c r="C41" s="75">
        <v>160</v>
      </c>
      <c r="D41" s="76" t="s">
        <v>390</v>
      </c>
      <c r="E41" s="77" t="s">
        <v>409</v>
      </c>
      <c r="F41" s="162" t="s">
        <v>390</v>
      </c>
      <c r="G41" s="162"/>
      <c r="H41" s="77" t="s">
        <v>397</v>
      </c>
      <c r="I41" s="77" t="s">
        <v>390</v>
      </c>
      <c r="J41" s="78">
        <v>425</v>
      </c>
      <c r="K41" s="77" t="s">
        <v>390</v>
      </c>
      <c r="L41" s="83">
        <v>65</v>
      </c>
      <c r="M41" s="77" t="s">
        <v>390</v>
      </c>
      <c r="N41" s="79">
        <v>27625</v>
      </c>
      <c r="O41" s="187" t="s">
        <v>925</v>
      </c>
    </row>
    <row r="42" spans="1:15" x14ac:dyDescent="0.25">
      <c r="A42" s="80"/>
      <c r="B42" s="74" t="s">
        <v>390</v>
      </c>
      <c r="C42" s="80"/>
      <c r="D42" s="76" t="s">
        <v>390</v>
      </c>
      <c r="E42" s="80"/>
      <c r="F42" s="162" t="s">
        <v>390</v>
      </c>
      <c r="G42" s="162"/>
      <c r="H42" s="80"/>
      <c r="I42" s="77" t="s">
        <v>390</v>
      </c>
      <c r="J42" s="80"/>
      <c r="K42" s="77" t="s">
        <v>390</v>
      </c>
      <c r="L42" s="80"/>
      <c r="M42" s="77" t="s">
        <v>390</v>
      </c>
      <c r="N42" s="80"/>
    </row>
    <row r="43" spans="1:15" x14ac:dyDescent="0.25">
      <c r="A43" s="73">
        <v>411</v>
      </c>
      <c r="B43" s="74" t="s">
        <v>390</v>
      </c>
      <c r="C43" s="75">
        <v>100</v>
      </c>
      <c r="D43" s="76" t="s">
        <v>390</v>
      </c>
      <c r="E43" s="77" t="s">
        <v>410</v>
      </c>
      <c r="F43" s="162" t="s">
        <v>390</v>
      </c>
      <c r="G43" s="162"/>
      <c r="H43" s="77" t="s">
        <v>397</v>
      </c>
      <c r="I43" s="77" t="s">
        <v>390</v>
      </c>
      <c r="J43" s="82">
        <v>24931</v>
      </c>
      <c r="K43" s="77" t="s">
        <v>390</v>
      </c>
      <c r="L43" s="83">
        <v>18</v>
      </c>
      <c r="M43" s="77" t="s">
        <v>390</v>
      </c>
      <c r="N43" s="79">
        <v>448758</v>
      </c>
      <c r="O43" s="187" t="s">
        <v>925</v>
      </c>
    </row>
    <row r="44" spans="1:15" x14ac:dyDescent="0.25">
      <c r="A44" s="80"/>
      <c r="B44" s="74" t="s">
        <v>390</v>
      </c>
      <c r="C44" s="80"/>
      <c r="D44" s="76" t="s">
        <v>390</v>
      </c>
      <c r="E44" s="80"/>
      <c r="F44" s="162" t="s">
        <v>390</v>
      </c>
      <c r="G44" s="162"/>
      <c r="H44" s="80"/>
      <c r="I44" s="77" t="s">
        <v>390</v>
      </c>
      <c r="J44" s="80"/>
      <c r="K44" s="77" t="s">
        <v>390</v>
      </c>
      <c r="L44" s="80"/>
      <c r="M44" s="77" t="s">
        <v>390</v>
      </c>
      <c r="N44" s="80"/>
    </row>
    <row r="45" spans="1:15" x14ac:dyDescent="0.25">
      <c r="A45" s="73">
        <v>430</v>
      </c>
      <c r="B45" s="74" t="s">
        <v>390</v>
      </c>
      <c r="C45" s="75">
        <v>45</v>
      </c>
      <c r="D45" s="76" t="s">
        <v>390</v>
      </c>
      <c r="E45" s="77" t="s">
        <v>411</v>
      </c>
      <c r="F45" s="162" t="s">
        <v>390</v>
      </c>
      <c r="G45" s="162"/>
      <c r="H45" s="77" t="s">
        <v>397</v>
      </c>
      <c r="I45" s="77" t="s">
        <v>390</v>
      </c>
      <c r="J45" s="82">
        <v>123878</v>
      </c>
      <c r="K45" s="77" t="s">
        <v>390</v>
      </c>
      <c r="L45" s="83">
        <v>45</v>
      </c>
      <c r="M45" s="77" t="s">
        <v>390</v>
      </c>
      <c r="N45" s="79">
        <v>5574510</v>
      </c>
      <c r="O45" s="187" t="s">
        <v>925</v>
      </c>
    </row>
    <row r="46" spans="1:15" x14ac:dyDescent="0.25">
      <c r="A46" s="80"/>
      <c r="B46" s="74" t="s">
        <v>390</v>
      </c>
      <c r="C46" s="80"/>
      <c r="D46" s="76" t="s">
        <v>390</v>
      </c>
      <c r="E46" s="80"/>
      <c r="F46" s="162" t="s">
        <v>390</v>
      </c>
      <c r="G46" s="162"/>
      <c r="H46" s="80"/>
      <c r="I46" s="77" t="s">
        <v>390</v>
      </c>
      <c r="J46" s="80"/>
      <c r="K46" s="77" t="s">
        <v>390</v>
      </c>
      <c r="L46" s="80"/>
      <c r="M46" s="77" t="s">
        <v>390</v>
      </c>
      <c r="N46" s="80"/>
    </row>
    <row r="47" spans="1:15" x14ac:dyDescent="0.25">
      <c r="A47" s="73">
        <v>430</v>
      </c>
      <c r="B47" s="74" t="s">
        <v>390</v>
      </c>
      <c r="C47" s="81">
        <v>1000</v>
      </c>
      <c r="D47" s="76" t="s">
        <v>390</v>
      </c>
      <c r="E47" s="77" t="s">
        <v>412</v>
      </c>
      <c r="F47" s="162" t="s">
        <v>390</v>
      </c>
      <c r="G47" s="162"/>
      <c r="H47" s="77" t="s">
        <v>413</v>
      </c>
      <c r="I47" s="77" t="s">
        <v>390</v>
      </c>
      <c r="J47" s="78">
        <v>705</v>
      </c>
      <c r="K47" s="77" t="s">
        <v>390</v>
      </c>
      <c r="L47" s="83">
        <v>63</v>
      </c>
      <c r="M47" s="77" t="s">
        <v>390</v>
      </c>
      <c r="N47" s="79">
        <v>44415</v>
      </c>
      <c r="O47" s="40" t="s">
        <v>233</v>
      </c>
    </row>
    <row r="48" spans="1:15" x14ac:dyDescent="0.25">
      <c r="A48" s="80"/>
      <c r="B48" s="74" t="s">
        <v>390</v>
      </c>
      <c r="C48" s="80"/>
      <c r="D48" s="76" t="s">
        <v>390</v>
      </c>
      <c r="E48" s="80"/>
      <c r="F48" s="162" t="s">
        <v>390</v>
      </c>
      <c r="G48" s="162"/>
      <c r="H48" s="80"/>
      <c r="I48" s="77" t="s">
        <v>390</v>
      </c>
      <c r="J48" s="80"/>
      <c r="K48" s="77" t="s">
        <v>390</v>
      </c>
      <c r="L48" s="80"/>
      <c r="M48" s="77" t="s">
        <v>390</v>
      </c>
      <c r="N48" s="80"/>
    </row>
    <row r="49" spans="1:15" x14ac:dyDescent="0.25">
      <c r="A49" s="73">
        <v>430</v>
      </c>
      <c r="B49" s="74" t="s">
        <v>390</v>
      </c>
      <c r="C49" s="81">
        <v>5818</v>
      </c>
      <c r="D49" s="76" t="s">
        <v>390</v>
      </c>
      <c r="E49" s="77" t="s">
        <v>414</v>
      </c>
      <c r="F49" s="162" t="s">
        <v>390</v>
      </c>
      <c r="G49" s="162"/>
      <c r="H49" s="77" t="s">
        <v>397</v>
      </c>
      <c r="I49" s="77" t="s">
        <v>390</v>
      </c>
      <c r="J49" s="82">
        <v>7444</v>
      </c>
      <c r="K49" s="77" t="s">
        <v>390</v>
      </c>
      <c r="L49" s="83">
        <v>950</v>
      </c>
      <c r="M49" s="77" t="s">
        <v>390</v>
      </c>
      <c r="N49" s="79">
        <v>7071800</v>
      </c>
      <c r="O49" s="187" t="s">
        <v>925</v>
      </c>
    </row>
    <row r="50" spans="1:15" x14ac:dyDescent="0.25">
      <c r="A50" s="80"/>
      <c r="B50" s="74" t="s">
        <v>390</v>
      </c>
      <c r="C50" s="80"/>
      <c r="D50" s="76" t="s">
        <v>390</v>
      </c>
      <c r="E50" s="80"/>
      <c r="F50" s="162" t="s">
        <v>390</v>
      </c>
      <c r="G50" s="162"/>
      <c r="H50" s="80"/>
      <c r="I50" s="77" t="s">
        <v>390</v>
      </c>
      <c r="J50" s="80"/>
      <c r="K50" s="77" t="s">
        <v>390</v>
      </c>
      <c r="L50" s="80"/>
      <c r="M50" s="77" t="s">
        <v>390</v>
      </c>
      <c r="N50" s="80"/>
    </row>
    <row r="51" spans="1:15" x14ac:dyDescent="0.25">
      <c r="A51" s="73">
        <v>624</v>
      </c>
      <c r="B51" s="74" t="s">
        <v>390</v>
      </c>
      <c r="C51" s="81">
        <v>3005</v>
      </c>
      <c r="D51" s="76" t="s">
        <v>390</v>
      </c>
      <c r="E51" s="77" t="s">
        <v>415</v>
      </c>
      <c r="F51" s="162" t="s">
        <v>390</v>
      </c>
      <c r="G51" s="162"/>
      <c r="H51" s="77" t="s">
        <v>413</v>
      </c>
      <c r="I51" s="77" t="s">
        <v>390</v>
      </c>
      <c r="J51" s="78">
        <v>8</v>
      </c>
      <c r="K51" s="77" t="s">
        <v>390</v>
      </c>
      <c r="L51" s="79">
        <v>1500</v>
      </c>
      <c r="M51" s="77" t="s">
        <v>390</v>
      </c>
      <c r="N51" s="79">
        <v>12000</v>
      </c>
      <c r="O51" s="40" t="s">
        <v>233</v>
      </c>
    </row>
    <row r="52" spans="1:15" x14ac:dyDescent="0.25">
      <c r="A52" s="80"/>
      <c r="B52" s="74" t="s">
        <v>390</v>
      </c>
      <c r="C52" s="80"/>
      <c r="D52" s="76" t="s">
        <v>390</v>
      </c>
      <c r="E52" s="80"/>
      <c r="F52" s="162" t="s">
        <v>390</v>
      </c>
      <c r="G52" s="162"/>
      <c r="H52" s="80"/>
      <c r="I52" s="77" t="s">
        <v>390</v>
      </c>
      <c r="J52" s="80"/>
      <c r="K52" s="77" t="s">
        <v>390</v>
      </c>
      <c r="L52" s="80"/>
      <c r="M52" s="77" t="s">
        <v>390</v>
      </c>
      <c r="N52" s="80"/>
    </row>
    <row r="53" spans="1:15" ht="18" x14ac:dyDescent="0.25">
      <c r="A53" s="73">
        <v>702</v>
      </c>
      <c r="B53" s="74" t="s">
        <v>390</v>
      </c>
      <c r="C53" s="75">
        <v>100</v>
      </c>
      <c r="D53" s="76" t="s">
        <v>390</v>
      </c>
      <c r="E53" s="77" t="s">
        <v>416</v>
      </c>
      <c r="F53" s="162" t="s">
        <v>390</v>
      </c>
      <c r="G53" s="162"/>
      <c r="H53" s="77" t="s">
        <v>392</v>
      </c>
      <c r="I53" s="77" t="s">
        <v>390</v>
      </c>
      <c r="J53" s="78">
        <v>0.4</v>
      </c>
      <c r="K53" s="77" t="s">
        <v>390</v>
      </c>
      <c r="L53" s="79">
        <v>800000</v>
      </c>
      <c r="M53" s="77" t="s">
        <v>390</v>
      </c>
      <c r="N53" s="79">
        <v>320000</v>
      </c>
      <c r="O53" s="40" t="s">
        <v>233</v>
      </c>
    </row>
    <row r="54" spans="1:15" x14ac:dyDescent="0.25">
      <c r="A54" s="80"/>
      <c r="B54" s="74" t="s">
        <v>390</v>
      </c>
      <c r="C54" s="80"/>
      <c r="D54" s="76" t="s">
        <v>390</v>
      </c>
      <c r="E54" s="80"/>
      <c r="F54" s="162" t="s">
        <v>390</v>
      </c>
      <c r="G54" s="162"/>
      <c r="H54" s="80"/>
      <c r="I54" s="77" t="s">
        <v>390</v>
      </c>
      <c r="J54" s="80"/>
      <c r="K54" s="77" t="s">
        <v>390</v>
      </c>
      <c r="L54" s="80"/>
      <c r="M54" s="77" t="s">
        <v>390</v>
      </c>
      <c r="N54" s="80"/>
    </row>
    <row r="55" spans="1:15" ht="18" x14ac:dyDescent="0.25">
      <c r="A55" s="73">
        <v>704</v>
      </c>
      <c r="B55" s="74" t="s">
        <v>390</v>
      </c>
      <c r="C55" s="75">
        <v>100</v>
      </c>
      <c r="D55" s="76" t="s">
        <v>390</v>
      </c>
      <c r="E55" s="77" t="s">
        <v>417</v>
      </c>
      <c r="F55" s="162" t="s">
        <v>390</v>
      </c>
      <c r="G55" s="162"/>
      <c r="H55" s="77" t="s">
        <v>418</v>
      </c>
      <c r="I55" s="77" t="s">
        <v>390</v>
      </c>
      <c r="J55" s="82">
        <v>2400</v>
      </c>
      <c r="K55" s="77" t="s">
        <v>390</v>
      </c>
      <c r="L55" s="83">
        <v>58</v>
      </c>
      <c r="M55" s="77" t="s">
        <v>390</v>
      </c>
      <c r="N55" s="79">
        <v>139200</v>
      </c>
      <c r="O55" s="40" t="s">
        <v>233</v>
      </c>
    </row>
    <row r="56" spans="1:15" x14ac:dyDescent="0.25">
      <c r="A56" s="80"/>
      <c r="B56" s="74" t="s">
        <v>390</v>
      </c>
      <c r="C56" s="80"/>
      <c r="D56" s="76" t="s">
        <v>390</v>
      </c>
      <c r="E56" s="80"/>
      <c r="F56" s="162" t="s">
        <v>390</v>
      </c>
      <c r="G56" s="162"/>
      <c r="H56" s="80"/>
      <c r="I56" s="77" t="s">
        <v>390</v>
      </c>
      <c r="J56" s="80"/>
      <c r="K56" s="77" t="s">
        <v>390</v>
      </c>
      <c r="L56" s="80"/>
      <c r="M56" s="77" t="s">
        <v>390</v>
      </c>
      <c r="N56" s="80"/>
    </row>
    <row r="57" spans="1:15" x14ac:dyDescent="0.25">
      <c r="A57" s="73">
        <v>704</v>
      </c>
      <c r="B57" s="74" t="s">
        <v>390</v>
      </c>
      <c r="C57" s="81">
        <v>1000</v>
      </c>
      <c r="D57" s="76" t="s">
        <v>390</v>
      </c>
      <c r="E57" s="77" t="s">
        <v>419</v>
      </c>
      <c r="F57" s="162" t="s">
        <v>390</v>
      </c>
      <c r="G57" s="162"/>
      <c r="H57" s="77" t="s">
        <v>386</v>
      </c>
      <c r="I57" s="77" t="s">
        <v>390</v>
      </c>
      <c r="J57" s="82">
        <v>3276</v>
      </c>
      <c r="K57" s="77" t="s">
        <v>390</v>
      </c>
      <c r="L57" s="83">
        <v>1.3</v>
      </c>
      <c r="M57" s="77" t="s">
        <v>390</v>
      </c>
      <c r="N57" s="79">
        <v>4258.8</v>
      </c>
      <c r="O57" s="40" t="s">
        <v>233</v>
      </c>
    </row>
    <row r="58" spans="1:15" x14ac:dyDescent="0.25">
      <c r="A58" s="80"/>
      <c r="B58" s="74" t="s">
        <v>390</v>
      </c>
      <c r="C58" s="80"/>
      <c r="D58" s="76" t="s">
        <v>390</v>
      </c>
      <c r="E58" s="80"/>
      <c r="F58" s="162" t="s">
        <v>390</v>
      </c>
      <c r="G58" s="162"/>
      <c r="H58" s="80"/>
      <c r="I58" s="77" t="s">
        <v>390</v>
      </c>
      <c r="J58" s="80"/>
      <c r="K58" s="77" t="s">
        <v>390</v>
      </c>
      <c r="L58" s="80"/>
      <c r="M58" s="77" t="s">
        <v>390</v>
      </c>
      <c r="N58" s="80"/>
    </row>
    <row r="59" spans="1:15" x14ac:dyDescent="0.25">
      <c r="A59" s="73">
        <v>704</v>
      </c>
      <c r="B59" s="74" t="s">
        <v>390</v>
      </c>
      <c r="C59" s="81">
        <v>1048</v>
      </c>
      <c r="D59" s="76" t="s">
        <v>390</v>
      </c>
      <c r="E59" s="77" t="s">
        <v>420</v>
      </c>
      <c r="F59" s="162" t="s">
        <v>390</v>
      </c>
      <c r="G59" s="162"/>
      <c r="H59" s="77" t="s">
        <v>413</v>
      </c>
      <c r="I59" s="77" t="s">
        <v>390</v>
      </c>
      <c r="J59" s="78">
        <v>4</v>
      </c>
      <c r="K59" s="77" t="s">
        <v>390</v>
      </c>
      <c r="L59" s="83">
        <v>800</v>
      </c>
      <c r="M59" s="77" t="s">
        <v>390</v>
      </c>
      <c r="N59" s="79">
        <v>3200</v>
      </c>
      <c r="O59" s="40" t="s">
        <v>233</v>
      </c>
    </row>
    <row r="60" spans="1:15" x14ac:dyDescent="0.25">
      <c r="A60" s="80"/>
      <c r="B60" s="74" t="s">
        <v>390</v>
      </c>
      <c r="C60" s="80"/>
      <c r="D60" s="76" t="s">
        <v>390</v>
      </c>
      <c r="E60" s="80"/>
      <c r="F60" s="162" t="s">
        <v>390</v>
      </c>
      <c r="G60" s="162"/>
      <c r="H60" s="80"/>
      <c r="I60" s="77" t="s">
        <v>390</v>
      </c>
      <c r="J60" s="80"/>
      <c r="K60" s="77" t="s">
        <v>390</v>
      </c>
      <c r="L60" s="80"/>
      <c r="M60" s="77" t="s">
        <v>390</v>
      </c>
      <c r="N60" s="80"/>
    </row>
    <row r="61" spans="1:15" x14ac:dyDescent="0.25">
      <c r="A61" s="73">
        <v>704</v>
      </c>
      <c r="B61" s="74" t="s">
        <v>390</v>
      </c>
      <c r="C61" s="81">
        <v>1060</v>
      </c>
      <c r="D61" s="76" t="s">
        <v>390</v>
      </c>
      <c r="E61" s="77" t="s">
        <v>421</v>
      </c>
      <c r="F61" s="162" t="s">
        <v>390</v>
      </c>
      <c r="G61" s="162"/>
      <c r="H61" s="77" t="s">
        <v>413</v>
      </c>
      <c r="I61" s="77" t="s">
        <v>390</v>
      </c>
      <c r="J61" s="78">
        <v>40</v>
      </c>
      <c r="K61" s="77" t="s">
        <v>390</v>
      </c>
      <c r="L61" s="83">
        <v>25</v>
      </c>
      <c r="M61" s="77" t="s">
        <v>390</v>
      </c>
      <c r="N61" s="79">
        <v>1000</v>
      </c>
      <c r="O61" s="40" t="s">
        <v>233</v>
      </c>
    </row>
    <row r="62" spans="1:15" x14ac:dyDescent="0.25">
      <c r="A62" s="80"/>
      <c r="B62" s="74" t="s">
        <v>390</v>
      </c>
      <c r="C62" s="80"/>
      <c r="D62" s="76" t="s">
        <v>390</v>
      </c>
      <c r="E62" s="80"/>
      <c r="F62" s="162" t="s">
        <v>390</v>
      </c>
      <c r="G62" s="162"/>
      <c r="H62" s="80"/>
      <c r="I62" s="77" t="s">
        <v>390</v>
      </c>
      <c r="J62" s="80"/>
      <c r="K62" s="77" t="s">
        <v>390</v>
      </c>
      <c r="L62" s="80"/>
      <c r="M62" s="77" t="s">
        <v>390</v>
      </c>
      <c r="N62" s="80"/>
    </row>
    <row r="63" spans="1:15" x14ac:dyDescent="0.25">
      <c r="A63" s="73">
        <v>704</v>
      </c>
      <c r="B63" s="74" t="s">
        <v>390</v>
      </c>
      <c r="C63" s="81">
        <v>1080</v>
      </c>
      <c r="D63" s="76" t="s">
        <v>390</v>
      </c>
      <c r="E63" s="77" t="s">
        <v>422</v>
      </c>
      <c r="F63" s="162" t="s">
        <v>390</v>
      </c>
      <c r="G63" s="162"/>
      <c r="H63" s="77" t="s">
        <v>413</v>
      </c>
      <c r="I63" s="77" t="s">
        <v>390</v>
      </c>
      <c r="J63" s="78">
        <v>30</v>
      </c>
      <c r="K63" s="77" t="s">
        <v>390</v>
      </c>
      <c r="L63" s="83">
        <v>30</v>
      </c>
      <c r="M63" s="77" t="s">
        <v>390</v>
      </c>
      <c r="N63" s="83">
        <v>900</v>
      </c>
      <c r="O63" s="40" t="s">
        <v>233</v>
      </c>
    </row>
    <row r="64" spans="1:15" x14ac:dyDescent="0.25">
      <c r="A64" s="80"/>
      <c r="B64" s="74" t="s">
        <v>390</v>
      </c>
      <c r="C64" s="80"/>
      <c r="D64" s="76" t="s">
        <v>390</v>
      </c>
      <c r="E64" s="80"/>
      <c r="F64" s="162" t="s">
        <v>390</v>
      </c>
      <c r="G64" s="162"/>
      <c r="H64" s="80"/>
      <c r="I64" s="77" t="s">
        <v>390</v>
      </c>
      <c r="J64" s="80"/>
      <c r="K64" s="77" t="s">
        <v>390</v>
      </c>
      <c r="L64" s="80"/>
      <c r="M64" s="77" t="s">
        <v>390</v>
      </c>
      <c r="N64" s="80"/>
    </row>
    <row r="65" spans="1:15" x14ac:dyDescent="0.25">
      <c r="A65" s="73">
        <v>704</v>
      </c>
      <c r="B65" s="74" t="s">
        <v>390</v>
      </c>
      <c r="C65" s="81">
        <v>1185</v>
      </c>
      <c r="D65" s="76" t="s">
        <v>390</v>
      </c>
      <c r="E65" s="77" t="s">
        <v>423</v>
      </c>
      <c r="F65" s="162" t="s">
        <v>390</v>
      </c>
      <c r="G65" s="162"/>
      <c r="H65" s="77" t="s">
        <v>424</v>
      </c>
      <c r="I65" s="77" t="s">
        <v>390</v>
      </c>
      <c r="J65" s="78">
        <v>800</v>
      </c>
      <c r="K65" s="77" t="s">
        <v>390</v>
      </c>
      <c r="L65" s="83">
        <v>60</v>
      </c>
      <c r="M65" s="77" t="s">
        <v>390</v>
      </c>
      <c r="N65" s="79">
        <v>48000</v>
      </c>
      <c r="O65" s="40" t="s">
        <v>233</v>
      </c>
    </row>
    <row r="66" spans="1:15" x14ac:dyDescent="0.25">
      <c r="A66" s="80"/>
      <c r="B66" s="74" t="s">
        <v>390</v>
      </c>
      <c r="C66" s="80"/>
      <c r="D66" s="76" t="s">
        <v>390</v>
      </c>
      <c r="E66" s="80"/>
      <c r="F66" s="162" t="s">
        <v>390</v>
      </c>
      <c r="G66" s="162"/>
      <c r="H66" s="80"/>
      <c r="I66" s="77" t="s">
        <v>390</v>
      </c>
      <c r="J66" s="80"/>
      <c r="K66" s="77" t="s">
        <v>390</v>
      </c>
      <c r="L66" s="80"/>
      <c r="M66" s="77" t="s">
        <v>390</v>
      </c>
      <c r="N66" s="80"/>
    </row>
    <row r="67" spans="1:15" x14ac:dyDescent="0.25">
      <c r="A67" s="73">
        <v>706</v>
      </c>
      <c r="B67" s="74" t="s">
        <v>390</v>
      </c>
      <c r="C67" s="75">
        <v>400</v>
      </c>
      <c r="D67" s="76" t="s">
        <v>390</v>
      </c>
      <c r="E67" s="77" t="s">
        <v>425</v>
      </c>
      <c r="F67" s="162" t="s">
        <v>390</v>
      </c>
      <c r="G67" s="162"/>
      <c r="H67" s="77" t="s">
        <v>413</v>
      </c>
      <c r="I67" s="77" t="s">
        <v>390</v>
      </c>
      <c r="J67" s="78">
        <v>0.4</v>
      </c>
      <c r="K67" s="77" t="s">
        <v>390</v>
      </c>
      <c r="L67" s="79">
        <v>19440</v>
      </c>
      <c r="M67" s="77" t="s">
        <v>390</v>
      </c>
      <c r="N67" s="79">
        <v>7776</v>
      </c>
      <c r="O67" s="40" t="s">
        <v>233</v>
      </c>
    </row>
    <row r="68" spans="1:15" x14ac:dyDescent="0.25">
      <c r="A68" s="80"/>
      <c r="B68" s="74" t="s">
        <v>390</v>
      </c>
      <c r="C68" s="80"/>
      <c r="D68" s="76" t="s">
        <v>390</v>
      </c>
      <c r="E68" s="80"/>
      <c r="F68" s="162" t="s">
        <v>390</v>
      </c>
      <c r="G68" s="162"/>
      <c r="H68" s="80"/>
      <c r="I68" s="77" t="s">
        <v>390</v>
      </c>
      <c r="J68" s="80"/>
      <c r="K68" s="77" t="s">
        <v>390</v>
      </c>
      <c r="L68" s="80"/>
      <c r="M68" s="77" t="s">
        <v>390</v>
      </c>
      <c r="N68" s="80"/>
    </row>
    <row r="69" spans="1:15" x14ac:dyDescent="0.25">
      <c r="A69" s="73">
        <v>706</v>
      </c>
      <c r="B69" s="74" t="s">
        <v>390</v>
      </c>
      <c r="C69" s="75">
        <v>500</v>
      </c>
      <c r="D69" s="76" t="s">
        <v>390</v>
      </c>
      <c r="E69" s="77" t="s">
        <v>426</v>
      </c>
      <c r="F69" s="162" t="s">
        <v>390</v>
      </c>
      <c r="G69" s="162"/>
      <c r="H69" s="77" t="s">
        <v>413</v>
      </c>
      <c r="I69" s="77" t="s">
        <v>390</v>
      </c>
      <c r="J69" s="78">
        <v>0.4</v>
      </c>
      <c r="K69" s="77" t="s">
        <v>390</v>
      </c>
      <c r="L69" s="79">
        <v>14000</v>
      </c>
      <c r="M69" s="77" t="s">
        <v>390</v>
      </c>
      <c r="N69" s="79">
        <v>5600</v>
      </c>
      <c r="O69" s="40" t="s">
        <v>233</v>
      </c>
    </row>
    <row r="70" spans="1:15" x14ac:dyDescent="0.25">
      <c r="A70" s="80"/>
      <c r="B70" s="74" t="s">
        <v>390</v>
      </c>
      <c r="C70" s="80"/>
      <c r="D70" s="76" t="s">
        <v>390</v>
      </c>
      <c r="E70" s="80"/>
      <c r="F70" s="162" t="s">
        <v>390</v>
      </c>
      <c r="G70" s="162"/>
      <c r="H70" s="80"/>
      <c r="I70" s="77" t="s">
        <v>390</v>
      </c>
      <c r="J70" s="80"/>
      <c r="K70" s="77" t="s">
        <v>390</v>
      </c>
      <c r="L70" s="80"/>
      <c r="M70" s="77" t="s">
        <v>390</v>
      </c>
      <c r="N70" s="80"/>
    </row>
    <row r="71" spans="1:15" x14ac:dyDescent="0.25">
      <c r="A71" s="73">
        <v>706</v>
      </c>
      <c r="B71" s="74" t="s">
        <v>390</v>
      </c>
      <c r="C71" s="75">
        <v>550</v>
      </c>
      <c r="D71" s="76" t="s">
        <v>390</v>
      </c>
      <c r="E71" s="77" t="s">
        <v>427</v>
      </c>
      <c r="F71" s="162" t="s">
        <v>390</v>
      </c>
      <c r="G71" s="162"/>
      <c r="H71" s="77" t="s">
        <v>413</v>
      </c>
      <c r="I71" s="77" t="s">
        <v>390</v>
      </c>
      <c r="J71" s="78">
        <v>0.4</v>
      </c>
      <c r="K71" s="77" t="s">
        <v>390</v>
      </c>
      <c r="L71" s="79">
        <v>7500</v>
      </c>
      <c r="M71" s="77" t="s">
        <v>390</v>
      </c>
      <c r="N71" s="79">
        <v>3000</v>
      </c>
      <c r="O71" s="40" t="s">
        <v>233</v>
      </c>
    </row>
    <row r="72" spans="1:15" x14ac:dyDescent="0.25">
      <c r="A72" s="80"/>
      <c r="B72" s="74" t="s">
        <v>390</v>
      </c>
      <c r="C72" s="80"/>
      <c r="D72" s="76" t="s">
        <v>390</v>
      </c>
      <c r="E72" s="80"/>
      <c r="F72" s="162" t="s">
        <v>390</v>
      </c>
      <c r="G72" s="162"/>
      <c r="H72" s="80"/>
      <c r="I72" s="77" t="s">
        <v>390</v>
      </c>
      <c r="J72" s="80"/>
      <c r="K72" s="77" t="s">
        <v>390</v>
      </c>
      <c r="L72" s="80"/>
      <c r="M72" s="77" t="s">
        <v>390</v>
      </c>
      <c r="N72" s="80"/>
    </row>
    <row r="73" spans="1:15" x14ac:dyDescent="0.25">
      <c r="A73" s="73">
        <v>706</v>
      </c>
      <c r="B73" s="74" t="s">
        <v>390</v>
      </c>
      <c r="C73" s="75">
        <v>600</v>
      </c>
      <c r="D73" s="76" t="s">
        <v>390</v>
      </c>
      <c r="E73" s="77" t="s">
        <v>428</v>
      </c>
      <c r="F73" s="162" t="s">
        <v>390</v>
      </c>
      <c r="G73" s="162"/>
      <c r="H73" s="77" t="s">
        <v>413</v>
      </c>
      <c r="I73" s="77" t="s">
        <v>390</v>
      </c>
      <c r="J73" s="78">
        <v>0.4</v>
      </c>
      <c r="K73" s="77" t="s">
        <v>390</v>
      </c>
      <c r="L73" s="79">
        <v>7500</v>
      </c>
      <c r="M73" s="77" t="s">
        <v>390</v>
      </c>
      <c r="N73" s="79">
        <v>3000</v>
      </c>
      <c r="O73" s="40" t="s">
        <v>233</v>
      </c>
    </row>
    <row r="74" spans="1:15" x14ac:dyDescent="0.25">
      <c r="A74" s="65" t="s">
        <v>429</v>
      </c>
    </row>
    <row r="75" spans="1:15" x14ac:dyDescent="0.25">
      <c r="A75" s="65" t="s">
        <v>381</v>
      </c>
    </row>
    <row r="76" spans="1:15" ht="18" x14ac:dyDescent="0.25">
      <c r="A76" s="66" t="s">
        <v>382</v>
      </c>
      <c r="B76" s="66" t="s">
        <v>383</v>
      </c>
      <c r="C76" s="67" t="s">
        <v>384</v>
      </c>
      <c r="D76" s="66" t="s">
        <v>383</v>
      </c>
      <c r="E76" s="165" t="s">
        <v>385</v>
      </c>
      <c r="F76" s="165"/>
      <c r="G76" s="69" t="s">
        <v>383</v>
      </c>
      <c r="H76" s="70" t="s">
        <v>386</v>
      </c>
      <c r="I76" s="66" t="s">
        <v>383</v>
      </c>
      <c r="J76" s="71" t="s">
        <v>387</v>
      </c>
      <c r="K76" s="66" t="s">
        <v>383</v>
      </c>
      <c r="L76" s="71" t="s">
        <v>388</v>
      </c>
      <c r="M76" s="66" t="s">
        <v>383</v>
      </c>
      <c r="N76" s="72" t="s">
        <v>389</v>
      </c>
    </row>
    <row r="77" spans="1:15" x14ac:dyDescent="0.25">
      <c r="A77" s="73">
        <v>709</v>
      </c>
      <c r="B77" s="74" t="s">
        <v>390</v>
      </c>
      <c r="C77" s="75">
        <v>100</v>
      </c>
      <c r="D77" s="76" t="s">
        <v>390</v>
      </c>
      <c r="E77" s="164" t="s">
        <v>430</v>
      </c>
      <c r="F77" s="164"/>
      <c r="G77" s="76" t="s">
        <v>390</v>
      </c>
      <c r="H77" s="77" t="s">
        <v>431</v>
      </c>
      <c r="I77" s="77" t="s">
        <v>390</v>
      </c>
      <c r="J77" s="82">
        <v>31164</v>
      </c>
      <c r="K77" s="77" t="s">
        <v>390</v>
      </c>
      <c r="L77" s="83">
        <v>1.76</v>
      </c>
      <c r="M77" s="77" t="s">
        <v>390</v>
      </c>
      <c r="N77" s="79">
        <v>54848.639999999999</v>
      </c>
      <c r="O77" s="187" t="s">
        <v>925</v>
      </c>
    </row>
    <row r="78" spans="1:15" x14ac:dyDescent="0.25">
      <c r="A78" s="80"/>
      <c r="B78" s="74" t="s">
        <v>390</v>
      </c>
      <c r="C78" s="80"/>
      <c r="D78" s="76" t="s">
        <v>390</v>
      </c>
      <c r="E78" s="166"/>
      <c r="F78" s="166"/>
      <c r="G78" s="76" t="s">
        <v>390</v>
      </c>
      <c r="H78" s="80"/>
      <c r="I78" s="77" t="s">
        <v>390</v>
      </c>
      <c r="J78" s="80"/>
      <c r="K78" s="77" t="s">
        <v>390</v>
      </c>
      <c r="L78" s="80"/>
      <c r="M78" s="77" t="s">
        <v>390</v>
      </c>
      <c r="N78" s="80"/>
    </row>
    <row r="79" spans="1:15" x14ac:dyDescent="0.25">
      <c r="A79" s="73">
        <v>754</v>
      </c>
      <c r="B79" s="74" t="s">
        <v>390</v>
      </c>
      <c r="C79" s="75">
        <v>110</v>
      </c>
      <c r="D79" s="76" t="s">
        <v>390</v>
      </c>
      <c r="E79" s="164" t="s">
        <v>432</v>
      </c>
      <c r="F79" s="164"/>
      <c r="G79" s="76" t="s">
        <v>390</v>
      </c>
      <c r="H79" s="77" t="s">
        <v>433</v>
      </c>
      <c r="I79" s="77" t="s">
        <v>390</v>
      </c>
      <c r="J79" s="78">
        <v>5.2</v>
      </c>
      <c r="K79" s="77" t="s">
        <v>390</v>
      </c>
      <c r="L79" s="83">
        <v>25</v>
      </c>
      <c r="M79" s="77" t="s">
        <v>390</v>
      </c>
      <c r="N79" s="83">
        <v>130</v>
      </c>
      <c r="O79" s="40" t="s">
        <v>233</v>
      </c>
    </row>
    <row r="80" spans="1:15" x14ac:dyDescent="0.25">
      <c r="A80" s="80"/>
      <c r="B80" s="74" t="s">
        <v>390</v>
      </c>
      <c r="C80" s="80"/>
      <c r="D80" s="76" t="s">
        <v>390</v>
      </c>
      <c r="E80" s="166"/>
      <c r="F80" s="166"/>
      <c r="G80" s="76" t="s">
        <v>390</v>
      </c>
      <c r="H80" s="80"/>
      <c r="I80" s="77" t="s">
        <v>390</v>
      </c>
      <c r="J80" s="80"/>
      <c r="K80" s="77" t="s">
        <v>390</v>
      </c>
      <c r="L80" s="80"/>
      <c r="M80" s="77" t="s">
        <v>390</v>
      </c>
      <c r="N80" s="80"/>
    </row>
    <row r="81" spans="1:15" x14ac:dyDescent="0.25">
      <c r="A81" s="73">
        <v>754</v>
      </c>
      <c r="B81" s="74" t="s">
        <v>390</v>
      </c>
      <c r="C81" s="75">
        <v>112</v>
      </c>
      <c r="D81" s="76" t="s">
        <v>390</v>
      </c>
      <c r="E81" s="164" t="s">
        <v>434</v>
      </c>
      <c r="F81" s="164"/>
      <c r="G81" s="76" t="s">
        <v>390</v>
      </c>
      <c r="H81" s="77" t="s">
        <v>433</v>
      </c>
      <c r="I81" s="77" t="s">
        <v>390</v>
      </c>
      <c r="J81" s="78">
        <v>16.8</v>
      </c>
      <c r="K81" s="77" t="s">
        <v>390</v>
      </c>
      <c r="L81" s="83">
        <v>22</v>
      </c>
      <c r="M81" s="77" t="s">
        <v>390</v>
      </c>
      <c r="N81" s="83">
        <v>369.6</v>
      </c>
      <c r="O81" s="40" t="s">
        <v>233</v>
      </c>
    </row>
    <row r="82" spans="1:15" x14ac:dyDescent="0.25">
      <c r="A82" s="80"/>
      <c r="B82" s="74" t="s">
        <v>390</v>
      </c>
      <c r="C82" s="80"/>
      <c r="D82" s="76" t="s">
        <v>390</v>
      </c>
      <c r="E82" s="166"/>
      <c r="F82" s="166"/>
      <c r="G82" s="76" t="s">
        <v>390</v>
      </c>
      <c r="H82" s="80"/>
      <c r="I82" s="77" t="s">
        <v>390</v>
      </c>
      <c r="J82" s="80"/>
      <c r="K82" s="77" t="s">
        <v>390</v>
      </c>
      <c r="L82" s="80"/>
      <c r="M82" s="77" t="s">
        <v>390</v>
      </c>
      <c r="N82" s="80"/>
    </row>
    <row r="83" spans="1:15" x14ac:dyDescent="0.25">
      <c r="A83" s="73">
        <v>754</v>
      </c>
      <c r="B83" s="74" t="s">
        <v>390</v>
      </c>
      <c r="C83" s="75">
        <v>206</v>
      </c>
      <c r="D83" s="76" t="s">
        <v>390</v>
      </c>
      <c r="E83" s="164" t="s">
        <v>435</v>
      </c>
      <c r="F83" s="164"/>
      <c r="G83" s="76" t="s">
        <v>390</v>
      </c>
      <c r="H83" s="77" t="s">
        <v>436</v>
      </c>
      <c r="I83" s="77" t="s">
        <v>390</v>
      </c>
      <c r="J83" s="78">
        <v>103.9</v>
      </c>
      <c r="K83" s="77" t="s">
        <v>390</v>
      </c>
      <c r="L83" s="83">
        <v>30</v>
      </c>
      <c r="M83" s="77" t="s">
        <v>390</v>
      </c>
      <c r="N83" s="79">
        <v>3117</v>
      </c>
      <c r="O83" s="40" t="s">
        <v>233</v>
      </c>
    </row>
    <row r="84" spans="1:15" x14ac:dyDescent="0.25">
      <c r="A84" s="80"/>
      <c r="B84" s="74" t="s">
        <v>390</v>
      </c>
      <c r="C84" s="80"/>
      <c r="D84" s="76" t="s">
        <v>390</v>
      </c>
      <c r="E84" s="166"/>
      <c r="F84" s="166"/>
      <c r="G84" s="76" t="s">
        <v>390</v>
      </c>
      <c r="H84" s="80"/>
      <c r="I84" s="77" t="s">
        <v>390</v>
      </c>
      <c r="J84" s="80"/>
      <c r="K84" s="77" t="s">
        <v>390</v>
      </c>
      <c r="L84" s="80"/>
      <c r="M84" s="77" t="s">
        <v>390</v>
      </c>
      <c r="N84" s="80"/>
    </row>
    <row r="85" spans="1:15" x14ac:dyDescent="0.25">
      <c r="A85" s="73">
        <v>754</v>
      </c>
      <c r="B85" s="74" t="s">
        <v>390</v>
      </c>
      <c r="C85" s="75">
        <v>592</v>
      </c>
      <c r="D85" s="76" t="s">
        <v>390</v>
      </c>
      <c r="E85" s="164" t="s">
        <v>437</v>
      </c>
      <c r="F85" s="164"/>
      <c r="G85" s="76" t="s">
        <v>390</v>
      </c>
      <c r="H85" s="77" t="s">
        <v>413</v>
      </c>
      <c r="I85" s="77" t="s">
        <v>390</v>
      </c>
      <c r="J85" s="78">
        <v>3</v>
      </c>
      <c r="K85" s="77" t="s">
        <v>390</v>
      </c>
      <c r="L85" s="83">
        <v>40</v>
      </c>
      <c r="M85" s="77" t="s">
        <v>390</v>
      </c>
      <c r="N85" s="83">
        <v>120</v>
      </c>
      <c r="O85" s="40" t="s">
        <v>233</v>
      </c>
    </row>
    <row r="86" spans="1:15" x14ac:dyDescent="0.25">
      <c r="A86" s="80"/>
      <c r="B86" s="74" t="s">
        <v>390</v>
      </c>
      <c r="C86" s="80"/>
      <c r="D86" s="76" t="s">
        <v>390</v>
      </c>
      <c r="E86" s="166"/>
      <c r="F86" s="166"/>
      <c r="G86" s="76" t="s">
        <v>390</v>
      </c>
      <c r="H86" s="80"/>
      <c r="I86" s="77" t="s">
        <v>390</v>
      </c>
      <c r="J86" s="80"/>
      <c r="K86" s="77" t="s">
        <v>390</v>
      </c>
      <c r="L86" s="80"/>
      <c r="M86" s="77" t="s">
        <v>390</v>
      </c>
      <c r="N86" s="80"/>
    </row>
    <row r="87" spans="1:15" ht="18" x14ac:dyDescent="0.25">
      <c r="A87" s="73">
        <v>760</v>
      </c>
      <c r="B87" s="74" t="s">
        <v>390</v>
      </c>
      <c r="C87" s="75">
        <v>25</v>
      </c>
      <c r="D87" s="76" t="s">
        <v>390</v>
      </c>
      <c r="E87" s="164" t="s">
        <v>438</v>
      </c>
      <c r="F87" s="164"/>
      <c r="G87" s="76" t="s">
        <v>390</v>
      </c>
      <c r="H87" s="77" t="s">
        <v>402</v>
      </c>
      <c r="I87" s="77" t="s">
        <v>390</v>
      </c>
      <c r="J87" s="78">
        <v>67.8</v>
      </c>
      <c r="K87" s="77" t="s">
        <v>390</v>
      </c>
      <c r="L87" s="79">
        <v>1000</v>
      </c>
      <c r="M87" s="77" t="s">
        <v>390</v>
      </c>
      <c r="N87" s="79">
        <v>67800</v>
      </c>
      <c r="O87" s="187" t="s">
        <v>925</v>
      </c>
    </row>
    <row r="88" spans="1:15" x14ac:dyDescent="0.25">
      <c r="A88" s="80"/>
      <c r="B88" s="74" t="s">
        <v>390</v>
      </c>
      <c r="C88" s="80"/>
      <c r="D88" s="76" t="s">
        <v>390</v>
      </c>
      <c r="E88" s="166"/>
      <c r="F88" s="166"/>
      <c r="G88" s="76" t="s">
        <v>390</v>
      </c>
      <c r="H88" s="80"/>
      <c r="I88" s="77" t="s">
        <v>390</v>
      </c>
      <c r="J88" s="80"/>
      <c r="K88" s="77" t="s">
        <v>390</v>
      </c>
      <c r="L88" s="80"/>
      <c r="M88" s="77" t="s">
        <v>390</v>
      </c>
      <c r="N88" s="80"/>
    </row>
    <row r="89" spans="1:15" ht="18" x14ac:dyDescent="0.25">
      <c r="A89" s="73">
        <v>760</v>
      </c>
      <c r="B89" s="74" t="s">
        <v>390</v>
      </c>
      <c r="C89" s="75">
        <v>27</v>
      </c>
      <c r="D89" s="76" t="s">
        <v>390</v>
      </c>
      <c r="E89" s="164" t="s">
        <v>439</v>
      </c>
      <c r="F89" s="164"/>
      <c r="G89" s="76" t="s">
        <v>390</v>
      </c>
      <c r="H89" s="77" t="s">
        <v>402</v>
      </c>
      <c r="I89" s="77" t="s">
        <v>390</v>
      </c>
      <c r="J89" s="78">
        <v>44.411999999999999</v>
      </c>
      <c r="K89" s="77" t="s">
        <v>390</v>
      </c>
      <c r="L89" s="79">
        <v>1320</v>
      </c>
      <c r="M89" s="77" t="s">
        <v>390</v>
      </c>
      <c r="N89" s="79">
        <v>58623.839999999997</v>
      </c>
      <c r="O89" s="187" t="s">
        <v>925</v>
      </c>
    </row>
    <row r="90" spans="1:15" x14ac:dyDescent="0.25">
      <c r="A90" s="80"/>
      <c r="B90" s="74" t="s">
        <v>390</v>
      </c>
      <c r="C90" s="80"/>
      <c r="D90" s="76" t="s">
        <v>390</v>
      </c>
      <c r="E90" s="166"/>
      <c r="F90" s="166"/>
      <c r="G90" s="76" t="s">
        <v>390</v>
      </c>
      <c r="H90" s="80"/>
      <c r="I90" s="77" t="s">
        <v>390</v>
      </c>
      <c r="J90" s="80"/>
      <c r="K90" s="77" t="s">
        <v>390</v>
      </c>
      <c r="L90" s="80"/>
      <c r="M90" s="77" t="s">
        <v>390</v>
      </c>
      <c r="N90" s="80"/>
    </row>
    <row r="91" spans="1:15" x14ac:dyDescent="0.25">
      <c r="A91" s="73">
        <v>762</v>
      </c>
      <c r="B91" s="74" t="s">
        <v>390</v>
      </c>
      <c r="C91" s="75">
        <v>112</v>
      </c>
      <c r="D91" s="76" t="s">
        <v>390</v>
      </c>
      <c r="E91" s="164" t="s">
        <v>440</v>
      </c>
      <c r="F91" s="164"/>
      <c r="G91" s="76" t="s">
        <v>390</v>
      </c>
      <c r="H91" s="77" t="s">
        <v>433</v>
      </c>
      <c r="I91" s="77" t="s">
        <v>390</v>
      </c>
      <c r="J91" s="78">
        <v>265</v>
      </c>
      <c r="K91" s="77" t="s">
        <v>390</v>
      </c>
      <c r="L91" s="83">
        <v>13</v>
      </c>
      <c r="M91" s="77" t="s">
        <v>390</v>
      </c>
      <c r="N91" s="79">
        <v>3445</v>
      </c>
      <c r="O91" s="187" t="s">
        <v>925</v>
      </c>
    </row>
    <row r="92" spans="1:15" x14ac:dyDescent="0.25">
      <c r="A92" s="80"/>
      <c r="B92" s="74" t="s">
        <v>390</v>
      </c>
      <c r="C92" s="80"/>
      <c r="D92" s="76" t="s">
        <v>390</v>
      </c>
      <c r="E92" s="166"/>
      <c r="F92" s="166"/>
      <c r="G92" s="76" t="s">
        <v>390</v>
      </c>
      <c r="H92" s="80"/>
      <c r="I92" s="77" t="s">
        <v>390</v>
      </c>
      <c r="J92" s="80"/>
      <c r="K92" s="77" t="s">
        <v>390</v>
      </c>
      <c r="L92" s="80"/>
      <c r="M92" s="77" t="s">
        <v>390</v>
      </c>
      <c r="N92" s="80"/>
    </row>
    <row r="93" spans="1:15" x14ac:dyDescent="0.25">
      <c r="A93" s="73">
        <v>762</v>
      </c>
      <c r="B93" s="74" t="s">
        <v>390</v>
      </c>
      <c r="C93" s="75">
        <v>114</v>
      </c>
      <c r="D93" s="76" t="s">
        <v>390</v>
      </c>
      <c r="E93" s="164" t="s">
        <v>441</v>
      </c>
      <c r="F93" s="164"/>
      <c r="G93" s="76" t="s">
        <v>390</v>
      </c>
      <c r="H93" s="77" t="s">
        <v>436</v>
      </c>
      <c r="I93" s="77" t="s">
        <v>390</v>
      </c>
      <c r="J93" s="82">
        <v>416458</v>
      </c>
      <c r="K93" s="77" t="s">
        <v>390</v>
      </c>
      <c r="L93" s="83">
        <v>0.5</v>
      </c>
      <c r="M93" s="77" t="s">
        <v>390</v>
      </c>
      <c r="N93" s="79">
        <v>208229</v>
      </c>
      <c r="O93" s="187" t="s">
        <v>925</v>
      </c>
    </row>
    <row r="94" spans="1:15" x14ac:dyDescent="0.25">
      <c r="A94" s="80"/>
      <c r="B94" s="74" t="s">
        <v>390</v>
      </c>
      <c r="C94" s="80"/>
      <c r="D94" s="76" t="s">
        <v>390</v>
      </c>
      <c r="E94" s="166"/>
      <c r="F94" s="166"/>
      <c r="G94" s="76" t="s">
        <v>390</v>
      </c>
      <c r="H94" s="80"/>
      <c r="I94" s="77" t="s">
        <v>390</v>
      </c>
      <c r="J94" s="80"/>
      <c r="K94" s="77" t="s">
        <v>390</v>
      </c>
      <c r="L94" s="80"/>
      <c r="M94" s="77" t="s">
        <v>390</v>
      </c>
      <c r="N94" s="80"/>
    </row>
    <row r="95" spans="1:15" x14ac:dyDescent="0.25">
      <c r="A95" s="73">
        <v>762</v>
      </c>
      <c r="B95" s="74" t="s">
        <v>390</v>
      </c>
      <c r="C95" s="75">
        <v>432</v>
      </c>
      <c r="D95" s="76" t="s">
        <v>390</v>
      </c>
      <c r="E95" s="164" t="s">
        <v>442</v>
      </c>
      <c r="F95" s="164"/>
      <c r="G95" s="76" t="s">
        <v>390</v>
      </c>
      <c r="H95" s="77" t="s">
        <v>436</v>
      </c>
      <c r="I95" s="77" t="s">
        <v>390</v>
      </c>
      <c r="J95" s="82">
        <v>214840</v>
      </c>
      <c r="K95" s="77" t="s">
        <v>390</v>
      </c>
      <c r="L95" s="83">
        <v>0.25</v>
      </c>
      <c r="M95" s="77" t="s">
        <v>390</v>
      </c>
      <c r="N95" s="79">
        <v>53710</v>
      </c>
      <c r="O95" s="40" t="s">
        <v>233</v>
      </c>
    </row>
    <row r="96" spans="1:15" x14ac:dyDescent="0.25">
      <c r="A96" s="80"/>
      <c r="B96" s="74" t="s">
        <v>390</v>
      </c>
      <c r="C96" s="80"/>
      <c r="D96" s="76" t="s">
        <v>390</v>
      </c>
      <c r="E96" s="166"/>
      <c r="F96" s="166"/>
      <c r="G96" s="76" t="s">
        <v>390</v>
      </c>
      <c r="H96" s="80"/>
      <c r="I96" s="77" t="s">
        <v>390</v>
      </c>
      <c r="J96" s="80"/>
      <c r="K96" s="77" t="s">
        <v>390</v>
      </c>
      <c r="L96" s="80"/>
      <c r="M96" s="77" t="s">
        <v>390</v>
      </c>
      <c r="N96" s="80"/>
    </row>
    <row r="97" spans="1:15" x14ac:dyDescent="0.25">
      <c r="A97" s="73">
        <v>764</v>
      </c>
      <c r="B97" s="74" t="s">
        <v>390</v>
      </c>
      <c r="C97" s="75">
        <v>131</v>
      </c>
      <c r="D97" s="76" t="s">
        <v>390</v>
      </c>
      <c r="E97" s="164" t="s">
        <v>443</v>
      </c>
      <c r="F97" s="164"/>
      <c r="G97" s="76" t="s">
        <v>390</v>
      </c>
      <c r="H97" s="77" t="s">
        <v>436</v>
      </c>
      <c r="I97" s="77" t="s">
        <v>390</v>
      </c>
      <c r="J97" s="78">
        <v>515.6</v>
      </c>
      <c r="K97" s="77" t="s">
        <v>390</v>
      </c>
      <c r="L97" s="83">
        <v>50</v>
      </c>
      <c r="M97" s="77" t="s">
        <v>390</v>
      </c>
      <c r="N97" s="79">
        <v>25780</v>
      </c>
      <c r="O97" s="187" t="s">
        <v>925</v>
      </c>
    </row>
    <row r="98" spans="1:15" x14ac:dyDescent="0.25">
      <c r="A98" s="80"/>
      <c r="B98" s="74" t="s">
        <v>390</v>
      </c>
      <c r="C98" s="80"/>
      <c r="D98" s="76" t="s">
        <v>390</v>
      </c>
      <c r="E98" s="166"/>
      <c r="F98" s="166"/>
      <c r="G98" s="76" t="s">
        <v>390</v>
      </c>
      <c r="H98" s="80"/>
      <c r="I98" s="77" t="s">
        <v>390</v>
      </c>
      <c r="J98" s="80"/>
      <c r="K98" s="77" t="s">
        <v>390</v>
      </c>
      <c r="L98" s="80"/>
      <c r="M98" s="77" t="s">
        <v>390</v>
      </c>
      <c r="N98" s="80"/>
    </row>
    <row r="99" spans="1:15" x14ac:dyDescent="0.25">
      <c r="A99" s="73">
        <v>764</v>
      </c>
      <c r="B99" s="74" t="s">
        <v>390</v>
      </c>
      <c r="C99" s="75">
        <v>145</v>
      </c>
      <c r="D99" s="76" t="s">
        <v>390</v>
      </c>
      <c r="E99" s="164" t="s">
        <v>444</v>
      </c>
      <c r="F99" s="164"/>
      <c r="G99" s="76" t="s">
        <v>390</v>
      </c>
      <c r="H99" s="77" t="s">
        <v>413</v>
      </c>
      <c r="I99" s="77" t="s">
        <v>390</v>
      </c>
      <c r="J99" s="78">
        <v>8</v>
      </c>
      <c r="K99" s="77" t="s">
        <v>390</v>
      </c>
      <c r="L99" s="79">
        <v>3000</v>
      </c>
      <c r="M99" s="77" t="s">
        <v>390</v>
      </c>
      <c r="N99" s="79">
        <v>24000</v>
      </c>
      <c r="O99" s="187" t="s">
        <v>925</v>
      </c>
    </row>
    <row r="100" spans="1:15" x14ac:dyDescent="0.25">
      <c r="A100" s="80"/>
      <c r="B100" s="74" t="s">
        <v>390</v>
      </c>
      <c r="C100" s="80"/>
      <c r="D100" s="76" t="s">
        <v>390</v>
      </c>
      <c r="E100" s="166"/>
      <c r="F100" s="166"/>
      <c r="G100" s="76" t="s">
        <v>390</v>
      </c>
      <c r="H100" s="80"/>
      <c r="I100" s="77" t="s">
        <v>390</v>
      </c>
      <c r="J100" s="80"/>
      <c r="K100" s="77" t="s">
        <v>390</v>
      </c>
      <c r="L100" s="80"/>
      <c r="M100" s="77" t="s">
        <v>390</v>
      </c>
      <c r="N100" s="80"/>
    </row>
    <row r="101" spans="1:15" x14ac:dyDescent="0.25">
      <c r="A101" s="73">
        <v>764</v>
      </c>
      <c r="B101" s="74" t="s">
        <v>390</v>
      </c>
      <c r="C101" s="75">
        <v>151</v>
      </c>
      <c r="D101" s="76" t="s">
        <v>390</v>
      </c>
      <c r="E101" s="164" t="s">
        <v>445</v>
      </c>
      <c r="F101" s="164"/>
      <c r="G101" s="76" t="s">
        <v>390</v>
      </c>
      <c r="H101" s="77" t="s">
        <v>436</v>
      </c>
      <c r="I101" s="77" t="s">
        <v>390</v>
      </c>
      <c r="J101" s="78">
        <v>965.2</v>
      </c>
      <c r="K101" s="77" t="s">
        <v>390</v>
      </c>
      <c r="L101" s="83">
        <v>4.25</v>
      </c>
      <c r="M101" s="77" t="s">
        <v>390</v>
      </c>
      <c r="N101" s="79">
        <v>4102.1000000000004</v>
      </c>
      <c r="O101" s="40" t="s">
        <v>233</v>
      </c>
    </row>
    <row r="102" spans="1:15" x14ac:dyDescent="0.25">
      <c r="A102" s="80"/>
      <c r="B102" s="74" t="s">
        <v>390</v>
      </c>
      <c r="C102" s="80"/>
      <c r="D102" s="76" t="s">
        <v>390</v>
      </c>
      <c r="E102" s="166"/>
      <c r="F102" s="166"/>
      <c r="G102" s="76" t="s">
        <v>390</v>
      </c>
      <c r="H102" s="80"/>
      <c r="I102" s="77" t="s">
        <v>390</v>
      </c>
      <c r="J102" s="80"/>
      <c r="K102" s="77" t="s">
        <v>390</v>
      </c>
      <c r="L102" s="80"/>
      <c r="M102" s="77" t="s">
        <v>390</v>
      </c>
      <c r="N102" s="80"/>
    </row>
    <row r="103" spans="1:15" x14ac:dyDescent="0.25">
      <c r="A103" s="73">
        <v>764</v>
      </c>
      <c r="B103" s="74" t="s">
        <v>390</v>
      </c>
      <c r="C103" s="81">
        <v>1050</v>
      </c>
      <c r="D103" s="76" t="s">
        <v>390</v>
      </c>
      <c r="E103" s="164" t="s">
        <v>446</v>
      </c>
      <c r="F103" s="164"/>
      <c r="G103" s="76" t="s">
        <v>390</v>
      </c>
      <c r="H103" s="77" t="s">
        <v>436</v>
      </c>
      <c r="I103" s="77" t="s">
        <v>390</v>
      </c>
      <c r="J103" s="78">
        <v>400</v>
      </c>
      <c r="K103" s="77" t="s">
        <v>390</v>
      </c>
      <c r="L103" s="83">
        <v>17</v>
      </c>
      <c r="M103" s="77" t="s">
        <v>390</v>
      </c>
      <c r="N103" s="79">
        <v>6800</v>
      </c>
      <c r="O103" s="40" t="s">
        <v>233</v>
      </c>
    </row>
    <row r="104" spans="1:15" x14ac:dyDescent="0.25">
      <c r="A104" s="80"/>
      <c r="B104" s="74" t="s">
        <v>390</v>
      </c>
      <c r="C104" s="80"/>
      <c r="D104" s="76" t="s">
        <v>390</v>
      </c>
      <c r="E104" s="166"/>
      <c r="F104" s="166"/>
      <c r="G104" s="76" t="s">
        <v>390</v>
      </c>
      <c r="H104" s="80"/>
      <c r="I104" s="77" t="s">
        <v>390</v>
      </c>
      <c r="J104" s="80"/>
      <c r="K104" s="77" t="s">
        <v>390</v>
      </c>
      <c r="L104" s="80"/>
      <c r="M104" s="77" t="s">
        <v>390</v>
      </c>
      <c r="N104" s="123">
        <f>G107</f>
        <v>1674421.27</v>
      </c>
      <c r="O104" s="40" t="s">
        <v>233</v>
      </c>
    </row>
    <row r="105" spans="1:15" x14ac:dyDescent="0.25">
      <c r="A105" s="84">
        <v>764</v>
      </c>
      <c r="B105" s="85" t="s">
        <v>390</v>
      </c>
      <c r="C105" s="86">
        <v>2081</v>
      </c>
      <c r="D105" s="87" t="s">
        <v>390</v>
      </c>
      <c r="E105" s="167" t="s">
        <v>447</v>
      </c>
      <c r="F105" s="167"/>
      <c r="G105" s="87" t="s">
        <v>390</v>
      </c>
      <c r="H105" s="67" t="s">
        <v>413</v>
      </c>
      <c r="I105" s="67" t="s">
        <v>390</v>
      </c>
      <c r="J105" s="88">
        <v>8</v>
      </c>
      <c r="K105" s="67" t="s">
        <v>390</v>
      </c>
      <c r="L105" s="89">
        <v>225</v>
      </c>
      <c r="M105" s="67" t="s">
        <v>390</v>
      </c>
      <c r="N105" s="90">
        <v>1800</v>
      </c>
      <c r="O105" s="40" t="s">
        <v>233</v>
      </c>
    </row>
    <row r="106" spans="1:15" x14ac:dyDescent="0.25">
      <c r="A106" s="168" t="s">
        <v>448</v>
      </c>
      <c r="B106" s="168"/>
      <c r="C106" s="168"/>
      <c r="D106" s="168"/>
      <c r="E106" s="168"/>
      <c r="F106" s="168"/>
      <c r="G106" s="169">
        <v>16744212.65</v>
      </c>
      <c r="H106" s="169"/>
      <c r="I106" s="169"/>
    </row>
    <row r="107" spans="1:15" x14ac:dyDescent="0.25">
      <c r="A107" s="170" t="s">
        <v>449</v>
      </c>
      <c r="B107" s="170"/>
      <c r="C107" s="170"/>
      <c r="D107" s="170"/>
      <c r="E107" s="170"/>
      <c r="F107" s="170"/>
      <c r="G107" s="171">
        <v>1674421.27</v>
      </c>
      <c r="H107" s="171"/>
      <c r="I107" s="171"/>
    </row>
    <row r="108" spans="1:15" x14ac:dyDescent="0.25">
      <c r="A108" s="170" t="s">
        <v>450</v>
      </c>
      <c r="B108" s="170"/>
      <c r="C108" s="170"/>
      <c r="D108" s="170"/>
      <c r="E108" s="170"/>
      <c r="F108" s="170"/>
      <c r="G108" s="171">
        <v>18418633.920000002</v>
      </c>
      <c r="H108" s="171"/>
      <c r="I108" s="171"/>
    </row>
    <row r="110" spans="1:15" x14ac:dyDescent="0.25">
      <c r="L110" s="124">
        <f>G108</f>
        <v>18418633.920000002</v>
      </c>
    </row>
  </sheetData>
  <mergeCells count="96">
    <mergeCell ref="A106:F106"/>
    <mergeCell ref="G106:I106"/>
    <mergeCell ref="A107:F107"/>
    <mergeCell ref="G107:I107"/>
    <mergeCell ref="A108:F108"/>
    <mergeCell ref="G108:I108"/>
    <mergeCell ref="E105:F105"/>
    <mergeCell ref="E94:F94"/>
    <mergeCell ref="E95:F95"/>
    <mergeCell ref="E96:F96"/>
    <mergeCell ref="E97:F97"/>
    <mergeCell ref="E98:F98"/>
    <mergeCell ref="E99:F99"/>
    <mergeCell ref="E100:F100"/>
    <mergeCell ref="E101:F101"/>
    <mergeCell ref="E102:F102"/>
    <mergeCell ref="E103:F103"/>
    <mergeCell ref="E104:F104"/>
    <mergeCell ref="E93:F93"/>
    <mergeCell ref="E82:F82"/>
    <mergeCell ref="E83:F83"/>
    <mergeCell ref="E84:F84"/>
    <mergeCell ref="E85:F85"/>
    <mergeCell ref="E86:F86"/>
    <mergeCell ref="E87:F87"/>
    <mergeCell ref="E88:F88"/>
    <mergeCell ref="E89:F89"/>
    <mergeCell ref="E90:F90"/>
    <mergeCell ref="E91:F91"/>
    <mergeCell ref="E92:F92"/>
    <mergeCell ref="E81:F81"/>
    <mergeCell ref="F68:G68"/>
    <mergeCell ref="F69:G69"/>
    <mergeCell ref="F70:G70"/>
    <mergeCell ref="F71:G71"/>
    <mergeCell ref="F72:G72"/>
    <mergeCell ref="F73:G73"/>
    <mergeCell ref="E76:F76"/>
    <mergeCell ref="E77:F77"/>
    <mergeCell ref="E78:F78"/>
    <mergeCell ref="E79:F79"/>
    <mergeCell ref="E80:F80"/>
    <mergeCell ref="F67:G67"/>
    <mergeCell ref="F56:G56"/>
    <mergeCell ref="F57:G57"/>
    <mergeCell ref="F58:G58"/>
    <mergeCell ref="F59:G59"/>
    <mergeCell ref="F60:G60"/>
    <mergeCell ref="F61:G61"/>
    <mergeCell ref="F62:G62"/>
    <mergeCell ref="F63:G63"/>
    <mergeCell ref="F64:G64"/>
    <mergeCell ref="F65:G65"/>
    <mergeCell ref="F66:G66"/>
    <mergeCell ref="F55:G55"/>
    <mergeCell ref="F44:G44"/>
    <mergeCell ref="F45:G45"/>
    <mergeCell ref="F46:G46"/>
    <mergeCell ref="F47:G47"/>
    <mergeCell ref="F48:G48"/>
    <mergeCell ref="F49:G49"/>
    <mergeCell ref="F50:G50"/>
    <mergeCell ref="F51:G51"/>
    <mergeCell ref="F52:G52"/>
    <mergeCell ref="F53:G53"/>
    <mergeCell ref="F54:G54"/>
    <mergeCell ref="F43:G43"/>
    <mergeCell ref="F32:G32"/>
    <mergeCell ref="F33:G33"/>
    <mergeCell ref="F34:G34"/>
    <mergeCell ref="F35:G35"/>
    <mergeCell ref="F36:G36"/>
    <mergeCell ref="F37:G37"/>
    <mergeCell ref="F38:G38"/>
    <mergeCell ref="F39:G39"/>
    <mergeCell ref="F40:G40"/>
    <mergeCell ref="F41:G41"/>
    <mergeCell ref="F42:G42"/>
    <mergeCell ref="F31:G31"/>
    <mergeCell ref="F20:G20"/>
    <mergeCell ref="F21:G21"/>
    <mergeCell ref="F22:G22"/>
    <mergeCell ref="F23:G23"/>
    <mergeCell ref="F24:G24"/>
    <mergeCell ref="F25:G25"/>
    <mergeCell ref="F26:G26"/>
    <mergeCell ref="F27:G27"/>
    <mergeCell ref="F28:G28"/>
    <mergeCell ref="F29:G29"/>
    <mergeCell ref="F30:G30"/>
    <mergeCell ref="F19:G19"/>
    <mergeCell ref="F14:G14"/>
    <mergeCell ref="F15:G15"/>
    <mergeCell ref="F16:G16"/>
    <mergeCell ref="F17:G17"/>
    <mergeCell ref="F18:G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0FA76-22C2-4760-90EE-D5441128CE0D}">
  <dimension ref="A1:ER45"/>
  <sheetViews>
    <sheetView showGridLines="0" zoomScale="70" zoomScaleNormal="70" workbookViewId="0">
      <selection activeCell="J31" sqref="J31"/>
    </sheetView>
  </sheetViews>
  <sheetFormatPr defaultRowHeight="15" x14ac:dyDescent="0.25"/>
  <cols>
    <col min="5" max="5" width="36.42578125" bestFit="1" customWidth="1"/>
    <col min="6" max="6" width="19.42578125" bestFit="1" customWidth="1"/>
    <col min="7" max="7" width="5" bestFit="1" customWidth="1"/>
    <col min="8" max="8" width="11.28515625" bestFit="1" customWidth="1"/>
    <col min="9" max="9" width="17.7109375" bestFit="1" customWidth="1"/>
    <col min="10" max="10" width="16.85546875" bestFit="1" customWidth="1"/>
    <col min="11" max="11" width="16.7109375" bestFit="1" customWidth="1"/>
    <col min="12" max="12" width="17.5703125" customWidth="1"/>
    <col min="13" max="13" width="7.28515625" bestFit="1" customWidth="1"/>
    <col min="14" max="14" width="21.7109375" bestFit="1" customWidth="1"/>
    <col min="15" max="15" width="20.5703125" bestFit="1" customWidth="1"/>
    <col min="16" max="16" width="27.28515625" bestFit="1" customWidth="1"/>
    <col min="17" max="17" width="19.42578125" bestFit="1" customWidth="1"/>
    <col min="18" max="18" width="11.140625" bestFit="1" customWidth="1"/>
    <col min="19" max="19" width="19.42578125" bestFit="1" customWidth="1"/>
    <col min="20" max="20" width="19.5703125" bestFit="1" customWidth="1"/>
    <col min="21" max="21" width="19.42578125" bestFit="1" customWidth="1"/>
    <col min="22" max="22" width="18.42578125" bestFit="1" customWidth="1"/>
    <col min="24" max="24" width="20.5703125" bestFit="1" customWidth="1"/>
    <col min="25" max="25" width="21.5703125" customWidth="1"/>
    <col min="26" max="26" width="17.42578125" customWidth="1"/>
    <col min="31" max="31" width="29.140625" bestFit="1" customWidth="1"/>
    <col min="32" max="32" width="30.28515625" bestFit="1" customWidth="1"/>
    <col min="33" max="34" width="31.28515625" bestFit="1" customWidth="1"/>
    <col min="35" max="35" width="32.140625" bestFit="1" customWidth="1"/>
    <col min="36" max="36" width="24" bestFit="1" customWidth="1"/>
    <col min="140" max="140" width="28.5703125" customWidth="1"/>
  </cols>
  <sheetData>
    <row r="1" spans="1:148" x14ac:dyDescent="0.25">
      <c r="A1" t="s">
        <v>459</v>
      </c>
      <c r="B1" t="s">
        <v>460</v>
      </c>
      <c r="C1" t="s">
        <v>461</v>
      </c>
      <c r="D1" t="s">
        <v>462</v>
      </c>
      <c r="E1" t="s">
        <v>459</v>
      </c>
      <c r="F1" t="s">
        <v>463</v>
      </c>
      <c r="G1" t="s">
        <v>464</v>
      </c>
      <c r="H1" t="s">
        <v>465</v>
      </c>
      <c r="I1" t="s">
        <v>466</v>
      </c>
      <c r="J1" t="s">
        <v>467</v>
      </c>
      <c r="K1" t="s">
        <v>468</v>
      </c>
      <c r="L1" t="s">
        <v>469</v>
      </c>
      <c r="M1" t="s">
        <v>470</v>
      </c>
      <c r="N1" t="s">
        <v>471</v>
      </c>
      <c r="O1" t="s">
        <v>472</v>
      </c>
      <c r="P1" t="s">
        <v>473</v>
      </c>
      <c r="Q1" t="s">
        <v>474</v>
      </c>
      <c r="R1" t="s">
        <v>475</v>
      </c>
      <c r="S1" t="s">
        <v>476</v>
      </c>
      <c r="T1" t="s">
        <v>477</v>
      </c>
      <c r="U1" t="s">
        <v>478</v>
      </c>
      <c r="V1" t="s">
        <v>479</v>
      </c>
      <c r="W1" t="s">
        <v>480</v>
      </c>
      <c r="X1" t="s">
        <v>481</v>
      </c>
      <c r="Y1" t="s">
        <v>482</v>
      </c>
      <c r="Z1" t="s">
        <v>483</v>
      </c>
      <c r="AA1" t="s">
        <v>484</v>
      </c>
      <c r="AB1" t="s">
        <v>485</v>
      </c>
      <c r="AC1" t="s">
        <v>486</v>
      </c>
      <c r="AD1" t="s">
        <v>487</v>
      </c>
      <c r="AE1" t="s">
        <v>488</v>
      </c>
      <c r="AF1" t="s">
        <v>489</v>
      </c>
      <c r="AG1" t="s">
        <v>490</v>
      </c>
      <c r="AH1" t="s">
        <v>491</v>
      </c>
      <c r="AI1" t="s">
        <v>492</v>
      </c>
      <c r="AJ1" t="s">
        <v>493</v>
      </c>
      <c r="AK1" t="s">
        <v>494</v>
      </c>
      <c r="AL1" t="s">
        <v>495</v>
      </c>
      <c r="AM1" t="s">
        <v>496</v>
      </c>
      <c r="AN1" t="s">
        <v>497</v>
      </c>
      <c r="AO1" t="s">
        <v>498</v>
      </c>
      <c r="AP1" t="s">
        <v>499</v>
      </c>
      <c r="AQ1" t="s">
        <v>500</v>
      </c>
      <c r="AR1" t="s">
        <v>501</v>
      </c>
      <c r="AS1" t="s">
        <v>502</v>
      </c>
      <c r="AT1" t="s">
        <v>503</v>
      </c>
      <c r="AU1" t="s">
        <v>504</v>
      </c>
      <c r="AV1" t="s">
        <v>505</v>
      </c>
      <c r="AW1" t="s">
        <v>506</v>
      </c>
      <c r="AX1" t="s">
        <v>507</v>
      </c>
      <c r="AY1" t="s">
        <v>508</v>
      </c>
      <c r="AZ1" t="s">
        <v>509</v>
      </c>
      <c r="BA1" t="s">
        <v>510</v>
      </c>
      <c r="BB1" t="s">
        <v>511</v>
      </c>
      <c r="BC1" t="s">
        <v>512</v>
      </c>
      <c r="BD1" t="s">
        <v>513</v>
      </c>
      <c r="BE1" t="s">
        <v>514</v>
      </c>
      <c r="BF1" t="s">
        <v>515</v>
      </c>
      <c r="BG1" t="s">
        <v>516</v>
      </c>
      <c r="BH1" t="s">
        <v>517</v>
      </c>
      <c r="BI1" t="s">
        <v>518</v>
      </c>
      <c r="BJ1" t="s">
        <v>519</v>
      </c>
      <c r="BK1" t="s">
        <v>520</v>
      </c>
      <c r="BL1" t="s">
        <v>521</v>
      </c>
      <c r="BM1" t="s">
        <v>522</v>
      </c>
      <c r="BN1" t="s">
        <v>523</v>
      </c>
      <c r="BO1" t="s">
        <v>524</v>
      </c>
      <c r="BP1" t="s">
        <v>525</v>
      </c>
      <c r="BQ1" t="s">
        <v>526</v>
      </c>
      <c r="BR1" t="s">
        <v>527</v>
      </c>
      <c r="BS1" t="s">
        <v>528</v>
      </c>
      <c r="BT1" t="s">
        <v>529</v>
      </c>
      <c r="BU1" t="s">
        <v>530</v>
      </c>
      <c r="BV1" t="s">
        <v>531</v>
      </c>
      <c r="BW1" t="s">
        <v>532</v>
      </c>
      <c r="BX1" t="s">
        <v>533</v>
      </c>
      <c r="BY1" t="s">
        <v>534</v>
      </c>
      <c r="BZ1" t="s">
        <v>535</v>
      </c>
      <c r="CA1" t="s">
        <v>536</v>
      </c>
      <c r="CB1" t="s">
        <v>537</v>
      </c>
      <c r="CC1" t="s">
        <v>538</v>
      </c>
      <c r="CD1" t="s">
        <v>539</v>
      </c>
      <c r="CE1" t="s">
        <v>540</v>
      </c>
      <c r="CF1" t="s">
        <v>541</v>
      </c>
      <c r="CG1" t="s">
        <v>542</v>
      </c>
      <c r="CH1" t="s">
        <v>543</v>
      </c>
      <c r="CI1" t="s">
        <v>544</v>
      </c>
      <c r="CJ1" t="s">
        <v>545</v>
      </c>
      <c r="CK1" t="s">
        <v>546</v>
      </c>
      <c r="CL1" t="s">
        <v>547</v>
      </c>
      <c r="CM1" t="s">
        <v>548</v>
      </c>
      <c r="CN1" t="s">
        <v>549</v>
      </c>
      <c r="CO1" t="s">
        <v>550</v>
      </c>
      <c r="CP1" t="s">
        <v>551</v>
      </c>
      <c r="CQ1" t="s">
        <v>552</v>
      </c>
      <c r="CR1" t="s">
        <v>553</v>
      </c>
      <c r="CS1" t="s">
        <v>554</v>
      </c>
      <c r="CT1" t="s">
        <v>555</v>
      </c>
      <c r="CU1" t="s">
        <v>556</v>
      </c>
      <c r="CV1" t="s">
        <v>557</v>
      </c>
      <c r="CW1" t="s">
        <v>558</v>
      </c>
      <c r="CX1" t="s">
        <v>559</v>
      </c>
      <c r="CY1" t="s">
        <v>560</v>
      </c>
      <c r="CZ1" t="s">
        <v>561</v>
      </c>
      <c r="DA1" t="s">
        <v>562</v>
      </c>
      <c r="DB1" t="s">
        <v>563</v>
      </c>
      <c r="DC1" t="s">
        <v>564</v>
      </c>
      <c r="DD1" t="s">
        <v>565</v>
      </c>
      <c r="DE1" t="s">
        <v>566</v>
      </c>
      <c r="DF1" t="s">
        <v>567</v>
      </c>
      <c r="DG1" t="s">
        <v>568</v>
      </c>
      <c r="DH1" t="s">
        <v>569</v>
      </c>
      <c r="DI1" t="s">
        <v>570</v>
      </c>
      <c r="DJ1" t="s">
        <v>571</v>
      </c>
      <c r="DK1" t="s">
        <v>572</v>
      </c>
      <c r="DL1" t="s">
        <v>573</v>
      </c>
      <c r="DM1" t="s">
        <v>574</v>
      </c>
      <c r="DN1" t="s">
        <v>575</v>
      </c>
      <c r="DO1" t="s">
        <v>576</v>
      </c>
      <c r="DP1" t="s">
        <v>577</v>
      </c>
      <c r="DQ1" t="s">
        <v>578</v>
      </c>
      <c r="DR1" t="s">
        <v>579</v>
      </c>
      <c r="DS1" t="s">
        <v>580</v>
      </c>
      <c r="DT1" t="s">
        <v>581</v>
      </c>
      <c r="DU1" t="s">
        <v>582</v>
      </c>
      <c r="DV1" t="s">
        <v>583</v>
      </c>
      <c r="DW1" t="s">
        <v>584</v>
      </c>
      <c r="DX1" t="s">
        <v>585</v>
      </c>
      <c r="DY1" t="s">
        <v>586</v>
      </c>
      <c r="DZ1" t="s">
        <v>587</v>
      </c>
      <c r="EA1" t="s">
        <v>588</v>
      </c>
      <c r="EB1" t="s">
        <v>589</v>
      </c>
      <c r="EC1" t="s">
        <v>590</v>
      </c>
      <c r="ED1" t="s">
        <v>591</v>
      </c>
      <c r="EE1" t="s">
        <v>592</v>
      </c>
      <c r="EF1" t="s">
        <v>593</v>
      </c>
      <c r="EG1" t="s">
        <v>594</v>
      </c>
      <c r="EH1" t="s">
        <v>595</v>
      </c>
      <c r="EI1" t="s">
        <v>596</v>
      </c>
      <c r="EJ1" t="s">
        <v>597</v>
      </c>
      <c r="EK1" t="s">
        <v>598</v>
      </c>
      <c r="EL1" t="s">
        <v>599</v>
      </c>
      <c r="EM1" t="s">
        <v>600</v>
      </c>
      <c r="EN1" t="s">
        <v>601</v>
      </c>
      <c r="EO1" t="s">
        <v>602</v>
      </c>
      <c r="EP1" t="s">
        <v>603</v>
      </c>
      <c r="EQ1" t="s">
        <v>604</v>
      </c>
      <c r="ER1" t="s">
        <v>605</v>
      </c>
    </row>
    <row r="2" spans="1:148" x14ac:dyDescent="0.25">
      <c r="A2">
        <v>1</v>
      </c>
      <c r="B2" t="s">
        <v>606</v>
      </c>
      <c r="C2">
        <v>1</v>
      </c>
      <c r="D2">
        <v>23</v>
      </c>
      <c r="E2">
        <v>213850</v>
      </c>
      <c r="F2">
        <v>312939</v>
      </c>
      <c r="G2">
        <v>25</v>
      </c>
      <c r="H2" t="s">
        <v>607</v>
      </c>
      <c r="I2">
        <v>0</v>
      </c>
      <c r="J2" t="s">
        <v>608</v>
      </c>
      <c r="K2">
        <v>3</v>
      </c>
      <c r="L2" t="s">
        <v>609</v>
      </c>
      <c r="M2">
        <v>5</v>
      </c>
      <c r="N2" t="s">
        <v>610</v>
      </c>
      <c r="O2">
        <v>1</v>
      </c>
      <c r="P2" t="s">
        <v>611</v>
      </c>
      <c r="Q2" t="s">
        <v>612</v>
      </c>
      <c r="R2" t="s">
        <v>612</v>
      </c>
      <c r="S2">
        <v>1</v>
      </c>
      <c r="T2" t="s">
        <v>613</v>
      </c>
      <c r="U2">
        <v>1</v>
      </c>
      <c r="V2" t="s">
        <v>614</v>
      </c>
      <c r="W2">
        <v>1</v>
      </c>
      <c r="X2" t="s">
        <v>615</v>
      </c>
      <c r="Y2">
        <v>1</v>
      </c>
      <c r="Z2" t="s">
        <v>616</v>
      </c>
      <c r="AA2">
        <v>0</v>
      </c>
      <c r="AB2" t="s">
        <v>617</v>
      </c>
      <c r="AC2">
        <v>1</v>
      </c>
      <c r="AD2" t="s">
        <v>618</v>
      </c>
      <c r="AE2">
        <v>1</v>
      </c>
      <c r="AF2" t="s">
        <v>619</v>
      </c>
      <c r="AG2">
        <v>6</v>
      </c>
      <c r="AH2" t="s">
        <v>620</v>
      </c>
      <c r="AI2">
        <v>3</v>
      </c>
      <c r="AJ2" t="s">
        <v>621</v>
      </c>
      <c r="AK2">
        <v>1</v>
      </c>
      <c r="AL2" t="s">
        <v>622</v>
      </c>
      <c r="AM2">
        <v>2</v>
      </c>
      <c r="AN2" t="s">
        <v>623</v>
      </c>
      <c r="AO2">
        <v>2</v>
      </c>
      <c r="AP2" t="s">
        <v>624</v>
      </c>
      <c r="AQ2">
        <v>4</v>
      </c>
      <c r="AR2" t="s">
        <v>625</v>
      </c>
      <c r="AS2">
        <v>2</v>
      </c>
      <c r="AT2">
        <v>1</v>
      </c>
      <c r="AU2" s="91">
        <v>41931</v>
      </c>
      <c r="AV2" s="92">
        <v>45397.8125</v>
      </c>
      <c r="AW2" s="91">
        <v>41932</v>
      </c>
      <c r="AX2">
        <v>2</v>
      </c>
      <c r="AY2" t="s">
        <v>626</v>
      </c>
      <c r="AZ2" s="91">
        <v>41931</v>
      </c>
      <c r="BA2" s="92">
        <v>45397.815972222219</v>
      </c>
      <c r="BB2" t="s">
        <v>612</v>
      </c>
      <c r="BC2" t="s">
        <v>612</v>
      </c>
      <c r="BD2">
        <v>450</v>
      </c>
      <c r="BE2">
        <v>48.021146000000002</v>
      </c>
      <c r="BF2">
        <v>-100.86924399999999</v>
      </c>
      <c r="BG2">
        <v>1</v>
      </c>
      <c r="BH2">
        <v>52</v>
      </c>
      <c r="BI2" t="s">
        <v>612</v>
      </c>
      <c r="BJ2" t="s">
        <v>612</v>
      </c>
      <c r="BK2">
        <v>2.8690000000000002</v>
      </c>
      <c r="BL2">
        <v>2.8690000000000002</v>
      </c>
      <c r="BM2" t="s">
        <v>612</v>
      </c>
      <c r="BN2" t="s">
        <v>612</v>
      </c>
      <c r="BO2" t="s">
        <v>612</v>
      </c>
      <c r="BP2" t="s">
        <v>612</v>
      </c>
      <c r="BQ2" t="s">
        <v>612</v>
      </c>
      <c r="BR2" t="s">
        <v>612</v>
      </c>
      <c r="BS2" t="s">
        <v>612</v>
      </c>
      <c r="BT2" t="s">
        <v>612</v>
      </c>
      <c r="BU2" t="s">
        <v>612</v>
      </c>
      <c r="BV2" t="s">
        <v>612</v>
      </c>
      <c r="BW2" t="s">
        <v>612</v>
      </c>
      <c r="BX2">
        <v>0</v>
      </c>
      <c r="BY2" t="s">
        <v>627</v>
      </c>
      <c r="BZ2" t="s">
        <v>627</v>
      </c>
      <c r="CA2" t="s">
        <v>612</v>
      </c>
      <c r="CB2" t="s">
        <v>628</v>
      </c>
      <c r="CC2" t="s">
        <v>629</v>
      </c>
      <c r="CD2" t="s">
        <v>629</v>
      </c>
      <c r="CE2" t="s">
        <v>630</v>
      </c>
      <c r="CF2" t="s">
        <v>630</v>
      </c>
      <c r="CG2" t="s">
        <v>630</v>
      </c>
      <c r="CH2" t="s">
        <v>630</v>
      </c>
      <c r="CI2" t="s">
        <v>630</v>
      </c>
      <c r="CJ2" t="s">
        <v>631</v>
      </c>
      <c r="CK2" t="s">
        <v>632</v>
      </c>
      <c r="CL2" t="s">
        <v>633</v>
      </c>
      <c r="CM2" t="s">
        <v>634</v>
      </c>
      <c r="CN2" t="s">
        <v>635</v>
      </c>
      <c r="CO2" t="s">
        <v>636</v>
      </c>
      <c r="CP2" t="s">
        <v>637</v>
      </c>
      <c r="CQ2" t="s">
        <v>611</v>
      </c>
      <c r="CR2">
        <v>49</v>
      </c>
      <c r="CS2" t="s">
        <v>626</v>
      </c>
      <c r="CT2" t="s">
        <v>638</v>
      </c>
      <c r="CU2" t="s">
        <v>639</v>
      </c>
      <c r="CV2" t="s">
        <v>640</v>
      </c>
      <c r="CW2" t="s">
        <v>641</v>
      </c>
      <c r="CX2" t="s">
        <v>642</v>
      </c>
      <c r="CY2" t="s">
        <v>608</v>
      </c>
      <c r="CZ2" t="s">
        <v>643</v>
      </c>
      <c r="DA2">
        <v>65</v>
      </c>
      <c r="DB2" t="s">
        <v>608</v>
      </c>
      <c r="DC2" t="s">
        <v>631</v>
      </c>
      <c r="DD2" t="s">
        <v>636</v>
      </c>
      <c r="DE2" t="s">
        <v>635</v>
      </c>
      <c r="DF2" t="s">
        <v>644</v>
      </c>
      <c r="DG2" t="s">
        <v>611</v>
      </c>
      <c r="DH2">
        <v>60</v>
      </c>
      <c r="DI2" t="s">
        <v>626</v>
      </c>
      <c r="DJ2" t="s">
        <v>645</v>
      </c>
      <c r="DK2" t="s">
        <v>646</v>
      </c>
      <c r="DL2" t="s">
        <v>640</v>
      </c>
      <c r="DM2" t="s">
        <v>641</v>
      </c>
      <c r="DN2" t="s">
        <v>642</v>
      </c>
      <c r="DO2" t="s">
        <v>608</v>
      </c>
      <c r="DP2" t="s">
        <v>643</v>
      </c>
      <c r="DQ2">
        <v>65</v>
      </c>
      <c r="DR2" t="s">
        <v>608</v>
      </c>
      <c r="DS2" t="s">
        <v>612</v>
      </c>
      <c r="DT2" t="s">
        <v>612</v>
      </c>
      <c r="DU2" t="s">
        <v>612</v>
      </c>
      <c r="DV2" t="s">
        <v>612</v>
      </c>
      <c r="DW2" t="s">
        <v>612</v>
      </c>
      <c r="DX2" t="s">
        <v>612</v>
      </c>
      <c r="DY2" t="s">
        <v>612</v>
      </c>
      <c r="DZ2" t="s">
        <v>612</v>
      </c>
      <c r="EA2" t="s">
        <v>612</v>
      </c>
      <c r="EB2" t="s">
        <v>612</v>
      </c>
      <c r="EC2" t="s">
        <v>612</v>
      </c>
      <c r="ED2" t="s">
        <v>612</v>
      </c>
      <c r="EE2" t="s">
        <v>612</v>
      </c>
      <c r="EF2" t="s">
        <v>612</v>
      </c>
      <c r="EG2" t="s">
        <v>612</v>
      </c>
      <c r="EH2" t="s">
        <v>612</v>
      </c>
      <c r="EI2">
        <v>19</v>
      </c>
      <c r="EJ2" t="s">
        <v>647</v>
      </c>
      <c r="EK2" t="s">
        <v>648</v>
      </c>
      <c r="EL2">
        <v>0</v>
      </c>
      <c r="EM2">
        <v>0</v>
      </c>
      <c r="EN2">
        <v>0</v>
      </c>
      <c r="EO2">
        <v>-1</v>
      </c>
      <c r="EP2">
        <v>0</v>
      </c>
    </row>
    <row r="3" spans="1:148" x14ac:dyDescent="0.25">
      <c r="A3">
        <v>2</v>
      </c>
      <c r="B3" t="s">
        <v>606</v>
      </c>
      <c r="C3">
        <v>1</v>
      </c>
      <c r="D3">
        <v>38</v>
      </c>
      <c r="E3">
        <v>218522</v>
      </c>
      <c r="F3">
        <v>317654</v>
      </c>
      <c r="G3">
        <v>25</v>
      </c>
      <c r="H3" t="s">
        <v>607</v>
      </c>
      <c r="I3">
        <v>0</v>
      </c>
      <c r="J3" t="s">
        <v>608</v>
      </c>
      <c r="K3">
        <v>3</v>
      </c>
      <c r="L3" t="s">
        <v>609</v>
      </c>
      <c r="M3">
        <v>5</v>
      </c>
      <c r="N3" t="s">
        <v>610</v>
      </c>
      <c r="O3">
        <v>20</v>
      </c>
      <c r="P3" t="s">
        <v>649</v>
      </c>
      <c r="Q3" t="s">
        <v>612</v>
      </c>
      <c r="R3" t="s">
        <v>612</v>
      </c>
      <c r="S3">
        <v>1</v>
      </c>
      <c r="T3" t="s">
        <v>613</v>
      </c>
      <c r="U3">
        <v>1</v>
      </c>
      <c r="V3" t="s">
        <v>614</v>
      </c>
      <c r="W3">
        <v>1</v>
      </c>
      <c r="X3" t="s">
        <v>615</v>
      </c>
      <c r="Y3">
        <v>1</v>
      </c>
      <c r="Z3" t="s">
        <v>616</v>
      </c>
      <c r="AA3">
        <v>6</v>
      </c>
      <c r="AB3" t="s">
        <v>650</v>
      </c>
      <c r="AC3">
        <v>1</v>
      </c>
      <c r="AD3" t="s">
        <v>618</v>
      </c>
      <c r="AE3">
        <v>1</v>
      </c>
      <c r="AF3" t="s">
        <v>619</v>
      </c>
      <c r="AG3">
        <v>1</v>
      </c>
      <c r="AH3" t="s">
        <v>651</v>
      </c>
      <c r="AI3">
        <v>3</v>
      </c>
      <c r="AJ3" t="s">
        <v>621</v>
      </c>
      <c r="AK3">
        <v>1</v>
      </c>
      <c r="AL3" t="s">
        <v>622</v>
      </c>
      <c r="AM3">
        <v>7</v>
      </c>
      <c r="AN3" t="s">
        <v>652</v>
      </c>
      <c r="AO3">
        <v>2</v>
      </c>
      <c r="AP3" t="s">
        <v>624</v>
      </c>
      <c r="AQ3">
        <v>1</v>
      </c>
      <c r="AR3" t="s">
        <v>653</v>
      </c>
      <c r="AS3">
        <v>2</v>
      </c>
      <c r="AT3">
        <v>1</v>
      </c>
      <c r="AU3" s="91">
        <v>41986</v>
      </c>
      <c r="AV3" s="92">
        <v>45397.784722222219</v>
      </c>
      <c r="AW3" s="91">
        <v>41996</v>
      </c>
      <c r="AX3">
        <v>2</v>
      </c>
      <c r="AY3" t="s">
        <v>626</v>
      </c>
      <c r="AZ3" s="91">
        <v>41986</v>
      </c>
      <c r="BA3" s="92">
        <v>45397.784722222219</v>
      </c>
      <c r="BB3" t="s">
        <v>612</v>
      </c>
      <c r="BC3" t="s">
        <v>612</v>
      </c>
      <c r="BD3">
        <v>510</v>
      </c>
      <c r="BE3">
        <v>47.919939999999997</v>
      </c>
      <c r="BF3">
        <v>-100.402545</v>
      </c>
      <c r="BG3">
        <v>1</v>
      </c>
      <c r="BH3">
        <v>52</v>
      </c>
      <c r="BI3" t="s">
        <v>612</v>
      </c>
      <c r="BJ3" t="s">
        <v>612</v>
      </c>
      <c r="BK3">
        <v>143.41</v>
      </c>
      <c r="BL3">
        <v>143.41</v>
      </c>
      <c r="BM3" t="s">
        <v>612</v>
      </c>
      <c r="BN3" t="s">
        <v>612</v>
      </c>
      <c r="BO3" t="s">
        <v>612</v>
      </c>
      <c r="BP3" t="s">
        <v>612</v>
      </c>
      <c r="BQ3" t="s">
        <v>612</v>
      </c>
      <c r="BR3" t="s">
        <v>612</v>
      </c>
      <c r="BS3" t="s">
        <v>612</v>
      </c>
      <c r="BT3" t="s">
        <v>612</v>
      </c>
      <c r="BU3" t="s">
        <v>612</v>
      </c>
      <c r="BV3" t="s">
        <v>612</v>
      </c>
      <c r="BW3" t="s">
        <v>612</v>
      </c>
      <c r="BX3">
        <v>0</v>
      </c>
      <c r="BY3" t="s">
        <v>627</v>
      </c>
      <c r="BZ3" t="s">
        <v>627</v>
      </c>
      <c r="CA3" t="s">
        <v>612</v>
      </c>
      <c r="CB3" t="s">
        <v>654</v>
      </c>
      <c r="CC3" t="s">
        <v>629</v>
      </c>
      <c r="CD3" t="s">
        <v>629</v>
      </c>
      <c r="CE3" t="s">
        <v>655</v>
      </c>
      <c r="CF3" t="s">
        <v>630</v>
      </c>
      <c r="CG3" t="s">
        <v>630</v>
      </c>
      <c r="CH3" t="s">
        <v>655</v>
      </c>
      <c r="CI3" t="s">
        <v>655</v>
      </c>
      <c r="CJ3" t="s">
        <v>656</v>
      </c>
      <c r="CK3" t="s">
        <v>632</v>
      </c>
      <c r="CL3" t="s">
        <v>657</v>
      </c>
      <c r="CM3" t="s">
        <v>634</v>
      </c>
      <c r="CN3" t="s">
        <v>608</v>
      </c>
      <c r="CO3" t="s">
        <v>636</v>
      </c>
      <c r="CP3" t="s">
        <v>658</v>
      </c>
      <c r="CQ3" t="s">
        <v>611</v>
      </c>
      <c r="CR3">
        <v>19</v>
      </c>
      <c r="CS3" t="s">
        <v>626</v>
      </c>
      <c r="CT3" t="s">
        <v>60</v>
      </c>
      <c r="CU3" t="s">
        <v>639</v>
      </c>
      <c r="CV3" t="s">
        <v>640</v>
      </c>
      <c r="CW3" t="s">
        <v>659</v>
      </c>
      <c r="CX3" t="s">
        <v>660</v>
      </c>
      <c r="CY3" t="s">
        <v>608</v>
      </c>
      <c r="CZ3" t="s">
        <v>643</v>
      </c>
      <c r="DA3">
        <v>65</v>
      </c>
      <c r="DB3" t="s">
        <v>608</v>
      </c>
      <c r="DC3" t="s">
        <v>612</v>
      </c>
      <c r="DD3" t="s">
        <v>612</v>
      </c>
      <c r="DE3" t="s">
        <v>612</v>
      </c>
      <c r="DF3" t="s">
        <v>612</v>
      </c>
      <c r="DG3" t="s">
        <v>612</v>
      </c>
      <c r="DH3" t="s">
        <v>612</v>
      </c>
      <c r="DI3" t="s">
        <v>612</v>
      </c>
      <c r="DJ3" t="s">
        <v>612</v>
      </c>
      <c r="DK3" t="s">
        <v>612</v>
      </c>
      <c r="DL3" t="s">
        <v>612</v>
      </c>
      <c r="DM3" t="s">
        <v>612</v>
      </c>
      <c r="DN3" t="s">
        <v>612</v>
      </c>
      <c r="DO3" t="s">
        <v>612</v>
      </c>
      <c r="DP3" t="s">
        <v>612</v>
      </c>
      <c r="DQ3" t="s">
        <v>612</v>
      </c>
      <c r="DR3" t="s">
        <v>612</v>
      </c>
      <c r="DS3" t="s">
        <v>612</v>
      </c>
      <c r="DT3" t="s">
        <v>612</v>
      </c>
      <c r="DU3" t="s">
        <v>612</v>
      </c>
      <c r="DV3" t="s">
        <v>612</v>
      </c>
      <c r="DW3" t="s">
        <v>612</v>
      </c>
      <c r="DX3" t="s">
        <v>612</v>
      </c>
      <c r="DY3" t="s">
        <v>612</v>
      </c>
      <c r="DZ3" t="s">
        <v>612</v>
      </c>
      <c r="EA3" t="s">
        <v>612</v>
      </c>
      <c r="EB3" t="s">
        <v>612</v>
      </c>
      <c r="EC3" t="s">
        <v>612</v>
      </c>
      <c r="ED3" t="s">
        <v>612</v>
      </c>
      <c r="EE3" t="s">
        <v>612</v>
      </c>
      <c r="EF3" t="s">
        <v>612</v>
      </c>
      <c r="EG3" t="s">
        <v>612</v>
      </c>
      <c r="EH3" t="s">
        <v>612</v>
      </c>
      <c r="EI3">
        <v>18</v>
      </c>
      <c r="EJ3" t="s">
        <v>661</v>
      </c>
      <c r="EK3" t="s">
        <v>648</v>
      </c>
      <c r="EL3">
        <v>0</v>
      </c>
      <c r="EM3">
        <v>0</v>
      </c>
      <c r="EN3">
        <v>0</v>
      </c>
      <c r="EO3">
        <v>-1</v>
      </c>
      <c r="EP3">
        <v>0</v>
      </c>
    </row>
    <row r="4" spans="1:148" x14ac:dyDescent="0.25">
      <c r="A4">
        <v>3</v>
      </c>
      <c r="B4" t="s">
        <v>606</v>
      </c>
      <c r="C4">
        <v>1</v>
      </c>
      <c r="D4">
        <v>47</v>
      </c>
      <c r="E4">
        <v>221137</v>
      </c>
      <c r="F4">
        <v>320293</v>
      </c>
      <c r="G4">
        <v>25</v>
      </c>
      <c r="H4" t="s">
        <v>607</v>
      </c>
      <c r="I4">
        <v>0</v>
      </c>
      <c r="J4" t="s">
        <v>608</v>
      </c>
      <c r="K4">
        <v>1</v>
      </c>
      <c r="L4" t="s">
        <v>662</v>
      </c>
      <c r="M4">
        <v>5</v>
      </c>
      <c r="N4" t="s">
        <v>610</v>
      </c>
      <c r="O4">
        <v>27</v>
      </c>
      <c r="P4" t="s">
        <v>663</v>
      </c>
      <c r="Q4" t="s">
        <v>612</v>
      </c>
      <c r="R4" t="s">
        <v>612</v>
      </c>
      <c r="S4">
        <v>1</v>
      </c>
      <c r="T4" t="s">
        <v>613</v>
      </c>
      <c r="U4">
        <v>1</v>
      </c>
      <c r="V4" t="s">
        <v>614</v>
      </c>
      <c r="W4">
        <v>1</v>
      </c>
      <c r="X4" t="s">
        <v>615</v>
      </c>
      <c r="Y4">
        <v>2</v>
      </c>
      <c r="Z4" t="s">
        <v>664</v>
      </c>
      <c r="AA4">
        <v>6</v>
      </c>
      <c r="AB4" t="s">
        <v>650</v>
      </c>
      <c r="AC4">
        <v>1</v>
      </c>
      <c r="AD4" t="s">
        <v>618</v>
      </c>
      <c r="AE4">
        <v>6</v>
      </c>
      <c r="AF4" t="s">
        <v>665</v>
      </c>
      <c r="AG4">
        <v>1</v>
      </c>
      <c r="AH4" t="s">
        <v>651</v>
      </c>
      <c r="AI4">
        <v>3</v>
      </c>
      <c r="AJ4" t="s">
        <v>621</v>
      </c>
      <c r="AK4">
        <v>1</v>
      </c>
      <c r="AL4" t="s">
        <v>622</v>
      </c>
      <c r="AM4">
        <v>7</v>
      </c>
      <c r="AN4" t="s">
        <v>652</v>
      </c>
      <c r="AO4">
        <v>2</v>
      </c>
      <c r="AP4" t="s">
        <v>624</v>
      </c>
      <c r="AQ4">
        <v>3</v>
      </c>
      <c r="AR4" t="s">
        <v>666</v>
      </c>
      <c r="AS4">
        <v>2</v>
      </c>
      <c r="AT4">
        <v>1</v>
      </c>
      <c r="AU4" s="91">
        <v>42024</v>
      </c>
      <c r="AV4" s="92">
        <v>45397.215277777781</v>
      </c>
      <c r="AW4" s="91">
        <v>42031</v>
      </c>
      <c r="AX4">
        <v>2</v>
      </c>
      <c r="AY4" t="s">
        <v>626</v>
      </c>
      <c r="AZ4" s="91">
        <v>42024</v>
      </c>
      <c r="BA4" s="92">
        <v>45397.219444444447</v>
      </c>
      <c r="BB4" t="s">
        <v>612</v>
      </c>
      <c r="BC4" t="s">
        <v>612</v>
      </c>
      <c r="BD4">
        <v>491</v>
      </c>
      <c r="BE4">
        <v>48.021234</v>
      </c>
      <c r="BF4">
        <v>-100.869776</v>
      </c>
      <c r="BG4">
        <v>1</v>
      </c>
      <c r="BH4">
        <v>52</v>
      </c>
      <c r="BI4" t="s">
        <v>612</v>
      </c>
      <c r="BJ4" t="s">
        <v>612</v>
      </c>
      <c r="BK4">
        <v>2.839</v>
      </c>
      <c r="BL4">
        <v>2.839</v>
      </c>
      <c r="BM4" t="s">
        <v>612</v>
      </c>
      <c r="BN4" t="s">
        <v>612</v>
      </c>
      <c r="BO4" t="s">
        <v>612</v>
      </c>
      <c r="BP4" t="s">
        <v>612</v>
      </c>
      <c r="BQ4" t="s">
        <v>612</v>
      </c>
      <c r="BR4" t="s">
        <v>612</v>
      </c>
      <c r="BS4" t="s">
        <v>612</v>
      </c>
      <c r="BT4" t="s">
        <v>612</v>
      </c>
      <c r="BU4" t="s">
        <v>612</v>
      </c>
      <c r="BV4" t="s">
        <v>612</v>
      </c>
      <c r="BW4" t="s">
        <v>612</v>
      </c>
      <c r="BX4">
        <v>300</v>
      </c>
      <c r="BY4" t="s">
        <v>627</v>
      </c>
      <c r="BZ4" t="s">
        <v>627</v>
      </c>
      <c r="CA4" t="s">
        <v>612</v>
      </c>
      <c r="CB4" t="s">
        <v>667</v>
      </c>
      <c r="CC4" t="s">
        <v>629</v>
      </c>
      <c r="CD4" t="s">
        <v>629</v>
      </c>
      <c r="CE4" t="s">
        <v>655</v>
      </c>
      <c r="CF4" t="s">
        <v>655</v>
      </c>
      <c r="CG4" t="s">
        <v>630</v>
      </c>
      <c r="CH4" t="s">
        <v>655</v>
      </c>
      <c r="CI4" t="s">
        <v>630</v>
      </c>
      <c r="CJ4" t="s">
        <v>668</v>
      </c>
      <c r="CK4" t="s">
        <v>632</v>
      </c>
      <c r="CL4" t="s">
        <v>669</v>
      </c>
      <c r="CM4" t="s">
        <v>634</v>
      </c>
      <c r="CN4" t="s">
        <v>608</v>
      </c>
      <c r="CO4" t="s">
        <v>636</v>
      </c>
      <c r="CP4" t="s">
        <v>670</v>
      </c>
      <c r="CQ4" t="s">
        <v>663</v>
      </c>
      <c r="CR4">
        <v>20</v>
      </c>
      <c r="CS4" t="s">
        <v>671</v>
      </c>
      <c r="CT4" t="s">
        <v>672</v>
      </c>
      <c r="CU4" t="s">
        <v>639</v>
      </c>
      <c r="CV4" t="s">
        <v>640</v>
      </c>
      <c r="CW4" t="s">
        <v>673</v>
      </c>
      <c r="CX4" t="s">
        <v>674</v>
      </c>
      <c r="CY4" t="s">
        <v>675</v>
      </c>
      <c r="CZ4" t="s">
        <v>643</v>
      </c>
      <c r="DA4">
        <v>65</v>
      </c>
      <c r="DB4" t="s">
        <v>608</v>
      </c>
      <c r="DC4" t="s">
        <v>612</v>
      </c>
      <c r="DD4" t="s">
        <v>612</v>
      </c>
      <c r="DE4" t="s">
        <v>612</v>
      </c>
      <c r="DF4" t="s">
        <v>612</v>
      </c>
      <c r="DG4" t="s">
        <v>612</v>
      </c>
      <c r="DH4" t="s">
        <v>612</v>
      </c>
      <c r="DI4" t="s">
        <v>612</v>
      </c>
      <c r="DJ4" t="s">
        <v>612</v>
      </c>
      <c r="DK4" t="s">
        <v>612</v>
      </c>
      <c r="DL4" t="s">
        <v>612</v>
      </c>
      <c r="DM4" t="s">
        <v>612</v>
      </c>
      <c r="DN4" t="s">
        <v>612</v>
      </c>
      <c r="DO4" t="s">
        <v>612</v>
      </c>
      <c r="DP4" t="s">
        <v>612</v>
      </c>
      <c r="DQ4" t="s">
        <v>612</v>
      </c>
      <c r="DR4" t="s">
        <v>612</v>
      </c>
      <c r="DS4" t="s">
        <v>612</v>
      </c>
      <c r="DT4" t="s">
        <v>612</v>
      </c>
      <c r="DU4" t="s">
        <v>612</v>
      </c>
      <c r="DV4" t="s">
        <v>612</v>
      </c>
      <c r="DW4" t="s">
        <v>612</v>
      </c>
      <c r="DX4" t="s">
        <v>612</v>
      </c>
      <c r="DY4" t="s">
        <v>612</v>
      </c>
      <c r="DZ4" t="s">
        <v>612</v>
      </c>
      <c r="EA4" t="s">
        <v>612</v>
      </c>
      <c r="EB4" t="s">
        <v>612</v>
      </c>
      <c r="EC4" t="s">
        <v>612</v>
      </c>
      <c r="ED4" t="s">
        <v>612</v>
      </c>
      <c r="EE4" t="s">
        <v>612</v>
      </c>
      <c r="EF4" t="s">
        <v>612</v>
      </c>
      <c r="EG4" t="s">
        <v>612</v>
      </c>
      <c r="EH4" t="s">
        <v>612</v>
      </c>
      <c r="EI4">
        <v>5</v>
      </c>
      <c r="EJ4" t="s">
        <v>647</v>
      </c>
      <c r="EK4" t="s">
        <v>648</v>
      </c>
      <c r="EL4">
        <v>0</v>
      </c>
      <c r="EM4">
        <v>0</v>
      </c>
      <c r="EN4">
        <v>0</v>
      </c>
      <c r="EO4">
        <v>-1</v>
      </c>
      <c r="EP4">
        <v>0</v>
      </c>
    </row>
    <row r="5" spans="1:148" x14ac:dyDescent="0.25">
      <c r="A5">
        <v>4</v>
      </c>
      <c r="B5" t="s">
        <v>606</v>
      </c>
      <c r="C5">
        <v>1</v>
      </c>
      <c r="D5">
        <v>73</v>
      </c>
      <c r="E5">
        <v>231926</v>
      </c>
      <c r="F5">
        <v>331168</v>
      </c>
      <c r="G5">
        <v>25</v>
      </c>
      <c r="H5" t="s">
        <v>607</v>
      </c>
      <c r="I5">
        <v>0</v>
      </c>
      <c r="J5" t="s">
        <v>608</v>
      </c>
      <c r="K5">
        <v>3</v>
      </c>
      <c r="L5" t="s">
        <v>609</v>
      </c>
      <c r="M5">
        <v>1</v>
      </c>
      <c r="N5" t="s">
        <v>676</v>
      </c>
      <c r="O5">
        <v>20</v>
      </c>
      <c r="P5" t="s">
        <v>649</v>
      </c>
      <c r="Q5" t="s">
        <v>612</v>
      </c>
      <c r="R5" t="s">
        <v>612</v>
      </c>
      <c r="S5">
        <v>1</v>
      </c>
      <c r="T5" t="s">
        <v>613</v>
      </c>
      <c r="U5">
        <v>1</v>
      </c>
      <c r="V5" t="s">
        <v>614</v>
      </c>
      <c r="W5">
        <v>1</v>
      </c>
      <c r="X5" t="s">
        <v>615</v>
      </c>
      <c r="Y5">
        <v>8</v>
      </c>
      <c r="Z5" t="s">
        <v>677</v>
      </c>
      <c r="AA5">
        <v>0</v>
      </c>
      <c r="AB5" t="s">
        <v>617</v>
      </c>
      <c r="AC5">
        <v>1</v>
      </c>
      <c r="AD5" t="s">
        <v>618</v>
      </c>
      <c r="AE5">
        <v>1</v>
      </c>
      <c r="AF5" t="s">
        <v>619</v>
      </c>
      <c r="AG5">
        <v>1</v>
      </c>
      <c r="AH5" t="s">
        <v>651</v>
      </c>
      <c r="AI5">
        <v>3</v>
      </c>
      <c r="AJ5" t="s">
        <v>621</v>
      </c>
      <c r="AK5">
        <v>1</v>
      </c>
      <c r="AL5" t="s">
        <v>622</v>
      </c>
      <c r="AM5">
        <v>7</v>
      </c>
      <c r="AN5" t="s">
        <v>652</v>
      </c>
      <c r="AO5">
        <v>2</v>
      </c>
      <c r="AP5" t="s">
        <v>624</v>
      </c>
      <c r="AQ5">
        <v>1</v>
      </c>
      <c r="AR5" t="s">
        <v>653</v>
      </c>
      <c r="AS5">
        <v>2</v>
      </c>
      <c r="AT5">
        <v>1</v>
      </c>
      <c r="AU5" s="91">
        <v>42213</v>
      </c>
      <c r="AV5" s="92">
        <v>45397.791666666664</v>
      </c>
      <c r="AW5" s="91">
        <v>42220</v>
      </c>
      <c r="AX5">
        <v>2</v>
      </c>
      <c r="AY5" t="s">
        <v>626</v>
      </c>
      <c r="AZ5" s="91">
        <v>42213</v>
      </c>
      <c r="BA5" s="92">
        <v>45397.802083333336</v>
      </c>
      <c r="BB5" t="s">
        <v>612</v>
      </c>
      <c r="BC5" t="s">
        <v>612</v>
      </c>
      <c r="BD5">
        <v>361</v>
      </c>
      <c r="BE5">
        <v>47.893613000000002</v>
      </c>
      <c r="BF5">
        <v>-100.27205499999999</v>
      </c>
      <c r="BG5">
        <v>1</v>
      </c>
      <c r="BH5">
        <v>52</v>
      </c>
      <c r="BI5" t="s">
        <v>612</v>
      </c>
      <c r="BJ5" t="s">
        <v>612</v>
      </c>
      <c r="BK5">
        <v>149.99</v>
      </c>
      <c r="BL5">
        <v>149.99</v>
      </c>
      <c r="BM5" t="s">
        <v>612</v>
      </c>
      <c r="BN5" t="s">
        <v>612</v>
      </c>
      <c r="BO5" t="s">
        <v>612</v>
      </c>
      <c r="BP5" t="s">
        <v>612</v>
      </c>
      <c r="BQ5" t="s">
        <v>612</v>
      </c>
      <c r="BR5" t="s">
        <v>612</v>
      </c>
      <c r="BS5" t="s">
        <v>612</v>
      </c>
      <c r="BT5" t="s">
        <v>612</v>
      </c>
      <c r="BU5" t="s">
        <v>612</v>
      </c>
      <c r="BV5" t="s">
        <v>612</v>
      </c>
      <c r="BW5" t="s">
        <v>612</v>
      </c>
      <c r="BX5">
        <v>0</v>
      </c>
      <c r="BY5" t="s">
        <v>627</v>
      </c>
      <c r="BZ5" t="s">
        <v>627</v>
      </c>
      <c r="CA5" t="s">
        <v>612</v>
      </c>
      <c r="CB5" t="s">
        <v>667</v>
      </c>
      <c r="CC5" t="s">
        <v>629</v>
      </c>
      <c r="CD5" t="s">
        <v>629</v>
      </c>
      <c r="CE5" t="s">
        <v>630</v>
      </c>
      <c r="CF5" t="s">
        <v>630</v>
      </c>
      <c r="CG5" t="s">
        <v>630</v>
      </c>
      <c r="CH5" t="s">
        <v>655</v>
      </c>
      <c r="CI5" t="s">
        <v>630</v>
      </c>
      <c r="CJ5" t="s">
        <v>678</v>
      </c>
      <c r="CK5" t="s">
        <v>632</v>
      </c>
      <c r="CL5" t="s">
        <v>679</v>
      </c>
      <c r="CM5" t="s">
        <v>634</v>
      </c>
      <c r="CN5" t="s">
        <v>608</v>
      </c>
      <c r="CO5" t="s">
        <v>680</v>
      </c>
      <c r="CP5" t="s">
        <v>658</v>
      </c>
      <c r="CQ5" t="s">
        <v>649</v>
      </c>
      <c r="CR5">
        <v>38</v>
      </c>
      <c r="CS5" t="s">
        <v>626</v>
      </c>
      <c r="CT5" t="s">
        <v>681</v>
      </c>
      <c r="CU5" t="s">
        <v>682</v>
      </c>
      <c r="CV5" t="s">
        <v>640</v>
      </c>
      <c r="CW5" t="s">
        <v>673</v>
      </c>
      <c r="CX5" t="s">
        <v>683</v>
      </c>
      <c r="CY5" t="s">
        <v>608</v>
      </c>
      <c r="CZ5" t="s">
        <v>629</v>
      </c>
      <c r="DA5">
        <v>65</v>
      </c>
      <c r="DB5" t="s">
        <v>608</v>
      </c>
      <c r="DC5" t="s">
        <v>612</v>
      </c>
      <c r="DD5" t="s">
        <v>612</v>
      </c>
      <c r="DE5" t="s">
        <v>612</v>
      </c>
      <c r="DF5" t="s">
        <v>612</v>
      </c>
      <c r="DG5" t="s">
        <v>612</v>
      </c>
      <c r="DH5" t="s">
        <v>612</v>
      </c>
      <c r="DI5" t="s">
        <v>612</v>
      </c>
      <c r="DJ5" t="s">
        <v>612</v>
      </c>
      <c r="DK5" t="s">
        <v>612</v>
      </c>
      <c r="DL5" t="s">
        <v>612</v>
      </c>
      <c r="DM5" t="s">
        <v>612</v>
      </c>
      <c r="DN5" t="s">
        <v>612</v>
      </c>
      <c r="DO5" t="s">
        <v>612</v>
      </c>
      <c r="DP5" t="s">
        <v>612</v>
      </c>
      <c r="DQ5" t="s">
        <v>612</v>
      </c>
      <c r="DR5" t="s">
        <v>612</v>
      </c>
      <c r="DS5" t="s">
        <v>612</v>
      </c>
      <c r="DT5" t="s">
        <v>612</v>
      </c>
      <c r="DU5" t="s">
        <v>612</v>
      </c>
      <c r="DV5" t="s">
        <v>612</v>
      </c>
      <c r="DW5" t="s">
        <v>612</v>
      </c>
      <c r="DX5" t="s">
        <v>612</v>
      </c>
      <c r="DY5" t="s">
        <v>612</v>
      </c>
      <c r="DZ5" t="s">
        <v>612</v>
      </c>
      <c r="EA5" t="s">
        <v>612</v>
      </c>
      <c r="EB5" t="s">
        <v>612</v>
      </c>
      <c r="EC5" t="s">
        <v>612</v>
      </c>
      <c r="ED5" t="s">
        <v>612</v>
      </c>
      <c r="EE5" t="s">
        <v>612</v>
      </c>
      <c r="EF5" t="s">
        <v>612</v>
      </c>
      <c r="EG5" t="s">
        <v>612</v>
      </c>
      <c r="EH5" t="s">
        <v>612</v>
      </c>
      <c r="EI5">
        <v>19</v>
      </c>
      <c r="EJ5" t="s">
        <v>684</v>
      </c>
      <c r="EK5" t="s">
        <v>648</v>
      </c>
      <c r="EL5">
        <v>0</v>
      </c>
      <c r="EM5">
        <v>0</v>
      </c>
      <c r="EN5">
        <v>0</v>
      </c>
      <c r="EO5">
        <v>-1</v>
      </c>
      <c r="EP5">
        <v>0</v>
      </c>
    </row>
    <row r="6" spans="1:148" x14ac:dyDescent="0.25">
      <c r="A6">
        <v>5</v>
      </c>
      <c r="B6" t="s">
        <v>606</v>
      </c>
      <c r="C6">
        <v>1</v>
      </c>
      <c r="D6">
        <v>81</v>
      </c>
      <c r="E6">
        <v>235751</v>
      </c>
      <c r="F6">
        <v>335008</v>
      </c>
      <c r="G6">
        <v>25</v>
      </c>
      <c r="H6" t="s">
        <v>607</v>
      </c>
      <c r="I6">
        <v>0</v>
      </c>
      <c r="J6" t="s">
        <v>608</v>
      </c>
      <c r="K6">
        <v>1</v>
      </c>
      <c r="L6" t="s">
        <v>662</v>
      </c>
      <c r="M6">
        <v>1</v>
      </c>
      <c r="N6" t="s">
        <v>676</v>
      </c>
      <c r="O6">
        <v>11</v>
      </c>
      <c r="P6" t="s">
        <v>685</v>
      </c>
      <c r="Q6" t="s">
        <v>612</v>
      </c>
      <c r="R6" t="s">
        <v>612</v>
      </c>
      <c r="S6">
        <v>1</v>
      </c>
      <c r="T6" t="s">
        <v>613</v>
      </c>
      <c r="U6">
        <v>1</v>
      </c>
      <c r="V6" t="s">
        <v>614</v>
      </c>
      <c r="W6">
        <v>1</v>
      </c>
      <c r="X6" t="s">
        <v>615</v>
      </c>
      <c r="Y6">
        <v>1</v>
      </c>
      <c r="Z6" t="s">
        <v>616</v>
      </c>
      <c r="AA6">
        <v>0</v>
      </c>
      <c r="AB6" t="s">
        <v>617</v>
      </c>
      <c r="AC6">
        <v>1</v>
      </c>
      <c r="AD6" t="s">
        <v>618</v>
      </c>
      <c r="AE6">
        <v>1</v>
      </c>
      <c r="AF6" t="s">
        <v>619</v>
      </c>
      <c r="AG6">
        <v>6</v>
      </c>
      <c r="AH6" t="s">
        <v>620</v>
      </c>
      <c r="AI6">
        <v>3</v>
      </c>
      <c r="AJ6" t="s">
        <v>621</v>
      </c>
      <c r="AK6">
        <v>1</v>
      </c>
      <c r="AL6" t="s">
        <v>622</v>
      </c>
      <c r="AM6">
        <v>7</v>
      </c>
      <c r="AN6" t="s">
        <v>652</v>
      </c>
      <c r="AO6">
        <v>2</v>
      </c>
      <c r="AP6" t="s">
        <v>624</v>
      </c>
      <c r="AQ6">
        <v>1</v>
      </c>
      <c r="AR6" t="s">
        <v>653</v>
      </c>
      <c r="AS6">
        <v>2</v>
      </c>
      <c r="AT6">
        <v>1</v>
      </c>
      <c r="AU6" s="91">
        <v>42296</v>
      </c>
      <c r="AV6" s="92">
        <v>45397.588888888888</v>
      </c>
      <c r="AW6" s="91">
        <v>42305</v>
      </c>
      <c r="AX6">
        <v>1</v>
      </c>
      <c r="AY6" t="s">
        <v>626</v>
      </c>
      <c r="AZ6" s="91">
        <v>42296</v>
      </c>
      <c r="BA6" s="92">
        <v>45397.602777777778</v>
      </c>
      <c r="BB6" t="s">
        <v>612</v>
      </c>
      <c r="BC6" t="s">
        <v>612</v>
      </c>
      <c r="BD6">
        <v>15007335</v>
      </c>
      <c r="BE6">
        <v>48.020614999999999</v>
      </c>
      <c r="BF6">
        <v>-100.865236</v>
      </c>
      <c r="BG6">
        <v>1</v>
      </c>
      <c r="BH6">
        <v>52</v>
      </c>
      <c r="BI6" t="s">
        <v>612</v>
      </c>
      <c r="BJ6" t="s">
        <v>612</v>
      </c>
      <c r="BK6">
        <v>3.0590000000000002</v>
      </c>
      <c r="BL6">
        <v>3.0590000000000002</v>
      </c>
      <c r="BM6" t="s">
        <v>612</v>
      </c>
      <c r="BN6" t="s">
        <v>612</v>
      </c>
      <c r="BO6" t="s">
        <v>612</v>
      </c>
      <c r="BP6" t="s">
        <v>612</v>
      </c>
      <c r="BQ6" t="s">
        <v>612</v>
      </c>
      <c r="BR6" t="s">
        <v>612</v>
      </c>
      <c r="BS6" t="s">
        <v>612</v>
      </c>
      <c r="BT6" t="s">
        <v>612</v>
      </c>
      <c r="BU6" t="s">
        <v>612</v>
      </c>
      <c r="BV6" t="s">
        <v>612</v>
      </c>
      <c r="BW6" t="s">
        <v>612</v>
      </c>
      <c r="BX6">
        <v>0</v>
      </c>
      <c r="BY6" t="s">
        <v>627</v>
      </c>
      <c r="BZ6" t="s">
        <v>627</v>
      </c>
      <c r="CA6" t="s">
        <v>612</v>
      </c>
      <c r="CB6" t="s">
        <v>686</v>
      </c>
      <c r="CC6" t="s">
        <v>629</v>
      </c>
      <c r="CD6" t="s">
        <v>629</v>
      </c>
      <c r="CE6" t="s">
        <v>630</v>
      </c>
      <c r="CF6" t="s">
        <v>630</v>
      </c>
      <c r="CG6" t="s">
        <v>630</v>
      </c>
      <c r="CH6" t="s">
        <v>630</v>
      </c>
      <c r="CI6" t="s">
        <v>630</v>
      </c>
      <c r="CJ6" t="s">
        <v>687</v>
      </c>
      <c r="CK6" t="s">
        <v>632</v>
      </c>
      <c r="CL6" t="s">
        <v>669</v>
      </c>
      <c r="CM6" t="s">
        <v>612</v>
      </c>
      <c r="CN6" t="s">
        <v>635</v>
      </c>
      <c r="CO6" t="s">
        <v>680</v>
      </c>
      <c r="CP6" t="s">
        <v>658</v>
      </c>
      <c r="CQ6" t="s">
        <v>688</v>
      </c>
      <c r="CR6" t="s">
        <v>612</v>
      </c>
      <c r="CS6" t="s">
        <v>612</v>
      </c>
      <c r="CT6" t="s">
        <v>612</v>
      </c>
      <c r="CU6" t="s">
        <v>612</v>
      </c>
      <c r="CV6" t="s">
        <v>612</v>
      </c>
      <c r="CW6" t="s">
        <v>612</v>
      </c>
      <c r="CX6" t="s">
        <v>689</v>
      </c>
      <c r="CY6" t="s">
        <v>608</v>
      </c>
      <c r="CZ6" t="s">
        <v>612</v>
      </c>
      <c r="DA6" t="s">
        <v>612</v>
      </c>
      <c r="DB6" t="s">
        <v>608</v>
      </c>
      <c r="DC6" t="s">
        <v>678</v>
      </c>
      <c r="DD6" t="s">
        <v>636</v>
      </c>
      <c r="DE6" t="s">
        <v>635</v>
      </c>
      <c r="DF6" t="s">
        <v>658</v>
      </c>
      <c r="DG6" t="s">
        <v>685</v>
      </c>
      <c r="DH6">
        <v>54</v>
      </c>
      <c r="DI6" t="s">
        <v>626</v>
      </c>
      <c r="DJ6" t="s">
        <v>690</v>
      </c>
      <c r="DK6" t="s">
        <v>639</v>
      </c>
      <c r="DL6" t="s">
        <v>640</v>
      </c>
      <c r="DM6" t="s">
        <v>673</v>
      </c>
      <c r="DN6" t="s">
        <v>642</v>
      </c>
      <c r="DO6" t="s">
        <v>608</v>
      </c>
      <c r="DP6" t="s">
        <v>643</v>
      </c>
      <c r="DQ6">
        <v>65</v>
      </c>
      <c r="DR6" t="s">
        <v>608</v>
      </c>
      <c r="DS6" t="s">
        <v>612</v>
      </c>
      <c r="DT6" t="s">
        <v>612</v>
      </c>
      <c r="DU6" t="s">
        <v>612</v>
      </c>
      <c r="DV6" t="s">
        <v>612</v>
      </c>
      <c r="DW6" t="s">
        <v>612</v>
      </c>
      <c r="DX6" t="s">
        <v>612</v>
      </c>
      <c r="DY6" t="s">
        <v>612</v>
      </c>
      <c r="DZ6" t="s">
        <v>612</v>
      </c>
      <c r="EA6" t="s">
        <v>612</v>
      </c>
      <c r="EB6" t="s">
        <v>612</v>
      </c>
      <c r="EC6" t="s">
        <v>612</v>
      </c>
      <c r="ED6" t="s">
        <v>612</v>
      </c>
      <c r="EE6" t="s">
        <v>612</v>
      </c>
      <c r="EF6" t="s">
        <v>612</v>
      </c>
      <c r="EG6" t="s">
        <v>612</v>
      </c>
      <c r="EH6" t="s">
        <v>612</v>
      </c>
      <c r="EI6">
        <v>14</v>
      </c>
      <c r="EJ6" t="s">
        <v>647</v>
      </c>
      <c r="EK6" t="s">
        <v>648</v>
      </c>
      <c r="EL6">
        <v>0</v>
      </c>
      <c r="EM6">
        <v>0</v>
      </c>
      <c r="EN6">
        <v>0</v>
      </c>
      <c r="EO6">
        <v>-1</v>
      </c>
      <c r="EP6">
        <v>0</v>
      </c>
    </row>
    <row r="7" spans="1:148" x14ac:dyDescent="0.25">
      <c r="A7">
        <v>6</v>
      </c>
      <c r="B7" t="s">
        <v>606</v>
      </c>
      <c r="C7">
        <v>1</v>
      </c>
      <c r="D7">
        <v>167</v>
      </c>
      <c r="E7">
        <v>274692</v>
      </c>
      <c r="F7">
        <v>1038803</v>
      </c>
      <c r="G7">
        <v>25</v>
      </c>
      <c r="H7" t="s">
        <v>607</v>
      </c>
      <c r="I7">
        <v>0</v>
      </c>
      <c r="J7" t="s">
        <v>608</v>
      </c>
      <c r="K7">
        <v>3</v>
      </c>
      <c r="L7" t="s">
        <v>609</v>
      </c>
      <c r="M7">
        <v>1</v>
      </c>
      <c r="N7" t="s">
        <v>676</v>
      </c>
      <c r="O7">
        <v>20</v>
      </c>
      <c r="P7" t="s">
        <v>649</v>
      </c>
      <c r="Q7" t="s">
        <v>612</v>
      </c>
      <c r="R7" t="s">
        <v>612</v>
      </c>
      <c r="S7">
        <v>1</v>
      </c>
      <c r="T7" t="s">
        <v>613</v>
      </c>
      <c r="U7">
        <v>1</v>
      </c>
      <c r="V7" t="s">
        <v>614</v>
      </c>
      <c r="W7">
        <v>1</v>
      </c>
      <c r="X7" t="s">
        <v>615</v>
      </c>
      <c r="Y7">
        <v>1</v>
      </c>
      <c r="Z7" t="s">
        <v>616</v>
      </c>
      <c r="AA7">
        <v>5</v>
      </c>
      <c r="AB7" t="s">
        <v>691</v>
      </c>
      <c r="AC7">
        <v>1</v>
      </c>
      <c r="AD7" t="s">
        <v>618</v>
      </c>
      <c r="AE7">
        <v>1</v>
      </c>
      <c r="AF7" t="s">
        <v>619</v>
      </c>
      <c r="AG7">
        <v>6</v>
      </c>
      <c r="AH7" t="s">
        <v>620</v>
      </c>
      <c r="AI7">
        <v>3</v>
      </c>
      <c r="AJ7" t="s">
        <v>621</v>
      </c>
      <c r="AK7">
        <v>1</v>
      </c>
      <c r="AL7" t="s">
        <v>622</v>
      </c>
      <c r="AM7">
        <v>7</v>
      </c>
      <c r="AN7" t="s">
        <v>652</v>
      </c>
      <c r="AO7">
        <v>2</v>
      </c>
      <c r="AP7" t="s">
        <v>624</v>
      </c>
      <c r="AQ7">
        <v>1</v>
      </c>
      <c r="AR7" t="s">
        <v>653</v>
      </c>
      <c r="AS7">
        <v>2</v>
      </c>
      <c r="AT7">
        <v>1</v>
      </c>
      <c r="AU7" s="91">
        <v>42969</v>
      </c>
      <c r="AV7" s="91">
        <v>45397</v>
      </c>
      <c r="AW7" s="91">
        <v>42971</v>
      </c>
      <c r="AX7">
        <v>2</v>
      </c>
      <c r="AY7" t="s">
        <v>626</v>
      </c>
      <c r="AZ7" s="91">
        <v>42969</v>
      </c>
      <c r="BA7" s="92">
        <v>45397.53125</v>
      </c>
      <c r="BB7" t="s">
        <v>612</v>
      </c>
      <c r="BC7" t="s">
        <v>612</v>
      </c>
      <c r="BD7">
        <v>88</v>
      </c>
      <c r="BE7">
        <v>47.919939999999997</v>
      </c>
      <c r="BF7">
        <v>-100.40289900000001</v>
      </c>
      <c r="BG7">
        <v>1</v>
      </c>
      <c r="BH7">
        <v>52</v>
      </c>
      <c r="BI7" t="s">
        <v>612</v>
      </c>
      <c r="BJ7" t="s">
        <v>612</v>
      </c>
      <c r="BK7">
        <v>143.38999999999999</v>
      </c>
      <c r="BL7">
        <v>143.38999999999999</v>
      </c>
      <c r="BM7" t="s">
        <v>612</v>
      </c>
      <c r="BN7" t="s">
        <v>612</v>
      </c>
      <c r="BO7" t="s">
        <v>612</v>
      </c>
      <c r="BP7" t="s">
        <v>612</v>
      </c>
      <c r="BQ7" t="s">
        <v>612</v>
      </c>
      <c r="BR7" t="s">
        <v>612</v>
      </c>
      <c r="BS7" t="s">
        <v>612</v>
      </c>
      <c r="BT7" t="s">
        <v>612</v>
      </c>
      <c r="BU7" t="s">
        <v>612</v>
      </c>
      <c r="BV7" t="s">
        <v>612</v>
      </c>
      <c r="BW7" t="s">
        <v>612</v>
      </c>
      <c r="BX7">
        <v>0</v>
      </c>
      <c r="BY7" t="s">
        <v>627</v>
      </c>
      <c r="BZ7" t="s">
        <v>627</v>
      </c>
      <c r="CA7" t="s">
        <v>612</v>
      </c>
      <c r="CB7" t="s">
        <v>667</v>
      </c>
      <c r="CC7" t="s">
        <v>629</v>
      </c>
      <c r="CD7" t="s">
        <v>629</v>
      </c>
      <c r="CE7" t="s">
        <v>630</v>
      </c>
      <c r="CF7" t="s">
        <v>630</v>
      </c>
      <c r="CG7" t="s">
        <v>630</v>
      </c>
      <c r="CH7" t="s">
        <v>655</v>
      </c>
      <c r="CI7" t="s">
        <v>630</v>
      </c>
      <c r="CJ7" t="s">
        <v>656</v>
      </c>
      <c r="CK7" t="s">
        <v>632</v>
      </c>
      <c r="CL7" t="s">
        <v>679</v>
      </c>
      <c r="CM7" t="s">
        <v>634</v>
      </c>
      <c r="CN7" t="s">
        <v>635</v>
      </c>
      <c r="CO7" t="s">
        <v>636</v>
      </c>
      <c r="CP7" t="s">
        <v>692</v>
      </c>
      <c r="CQ7" t="s">
        <v>693</v>
      </c>
      <c r="CR7">
        <v>54</v>
      </c>
      <c r="CS7" t="s">
        <v>626</v>
      </c>
      <c r="CT7" t="s">
        <v>694</v>
      </c>
      <c r="CU7" t="s">
        <v>695</v>
      </c>
      <c r="CV7" t="s">
        <v>640</v>
      </c>
      <c r="CW7" t="s">
        <v>673</v>
      </c>
      <c r="CX7" t="s">
        <v>696</v>
      </c>
      <c r="CY7" t="s">
        <v>608</v>
      </c>
      <c r="CZ7" t="s">
        <v>643</v>
      </c>
      <c r="DA7">
        <v>65</v>
      </c>
      <c r="DB7" t="s">
        <v>608</v>
      </c>
      <c r="DC7" t="s">
        <v>612</v>
      </c>
      <c r="DD7" t="s">
        <v>612</v>
      </c>
      <c r="DE7" t="s">
        <v>612</v>
      </c>
      <c r="DF7" t="s">
        <v>612</v>
      </c>
      <c r="DG7" t="s">
        <v>612</v>
      </c>
      <c r="DH7" t="s">
        <v>612</v>
      </c>
      <c r="DI7" t="s">
        <v>612</v>
      </c>
      <c r="DJ7" t="s">
        <v>612</v>
      </c>
      <c r="DK7" t="s">
        <v>612</v>
      </c>
      <c r="DL7" t="s">
        <v>612</v>
      </c>
      <c r="DM7" t="s">
        <v>612</v>
      </c>
      <c r="DN7" t="s">
        <v>612</v>
      </c>
      <c r="DO7" t="s">
        <v>612</v>
      </c>
      <c r="DP7" t="s">
        <v>612</v>
      </c>
      <c r="DQ7" t="s">
        <v>612</v>
      </c>
      <c r="DR7" t="s">
        <v>612</v>
      </c>
      <c r="DS7" t="s">
        <v>612</v>
      </c>
      <c r="DT7" t="s">
        <v>612</v>
      </c>
      <c r="DU7" t="s">
        <v>612</v>
      </c>
      <c r="DV7" t="s">
        <v>612</v>
      </c>
      <c r="DW7" t="s">
        <v>612</v>
      </c>
      <c r="DX7" t="s">
        <v>612</v>
      </c>
      <c r="DY7" t="s">
        <v>612</v>
      </c>
      <c r="DZ7" t="s">
        <v>612</v>
      </c>
      <c r="EA7" t="s">
        <v>612</v>
      </c>
      <c r="EB7" t="s">
        <v>612</v>
      </c>
      <c r="EC7" t="s">
        <v>612</v>
      </c>
      <c r="ED7" t="s">
        <v>612</v>
      </c>
      <c r="EE7" t="s">
        <v>612</v>
      </c>
      <c r="EF7" t="s">
        <v>612</v>
      </c>
      <c r="EG7" t="s">
        <v>612</v>
      </c>
      <c r="EH7" t="s">
        <v>612</v>
      </c>
      <c r="EI7">
        <v>12</v>
      </c>
      <c r="EJ7" t="s">
        <v>661</v>
      </c>
      <c r="EK7" t="s">
        <v>648</v>
      </c>
      <c r="EL7">
        <v>0</v>
      </c>
      <c r="EM7">
        <v>0</v>
      </c>
      <c r="EN7">
        <v>0</v>
      </c>
      <c r="EO7">
        <v>-1</v>
      </c>
      <c r="EP7">
        <v>0</v>
      </c>
    </row>
    <row r="8" spans="1:148" x14ac:dyDescent="0.25">
      <c r="A8">
        <v>7</v>
      </c>
      <c r="B8" t="s">
        <v>606</v>
      </c>
      <c r="C8">
        <v>1</v>
      </c>
      <c r="D8">
        <v>238</v>
      </c>
      <c r="E8">
        <v>321987</v>
      </c>
      <c r="F8">
        <v>1089254</v>
      </c>
      <c r="G8">
        <v>25</v>
      </c>
      <c r="H8" t="s">
        <v>607</v>
      </c>
      <c r="I8">
        <v>0</v>
      </c>
      <c r="J8" t="s">
        <v>608</v>
      </c>
      <c r="K8">
        <v>3</v>
      </c>
      <c r="L8" t="s">
        <v>609</v>
      </c>
      <c r="M8">
        <v>5</v>
      </c>
      <c r="N8" t="s">
        <v>610</v>
      </c>
      <c r="O8">
        <v>41</v>
      </c>
      <c r="P8" t="s">
        <v>697</v>
      </c>
      <c r="Q8" t="s">
        <v>612</v>
      </c>
      <c r="R8" t="s">
        <v>612</v>
      </c>
      <c r="S8">
        <v>1</v>
      </c>
      <c r="T8" t="s">
        <v>613</v>
      </c>
      <c r="U8">
        <v>1</v>
      </c>
      <c r="V8" t="s">
        <v>614</v>
      </c>
      <c r="W8">
        <v>1</v>
      </c>
      <c r="X8" t="s">
        <v>615</v>
      </c>
      <c r="Y8">
        <v>6</v>
      </c>
      <c r="Z8" t="s">
        <v>698</v>
      </c>
      <c r="AA8">
        <v>5</v>
      </c>
      <c r="AB8" t="s">
        <v>691</v>
      </c>
      <c r="AC8">
        <v>1</v>
      </c>
      <c r="AD8" t="s">
        <v>618</v>
      </c>
      <c r="AE8">
        <v>6</v>
      </c>
      <c r="AF8" t="s">
        <v>665</v>
      </c>
      <c r="AG8">
        <v>6</v>
      </c>
      <c r="AH8" t="s">
        <v>620</v>
      </c>
      <c r="AI8">
        <v>3</v>
      </c>
      <c r="AJ8" t="s">
        <v>621</v>
      </c>
      <c r="AK8">
        <v>1</v>
      </c>
      <c r="AL8" t="s">
        <v>622</v>
      </c>
      <c r="AM8">
        <v>7</v>
      </c>
      <c r="AN8" t="s">
        <v>652</v>
      </c>
      <c r="AO8">
        <v>2</v>
      </c>
      <c r="AP8" t="s">
        <v>624</v>
      </c>
      <c r="AQ8">
        <v>3</v>
      </c>
      <c r="AR8" t="s">
        <v>666</v>
      </c>
      <c r="AS8">
        <v>0</v>
      </c>
      <c r="AT8">
        <v>1</v>
      </c>
      <c r="AU8" s="91">
        <v>43831</v>
      </c>
      <c r="AV8" s="92">
        <v>45397.1875</v>
      </c>
      <c r="AW8" s="91">
        <v>43833</v>
      </c>
      <c r="AX8">
        <v>2</v>
      </c>
      <c r="AY8" t="s">
        <v>626</v>
      </c>
      <c r="AZ8" s="91">
        <v>43831</v>
      </c>
      <c r="BA8" s="92">
        <v>45397.190972222219</v>
      </c>
      <c r="BB8" t="s">
        <v>612</v>
      </c>
      <c r="BC8" t="s">
        <v>612</v>
      </c>
      <c r="BD8">
        <v>1</v>
      </c>
      <c r="BE8">
        <v>48.021014000000001</v>
      </c>
      <c r="BF8">
        <v>-100.868315</v>
      </c>
      <c r="BG8" t="s">
        <v>612</v>
      </c>
      <c r="BH8" t="s">
        <v>612</v>
      </c>
      <c r="BI8" t="s">
        <v>612</v>
      </c>
      <c r="BJ8" t="s">
        <v>612</v>
      </c>
      <c r="BK8" t="s">
        <v>612</v>
      </c>
      <c r="BL8" t="s">
        <v>612</v>
      </c>
      <c r="BM8">
        <v>152</v>
      </c>
      <c r="BN8">
        <v>80</v>
      </c>
      <c r="BO8" t="s">
        <v>612</v>
      </c>
      <c r="BP8" t="s">
        <v>612</v>
      </c>
      <c r="BQ8" t="s">
        <v>612</v>
      </c>
      <c r="BR8" t="s">
        <v>699</v>
      </c>
      <c r="BS8" t="s">
        <v>700</v>
      </c>
      <c r="BT8">
        <v>0</v>
      </c>
      <c r="BU8">
        <v>0</v>
      </c>
      <c r="BV8" t="s">
        <v>612</v>
      </c>
      <c r="BW8" t="s">
        <v>612</v>
      </c>
      <c r="BX8">
        <v>0</v>
      </c>
      <c r="BY8" t="s">
        <v>627</v>
      </c>
      <c r="BZ8" t="s">
        <v>627</v>
      </c>
      <c r="CA8" t="s">
        <v>612</v>
      </c>
      <c r="CB8" t="s">
        <v>701</v>
      </c>
      <c r="CC8" t="s">
        <v>629</v>
      </c>
      <c r="CD8" t="s">
        <v>629</v>
      </c>
      <c r="CE8" t="s">
        <v>630</v>
      </c>
      <c r="CF8" t="s">
        <v>630</v>
      </c>
      <c r="CG8" t="s">
        <v>630</v>
      </c>
      <c r="CH8" t="s">
        <v>655</v>
      </c>
      <c r="CI8" t="s">
        <v>630</v>
      </c>
      <c r="CJ8" t="s">
        <v>631</v>
      </c>
      <c r="CK8" t="s">
        <v>632</v>
      </c>
      <c r="CL8" t="s">
        <v>679</v>
      </c>
      <c r="CM8" t="s">
        <v>612</v>
      </c>
      <c r="CN8" t="s">
        <v>608</v>
      </c>
      <c r="CO8" t="s">
        <v>680</v>
      </c>
      <c r="CP8" t="s">
        <v>658</v>
      </c>
      <c r="CQ8" t="s">
        <v>611</v>
      </c>
      <c r="CR8">
        <v>46</v>
      </c>
      <c r="CS8" t="s">
        <v>626</v>
      </c>
      <c r="CT8" t="s">
        <v>702</v>
      </c>
      <c r="CU8" t="s">
        <v>703</v>
      </c>
      <c r="CV8" t="s">
        <v>640</v>
      </c>
      <c r="CW8" t="s">
        <v>673</v>
      </c>
      <c r="CX8" t="s">
        <v>689</v>
      </c>
      <c r="CY8" t="s">
        <v>608</v>
      </c>
      <c r="CZ8" t="s">
        <v>643</v>
      </c>
      <c r="DA8">
        <v>65</v>
      </c>
      <c r="DB8" t="s">
        <v>608</v>
      </c>
      <c r="DC8" t="s">
        <v>612</v>
      </c>
      <c r="DD8" t="s">
        <v>612</v>
      </c>
      <c r="DE8" t="s">
        <v>612</v>
      </c>
      <c r="DF8" t="s">
        <v>612</v>
      </c>
      <c r="DG8" t="s">
        <v>612</v>
      </c>
      <c r="DH8" t="s">
        <v>612</v>
      </c>
      <c r="DI8" t="s">
        <v>612</v>
      </c>
      <c r="DJ8" t="s">
        <v>612</v>
      </c>
      <c r="DK8" t="s">
        <v>612</v>
      </c>
      <c r="DL8" t="s">
        <v>612</v>
      </c>
      <c r="DM8" t="s">
        <v>612</v>
      </c>
      <c r="DN8" t="s">
        <v>612</v>
      </c>
      <c r="DO8" t="s">
        <v>612</v>
      </c>
      <c r="DP8" t="s">
        <v>612</v>
      </c>
      <c r="DQ8" t="s">
        <v>612</v>
      </c>
      <c r="DR8" t="s">
        <v>612</v>
      </c>
      <c r="DS8" t="s">
        <v>612</v>
      </c>
      <c r="DT8" t="s">
        <v>612</v>
      </c>
      <c r="DU8" t="s">
        <v>612</v>
      </c>
      <c r="DV8" t="s">
        <v>612</v>
      </c>
      <c r="DW8" t="s">
        <v>612</v>
      </c>
      <c r="DX8" t="s">
        <v>612</v>
      </c>
      <c r="DY8" t="s">
        <v>612</v>
      </c>
      <c r="DZ8" t="s">
        <v>612</v>
      </c>
      <c r="EA8" t="s">
        <v>612</v>
      </c>
      <c r="EB8" t="s">
        <v>612</v>
      </c>
      <c r="EC8" t="s">
        <v>612</v>
      </c>
      <c r="ED8" t="s">
        <v>612</v>
      </c>
      <c r="EE8" t="s">
        <v>612</v>
      </c>
      <c r="EF8" t="s">
        <v>612</v>
      </c>
      <c r="EG8" t="s">
        <v>612</v>
      </c>
      <c r="EH8" t="s">
        <v>612</v>
      </c>
      <c r="EI8">
        <v>4</v>
      </c>
      <c r="EJ8" t="s">
        <v>647</v>
      </c>
      <c r="EK8" t="s">
        <v>648</v>
      </c>
      <c r="EL8">
        <v>0</v>
      </c>
      <c r="EM8">
        <v>0</v>
      </c>
      <c r="EN8">
        <v>0</v>
      </c>
      <c r="EO8">
        <v>-1</v>
      </c>
      <c r="EP8">
        <v>0</v>
      </c>
    </row>
    <row r="9" spans="1:148" x14ac:dyDescent="0.25">
      <c r="A9">
        <v>8</v>
      </c>
      <c r="B9" t="s">
        <v>606</v>
      </c>
      <c r="C9">
        <v>1</v>
      </c>
      <c r="D9">
        <v>310</v>
      </c>
      <c r="E9">
        <v>350973</v>
      </c>
      <c r="F9">
        <v>1120788</v>
      </c>
      <c r="G9">
        <v>25</v>
      </c>
      <c r="H9" t="s">
        <v>607</v>
      </c>
      <c r="I9">
        <v>0</v>
      </c>
      <c r="J9" t="s">
        <v>608</v>
      </c>
      <c r="K9">
        <v>1</v>
      </c>
      <c r="L9" t="s">
        <v>662</v>
      </c>
      <c r="M9">
        <v>4</v>
      </c>
      <c r="N9" t="s">
        <v>704</v>
      </c>
      <c r="O9">
        <v>5</v>
      </c>
      <c r="P9" t="s">
        <v>705</v>
      </c>
      <c r="Q9" t="s">
        <v>612</v>
      </c>
      <c r="R9" t="s">
        <v>612</v>
      </c>
      <c r="S9">
        <v>1</v>
      </c>
      <c r="T9" t="s">
        <v>613</v>
      </c>
      <c r="U9">
        <v>1</v>
      </c>
      <c r="V9" t="s">
        <v>614</v>
      </c>
      <c r="W9">
        <v>1</v>
      </c>
      <c r="X9" t="s">
        <v>615</v>
      </c>
      <c r="Y9">
        <v>2</v>
      </c>
      <c r="Z9" t="s">
        <v>664</v>
      </c>
      <c r="AA9">
        <v>0</v>
      </c>
      <c r="AB9" t="s">
        <v>617</v>
      </c>
      <c r="AC9">
        <v>1</v>
      </c>
      <c r="AD9" t="s">
        <v>618</v>
      </c>
      <c r="AE9">
        <v>6</v>
      </c>
      <c r="AF9" t="s">
        <v>665</v>
      </c>
      <c r="AG9">
        <v>6</v>
      </c>
      <c r="AH9" t="s">
        <v>620</v>
      </c>
      <c r="AI9">
        <v>4</v>
      </c>
      <c r="AJ9" t="s">
        <v>706</v>
      </c>
      <c r="AK9">
        <v>1</v>
      </c>
      <c r="AL9" t="s">
        <v>622</v>
      </c>
      <c r="AM9">
        <v>7</v>
      </c>
      <c r="AN9" t="s">
        <v>652</v>
      </c>
      <c r="AO9">
        <v>2</v>
      </c>
      <c r="AP9" t="s">
        <v>624</v>
      </c>
      <c r="AQ9">
        <v>1</v>
      </c>
      <c r="AR9" t="s">
        <v>653</v>
      </c>
      <c r="AS9">
        <v>2</v>
      </c>
      <c r="AT9">
        <v>1</v>
      </c>
      <c r="AU9" s="91">
        <v>44625</v>
      </c>
      <c r="AV9" s="92">
        <v>45397.152083333334</v>
      </c>
      <c r="AW9" s="91">
        <v>44636</v>
      </c>
      <c r="AX9">
        <v>2</v>
      </c>
      <c r="AY9" t="s">
        <v>626</v>
      </c>
      <c r="AZ9" s="91">
        <v>44625</v>
      </c>
      <c r="BA9" s="92">
        <v>45397.15625</v>
      </c>
      <c r="BB9" t="s">
        <v>612</v>
      </c>
      <c r="BC9">
        <v>126</v>
      </c>
      <c r="BD9">
        <v>22001504</v>
      </c>
      <c r="BE9">
        <v>48.020764</v>
      </c>
      <c r="BF9">
        <v>-100.86669500000001</v>
      </c>
      <c r="BG9">
        <v>1</v>
      </c>
      <c r="BH9">
        <v>52</v>
      </c>
      <c r="BI9" t="s">
        <v>612</v>
      </c>
      <c r="BJ9" t="s">
        <v>612</v>
      </c>
      <c r="BK9">
        <v>120.66</v>
      </c>
      <c r="BL9">
        <v>120.66</v>
      </c>
      <c r="BM9" t="s">
        <v>612</v>
      </c>
      <c r="BN9" t="s">
        <v>612</v>
      </c>
      <c r="BO9" t="s">
        <v>612</v>
      </c>
      <c r="BP9" t="s">
        <v>612</v>
      </c>
      <c r="BQ9" t="s">
        <v>612</v>
      </c>
      <c r="BR9" t="s">
        <v>612</v>
      </c>
      <c r="BS9" t="s">
        <v>612</v>
      </c>
      <c r="BT9" t="s">
        <v>612</v>
      </c>
      <c r="BU9" t="s">
        <v>612</v>
      </c>
      <c r="BV9" t="s">
        <v>612</v>
      </c>
      <c r="BW9" t="s">
        <v>612</v>
      </c>
      <c r="BX9">
        <v>0</v>
      </c>
      <c r="BY9" t="s">
        <v>627</v>
      </c>
      <c r="BZ9" t="s">
        <v>627</v>
      </c>
      <c r="CA9" t="s">
        <v>612</v>
      </c>
      <c r="CB9" t="s">
        <v>654</v>
      </c>
      <c r="CC9" t="s">
        <v>629</v>
      </c>
      <c r="CD9" t="s">
        <v>629</v>
      </c>
      <c r="CE9" t="s">
        <v>630</v>
      </c>
      <c r="CF9" t="s">
        <v>630</v>
      </c>
      <c r="CG9" t="s">
        <v>655</v>
      </c>
      <c r="CH9" t="s">
        <v>630</v>
      </c>
      <c r="CI9" t="s">
        <v>655</v>
      </c>
      <c r="CJ9" t="s">
        <v>678</v>
      </c>
      <c r="CK9" t="s">
        <v>632</v>
      </c>
      <c r="CL9" t="s">
        <v>669</v>
      </c>
      <c r="CM9" t="s">
        <v>612</v>
      </c>
      <c r="CN9" t="s">
        <v>635</v>
      </c>
      <c r="CO9" t="s">
        <v>636</v>
      </c>
      <c r="CP9" t="s">
        <v>658</v>
      </c>
      <c r="CQ9" t="s">
        <v>705</v>
      </c>
      <c r="CR9">
        <v>60</v>
      </c>
      <c r="CS9" t="s">
        <v>626</v>
      </c>
      <c r="CT9" t="s">
        <v>707</v>
      </c>
      <c r="CU9" t="s">
        <v>639</v>
      </c>
      <c r="CV9" t="s">
        <v>708</v>
      </c>
      <c r="CW9" t="s">
        <v>659</v>
      </c>
      <c r="CX9" t="s">
        <v>709</v>
      </c>
      <c r="CY9" t="s">
        <v>710</v>
      </c>
      <c r="CZ9" t="s">
        <v>643</v>
      </c>
      <c r="DA9">
        <v>65</v>
      </c>
      <c r="DB9" t="s">
        <v>608</v>
      </c>
      <c r="DC9" t="s">
        <v>612</v>
      </c>
      <c r="DD9" t="s">
        <v>612</v>
      </c>
      <c r="DE9" t="s">
        <v>612</v>
      </c>
      <c r="DF9" t="s">
        <v>612</v>
      </c>
      <c r="DG9" t="s">
        <v>612</v>
      </c>
      <c r="DH9" t="s">
        <v>612</v>
      </c>
      <c r="DI9" t="s">
        <v>612</v>
      </c>
      <c r="DJ9" t="s">
        <v>612</v>
      </c>
      <c r="DK9" t="s">
        <v>612</v>
      </c>
      <c r="DL9" t="s">
        <v>612</v>
      </c>
      <c r="DM9" t="s">
        <v>612</v>
      </c>
      <c r="DN9" t="s">
        <v>612</v>
      </c>
      <c r="DO9" t="s">
        <v>612</v>
      </c>
      <c r="DP9" t="s">
        <v>612</v>
      </c>
      <c r="DQ9" t="s">
        <v>612</v>
      </c>
      <c r="DR9" t="s">
        <v>612</v>
      </c>
      <c r="DS9" t="s">
        <v>612</v>
      </c>
      <c r="DT9" t="s">
        <v>612</v>
      </c>
      <c r="DU9" t="s">
        <v>612</v>
      </c>
      <c r="DV9" t="s">
        <v>612</v>
      </c>
      <c r="DW9" t="s">
        <v>612</v>
      </c>
      <c r="DX9" t="s">
        <v>612</v>
      </c>
      <c r="DY9" t="s">
        <v>612</v>
      </c>
      <c r="DZ9" t="s">
        <v>612</v>
      </c>
      <c r="EA9" t="s">
        <v>612</v>
      </c>
      <c r="EB9" t="s">
        <v>612</v>
      </c>
      <c r="EC9" t="s">
        <v>612</v>
      </c>
      <c r="ED9" t="s">
        <v>612</v>
      </c>
      <c r="EE9" t="s">
        <v>612</v>
      </c>
      <c r="EF9" t="s">
        <v>612</v>
      </c>
      <c r="EG9" t="s">
        <v>612</v>
      </c>
      <c r="EH9" t="s">
        <v>612</v>
      </c>
      <c r="EI9">
        <v>3</v>
      </c>
      <c r="EJ9" t="s">
        <v>647</v>
      </c>
      <c r="EK9" t="s">
        <v>648</v>
      </c>
      <c r="EL9">
        <v>0</v>
      </c>
      <c r="EM9">
        <v>0</v>
      </c>
      <c r="EN9">
        <v>0</v>
      </c>
      <c r="EO9">
        <v>-1</v>
      </c>
      <c r="EP9">
        <v>0</v>
      </c>
    </row>
    <row r="10" spans="1:148" x14ac:dyDescent="0.25">
      <c r="A10">
        <v>9</v>
      </c>
      <c r="B10" t="s">
        <v>606</v>
      </c>
      <c r="C10">
        <v>1</v>
      </c>
      <c r="D10">
        <v>357</v>
      </c>
      <c r="E10">
        <v>364293</v>
      </c>
      <c r="F10">
        <v>1135175</v>
      </c>
      <c r="G10">
        <v>25</v>
      </c>
      <c r="H10" t="s">
        <v>607</v>
      </c>
      <c r="I10">
        <v>0</v>
      </c>
      <c r="J10" t="s">
        <v>608</v>
      </c>
      <c r="K10">
        <v>3</v>
      </c>
      <c r="L10" t="s">
        <v>609</v>
      </c>
      <c r="M10">
        <v>0</v>
      </c>
      <c r="N10" t="s">
        <v>711</v>
      </c>
      <c r="O10">
        <v>52</v>
      </c>
      <c r="P10" t="s">
        <v>712</v>
      </c>
      <c r="Q10" t="s">
        <v>612</v>
      </c>
      <c r="R10" t="s">
        <v>612</v>
      </c>
      <c r="S10">
        <v>1</v>
      </c>
      <c r="T10" t="s">
        <v>613</v>
      </c>
      <c r="U10">
        <v>1</v>
      </c>
      <c r="V10" t="s">
        <v>614</v>
      </c>
      <c r="W10">
        <v>1</v>
      </c>
      <c r="X10" t="s">
        <v>615</v>
      </c>
      <c r="Y10">
        <v>1</v>
      </c>
      <c r="Z10" t="s">
        <v>616</v>
      </c>
      <c r="AA10">
        <v>0</v>
      </c>
      <c r="AB10" t="s">
        <v>617</v>
      </c>
      <c r="AC10">
        <v>1</v>
      </c>
      <c r="AD10" t="s">
        <v>618</v>
      </c>
      <c r="AE10">
        <v>1</v>
      </c>
      <c r="AF10" t="s">
        <v>619</v>
      </c>
      <c r="AG10">
        <v>6</v>
      </c>
      <c r="AH10" t="s">
        <v>620</v>
      </c>
      <c r="AI10">
        <v>3</v>
      </c>
      <c r="AJ10" t="s">
        <v>621</v>
      </c>
      <c r="AK10">
        <v>1</v>
      </c>
      <c r="AL10" t="s">
        <v>622</v>
      </c>
      <c r="AM10">
        <v>7</v>
      </c>
      <c r="AN10" t="s">
        <v>652</v>
      </c>
      <c r="AO10">
        <v>1</v>
      </c>
      <c r="AP10" t="s">
        <v>713</v>
      </c>
      <c r="AQ10">
        <v>1</v>
      </c>
      <c r="AR10" t="s">
        <v>653</v>
      </c>
      <c r="AS10">
        <v>2</v>
      </c>
      <c r="AT10">
        <v>1</v>
      </c>
      <c r="AU10" s="91">
        <v>44978</v>
      </c>
      <c r="AV10" s="91">
        <v>45397</v>
      </c>
      <c r="AW10" s="91">
        <v>44981</v>
      </c>
      <c r="AX10">
        <v>1</v>
      </c>
      <c r="AY10" t="s">
        <v>626</v>
      </c>
      <c r="AZ10" s="91">
        <v>44978</v>
      </c>
      <c r="BA10" s="92">
        <v>45397.615972222222</v>
      </c>
      <c r="BB10" t="s">
        <v>612</v>
      </c>
      <c r="BC10" t="s">
        <v>612</v>
      </c>
      <c r="BD10">
        <v>8</v>
      </c>
      <c r="BE10">
        <v>47.919944999999998</v>
      </c>
      <c r="BF10">
        <v>-100.405897</v>
      </c>
      <c r="BG10">
        <v>1</v>
      </c>
      <c r="BH10">
        <v>52</v>
      </c>
      <c r="BI10" t="s">
        <v>612</v>
      </c>
      <c r="BJ10" t="s">
        <v>612</v>
      </c>
      <c r="BK10">
        <v>143.25</v>
      </c>
      <c r="BL10">
        <v>143.25</v>
      </c>
      <c r="BM10" t="s">
        <v>612</v>
      </c>
      <c r="BN10" t="s">
        <v>612</v>
      </c>
      <c r="BO10" t="s">
        <v>612</v>
      </c>
      <c r="BP10" t="s">
        <v>612</v>
      </c>
      <c r="BQ10" t="s">
        <v>612</v>
      </c>
      <c r="BR10" t="s">
        <v>612</v>
      </c>
      <c r="BS10" t="s">
        <v>612</v>
      </c>
      <c r="BT10" t="s">
        <v>612</v>
      </c>
      <c r="BU10" t="s">
        <v>612</v>
      </c>
      <c r="BV10" t="s">
        <v>612</v>
      </c>
      <c r="BW10" t="s">
        <v>612</v>
      </c>
      <c r="BX10">
        <v>0</v>
      </c>
      <c r="BY10" t="s">
        <v>627</v>
      </c>
      <c r="BZ10" t="s">
        <v>627</v>
      </c>
      <c r="CA10" t="s">
        <v>612</v>
      </c>
      <c r="CB10" t="s">
        <v>667</v>
      </c>
      <c r="CC10" t="s">
        <v>629</v>
      </c>
      <c r="CD10" t="s">
        <v>629</v>
      </c>
      <c r="CE10" t="s">
        <v>630</v>
      </c>
      <c r="CF10" t="s">
        <v>630</v>
      </c>
      <c r="CG10" t="s">
        <v>630</v>
      </c>
      <c r="CH10" t="s">
        <v>655</v>
      </c>
      <c r="CI10" t="s">
        <v>630</v>
      </c>
      <c r="CJ10" t="s">
        <v>687</v>
      </c>
      <c r="CK10" t="s">
        <v>632</v>
      </c>
      <c r="CL10" t="s">
        <v>669</v>
      </c>
      <c r="CM10" t="s">
        <v>612</v>
      </c>
      <c r="CN10" t="s">
        <v>714</v>
      </c>
      <c r="CO10" t="s">
        <v>680</v>
      </c>
      <c r="CP10" t="s">
        <v>658</v>
      </c>
      <c r="CQ10" t="s">
        <v>611</v>
      </c>
      <c r="CR10" t="s">
        <v>612</v>
      </c>
      <c r="CS10" t="s">
        <v>715</v>
      </c>
      <c r="CT10" t="s">
        <v>612</v>
      </c>
      <c r="CU10" t="s">
        <v>612</v>
      </c>
      <c r="CV10" t="s">
        <v>711</v>
      </c>
      <c r="CW10" t="s">
        <v>641</v>
      </c>
      <c r="CX10" t="s">
        <v>642</v>
      </c>
      <c r="CY10" t="s">
        <v>608</v>
      </c>
      <c r="CZ10" t="s">
        <v>643</v>
      </c>
      <c r="DA10">
        <v>65</v>
      </c>
      <c r="DB10" t="s">
        <v>608</v>
      </c>
      <c r="DC10" t="s">
        <v>612</v>
      </c>
      <c r="DD10" t="s">
        <v>612</v>
      </c>
      <c r="DE10" t="s">
        <v>612</v>
      </c>
      <c r="DF10" t="s">
        <v>612</v>
      </c>
      <c r="DG10" t="s">
        <v>612</v>
      </c>
      <c r="DH10" t="s">
        <v>612</v>
      </c>
      <c r="DI10" t="s">
        <v>612</v>
      </c>
      <c r="DJ10" t="s">
        <v>612</v>
      </c>
      <c r="DK10" t="s">
        <v>612</v>
      </c>
      <c r="DL10" t="s">
        <v>612</v>
      </c>
      <c r="DM10" t="s">
        <v>612</v>
      </c>
      <c r="DN10" t="s">
        <v>612</v>
      </c>
      <c r="DO10" t="s">
        <v>612</v>
      </c>
      <c r="DP10" t="s">
        <v>612</v>
      </c>
      <c r="DQ10" t="s">
        <v>612</v>
      </c>
      <c r="DR10" t="s">
        <v>612</v>
      </c>
      <c r="DS10" t="s">
        <v>612</v>
      </c>
      <c r="DT10" t="s">
        <v>612</v>
      </c>
      <c r="DU10" t="s">
        <v>612</v>
      </c>
      <c r="DV10" t="s">
        <v>612</v>
      </c>
      <c r="DW10" t="s">
        <v>612</v>
      </c>
      <c r="DX10" t="s">
        <v>612</v>
      </c>
      <c r="DY10" t="s">
        <v>612</v>
      </c>
      <c r="DZ10" t="s">
        <v>612</v>
      </c>
      <c r="EA10" t="s">
        <v>612</v>
      </c>
      <c r="EB10" t="s">
        <v>612</v>
      </c>
      <c r="EC10" t="s">
        <v>612</v>
      </c>
      <c r="ED10" t="s">
        <v>612</v>
      </c>
      <c r="EE10" t="s">
        <v>612</v>
      </c>
      <c r="EF10" t="s">
        <v>612</v>
      </c>
      <c r="EG10" t="s">
        <v>612</v>
      </c>
      <c r="EH10" t="s">
        <v>612</v>
      </c>
      <c r="EI10">
        <v>0</v>
      </c>
      <c r="EJ10" t="s">
        <v>661</v>
      </c>
      <c r="EK10" t="s">
        <v>648</v>
      </c>
      <c r="EL10">
        <v>0</v>
      </c>
      <c r="EM10">
        <v>0</v>
      </c>
      <c r="EN10">
        <v>0</v>
      </c>
      <c r="EO10">
        <v>-1</v>
      </c>
      <c r="EP10">
        <v>0</v>
      </c>
    </row>
    <row r="11" spans="1:148" x14ac:dyDescent="0.25">
      <c r="A11">
        <v>10</v>
      </c>
      <c r="B11" t="s">
        <v>606</v>
      </c>
      <c r="C11">
        <v>1</v>
      </c>
      <c r="D11">
        <v>398</v>
      </c>
      <c r="E11">
        <v>373642</v>
      </c>
      <c r="F11">
        <v>1145474</v>
      </c>
      <c r="G11">
        <v>25</v>
      </c>
      <c r="H11" t="s">
        <v>607</v>
      </c>
      <c r="I11">
        <v>0</v>
      </c>
      <c r="J11" t="s">
        <v>608</v>
      </c>
      <c r="K11">
        <v>3</v>
      </c>
      <c r="L11" t="s">
        <v>609</v>
      </c>
      <c r="M11">
        <v>1</v>
      </c>
      <c r="N11" t="s">
        <v>676</v>
      </c>
      <c r="O11">
        <v>20</v>
      </c>
      <c r="P11" t="s">
        <v>649</v>
      </c>
      <c r="Q11">
        <v>87</v>
      </c>
      <c r="R11" t="s">
        <v>716</v>
      </c>
      <c r="S11">
        <v>1</v>
      </c>
      <c r="T11" t="s">
        <v>613</v>
      </c>
      <c r="U11">
        <v>1</v>
      </c>
      <c r="V11" t="s">
        <v>614</v>
      </c>
      <c r="W11">
        <v>1</v>
      </c>
      <c r="X11" t="s">
        <v>615</v>
      </c>
      <c r="Y11">
        <v>4</v>
      </c>
      <c r="Z11" t="s">
        <v>717</v>
      </c>
      <c r="AA11">
        <v>5</v>
      </c>
      <c r="AB11" t="s">
        <v>691</v>
      </c>
      <c r="AC11">
        <v>1</v>
      </c>
      <c r="AD11" t="s">
        <v>618</v>
      </c>
      <c r="AE11">
        <v>5</v>
      </c>
      <c r="AF11" t="s">
        <v>718</v>
      </c>
      <c r="AG11">
        <v>6</v>
      </c>
      <c r="AH11" t="s">
        <v>620</v>
      </c>
      <c r="AI11">
        <v>3</v>
      </c>
      <c r="AJ11" t="s">
        <v>621</v>
      </c>
      <c r="AK11">
        <v>1</v>
      </c>
      <c r="AL11" t="s">
        <v>622</v>
      </c>
      <c r="AM11">
        <v>7</v>
      </c>
      <c r="AN11" t="s">
        <v>652</v>
      </c>
      <c r="AO11">
        <v>2</v>
      </c>
      <c r="AP11" t="s">
        <v>624</v>
      </c>
      <c r="AQ11">
        <v>1</v>
      </c>
      <c r="AR11" t="s">
        <v>653</v>
      </c>
      <c r="AS11">
        <v>2</v>
      </c>
      <c r="AT11">
        <v>1</v>
      </c>
      <c r="AU11" s="91">
        <v>45225</v>
      </c>
      <c r="AV11" s="92">
        <v>45397.576388888891</v>
      </c>
      <c r="AW11" s="91">
        <v>45232</v>
      </c>
      <c r="AX11">
        <v>2</v>
      </c>
      <c r="AY11" t="s">
        <v>626</v>
      </c>
      <c r="AZ11" s="91">
        <v>45225</v>
      </c>
      <c r="BA11" s="92">
        <v>45397.579861111109</v>
      </c>
      <c r="BB11" t="s">
        <v>612</v>
      </c>
      <c r="BC11" t="s">
        <v>612</v>
      </c>
      <c r="BD11">
        <v>50</v>
      </c>
      <c r="BE11">
        <v>47.919943000000004</v>
      </c>
      <c r="BF11">
        <v>-100.400265</v>
      </c>
      <c r="BG11">
        <v>1</v>
      </c>
      <c r="BH11">
        <v>52</v>
      </c>
      <c r="BI11" t="s">
        <v>612</v>
      </c>
      <c r="BJ11" t="s">
        <v>612</v>
      </c>
      <c r="BK11">
        <v>143.59</v>
      </c>
      <c r="BL11">
        <v>143.59</v>
      </c>
      <c r="BM11" t="s">
        <v>612</v>
      </c>
      <c r="BN11" t="s">
        <v>612</v>
      </c>
      <c r="BO11" t="s">
        <v>612</v>
      </c>
      <c r="BP11" t="s">
        <v>612</v>
      </c>
      <c r="BQ11" t="s">
        <v>612</v>
      </c>
      <c r="BR11" t="s">
        <v>612</v>
      </c>
      <c r="BS11" t="s">
        <v>612</v>
      </c>
      <c r="BT11" t="s">
        <v>612</v>
      </c>
      <c r="BU11" t="s">
        <v>612</v>
      </c>
      <c r="BV11" t="s">
        <v>612</v>
      </c>
      <c r="BW11" t="s">
        <v>612</v>
      </c>
      <c r="BX11">
        <v>0</v>
      </c>
      <c r="BY11" t="s">
        <v>627</v>
      </c>
      <c r="BZ11" t="s">
        <v>627</v>
      </c>
      <c r="CA11" t="s">
        <v>612</v>
      </c>
      <c r="CB11" t="s">
        <v>719</v>
      </c>
      <c r="CC11" t="s">
        <v>629</v>
      </c>
      <c r="CD11" t="s">
        <v>629</v>
      </c>
      <c r="CE11" t="s">
        <v>630</v>
      </c>
      <c r="CF11" t="s">
        <v>630</v>
      </c>
      <c r="CG11" t="s">
        <v>630</v>
      </c>
      <c r="CH11" t="s">
        <v>655</v>
      </c>
      <c r="CI11" t="s">
        <v>630</v>
      </c>
      <c r="CJ11" t="s">
        <v>678</v>
      </c>
      <c r="CK11" t="s">
        <v>632</v>
      </c>
      <c r="CL11" t="s">
        <v>669</v>
      </c>
      <c r="CM11" t="s">
        <v>612</v>
      </c>
      <c r="CN11" t="s">
        <v>608</v>
      </c>
      <c r="CO11" t="s">
        <v>636</v>
      </c>
      <c r="CP11" t="s">
        <v>658</v>
      </c>
      <c r="CQ11" t="s">
        <v>611</v>
      </c>
      <c r="CR11">
        <v>57</v>
      </c>
      <c r="CS11" t="s">
        <v>626</v>
      </c>
      <c r="CT11" t="s">
        <v>720</v>
      </c>
      <c r="CU11" t="s">
        <v>721</v>
      </c>
      <c r="CV11" t="s">
        <v>640</v>
      </c>
      <c r="CW11" t="s">
        <v>673</v>
      </c>
      <c r="CX11" t="s">
        <v>683</v>
      </c>
      <c r="CY11" t="s">
        <v>608</v>
      </c>
      <c r="CZ11" t="s">
        <v>643</v>
      </c>
      <c r="DA11">
        <v>65</v>
      </c>
      <c r="DB11" t="s">
        <v>608</v>
      </c>
      <c r="DC11" t="s">
        <v>612</v>
      </c>
      <c r="DD11" t="s">
        <v>612</v>
      </c>
      <c r="DE11" t="s">
        <v>612</v>
      </c>
      <c r="DF11" t="s">
        <v>612</v>
      </c>
      <c r="DG11" t="s">
        <v>612</v>
      </c>
      <c r="DH11" t="s">
        <v>612</v>
      </c>
      <c r="DI11" t="s">
        <v>612</v>
      </c>
      <c r="DJ11" t="s">
        <v>612</v>
      </c>
      <c r="DK11" t="s">
        <v>612</v>
      </c>
      <c r="DL11" t="s">
        <v>612</v>
      </c>
      <c r="DM11" t="s">
        <v>612</v>
      </c>
      <c r="DN11" t="s">
        <v>612</v>
      </c>
      <c r="DO11" t="s">
        <v>612</v>
      </c>
      <c r="DP11" t="s">
        <v>612</v>
      </c>
      <c r="DQ11" t="s">
        <v>612</v>
      </c>
      <c r="DR11" t="s">
        <v>612</v>
      </c>
      <c r="DS11" t="s">
        <v>612</v>
      </c>
      <c r="DT11" t="s">
        <v>612</v>
      </c>
      <c r="DU11" t="s">
        <v>612</v>
      </c>
      <c r="DV11" t="s">
        <v>612</v>
      </c>
      <c r="DW11" t="s">
        <v>612</v>
      </c>
      <c r="DX11" t="s">
        <v>612</v>
      </c>
      <c r="DY11" t="s">
        <v>612</v>
      </c>
      <c r="DZ11" t="s">
        <v>612</v>
      </c>
      <c r="EA11" t="s">
        <v>612</v>
      </c>
      <c r="EB11" t="s">
        <v>612</v>
      </c>
      <c r="EC11" t="s">
        <v>612</v>
      </c>
      <c r="ED11" t="s">
        <v>612</v>
      </c>
      <c r="EE11" t="s">
        <v>612</v>
      </c>
      <c r="EF11" t="s">
        <v>612</v>
      </c>
      <c r="EG11" t="s">
        <v>612</v>
      </c>
      <c r="EH11" t="s">
        <v>612</v>
      </c>
      <c r="EI11">
        <v>13</v>
      </c>
      <c r="EJ11" t="s">
        <v>661</v>
      </c>
      <c r="EK11" t="s">
        <v>648</v>
      </c>
      <c r="EL11">
        <v>0</v>
      </c>
      <c r="EM11">
        <v>0</v>
      </c>
      <c r="EN11">
        <v>0</v>
      </c>
      <c r="EO11">
        <v>-1</v>
      </c>
      <c r="EP11">
        <v>0</v>
      </c>
    </row>
    <row r="12" spans="1:148" x14ac:dyDescent="0.25">
      <c r="A12">
        <v>11</v>
      </c>
      <c r="B12" t="s">
        <v>606</v>
      </c>
      <c r="C12">
        <v>1</v>
      </c>
      <c r="D12">
        <v>3042</v>
      </c>
      <c r="E12">
        <v>299794</v>
      </c>
      <c r="F12">
        <v>1065701</v>
      </c>
      <c r="G12">
        <v>7</v>
      </c>
      <c r="H12" t="s">
        <v>722</v>
      </c>
      <c r="I12">
        <v>0</v>
      </c>
      <c r="J12" t="s">
        <v>608</v>
      </c>
      <c r="K12">
        <v>3</v>
      </c>
      <c r="L12" t="s">
        <v>609</v>
      </c>
      <c r="M12">
        <v>1</v>
      </c>
      <c r="N12" t="s">
        <v>676</v>
      </c>
      <c r="O12">
        <v>20</v>
      </c>
      <c r="P12" t="s">
        <v>649</v>
      </c>
      <c r="Q12" t="s">
        <v>612</v>
      </c>
      <c r="R12" t="s">
        <v>612</v>
      </c>
      <c r="S12">
        <v>1</v>
      </c>
      <c r="T12" t="s">
        <v>613</v>
      </c>
      <c r="U12">
        <v>1</v>
      </c>
      <c r="V12" t="s">
        <v>614</v>
      </c>
      <c r="W12">
        <v>1</v>
      </c>
      <c r="X12" t="s">
        <v>615</v>
      </c>
      <c r="Y12">
        <v>4</v>
      </c>
      <c r="Z12" t="s">
        <v>717</v>
      </c>
      <c r="AA12">
        <v>1</v>
      </c>
      <c r="AB12" t="s">
        <v>723</v>
      </c>
      <c r="AC12">
        <v>1</v>
      </c>
      <c r="AD12" t="s">
        <v>618</v>
      </c>
      <c r="AE12">
        <v>6</v>
      </c>
      <c r="AF12" t="s">
        <v>665</v>
      </c>
      <c r="AG12">
        <v>1</v>
      </c>
      <c r="AH12" t="s">
        <v>651</v>
      </c>
      <c r="AI12">
        <v>3</v>
      </c>
      <c r="AJ12" t="s">
        <v>621</v>
      </c>
      <c r="AK12">
        <v>1</v>
      </c>
      <c r="AL12" t="s">
        <v>622</v>
      </c>
      <c r="AM12">
        <v>7</v>
      </c>
      <c r="AN12" t="s">
        <v>652</v>
      </c>
      <c r="AO12">
        <v>2</v>
      </c>
      <c r="AP12" t="s">
        <v>624</v>
      </c>
      <c r="AQ12">
        <v>1</v>
      </c>
      <c r="AR12" t="s">
        <v>653</v>
      </c>
      <c r="AS12">
        <v>2</v>
      </c>
      <c r="AT12">
        <v>1</v>
      </c>
      <c r="AU12" s="91">
        <v>43420</v>
      </c>
      <c r="AV12" s="92">
        <v>45397.506249999999</v>
      </c>
      <c r="AW12" s="91">
        <v>43421</v>
      </c>
      <c r="AX12">
        <v>2</v>
      </c>
      <c r="AY12" t="s">
        <v>626</v>
      </c>
      <c r="AZ12" s="91">
        <v>43420</v>
      </c>
      <c r="BA12" s="92">
        <v>45397.511111111111</v>
      </c>
      <c r="BB12" t="s">
        <v>612</v>
      </c>
      <c r="BC12" t="s">
        <v>612</v>
      </c>
      <c r="BD12" t="s">
        <v>612</v>
      </c>
      <c r="BE12">
        <v>48.898572000000001</v>
      </c>
      <c r="BF12">
        <v>-102.546027</v>
      </c>
      <c r="BG12">
        <v>1</v>
      </c>
      <c r="BH12">
        <v>52</v>
      </c>
      <c r="BI12" t="s">
        <v>612</v>
      </c>
      <c r="BJ12" t="s">
        <v>612</v>
      </c>
      <c r="BK12">
        <v>7.12</v>
      </c>
      <c r="BL12">
        <v>7.12</v>
      </c>
      <c r="BM12" t="s">
        <v>612</v>
      </c>
      <c r="BN12" t="s">
        <v>612</v>
      </c>
      <c r="BO12" t="s">
        <v>612</v>
      </c>
      <c r="BP12" t="s">
        <v>612</v>
      </c>
      <c r="BQ12" t="s">
        <v>612</v>
      </c>
      <c r="BR12" t="s">
        <v>612</v>
      </c>
      <c r="BS12" t="s">
        <v>612</v>
      </c>
      <c r="BT12" t="s">
        <v>612</v>
      </c>
      <c r="BU12" t="s">
        <v>612</v>
      </c>
      <c r="BV12" t="s">
        <v>612</v>
      </c>
      <c r="BW12" t="s">
        <v>612</v>
      </c>
      <c r="BX12">
        <v>0</v>
      </c>
      <c r="BY12" t="s">
        <v>627</v>
      </c>
      <c r="BZ12" t="s">
        <v>627</v>
      </c>
      <c r="CA12" t="s">
        <v>612</v>
      </c>
      <c r="CB12" t="s">
        <v>724</v>
      </c>
      <c r="CC12" t="s">
        <v>629</v>
      </c>
      <c r="CD12" t="s">
        <v>629</v>
      </c>
      <c r="CE12" t="s">
        <v>630</v>
      </c>
      <c r="CF12" t="s">
        <v>630</v>
      </c>
      <c r="CG12" t="s">
        <v>630</v>
      </c>
      <c r="CH12" t="s">
        <v>655</v>
      </c>
      <c r="CI12" t="s">
        <v>630</v>
      </c>
      <c r="CJ12" t="s">
        <v>678</v>
      </c>
      <c r="CK12" t="s">
        <v>632</v>
      </c>
      <c r="CL12" t="s">
        <v>669</v>
      </c>
      <c r="CM12" t="s">
        <v>634</v>
      </c>
      <c r="CN12" t="s">
        <v>608</v>
      </c>
      <c r="CO12" t="s">
        <v>725</v>
      </c>
      <c r="CP12" t="s">
        <v>658</v>
      </c>
      <c r="CQ12" t="s">
        <v>611</v>
      </c>
      <c r="CR12">
        <v>34</v>
      </c>
      <c r="CS12" t="s">
        <v>671</v>
      </c>
      <c r="CT12" t="s">
        <v>726</v>
      </c>
      <c r="CU12" t="s">
        <v>639</v>
      </c>
      <c r="CV12" t="s">
        <v>640</v>
      </c>
      <c r="CW12" t="s">
        <v>673</v>
      </c>
      <c r="CX12" t="s">
        <v>683</v>
      </c>
      <c r="CY12" t="s">
        <v>608</v>
      </c>
      <c r="CZ12" t="s">
        <v>643</v>
      </c>
      <c r="DA12">
        <v>65</v>
      </c>
      <c r="DB12" t="s">
        <v>608</v>
      </c>
      <c r="DC12" t="s">
        <v>612</v>
      </c>
      <c r="DD12" t="s">
        <v>612</v>
      </c>
      <c r="DE12" t="s">
        <v>612</v>
      </c>
      <c r="DF12" t="s">
        <v>612</v>
      </c>
      <c r="DG12" t="s">
        <v>612</v>
      </c>
      <c r="DH12" t="s">
        <v>612</v>
      </c>
      <c r="DI12" t="s">
        <v>612</v>
      </c>
      <c r="DJ12" t="s">
        <v>612</v>
      </c>
      <c r="DK12" t="s">
        <v>612</v>
      </c>
      <c r="DL12" t="s">
        <v>612</v>
      </c>
      <c r="DM12" t="s">
        <v>612</v>
      </c>
      <c r="DN12" t="s">
        <v>612</v>
      </c>
      <c r="DO12" t="s">
        <v>612</v>
      </c>
      <c r="DP12" t="s">
        <v>612</v>
      </c>
      <c r="DQ12" t="s">
        <v>612</v>
      </c>
      <c r="DR12" t="s">
        <v>612</v>
      </c>
      <c r="DS12" t="s">
        <v>612</v>
      </c>
      <c r="DT12" t="s">
        <v>612</v>
      </c>
      <c r="DU12" t="s">
        <v>612</v>
      </c>
      <c r="DV12" t="s">
        <v>612</v>
      </c>
      <c r="DW12" t="s">
        <v>612</v>
      </c>
      <c r="DX12" t="s">
        <v>612</v>
      </c>
      <c r="DY12" t="s">
        <v>612</v>
      </c>
      <c r="DZ12" t="s">
        <v>612</v>
      </c>
      <c r="EA12" t="s">
        <v>612</v>
      </c>
      <c r="EB12" t="s">
        <v>612</v>
      </c>
      <c r="EC12" t="s">
        <v>612</v>
      </c>
      <c r="ED12" t="s">
        <v>612</v>
      </c>
      <c r="EE12" t="s">
        <v>612</v>
      </c>
      <c r="EF12" t="s">
        <v>612</v>
      </c>
      <c r="EG12" t="s">
        <v>612</v>
      </c>
      <c r="EH12" t="s">
        <v>612</v>
      </c>
      <c r="EI12">
        <v>12</v>
      </c>
      <c r="EJ12" t="s">
        <v>727</v>
      </c>
      <c r="EK12" t="s">
        <v>648</v>
      </c>
      <c r="EL12">
        <v>0</v>
      </c>
      <c r="EM12">
        <v>0</v>
      </c>
      <c r="EN12">
        <v>0</v>
      </c>
      <c r="EO12">
        <v>-1</v>
      </c>
      <c r="EP12">
        <v>0</v>
      </c>
    </row>
    <row r="13" spans="1:148" x14ac:dyDescent="0.25">
      <c r="A13">
        <v>12</v>
      </c>
      <c r="B13" t="s">
        <v>606</v>
      </c>
      <c r="C13">
        <v>1</v>
      </c>
      <c r="D13">
        <v>3043</v>
      </c>
      <c r="E13">
        <v>275086</v>
      </c>
      <c r="F13">
        <v>1039233</v>
      </c>
      <c r="G13">
        <v>7</v>
      </c>
      <c r="H13" t="s">
        <v>722</v>
      </c>
      <c r="I13">
        <v>0</v>
      </c>
      <c r="J13" t="s">
        <v>608</v>
      </c>
      <c r="K13">
        <v>1</v>
      </c>
      <c r="L13" t="s">
        <v>662</v>
      </c>
      <c r="M13">
        <v>1</v>
      </c>
      <c r="N13" t="s">
        <v>676</v>
      </c>
      <c r="O13">
        <v>1</v>
      </c>
      <c r="P13" t="s">
        <v>611</v>
      </c>
      <c r="Q13" t="s">
        <v>612</v>
      </c>
      <c r="R13" t="s">
        <v>612</v>
      </c>
      <c r="S13">
        <v>1</v>
      </c>
      <c r="T13" t="s">
        <v>613</v>
      </c>
      <c r="U13">
        <v>1</v>
      </c>
      <c r="V13" t="s">
        <v>614</v>
      </c>
      <c r="W13">
        <v>1</v>
      </c>
      <c r="X13" t="s">
        <v>615</v>
      </c>
      <c r="Y13">
        <v>1</v>
      </c>
      <c r="Z13" t="s">
        <v>616</v>
      </c>
      <c r="AA13">
        <v>0</v>
      </c>
      <c r="AB13" t="s">
        <v>617</v>
      </c>
      <c r="AC13">
        <v>1</v>
      </c>
      <c r="AD13" t="s">
        <v>618</v>
      </c>
      <c r="AE13">
        <v>1</v>
      </c>
      <c r="AF13" t="s">
        <v>619</v>
      </c>
      <c r="AG13">
        <v>1</v>
      </c>
      <c r="AH13" t="s">
        <v>651</v>
      </c>
      <c r="AI13">
        <v>2</v>
      </c>
      <c r="AJ13" t="s">
        <v>728</v>
      </c>
      <c r="AK13">
        <v>1</v>
      </c>
      <c r="AL13" t="s">
        <v>622</v>
      </c>
      <c r="AM13">
        <v>2</v>
      </c>
      <c r="AN13" t="s">
        <v>623</v>
      </c>
      <c r="AO13">
        <v>2</v>
      </c>
      <c r="AP13" t="s">
        <v>624</v>
      </c>
      <c r="AQ13">
        <v>1</v>
      </c>
      <c r="AR13" t="s">
        <v>653</v>
      </c>
      <c r="AS13">
        <v>2</v>
      </c>
      <c r="AT13">
        <v>1</v>
      </c>
      <c r="AU13" s="91">
        <v>42976</v>
      </c>
      <c r="AV13" s="92">
        <v>45397.5</v>
      </c>
      <c r="AW13" s="91">
        <v>42984</v>
      </c>
      <c r="AX13">
        <v>2</v>
      </c>
      <c r="AY13" t="s">
        <v>626</v>
      </c>
      <c r="AZ13" s="91">
        <v>42976</v>
      </c>
      <c r="BA13" s="92">
        <v>45397.504166666666</v>
      </c>
      <c r="BB13" t="s">
        <v>612</v>
      </c>
      <c r="BC13">
        <v>105</v>
      </c>
      <c r="BD13">
        <v>17004778</v>
      </c>
      <c r="BE13">
        <v>48.900530000000003</v>
      </c>
      <c r="BF13">
        <v>-102.54601099999999</v>
      </c>
      <c r="BG13">
        <v>1</v>
      </c>
      <c r="BH13">
        <v>52</v>
      </c>
      <c r="BI13" t="s">
        <v>612</v>
      </c>
      <c r="BJ13" t="s">
        <v>612</v>
      </c>
      <c r="BK13">
        <v>6.99</v>
      </c>
      <c r="BL13">
        <v>6.99</v>
      </c>
      <c r="BM13" t="s">
        <v>612</v>
      </c>
      <c r="BN13" t="s">
        <v>612</v>
      </c>
      <c r="BO13" t="s">
        <v>612</v>
      </c>
      <c r="BP13" t="s">
        <v>612</v>
      </c>
      <c r="BQ13" t="s">
        <v>612</v>
      </c>
      <c r="BR13" t="s">
        <v>612</v>
      </c>
      <c r="BS13" t="s">
        <v>612</v>
      </c>
      <c r="BT13" t="s">
        <v>612</v>
      </c>
      <c r="BU13" t="s">
        <v>612</v>
      </c>
      <c r="BV13" t="s">
        <v>612</v>
      </c>
      <c r="BW13" t="s">
        <v>612</v>
      </c>
      <c r="BX13">
        <v>0</v>
      </c>
      <c r="BY13" t="s">
        <v>627</v>
      </c>
      <c r="BZ13" t="s">
        <v>627</v>
      </c>
      <c r="CA13" t="s">
        <v>612</v>
      </c>
      <c r="CB13" t="s">
        <v>667</v>
      </c>
      <c r="CC13" t="s">
        <v>629</v>
      </c>
      <c r="CD13" t="s">
        <v>629</v>
      </c>
      <c r="CE13" t="s">
        <v>630</v>
      </c>
      <c r="CF13" t="s">
        <v>630</v>
      </c>
      <c r="CG13" t="s">
        <v>630</v>
      </c>
      <c r="CH13" t="s">
        <v>630</v>
      </c>
      <c r="CI13" t="s">
        <v>655</v>
      </c>
      <c r="CJ13" t="s">
        <v>678</v>
      </c>
      <c r="CK13" t="s">
        <v>632</v>
      </c>
      <c r="CL13" t="s">
        <v>657</v>
      </c>
      <c r="CM13" t="s">
        <v>634</v>
      </c>
      <c r="CN13" t="s">
        <v>608</v>
      </c>
      <c r="CO13" t="s">
        <v>729</v>
      </c>
      <c r="CP13" t="s">
        <v>658</v>
      </c>
      <c r="CQ13" t="s">
        <v>611</v>
      </c>
      <c r="CR13">
        <v>33</v>
      </c>
      <c r="CS13" t="s">
        <v>626</v>
      </c>
      <c r="CT13" t="s">
        <v>730</v>
      </c>
      <c r="CU13" t="s">
        <v>639</v>
      </c>
      <c r="CV13" t="s">
        <v>640</v>
      </c>
      <c r="CW13" t="s">
        <v>659</v>
      </c>
      <c r="CX13" t="s">
        <v>642</v>
      </c>
      <c r="CY13" t="s">
        <v>689</v>
      </c>
      <c r="CZ13" t="s">
        <v>643</v>
      </c>
      <c r="DA13">
        <v>65</v>
      </c>
      <c r="DB13" t="s">
        <v>608</v>
      </c>
      <c r="DC13" t="s">
        <v>678</v>
      </c>
      <c r="DD13" t="s">
        <v>729</v>
      </c>
      <c r="DE13" t="s">
        <v>608</v>
      </c>
      <c r="DF13" t="s">
        <v>658</v>
      </c>
      <c r="DG13" t="s">
        <v>611</v>
      </c>
      <c r="DH13">
        <v>71</v>
      </c>
      <c r="DI13" t="s">
        <v>626</v>
      </c>
      <c r="DJ13" t="s">
        <v>731</v>
      </c>
      <c r="DK13" t="s">
        <v>732</v>
      </c>
      <c r="DL13" t="s">
        <v>640</v>
      </c>
      <c r="DM13" t="s">
        <v>673</v>
      </c>
      <c r="DN13" t="s">
        <v>642</v>
      </c>
      <c r="DO13" t="s">
        <v>608</v>
      </c>
      <c r="DP13" t="s">
        <v>643</v>
      </c>
      <c r="DQ13">
        <v>65</v>
      </c>
      <c r="DR13" t="s">
        <v>608</v>
      </c>
      <c r="DS13" t="s">
        <v>612</v>
      </c>
      <c r="DT13" t="s">
        <v>612</v>
      </c>
      <c r="DU13" t="s">
        <v>612</v>
      </c>
      <c r="DV13" t="s">
        <v>612</v>
      </c>
      <c r="DW13" t="s">
        <v>612</v>
      </c>
      <c r="DX13" t="s">
        <v>612</v>
      </c>
      <c r="DY13" t="s">
        <v>612</v>
      </c>
      <c r="DZ13" t="s">
        <v>612</v>
      </c>
      <c r="EA13" t="s">
        <v>612</v>
      </c>
      <c r="EB13" t="s">
        <v>612</v>
      </c>
      <c r="EC13" t="s">
        <v>612</v>
      </c>
      <c r="ED13" t="s">
        <v>612</v>
      </c>
      <c r="EE13" t="s">
        <v>612</v>
      </c>
      <c r="EF13" t="s">
        <v>612</v>
      </c>
      <c r="EG13" t="s">
        <v>612</v>
      </c>
      <c r="EH13" t="s">
        <v>612</v>
      </c>
      <c r="EI13">
        <v>12</v>
      </c>
      <c r="EJ13" t="s">
        <v>727</v>
      </c>
      <c r="EK13" t="s">
        <v>648</v>
      </c>
      <c r="EL13">
        <v>0</v>
      </c>
      <c r="EM13">
        <v>0</v>
      </c>
      <c r="EN13">
        <v>0</v>
      </c>
      <c r="EO13">
        <v>-1</v>
      </c>
      <c r="EP13">
        <v>0</v>
      </c>
    </row>
    <row r="14" spans="1:148" x14ac:dyDescent="0.25">
      <c r="A14">
        <v>13</v>
      </c>
      <c r="B14" t="s">
        <v>606</v>
      </c>
      <c r="C14">
        <v>1</v>
      </c>
      <c r="D14">
        <v>3044</v>
      </c>
      <c r="E14">
        <v>259378</v>
      </c>
      <c r="F14">
        <v>1022441</v>
      </c>
      <c r="G14">
        <v>7</v>
      </c>
      <c r="H14" t="s">
        <v>722</v>
      </c>
      <c r="I14">
        <v>0</v>
      </c>
      <c r="J14" t="s">
        <v>608</v>
      </c>
      <c r="K14">
        <v>3</v>
      </c>
      <c r="L14" t="s">
        <v>609</v>
      </c>
      <c r="M14">
        <v>2</v>
      </c>
      <c r="N14" t="s">
        <v>733</v>
      </c>
      <c r="O14">
        <v>1</v>
      </c>
      <c r="P14" t="s">
        <v>611</v>
      </c>
      <c r="Q14" t="s">
        <v>612</v>
      </c>
      <c r="R14" t="s">
        <v>612</v>
      </c>
      <c r="S14">
        <v>1</v>
      </c>
      <c r="T14" t="s">
        <v>613</v>
      </c>
      <c r="U14">
        <v>1</v>
      </c>
      <c r="V14" t="s">
        <v>614</v>
      </c>
      <c r="W14">
        <v>1</v>
      </c>
      <c r="X14" t="s">
        <v>615</v>
      </c>
      <c r="Y14">
        <v>4</v>
      </c>
      <c r="Z14" t="s">
        <v>717</v>
      </c>
      <c r="AA14">
        <v>0</v>
      </c>
      <c r="AB14" t="s">
        <v>617</v>
      </c>
      <c r="AC14">
        <v>1</v>
      </c>
      <c r="AD14" t="s">
        <v>618</v>
      </c>
      <c r="AE14">
        <v>6</v>
      </c>
      <c r="AF14" t="s">
        <v>665</v>
      </c>
      <c r="AG14">
        <v>6</v>
      </c>
      <c r="AH14" t="s">
        <v>620</v>
      </c>
      <c r="AI14">
        <v>3</v>
      </c>
      <c r="AJ14" t="s">
        <v>621</v>
      </c>
      <c r="AK14">
        <v>1</v>
      </c>
      <c r="AL14" t="s">
        <v>622</v>
      </c>
      <c r="AM14">
        <v>2</v>
      </c>
      <c r="AN14" t="s">
        <v>623</v>
      </c>
      <c r="AO14">
        <v>2</v>
      </c>
      <c r="AP14" t="s">
        <v>624</v>
      </c>
      <c r="AQ14">
        <v>1</v>
      </c>
      <c r="AR14" t="s">
        <v>653</v>
      </c>
      <c r="AS14">
        <v>2</v>
      </c>
      <c r="AT14">
        <v>1</v>
      </c>
      <c r="AU14" s="91">
        <v>42702</v>
      </c>
      <c r="AV14" s="92">
        <v>45397.347222222219</v>
      </c>
      <c r="AW14" s="91">
        <v>42716</v>
      </c>
      <c r="AX14">
        <v>2</v>
      </c>
      <c r="AY14" t="s">
        <v>626</v>
      </c>
      <c r="AZ14" s="91">
        <v>42702</v>
      </c>
      <c r="BA14" s="92">
        <v>45397.349305555559</v>
      </c>
      <c r="BB14" t="s">
        <v>612</v>
      </c>
      <c r="BC14" t="s">
        <v>612</v>
      </c>
      <c r="BD14">
        <v>214</v>
      </c>
      <c r="BE14">
        <v>48.900706</v>
      </c>
      <c r="BF14">
        <v>-102.54601</v>
      </c>
      <c r="BG14">
        <v>1</v>
      </c>
      <c r="BH14">
        <v>52</v>
      </c>
      <c r="BI14" t="s">
        <v>612</v>
      </c>
      <c r="BJ14" t="s">
        <v>612</v>
      </c>
      <c r="BK14">
        <v>6.98</v>
      </c>
      <c r="BL14">
        <v>6.98</v>
      </c>
      <c r="BM14" t="s">
        <v>612</v>
      </c>
      <c r="BN14" t="s">
        <v>612</v>
      </c>
      <c r="BO14" t="s">
        <v>612</v>
      </c>
      <c r="BP14" t="s">
        <v>612</v>
      </c>
      <c r="BQ14" t="s">
        <v>612</v>
      </c>
      <c r="BR14" t="s">
        <v>612</v>
      </c>
      <c r="BS14" t="s">
        <v>612</v>
      </c>
      <c r="BT14" t="s">
        <v>612</v>
      </c>
      <c r="BU14" t="s">
        <v>612</v>
      </c>
      <c r="BV14" t="s">
        <v>612</v>
      </c>
      <c r="BW14" t="s">
        <v>612</v>
      </c>
      <c r="BX14">
        <v>0</v>
      </c>
      <c r="BY14" t="s">
        <v>627</v>
      </c>
      <c r="BZ14" t="s">
        <v>627</v>
      </c>
      <c r="CA14" t="s">
        <v>612</v>
      </c>
      <c r="CB14" t="s">
        <v>686</v>
      </c>
      <c r="CC14" t="s">
        <v>629</v>
      </c>
      <c r="CD14" t="s">
        <v>629</v>
      </c>
      <c r="CE14" t="s">
        <v>655</v>
      </c>
      <c r="CF14" t="s">
        <v>630</v>
      </c>
      <c r="CG14" t="s">
        <v>630</v>
      </c>
      <c r="CH14" t="s">
        <v>630</v>
      </c>
      <c r="CI14" t="s">
        <v>630</v>
      </c>
      <c r="CJ14" t="s">
        <v>678</v>
      </c>
      <c r="CK14" t="s">
        <v>632</v>
      </c>
      <c r="CL14" t="s">
        <v>679</v>
      </c>
      <c r="CM14" t="s">
        <v>634</v>
      </c>
      <c r="CN14" t="s">
        <v>635</v>
      </c>
      <c r="CO14" t="s">
        <v>636</v>
      </c>
      <c r="CP14" t="s">
        <v>658</v>
      </c>
      <c r="CQ14" t="s">
        <v>611</v>
      </c>
      <c r="CR14">
        <v>17</v>
      </c>
      <c r="CS14" t="s">
        <v>626</v>
      </c>
      <c r="CT14" t="s">
        <v>734</v>
      </c>
      <c r="CU14" t="s">
        <v>639</v>
      </c>
      <c r="CV14" t="s">
        <v>640</v>
      </c>
      <c r="CW14" t="s">
        <v>673</v>
      </c>
      <c r="CX14" t="s">
        <v>683</v>
      </c>
      <c r="CY14" t="s">
        <v>608</v>
      </c>
      <c r="CZ14" t="s">
        <v>643</v>
      </c>
      <c r="DA14">
        <v>65</v>
      </c>
      <c r="DB14" t="s">
        <v>608</v>
      </c>
      <c r="DC14" t="s">
        <v>631</v>
      </c>
      <c r="DD14" t="s">
        <v>636</v>
      </c>
      <c r="DE14" t="s">
        <v>608</v>
      </c>
      <c r="DF14" t="s">
        <v>644</v>
      </c>
      <c r="DG14" t="s">
        <v>611</v>
      </c>
      <c r="DH14">
        <v>38</v>
      </c>
      <c r="DI14" t="s">
        <v>626</v>
      </c>
      <c r="DJ14" t="s">
        <v>735</v>
      </c>
      <c r="DK14" t="s">
        <v>682</v>
      </c>
      <c r="DL14" t="s">
        <v>640</v>
      </c>
      <c r="DM14" t="s">
        <v>673</v>
      </c>
      <c r="DN14" t="s">
        <v>642</v>
      </c>
      <c r="DO14" t="s">
        <v>608</v>
      </c>
      <c r="DP14" t="s">
        <v>643</v>
      </c>
      <c r="DQ14">
        <v>65</v>
      </c>
      <c r="DR14" t="s">
        <v>608</v>
      </c>
      <c r="DS14" t="s">
        <v>612</v>
      </c>
      <c r="DT14" t="s">
        <v>612</v>
      </c>
      <c r="DU14" t="s">
        <v>612</v>
      </c>
      <c r="DV14" t="s">
        <v>612</v>
      </c>
      <c r="DW14" t="s">
        <v>612</v>
      </c>
      <c r="DX14" t="s">
        <v>612</v>
      </c>
      <c r="DY14" t="s">
        <v>612</v>
      </c>
      <c r="DZ14" t="s">
        <v>612</v>
      </c>
      <c r="EA14" t="s">
        <v>612</v>
      </c>
      <c r="EB14" t="s">
        <v>612</v>
      </c>
      <c r="EC14" t="s">
        <v>612</v>
      </c>
      <c r="ED14" t="s">
        <v>612</v>
      </c>
      <c r="EE14" t="s">
        <v>612</v>
      </c>
      <c r="EF14" t="s">
        <v>612</v>
      </c>
      <c r="EG14" t="s">
        <v>612</v>
      </c>
      <c r="EH14" t="s">
        <v>612</v>
      </c>
      <c r="EI14">
        <v>8</v>
      </c>
      <c r="EJ14" t="s">
        <v>727</v>
      </c>
      <c r="EK14" t="s">
        <v>648</v>
      </c>
      <c r="EL14">
        <v>0</v>
      </c>
      <c r="EM14">
        <v>0</v>
      </c>
      <c r="EN14">
        <v>0</v>
      </c>
      <c r="EO14">
        <v>-1</v>
      </c>
      <c r="EP14">
        <v>0</v>
      </c>
    </row>
    <row r="15" spans="1:148" x14ac:dyDescent="0.25">
      <c r="A15">
        <v>14</v>
      </c>
      <c r="B15" t="s">
        <v>606</v>
      </c>
      <c r="C15">
        <v>1</v>
      </c>
      <c r="D15">
        <v>3045</v>
      </c>
      <c r="E15">
        <v>357855</v>
      </c>
      <c r="F15">
        <v>1128384</v>
      </c>
      <c r="G15">
        <v>7</v>
      </c>
      <c r="H15" t="s">
        <v>722</v>
      </c>
      <c r="I15">
        <v>0</v>
      </c>
      <c r="J15" t="s">
        <v>608</v>
      </c>
      <c r="K15">
        <v>3</v>
      </c>
      <c r="L15" t="s">
        <v>609</v>
      </c>
      <c r="M15">
        <v>1</v>
      </c>
      <c r="N15" t="s">
        <v>676</v>
      </c>
      <c r="O15">
        <v>51</v>
      </c>
      <c r="P15" t="s">
        <v>736</v>
      </c>
      <c r="Q15" t="s">
        <v>612</v>
      </c>
      <c r="R15" t="s">
        <v>612</v>
      </c>
      <c r="S15">
        <v>1</v>
      </c>
      <c r="T15" t="s">
        <v>613</v>
      </c>
      <c r="U15">
        <v>1</v>
      </c>
      <c r="V15" t="s">
        <v>614</v>
      </c>
      <c r="W15">
        <v>1</v>
      </c>
      <c r="X15" t="s">
        <v>615</v>
      </c>
      <c r="Y15">
        <v>1</v>
      </c>
      <c r="Z15" t="s">
        <v>616</v>
      </c>
      <c r="AA15">
        <v>0</v>
      </c>
      <c r="AB15" t="s">
        <v>617</v>
      </c>
      <c r="AC15">
        <v>1</v>
      </c>
      <c r="AD15" t="s">
        <v>618</v>
      </c>
      <c r="AE15">
        <v>1</v>
      </c>
      <c r="AF15" t="s">
        <v>619</v>
      </c>
      <c r="AG15">
        <v>6</v>
      </c>
      <c r="AH15" t="s">
        <v>620</v>
      </c>
      <c r="AI15">
        <v>3</v>
      </c>
      <c r="AJ15" t="s">
        <v>621</v>
      </c>
      <c r="AK15">
        <v>1</v>
      </c>
      <c r="AL15" t="s">
        <v>622</v>
      </c>
      <c r="AM15">
        <v>7</v>
      </c>
      <c r="AN15" t="s">
        <v>652</v>
      </c>
      <c r="AO15">
        <v>2</v>
      </c>
      <c r="AP15" t="s">
        <v>624</v>
      </c>
      <c r="AQ15">
        <v>1</v>
      </c>
      <c r="AR15" t="s">
        <v>653</v>
      </c>
      <c r="AS15">
        <v>2</v>
      </c>
      <c r="AT15">
        <v>1</v>
      </c>
      <c r="AU15" s="91">
        <v>44841</v>
      </c>
      <c r="AV15" s="92">
        <v>45397.604166666664</v>
      </c>
      <c r="AW15" s="91">
        <v>44845</v>
      </c>
      <c r="AX15">
        <v>2</v>
      </c>
      <c r="AY15" t="s">
        <v>626</v>
      </c>
      <c r="AZ15" s="91">
        <v>44841</v>
      </c>
      <c r="BA15" s="92">
        <v>45397.606249999997</v>
      </c>
      <c r="BB15" t="s">
        <v>612</v>
      </c>
      <c r="BC15" t="s">
        <v>612</v>
      </c>
      <c r="BD15">
        <v>128</v>
      </c>
      <c r="BE15">
        <v>48.901325</v>
      </c>
      <c r="BF15">
        <v>-102.546008</v>
      </c>
      <c r="BG15">
        <v>1</v>
      </c>
      <c r="BH15">
        <v>52</v>
      </c>
      <c r="BI15" t="s">
        <v>612</v>
      </c>
      <c r="BJ15" t="s">
        <v>612</v>
      </c>
      <c r="BK15">
        <v>6.94</v>
      </c>
      <c r="BL15">
        <v>6.94</v>
      </c>
      <c r="BM15" t="s">
        <v>612</v>
      </c>
      <c r="BN15" t="s">
        <v>612</v>
      </c>
      <c r="BO15" t="s">
        <v>612</v>
      </c>
      <c r="BP15" t="s">
        <v>612</v>
      </c>
      <c r="BQ15" t="s">
        <v>612</v>
      </c>
      <c r="BR15" t="s">
        <v>612</v>
      </c>
      <c r="BS15" t="s">
        <v>612</v>
      </c>
      <c r="BT15" t="s">
        <v>612</v>
      </c>
      <c r="BU15" t="s">
        <v>612</v>
      </c>
      <c r="BV15" t="s">
        <v>612</v>
      </c>
      <c r="BW15" t="s">
        <v>612</v>
      </c>
      <c r="BX15">
        <v>0</v>
      </c>
      <c r="BY15" t="s">
        <v>627</v>
      </c>
      <c r="BZ15" t="s">
        <v>627</v>
      </c>
      <c r="CA15" t="s">
        <v>612</v>
      </c>
      <c r="CB15" t="s">
        <v>724</v>
      </c>
      <c r="CC15" t="s">
        <v>629</v>
      </c>
      <c r="CD15" t="s">
        <v>629</v>
      </c>
      <c r="CE15" t="s">
        <v>630</v>
      </c>
      <c r="CF15" t="s">
        <v>630</v>
      </c>
      <c r="CG15" t="s">
        <v>630</v>
      </c>
      <c r="CH15" t="s">
        <v>655</v>
      </c>
      <c r="CI15" t="s">
        <v>630</v>
      </c>
      <c r="CJ15" t="s">
        <v>668</v>
      </c>
      <c r="CK15" t="s">
        <v>632</v>
      </c>
      <c r="CL15" t="s">
        <v>669</v>
      </c>
      <c r="CM15" t="s">
        <v>612</v>
      </c>
      <c r="CN15" t="s">
        <v>635</v>
      </c>
      <c r="CO15" t="s">
        <v>725</v>
      </c>
      <c r="CP15" t="s">
        <v>658</v>
      </c>
      <c r="CQ15" t="s">
        <v>736</v>
      </c>
      <c r="CR15">
        <v>76</v>
      </c>
      <c r="CS15" t="s">
        <v>626</v>
      </c>
      <c r="CT15" t="s">
        <v>737</v>
      </c>
      <c r="CU15" t="s">
        <v>721</v>
      </c>
      <c r="CV15" t="s">
        <v>640</v>
      </c>
      <c r="CW15" t="s">
        <v>673</v>
      </c>
      <c r="CX15" t="s">
        <v>738</v>
      </c>
      <c r="CY15" t="s">
        <v>689</v>
      </c>
      <c r="CZ15" t="s">
        <v>643</v>
      </c>
      <c r="DA15">
        <v>65</v>
      </c>
      <c r="DB15" t="s">
        <v>608</v>
      </c>
      <c r="DC15" t="s">
        <v>612</v>
      </c>
      <c r="DD15" t="s">
        <v>612</v>
      </c>
      <c r="DE15" t="s">
        <v>612</v>
      </c>
      <c r="DF15" t="s">
        <v>612</v>
      </c>
      <c r="DG15" t="s">
        <v>612</v>
      </c>
      <c r="DH15" t="s">
        <v>612</v>
      </c>
      <c r="DI15" t="s">
        <v>612</v>
      </c>
      <c r="DJ15" t="s">
        <v>612</v>
      </c>
      <c r="DK15" t="s">
        <v>612</v>
      </c>
      <c r="DL15" t="s">
        <v>612</v>
      </c>
      <c r="DM15" t="s">
        <v>612</v>
      </c>
      <c r="DN15" t="s">
        <v>612</v>
      </c>
      <c r="DO15" t="s">
        <v>612</v>
      </c>
      <c r="DP15" t="s">
        <v>612</v>
      </c>
      <c r="DQ15" t="s">
        <v>612</v>
      </c>
      <c r="DR15" t="s">
        <v>612</v>
      </c>
      <c r="DS15" t="s">
        <v>612</v>
      </c>
      <c r="DT15" t="s">
        <v>612</v>
      </c>
      <c r="DU15" t="s">
        <v>612</v>
      </c>
      <c r="DV15" t="s">
        <v>612</v>
      </c>
      <c r="DW15" t="s">
        <v>612</v>
      </c>
      <c r="DX15" t="s">
        <v>612</v>
      </c>
      <c r="DY15" t="s">
        <v>612</v>
      </c>
      <c r="DZ15" t="s">
        <v>612</v>
      </c>
      <c r="EA15" t="s">
        <v>612</v>
      </c>
      <c r="EB15" t="s">
        <v>612</v>
      </c>
      <c r="EC15" t="s">
        <v>612</v>
      </c>
      <c r="ED15" t="s">
        <v>612</v>
      </c>
      <c r="EE15" t="s">
        <v>612</v>
      </c>
      <c r="EF15" t="s">
        <v>612</v>
      </c>
      <c r="EG15" t="s">
        <v>612</v>
      </c>
      <c r="EH15" t="s">
        <v>612</v>
      </c>
      <c r="EI15">
        <v>14</v>
      </c>
      <c r="EJ15" t="s">
        <v>727</v>
      </c>
      <c r="EK15" t="s">
        <v>648</v>
      </c>
      <c r="EL15">
        <v>0</v>
      </c>
      <c r="EM15">
        <v>0</v>
      </c>
      <c r="EN15">
        <v>0</v>
      </c>
      <c r="EO15">
        <v>-1</v>
      </c>
      <c r="EP15">
        <v>0</v>
      </c>
    </row>
    <row r="16" spans="1:148" x14ac:dyDescent="0.25">
      <c r="A16">
        <v>15</v>
      </c>
      <c r="B16" t="s">
        <v>606</v>
      </c>
      <c r="C16">
        <v>1</v>
      </c>
      <c r="D16">
        <v>3046</v>
      </c>
      <c r="E16">
        <v>311187</v>
      </c>
      <c r="F16">
        <v>1077784</v>
      </c>
      <c r="G16">
        <v>7</v>
      </c>
      <c r="H16" t="s">
        <v>722</v>
      </c>
      <c r="I16">
        <v>0</v>
      </c>
      <c r="J16" t="s">
        <v>608</v>
      </c>
      <c r="K16">
        <v>3</v>
      </c>
      <c r="L16" t="s">
        <v>609</v>
      </c>
      <c r="M16">
        <v>1</v>
      </c>
      <c r="N16" t="s">
        <v>676</v>
      </c>
      <c r="O16">
        <v>1</v>
      </c>
      <c r="P16" t="s">
        <v>611</v>
      </c>
      <c r="Q16" t="s">
        <v>612</v>
      </c>
      <c r="R16" t="s">
        <v>612</v>
      </c>
      <c r="S16">
        <v>1</v>
      </c>
      <c r="T16" t="s">
        <v>613</v>
      </c>
      <c r="U16">
        <v>1</v>
      </c>
      <c r="V16" t="s">
        <v>614</v>
      </c>
      <c r="W16">
        <v>1</v>
      </c>
      <c r="X16" t="s">
        <v>615</v>
      </c>
      <c r="Y16">
        <v>1</v>
      </c>
      <c r="Z16" t="s">
        <v>616</v>
      </c>
      <c r="AA16">
        <v>0</v>
      </c>
      <c r="AB16" t="s">
        <v>617</v>
      </c>
      <c r="AC16">
        <v>1</v>
      </c>
      <c r="AD16" t="s">
        <v>618</v>
      </c>
      <c r="AE16">
        <v>1</v>
      </c>
      <c r="AF16" t="s">
        <v>619</v>
      </c>
      <c r="AG16">
        <v>6</v>
      </c>
      <c r="AH16" t="s">
        <v>620</v>
      </c>
      <c r="AI16">
        <v>3</v>
      </c>
      <c r="AJ16" t="s">
        <v>621</v>
      </c>
      <c r="AK16">
        <v>1</v>
      </c>
      <c r="AL16" t="s">
        <v>622</v>
      </c>
      <c r="AM16">
        <v>2</v>
      </c>
      <c r="AN16" t="s">
        <v>623</v>
      </c>
      <c r="AO16">
        <v>2</v>
      </c>
      <c r="AP16" t="s">
        <v>624</v>
      </c>
      <c r="AQ16">
        <v>1</v>
      </c>
      <c r="AR16" t="s">
        <v>653</v>
      </c>
      <c r="AS16">
        <v>2</v>
      </c>
      <c r="AT16">
        <v>1</v>
      </c>
      <c r="AU16" s="91">
        <v>43594</v>
      </c>
      <c r="AV16" s="92">
        <v>45397.3</v>
      </c>
      <c r="AW16" s="91">
        <v>43595</v>
      </c>
      <c r="AX16">
        <v>2</v>
      </c>
      <c r="AY16" t="s">
        <v>626</v>
      </c>
      <c r="AZ16" s="91">
        <v>43594</v>
      </c>
      <c r="BA16" s="92">
        <v>45397.305555555555</v>
      </c>
      <c r="BB16" t="s">
        <v>612</v>
      </c>
      <c r="BC16" t="s">
        <v>612</v>
      </c>
      <c r="BD16">
        <v>61</v>
      </c>
      <c r="BE16">
        <v>48.902304999999998</v>
      </c>
      <c r="BF16">
        <v>-102.546004</v>
      </c>
      <c r="BG16">
        <v>1</v>
      </c>
      <c r="BH16">
        <v>52</v>
      </c>
      <c r="BI16" t="s">
        <v>612</v>
      </c>
      <c r="BJ16" t="s">
        <v>612</v>
      </c>
      <c r="BK16">
        <v>6.87</v>
      </c>
      <c r="BL16">
        <v>6.87</v>
      </c>
      <c r="BM16" t="s">
        <v>612</v>
      </c>
      <c r="BN16" t="s">
        <v>612</v>
      </c>
      <c r="BO16" t="s">
        <v>612</v>
      </c>
      <c r="BP16" t="s">
        <v>612</v>
      </c>
      <c r="BQ16" t="s">
        <v>612</v>
      </c>
      <c r="BR16" t="s">
        <v>612</v>
      </c>
      <c r="BS16" t="s">
        <v>612</v>
      </c>
      <c r="BT16" t="s">
        <v>612</v>
      </c>
      <c r="BU16" t="s">
        <v>612</v>
      </c>
      <c r="BV16" t="s">
        <v>612</v>
      </c>
      <c r="BW16" t="s">
        <v>612</v>
      </c>
      <c r="BX16">
        <v>0</v>
      </c>
      <c r="BY16" t="s">
        <v>627</v>
      </c>
      <c r="BZ16" t="s">
        <v>627</v>
      </c>
      <c r="CA16" t="s">
        <v>612</v>
      </c>
      <c r="CB16" t="s">
        <v>719</v>
      </c>
      <c r="CC16" t="s">
        <v>629</v>
      </c>
      <c r="CD16" t="s">
        <v>629</v>
      </c>
      <c r="CE16" t="s">
        <v>630</v>
      </c>
      <c r="CF16" t="s">
        <v>630</v>
      </c>
      <c r="CG16" t="s">
        <v>630</v>
      </c>
      <c r="CH16" t="s">
        <v>630</v>
      </c>
      <c r="CI16" t="s">
        <v>655</v>
      </c>
      <c r="CJ16" t="s">
        <v>678</v>
      </c>
      <c r="CK16" t="s">
        <v>632</v>
      </c>
      <c r="CL16" t="s">
        <v>679</v>
      </c>
      <c r="CM16" t="s">
        <v>634</v>
      </c>
      <c r="CN16" t="s">
        <v>608</v>
      </c>
      <c r="CO16" t="s">
        <v>725</v>
      </c>
      <c r="CP16" t="s">
        <v>658</v>
      </c>
      <c r="CQ16" t="s">
        <v>611</v>
      </c>
      <c r="CR16">
        <v>31</v>
      </c>
      <c r="CS16" t="s">
        <v>671</v>
      </c>
      <c r="CT16" t="s">
        <v>739</v>
      </c>
      <c r="CU16" t="s">
        <v>639</v>
      </c>
      <c r="CV16" t="s">
        <v>640</v>
      </c>
      <c r="CW16" t="s">
        <v>659</v>
      </c>
      <c r="CX16" t="s">
        <v>740</v>
      </c>
      <c r="CY16" t="s">
        <v>675</v>
      </c>
      <c r="CZ16" t="s">
        <v>643</v>
      </c>
      <c r="DA16">
        <v>65</v>
      </c>
      <c r="DB16" t="s">
        <v>608</v>
      </c>
      <c r="DC16" t="s">
        <v>631</v>
      </c>
      <c r="DD16" t="s">
        <v>725</v>
      </c>
      <c r="DE16" t="s">
        <v>608</v>
      </c>
      <c r="DF16" t="s">
        <v>658</v>
      </c>
      <c r="DG16" t="s">
        <v>611</v>
      </c>
      <c r="DH16">
        <v>65</v>
      </c>
      <c r="DI16" t="s">
        <v>626</v>
      </c>
      <c r="DJ16" t="s">
        <v>741</v>
      </c>
      <c r="DK16" t="s">
        <v>682</v>
      </c>
      <c r="DL16" t="s">
        <v>640</v>
      </c>
      <c r="DM16" t="s">
        <v>673</v>
      </c>
      <c r="DN16" t="s">
        <v>642</v>
      </c>
      <c r="DO16" t="s">
        <v>608</v>
      </c>
      <c r="DP16" t="s">
        <v>643</v>
      </c>
      <c r="DQ16">
        <v>65</v>
      </c>
      <c r="DR16" t="s">
        <v>608</v>
      </c>
      <c r="DS16" t="s">
        <v>612</v>
      </c>
      <c r="DT16" t="s">
        <v>612</v>
      </c>
      <c r="DU16" t="s">
        <v>612</v>
      </c>
      <c r="DV16" t="s">
        <v>612</v>
      </c>
      <c r="DW16" t="s">
        <v>612</v>
      </c>
      <c r="DX16" t="s">
        <v>612</v>
      </c>
      <c r="DY16" t="s">
        <v>612</v>
      </c>
      <c r="DZ16" t="s">
        <v>612</v>
      </c>
      <c r="EA16" t="s">
        <v>612</v>
      </c>
      <c r="EB16" t="s">
        <v>612</v>
      </c>
      <c r="EC16" t="s">
        <v>612</v>
      </c>
      <c r="ED16" t="s">
        <v>612</v>
      </c>
      <c r="EE16" t="s">
        <v>612</v>
      </c>
      <c r="EF16" t="s">
        <v>612</v>
      </c>
      <c r="EG16" t="s">
        <v>612</v>
      </c>
      <c r="EH16" t="s">
        <v>612</v>
      </c>
      <c r="EI16">
        <v>7</v>
      </c>
      <c r="EJ16" t="s">
        <v>727</v>
      </c>
      <c r="EK16" t="s">
        <v>648</v>
      </c>
      <c r="EL16">
        <v>0</v>
      </c>
      <c r="EM16">
        <v>0</v>
      </c>
      <c r="EN16">
        <v>0</v>
      </c>
      <c r="EO16">
        <v>-1</v>
      </c>
      <c r="EP16">
        <v>0</v>
      </c>
    </row>
    <row r="17" spans="1:146" x14ac:dyDescent="0.25">
      <c r="A17">
        <v>16</v>
      </c>
      <c r="B17" t="s">
        <v>606</v>
      </c>
      <c r="C17">
        <v>1</v>
      </c>
      <c r="D17">
        <v>3068</v>
      </c>
      <c r="E17">
        <v>251284</v>
      </c>
      <c r="F17">
        <v>1013664</v>
      </c>
      <c r="G17">
        <v>7</v>
      </c>
      <c r="H17" t="s">
        <v>722</v>
      </c>
      <c r="I17">
        <v>0</v>
      </c>
      <c r="J17" t="s">
        <v>608</v>
      </c>
      <c r="K17">
        <v>1</v>
      </c>
      <c r="L17" t="s">
        <v>662</v>
      </c>
      <c r="M17">
        <v>1</v>
      </c>
      <c r="N17" t="s">
        <v>676</v>
      </c>
      <c r="O17">
        <v>1</v>
      </c>
      <c r="P17" t="s">
        <v>611</v>
      </c>
      <c r="Q17" t="s">
        <v>612</v>
      </c>
      <c r="R17" t="s">
        <v>612</v>
      </c>
      <c r="S17">
        <v>1</v>
      </c>
      <c r="T17" t="s">
        <v>613</v>
      </c>
      <c r="U17">
        <v>1</v>
      </c>
      <c r="V17" t="s">
        <v>614</v>
      </c>
      <c r="W17">
        <v>1</v>
      </c>
      <c r="X17" t="s">
        <v>615</v>
      </c>
      <c r="Y17">
        <v>3</v>
      </c>
      <c r="Z17" t="s">
        <v>742</v>
      </c>
      <c r="AA17">
        <v>0</v>
      </c>
      <c r="AB17" t="s">
        <v>617</v>
      </c>
      <c r="AC17">
        <v>1</v>
      </c>
      <c r="AD17" t="s">
        <v>618</v>
      </c>
      <c r="AE17">
        <v>2</v>
      </c>
      <c r="AF17" t="s">
        <v>743</v>
      </c>
      <c r="AG17">
        <v>1</v>
      </c>
      <c r="AH17" t="s">
        <v>651</v>
      </c>
      <c r="AI17">
        <v>2</v>
      </c>
      <c r="AJ17" t="s">
        <v>728</v>
      </c>
      <c r="AK17">
        <v>1</v>
      </c>
      <c r="AL17" t="s">
        <v>622</v>
      </c>
      <c r="AM17">
        <v>2</v>
      </c>
      <c r="AN17" t="s">
        <v>623</v>
      </c>
      <c r="AO17">
        <v>2</v>
      </c>
      <c r="AP17" t="s">
        <v>624</v>
      </c>
      <c r="AQ17">
        <v>1</v>
      </c>
      <c r="AR17" t="s">
        <v>653</v>
      </c>
      <c r="AS17">
        <v>2</v>
      </c>
      <c r="AT17">
        <v>1</v>
      </c>
      <c r="AU17" s="91">
        <v>42550</v>
      </c>
      <c r="AV17" s="92">
        <v>45397.727777777778</v>
      </c>
      <c r="AW17" s="91">
        <v>42558</v>
      </c>
      <c r="AX17">
        <v>2</v>
      </c>
      <c r="AY17" t="s">
        <v>626</v>
      </c>
      <c r="AZ17" s="91">
        <v>42550</v>
      </c>
      <c r="BA17" s="92">
        <v>45397.728472222225</v>
      </c>
      <c r="BB17" t="s">
        <v>612</v>
      </c>
      <c r="BC17" t="s">
        <v>612</v>
      </c>
      <c r="BD17">
        <v>16004579</v>
      </c>
      <c r="BE17">
        <v>48.894244999999998</v>
      </c>
      <c r="BF17">
        <v>-102.255492</v>
      </c>
      <c r="BG17">
        <v>1</v>
      </c>
      <c r="BH17">
        <v>52</v>
      </c>
      <c r="BI17" t="s">
        <v>612</v>
      </c>
      <c r="BJ17" t="s">
        <v>612</v>
      </c>
      <c r="BK17">
        <v>20.651</v>
      </c>
      <c r="BL17">
        <v>20.651</v>
      </c>
      <c r="BM17" t="s">
        <v>612</v>
      </c>
      <c r="BN17" t="s">
        <v>612</v>
      </c>
      <c r="BO17" t="s">
        <v>612</v>
      </c>
      <c r="BP17" t="s">
        <v>612</v>
      </c>
      <c r="BQ17" t="s">
        <v>612</v>
      </c>
      <c r="BR17" t="s">
        <v>612</v>
      </c>
      <c r="BS17" t="s">
        <v>612</v>
      </c>
      <c r="BT17" t="s">
        <v>612</v>
      </c>
      <c r="BU17" t="s">
        <v>612</v>
      </c>
      <c r="BV17" t="s">
        <v>612</v>
      </c>
      <c r="BW17" t="s">
        <v>612</v>
      </c>
      <c r="BX17">
        <v>0</v>
      </c>
      <c r="BY17" t="s">
        <v>627</v>
      </c>
      <c r="BZ17" t="s">
        <v>627</v>
      </c>
      <c r="CA17" t="s">
        <v>612</v>
      </c>
      <c r="CB17" t="s">
        <v>701</v>
      </c>
      <c r="CC17" t="s">
        <v>629</v>
      </c>
      <c r="CD17" t="s">
        <v>629</v>
      </c>
      <c r="CE17" t="s">
        <v>630</v>
      </c>
      <c r="CF17" t="s">
        <v>630</v>
      </c>
      <c r="CG17" t="s">
        <v>630</v>
      </c>
      <c r="CH17" t="s">
        <v>630</v>
      </c>
      <c r="CI17" t="s">
        <v>655</v>
      </c>
      <c r="CJ17" t="s">
        <v>678</v>
      </c>
      <c r="CK17" t="s">
        <v>632</v>
      </c>
      <c r="CL17" t="s">
        <v>669</v>
      </c>
      <c r="CM17" t="s">
        <v>634</v>
      </c>
      <c r="CN17" t="s">
        <v>608</v>
      </c>
      <c r="CO17" t="s">
        <v>636</v>
      </c>
      <c r="CP17" t="s">
        <v>658</v>
      </c>
      <c r="CQ17" t="s">
        <v>611</v>
      </c>
      <c r="CR17">
        <v>45</v>
      </c>
      <c r="CS17" t="s">
        <v>626</v>
      </c>
      <c r="CT17" t="s">
        <v>744</v>
      </c>
      <c r="CU17" t="s">
        <v>639</v>
      </c>
      <c r="CV17" t="s">
        <v>640</v>
      </c>
      <c r="CW17" t="s">
        <v>659</v>
      </c>
      <c r="CX17" t="s">
        <v>740</v>
      </c>
      <c r="CY17" t="s">
        <v>745</v>
      </c>
      <c r="CZ17" t="s">
        <v>643</v>
      </c>
      <c r="DA17">
        <v>65</v>
      </c>
      <c r="DB17" t="s">
        <v>608</v>
      </c>
      <c r="DC17" t="s">
        <v>678</v>
      </c>
      <c r="DD17" t="s">
        <v>636</v>
      </c>
      <c r="DE17" t="s">
        <v>608</v>
      </c>
      <c r="DF17" t="s">
        <v>658</v>
      </c>
      <c r="DG17" t="s">
        <v>611</v>
      </c>
      <c r="DH17">
        <v>39</v>
      </c>
      <c r="DI17" t="s">
        <v>626</v>
      </c>
      <c r="DJ17" t="s">
        <v>746</v>
      </c>
      <c r="DK17" t="s">
        <v>682</v>
      </c>
      <c r="DL17" t="s">
        <v>640</v>
      </c>
      <c r="DM17" t="s">
        <v>673</v>
      </c>
      <c r="DN17" t="s">
        <v>642</v>
      </c>
      <c r="DO17" t="s">
        <v>608</v>
      </c>
      <c r="DP17" t="s">
        <v>643</v>
      </c>
      <c r="DQ17">
        <v>65</v>
      </c>
      <c r="DR17" t="s">
        <v>608</v>
      </c>
      <c r="DS17" t="s">
        <v>612</v>
      </c>
      <c r="DT17" t="s">
        <v>612</v>
      </c>
      <c r="DU17" t="s">
        <v>612</v>
      </c>
      <c r="DV17" t="s">
        <v>612</v>
      </c>
      <c r="DW17" t="s">
        <v>612</v>
      </c>
      <c r="DX17" t="s">
        <v>612</v>
      </c>
      <c r="DY17" t="s">
        <v>612</v>
      </c>
      <c r="DZ17" t="s">
        <v>612</v>
      </c>
      <c r="EA17" t="s">
        <v>612</v>
      </c>
      <c r="EB17" t="s">
        <v>612</v>
      </c>
      <c r="EC17" t="s">
        <v>612</v>
      </c>
      <c r="ED17" t="s">
        <v>612</v>
      </c>
      <c r="EE17" t="s">
        <v>612</v>
      </c>
      <c r="EF17" t="s">
        <v>612</v>
      </c>
      <c r="EG17" t="s">
        <v>612</v>
      </c>
      <c r="EH17" t="s">
        <v>612</v>
      </c>
      <c r="EI17">
        <v>17</v>
      </c>
      <c r="EJ17" t="s">
        <v>747</v>
      </c>
      <c r="EK17" t="s">
        <v>648</v>
      </c>
      <c r="EL17">
        <v>0</v>
      </c>
      <c r="EM17">
        <v>0</v>
      </c>
      <c r="EN17">
        <v>0</v>
      </c>
      <c r="EO17">
        <v>-1</v>
      </c>
      <c r="EP17">
        <v>0</v>
      </c>
    </row>
    <row r="18" spans="1:146" x14ac:dyDescent="0.25">
      <c r="A18">
        <v>17</v>
      </c>
      <c r="B18" t="s">
        <v>606</v>
      </c>
      <c r="C18">
        <v>1</v>
      </c>
      <c r="D18">
        <v>3069</v>
      </c>
      <c r="E18">
        <v>251288</v>
      </c>
      <c r="F18">
        <v>1013668</v>
      </c>
      <c r="G18">
        <v>7</v>
      </c>
      <c r="H18" t="s">
        <v>722</v>
      </c>
      <c r="I18">
        <v>0</v>
      </c>
      <c r="J18" t="s">
        <v>608</v>
      </c>
      <c r="K18">
        <v>3</v>
      </c>
      <c r="L18" t="s">
        <v>609</v>
      </c>
      <c r="M18">
        <v>1</v>
      </c>
      <c r="N18" t="s">
        <v>676</v>
      </c>
      <c r="O18">
        <v>1</v>
      </c>
      <c r="P18" t="s">
        <v>611</v>
      </c>
      <c r="Q18" t="s">
        <v>612</v>
      </c>
      <c r="R18" t="s">
        <v>612</v>
      </c>
      <c r="S18">
        <v>1</v>
      </c>
      <c r="T18" t="s">
        <v>613</v>
      </c>
      <c r="U18">
        <v>1</v>
      </c>
      <c r="V18" t="s">
        <v>614</v>
      </c>
      <c r="W18">
        <v>1</v>
      </c>
      <c r="X18" t="s">
        <v>615</v>
      </c>
      <c r="Y18">
        <v>3</v>
      </c>
      <c r="Z18" t="s">
        <v>742</v>
      </c>
      <c r="AA18">
        <v>0</v>
      </c>
      <c r="AB18" t="s">
        <v>617</v>
      </c>
      <c r="AC18">
        <v>4</v>
      </c>
      <c r="AD18" t="s">
        <v>748</v>
      </c>
      <c r="AE18">
        <v>2</v>
      </c>
      <c r="AF18" t="s">
        <v>743</v>
      </c>
      <c r="AG18">
        <v>6</v>
      </c>
      <c r="AH18" t="s">
        <v>620</v>
      </c>
      <c r="AI18">
        <v>3</v>
      </c>
      <c r="AJ18" t="s">
        <v>621</v>
      </c>
      <c r="AK18">
        <v>1</v>
      </c>
      <c r="AL18" t="s">
        <v>622</v>
      </c>
      <c r="AM18">
        <v>2</v>
      </c>
      <c r="AN18" t="s">
        <v>623</v>
      </c>
      <c r="AO18">
        <v>2</v>
      </c>
      <c r="AP18" t="s">
        <v>624</v>
      </c>
      <c r="AQ18">
        <v>1</v>
      </c>
      <c r="AR18" t="s">
        <v>653</v>
      </c>
      <c r="AS18">
        <v>2</v>
      </c>
      <c r="AT18">
        <v>1</v>
      </c>
      <c r="AU18" s="91">
        <v>42550</v>
      </c>
      <c r="AV18" s="92">
        <v>45397.725694444445</v>
      </c>
      <c r="AW18" s="91">
        <v>42553</v>
      </c>
      <c r="AX18">
        <v>2</v>
      </c>
      <c r="AY18" t="s">
        <v>626</v>
      </c>
      <c r="AZ18" s="91">
        <v>42550</v>
      </c>
      <c r="BA18" s="92">
        <v>45397.728472222225</v>
      </c>
      <c r="BB18" t="s">
        <v>612</v>
      </c>
      <c r="BC18" t="s">
        <v>612</v>
      </c>
      <c r="BD18">
        <v>126</v>
      </c>
      <c r="BE18">
        <v>48.894252000000002</v>
      </c>
      <c r="BF18">
        <v>-102.25196</v>
      </c>
      <c r="BG18">
        <v>1</v>
      </c>
      <c r="BH18">
        <v>52</v>
      </c>
      <c r="BI18" t="s">
        <v>612</v>
      </c>
      <c r="BJ18" t="s">
        <v>612</v>
      </c>
      <c r="BK18">
        <v>21.18</v>
      </c>
      <c r="BL18">
        <v>21.18</v>
      </c>
      <c r="BM18" t="s">
        <v>612</v>
      </c>
      <c r="BN18" t="s">
        <v>612</v>
      </c>
      <c r="BO18" t="s">
        <v>612</v>
      </c>
      <c r="BP18" t="s">
        <v>612</v>
      </c>
      <c r="BQ18" t="s">
        <v>612</v>
      </c>
      <c r="BR18" t="s">
        <v>612</v>
      </c>
      <c r="BS18" t="s">
        <v>612</v>
      </c>
      <c r="BT18" t="s">
        <v>612</v>
      </c>
      <c r="BU18" t="s">
        <v>612</v>
      </c>
      <c r="BV18" t="s">
        <v>612</v>
      </c>
      <c r="BW18" t="s">
        <v>612</v>
      </c>
      <c r="BX18">
        <v>0</v>
      </c>
      <c r="BY18" t="s">
        <v>627</v>
      </c>
      <c r="BZ18" t="s">
        <v>627</v>
      </c>
      <c r="CA18" t="s">
        <v>612</v>
      </c>
      <c r="CB18" t="s">
        <v>701</v>
      </c>
      <c r="CC18" t="s">
        <v>629</v>
      </c>
      <c r="CD18" t="s">
        <v>629</v>
      </c>
      <c r="CE18" t="s">
        <v>655</v>
      </c>
      <c r="CF18" t="s">
        <v>655</v>
      </c>
      <c r="CG18" t="s">
        <v>630</v>
      </c>
      <c r="CH18" t="s">
        <v>630</v>
      </c>
      <c r="CI18" t="s">
        <v>655</v>
      </c>
      <c r="CJ18" t="s">
        <v>668</v>
      </c>
      <c r="CK18" t="s">
        <v>632</v>
      </c>
      <c r="CL18" t="s">
        <v>749</v>
      </c>
      <c r="CM18" t="s">
        <v>634</v>
      </c>
      <c r="CN18" t="s">
        <v>635</v>
      </c>
      <c r="CO18" t="s">
        <v>636</v>
      </c>
      <c r="CP18" t="s">
        <v>658</v>
      </c>
      <c r="CQ18" t="s">
        <v>611</v>
      </c>
      <c r="CR18">
        <v>18</v>
      </c>
      <c r="CS18" t="s">
        <v>626</v>
      </c>
      <c r="CT18" t="s">
        <v>750</v>
      </c>
      <c r="CU18" t="s">
        <v>639</v>
      </c>
      <c r="CV18" t="s">
        <v>640</v>
      </c>
      <c r="CW18" t="s">
        <v>659</v>
      </c>
      <c r="CX18" t="s">
        <v>674</v>
      </c>
      <c r="CY18" t="s">
        <v>689</v>
      </c>
      <c r="CZ18" t="s">
        <v>643</v>
      </c>
      <c r="DA18">
        <v>65</v>
      </c>
      <c r="DB18" t="s">
        <v>608</v>
      </c>
      <c r="DC18" t="s">
        <v>678</v>
      </c>
      <c r="DD18" t="s">
        <v>636</v>
      </c>
      <c r="DE18" t="s">
        <v>635</v>
      </c>
      <c r="DF18" t="s">
        <v>658</v>
      </c>
      <c r="DG18" t="s">
        <v>611</v>
      </c>
      <c r="DH18" t="s">
        <v>612</v>
      </c>
      <c r="DI18" t="s">
        <v>612</v>
      </c>
      <c r="DJ18" t="s">
        <v>612</v>
      </c>
      <c r="DK18" t="s">
        <v>612</v>
      </c>
      <c r="DL18" t="s">
        <v>612</v>
      </c>
      <c r="DM18" t="s">
        <v>612</v>
      </c>
      <c r="DN18" t="s">
        <v>683</v>
      </c>
      <c r="DO18" t="s">
        <v>608</v>
      </c>
      <c r="DP18" t="s">
        <v>612</v>
      </c>
      <c r="DQ18">
        <v>65</v>
      </c>
      <c r="DR18" t="s">
        <v>608</v>
      </c>
      <c r="DS18" t="s">
        <v>612</v>
      </c>
      <c r="DT18" t="s">
        <v>612</v>
      </c>
      <c r="DU18" t="s">
        <v>612</v>
      </c>
      <c r="DV18" t="s">
        <v>612</v>
      </c>
      <c r="DW18" t="s">
        <v>612</v>
      </c>
      <c r="DX18" t="s">
        <v>612</v>
      </c>
      <c r="DY18" t="s">
        <v>612</v>
      </c>
      <c r="DZ18" t="s">
        <v>612</v>
      </c>
      <c r="EA18" t="s">
        <v>612</v>
      </c>
      <c r="EB18" t="s">
        <v>612</v>
      </c>
      <c r="EC18" t="s">
        <v>612</v>
      </c>
      <c r="ED18" t="s">
        <v>612</v>
      </c>
      <c r="EE18" t="s">
        <v>612</v>
      </c>
      <c r="EF18" t="s">
        <v>612</v>
      </c>
      <c r="EG18" t="s">
        <v>612</v>
      </c>
      <c r="EH18" t="s">
        <v>612</v>
      </c>
      <c r="EI18">
        <v>17</v>
      </c>
      <c r="EJ18" t="s">
        <v>747</v>
      </c>
      <c r="EK18" t="s">
        <v>648</v>
      </c>
      <c r="EL18">
        <v>0</v>
      </c>
      <c r="EM18">
        <v>0</v>
      </c>
      <c r="EN18">
        <v>0</v>
      </c>
      <c r="EO18">
        <v>-1</v>
      </c>
      <c r="EP18">
        <v>0</v>
      </c>
    </row>
    <row r="19" spans="1:146" x14ac:dyDescent="0.25">
      <c r="A19">
        <v>18</v>
      </c>
      <c r="B19" t="s">
        <v>606</v>
      </c>
      <c r="C19">
        <v>1</v>
      </c>
      <c r="D19">
        <v>3070</v>
      </c>
      <c r="E19">
        <v>312377</v>
      </c>
      <c r="F19">
        <v>1079050</v>
      </c>
      <c r="G19">
        <v>7</v>
      </c>
      <c r="H19" t="s">
        <v>722</v>
      </c>
      <c r="I19">
        <v>0</v>
      </c>
      <c r="J19" t="s">
        <v>608</v>
      </c>
      <c r="K19">
        <v>3</v>
      </c>
      <c r="L19" t="s">
        <v>609</v>
      </c>
      <c r="M19">
        <v>1</v>
      </c>
      <c r="N19" t="s">
        <v>676</v>
      </c>
      <c r="O19">
        <v>1</v>
      </c>
      <c r="P19" t="s">
        <v>611</v>
      </c>
      <c r="Q19" t="s">
        <v>612</v>
      </c>
      <c r="R19" t="s">
        <v>612</v>
      </c>
      <c r="S19">
        <v>1</v>
      </c>
      <c r="T19" t="s">
        <v>613</v>
      </c>
      <c r="U19">
        <v>1</v>
      </c>
      <c r="V19" t="s">
        <v>614</v>
      </c>
      <c r="W19">
        <v>1</v>
      </c>
      <c r="X19" t="s">
        <v>615</v>
      </c>
      <c r="Y19">
        <v>1</v>
      </c>
      <c r="Z19" t="s">
        <v>616</v>
      </c>
      <c r="AA19">
        <v>1</v>
      </c>
      <c r="AB19" t="s">
        <v>723</v>
      </c>
      <c r="AC19">
        <v>1</v>
      </c>
      <c r="AD19" t="s">
        <v>618</v>
      </c>
      <c r="AE19">
        <v>1</v>
      </c>
      <c r="AF19" t="s">
        <v>619</v>
      </c>
      <c r="AG19">
        <v>4</v>
      </c>
      <c r="AH19" t="s">
        <v>751</v>
      </c>
      <c r="AI19">
        <v>3</v>
      </c>
      <c r="AJ19" t="s">
        <v>621</v>
      </c>
      <c r="AK19">
        <v>1</v>
      </c>
      <c r="AL19" t="s">
        <v>622</v>
      </c>
      <c r="AM19">
        <v>4</v>
      </c>
      <c r="AN19" t="s">
        <v>752</v>
      </c>
      <c r="AO19">
        <v>2</v>
      </c>
      <c r="AP19" t="s">
        <v>624</v>
      </c>
      <c r="AQ19">
        <v>1</v>
      </c>
      <c r="AR19" t="s">
        <v>653</v>
      </c>
      <c r="AS19">
        <v>2</v>
      </c>
      <c r="AT19">
        <v>1</v>
      </c>
      <c r="AU19" s="91">
        <v>43619</v>
      </c>
      <c r="AV19" s="92">
        <v>45397.503472222219</v>
      </c>
      <c r="AW19" s="91">
        <v>43622</v>
      </c>
      <c r="AX19">
        <v>2</v>
      </c>
      <c r="AY19" t="s">
        <v>626</v>
      </c>
      <c r="AZ19" s="91">
        <v>43619</v>
      </c>
      <c r="BA19" s="92">
        <v>45397.506944444445</v>
      </c>
      <c r="BB19" t="s">
        <v>612</v>
      </c>
      <c r="BC19" t="s">
        <v>612</v>
      </c>
      <c r="BD19">
        <v>71</v>
      </c>
      <c r="BE19">
        <v>48.894258999999998</v>
      </c>
      <c r="BF19">
        <v>-102.247996</v>
      </c>
      <c r="BG19">
        <v>1</v>
      </c>
      <c r="BH19">
        <v>52</v>
      </c>
      <c r="BI19" t="s">
        <v>612</v>
      </c>
      <c r="BJ19" t="s">
        <v>612</v>
      </c>
      <c r="BK19">
        <v>20.99</v>
      </c>
      <c r="BL19">
        <v>20.99</v>
      </c>
      <c r="BM19" t="s">
        <v>612</v>
      </c>
      <c r="BN19" t="s">
        <v>612</v>
      </c>
      <c r="BO19" t="s">
        <v>612</v>
      </c>
      <c r="BP19" t="s">
        <v>612</v>
      </c>
      <c r="BQ19" t="s">
        <v>612</v>
      </c>
      <c r="BR19" t="s">
        <v>612</v>
      </c>
      <c r="BS19" t="s">
        <v>612</v>
      </c>
      <c r="BT19" t="s">
        <v>612</v>
      </c>
      <c r="BU19" t="s">
        <v>612</v>
      </c>
      <c r="BV19" t="s">
        <v>612</v>
      </c>
      <c r="BW19" t="s">
        <v>612</v>
      </c>
      <c r="BX19">
        <v>0</v>
      </c>
      <c r="BY19" t="s">
        <v>627</v>
      </c>
      <c r="BZ19" t="s">
        <v>627</v>
      </c>
      <c r="CA19" t="s">
        <v>612</v>
      </c>
      <c r="CB19" t="s">
        <v>686</v>
      </c>
      <c r="CC19" t="s">
        <v>629</v>
      </c>
      <c r="CD19" t="s">
        <v>629</v>
      </c>
      <c r="CE19" t="s">
        <v>630</v>
      </c>
      <c r="CF19" t="s">
        <v>630</v>
      </c>
      <c r="CG19" t="s">
        <v>630</v>
      </c>
      <c r="CH19" t="s">
        <v>630</v>
      </c>
      <c r="CI19" t="s">
        <v>630</v>
      </c>
      <c r="CJ19" t="s">
        <v>631</v>
      </c>
      <c r="CK19" t="s">
        <v>753</v>
      </c>
      <c r="CL19" t="s">
        <v>679</v>
      </c>
      <c r="CM19" t="s">
        <v>634</v>
      </c>
      <c r="CN19" t="s">
        <v>608</v>
      </c>
      <c r="CO19" t="s">
        <v>636</v>
      </c>
      <c r="CP19" t="s">
        <v>658</v>
      </c>
      <c r="CQ19" t="s">
        <v>611</v>
      </c>
      <c r="CR19">
        <v>28</v>
      </c>
      <c r="CS19" t="s">
        <v>626</v>
      </c>
      <c r="CT19" t="s">
        <v>754</v>
      </c>
      <c r="CU19" t="s">
        <v>639</v>
      </c>
      <c r="CV19" t="s">
        <v>640</v>
      </c>
      <c r="CW19" t="s">
        <v>673</v>
      </c>
      <c r="CX19" t="s">
        <v>755</v>
      </c>
      <c r="CY19" t="s">
        <v>675</v>
      </c>
      <c r="CZ19" t="s">
        <v>643</v>
      </c>
      <c r="DA19">
        <v>65</v>
      </c>
      <c r="DB19" t="s">
        <v>608</v>
      </c>
      <c r="DC19" t="s">
        <v>631</v>
      </c>
      <c r="DD19" t="s">
        <v>636</v>
      </c>
      <c r="DE19" t="s">
        <v>608</v>
      </c>
      <c r="DF19" t="s">
        <v>756</v>
      </c>
      <c r="DG19" t="s">
        <v>611</v>
      </c>
      <c r="DH19">
        <v>81</v>
      </c>
      <c r="DI19" t="s">
        <v>626</v>
      </c>
      <c r="DJ19" t="s">
        <v>757</v>
      </c>
      <c r="DK19" t="s">
        <v>639</v>
      </c>
      <c r="DL19" t="s">
        <v>640</v>
      </c>
      <c r="DM19" t="s">
        <v>673</v>
      </c>
      <c r="DN19" t="s">
        <v>642</v>
      </c>
      <c r="DO19" t="s">
        <v>608</v>
      </c>
      <c r="DP19" t="s">
        <v>643</v>
      </c>
      <c r="DQ19">
        <v>65</v>
      </c>
      <c r="DR19" t="s">
        <v>608</v>
      </c>
      <c r="DS19" t="s">
        <v>612</v>
      </c>
      <c r="DT19" t="s">
        <v>612</v>
      </c>
      <c r="DU19" t="s">
        <v>612</v>
      </c>
      <c r="DV19" t="s">
        <v>612</v>
      </c>
      <c r="DW19" t="s">
        <v>612</v>
      </c>
      <c r="DX19" t="s">
        <v>612</v>
      </c>
      <c r="DY19" t="s">
        <v>612</v>
      </c>
      <c r="DZ19" t="s">
        <v>612</v>
      </c>
      <c r="EA19" t="s">
        <v>612</v>
      </c>
      <c r="EB19" t="s">
        <v>612</v>
      </c>
      <c r="EC19" t="s">
        <v>612</v>
      </c>
      <c r="ED19" t="s">
        <v>612</v>
      </c>
      <c r="EE19" t="s">
        <v>612</v>
      </c>
      <c r="EF19" t="s">
        <v>612</v>
      </c>
      <c r="EG19" t="s">
        <v>612</v>
      </c>
      <c r="EH19" t="s">
        <v>612</v>
      </c>
      <c r="EI19">
        <v>12</v>
      </c>
      <c r="EJ19" t="s">
        <v>747</v>
      </c>
      <c r="EK19" t="s">
        <v>648</v>
      </c>
      <c r="EL19">
        <v>0</v>
      </c>
      <c r="EM19">
        <v>0</v>
      </c>
      <c r="EN19">
        <v>0</v>
      </c>
      <c r="EO19">
        <v>-1</v>
      </c>
      <c r="EP19">
        <v>0</v>
      </c>
    </row>
    <row r="20" spans="1:146" x14ac:dyDescent="0.25">
      <c r="A20">
        <v>19</v>
      </c>
      <c r="B20" t="s">
        <v>606</v>
      </c>
      <c r="C20">
        <v>1</v>
      </c>
      <c r="D20">
        <v>3107</v>
      </c>
      <c r="E20">
        <v>206889</v>
      </c>
      <c r="F20">
        <v>305923</v>
      </c>
      <c r="G20">
        <v>53</v>
      </c>
      <c r="H20" t="s">
        <v>758</v>
      </c>
      <c r="I20">
        <v>0</v>
      </c>
      <c r="J20" t="s">
        <v>608</v>
      </c>
      <c r="K20">
        <v>2</v>
      </c>
      <c r="L20" t="s">
        <v>759</v>
      </c>
      <c r="M20">
        <v>1</v>
      </c>
      <c r="N20" t="s">
        <v>676</v>
      </c>
      <c r="O20">
        <v>29</v>
      </c>
      <c r="P20" t="s">
        <v>688</v>
      </c>
      <c r="Q20" t="s">
        <v>612</v>
      </c>
      <c r="R20" t="s">
        <v>612</v>
      </c>
      <c r="S20">
        <v>1</v>
      </c>
      <c r="T20" t="s">
        <v>613</v>
      </c>
      <c r="U20">
        <v>1</v>
      </c>
      <c r="V20" t="s">
        <v>614</v>
      </c>
      <c r="W20">
        <v>1</v>
      </c>
      <c r="X20" t="s">
        <v>615</v>
      </c>
      <c r="Y20">
        <v>2</v>
      </c>
      <c r="Z20" t="s">
        <v>664</v>
      </c>
      <c r="AA20">
        <v>0</v>
      </c>
      <c r="AB20" t="s">
        <v>617</v>
      </c>
      <c r="AC20">
        <v>1</v>
      </c>
      <c r="AD20" t="s">
        <v>618</v>
      </c>
      <c r="AE20">
        <v>1</v>
      </c>
      <c r="AF20" t="s">
        <v>619</v>
      </c>
      <c r="AG20">
        <v>1</v>
      </c>
      <c r="AH20" t="s">
        <v>651</v>
      </c>
      <c r="AI20">
        <v>3</v>
      </c>
      <c r="AJ20" t="s">
        <v>621</v>
      </c>
      <c r="AK20">
        <v>1</v>
      </c>
      <c r="AL20" t="s">
        <v>622</v>
      </c>
      <c r="AM20">
        <v>7</v>
      </c>
      <c r="AN20" t="s">
        <v>652</v>
      </c>
      <c r="AO20">
        <v>2</v>
      </c>
      <c r="AP20" t="s">
        <v>624</v>
      </c>
      <c r="AQ20">
        <v>1</v>
      </c>
      <c r="AR20" t="s">
        <v>653</v>
      </c>
      <c r="AS20">
        <v>2</v>
      </c>
      <c r="AT20">
        <v>1</v>
      </c>
      <c r="AU20" s="91">
        <v>41807</v>
      </c>
      <c r="AV20" s="92">
        <v>45397.767361111109</v>
      </c>
      <c r="AW20" s="91">
        <v>41815</v>
      </c>
      <c r="AX20">
        <v>2</v>
      </c>
      <c r="AY20" t="s">
        <v>626</v>
      </c>
      <c r="AZ20" s="91">
        <v>41807</v>
      </c>
      <c r="BA20" s="92">
        <v>45397.854166666664</v>
      </c>
      <c r="BB20" t="s">
        <v>612</v>
      </c>
      <c r="BC20" t="s">
        <v>612</v>
      </c>
      <c r="BD20">
        <v>6814028</v>
      </c>
      <c r="BE20">
        <v>48.711300000000001</v>
      </c>
      <c r="BF20">
        <v>-102.0825</v>
      </c>
      <c r="BG20">
        <v>1</v>
      </c>
      <c r="BH20">
        <v>52</v>
      </c>
      <c r="BI20">
        <v>50</v>
      </c>
      <c r="BJ20">
        <v>80.466999999999999</v>
      </c>
      <c r="BK20">
        <v>41.5</v>
      </c>
      <c r="BL20">
        <v>42</v>
      </c>
      <c r="BM20" t="s">
        <v>612</v>
      </c>
      <c r="BN20" t="s">
        <v>612</v>
      </c>
      <c r="BO20" t="s">
        <v>612</v>
      </c>
      <c r="BP20" t="s">
        <v>612</v>
      </c>
      <c r="BQ20" t="s">
        <v>612</v>
      </c>
      <c r="BR20" t="s">
        <v>612</v>
      </c>
      <c r="BS20" t="s">
        <v>612</v>
      </c>
      <c r="BT20" t="s">
        <v>612</v>
      </c>
      <c r="BU20" t="s">
        <v>612</v>
      </c>
      <c r="BV20" t="s">
        <v>612</v>
      </c>
      <c r="BW20" t="s">
        <v>612</v>
      </c>
      <c r="BX20">
        <v>0</v>
      </c>
      <c r="BY20" t="s">
        <v>627</v>
      </c>
      <c r="BZ20" t="s">
        <v>627</v>
      </c>
      <c r="CA20" t="s">
        <v>612</v>
      </c>
      <c r="CB20" t="s">
        <v>667</v>
      </c>
      <c r="CC20" t="s">
        <v>629</v>
      </c>
      <c r="CD20" t="s">
        <v>629</v>
      </c>
      <c r="CE20" t="s">
        <v>630</v>
      </c>
      <c r="CF20" t="s">
        <v>630</v>
      </c>
      <c r="CG20" t="s">
        <v>630</v>
      </c>
      <c r="CH20" t="s">
        <v>630</v>
      </c>
      <c r="CI20" t="s">
        <v>630</v>
      </c>
      <c r="CJ20" t="s">
        <v>678</v>
      </c>
      <c r="CK20" t="s">
        <v>753</v>
      </c>
      <c r="CL20" t="s">
        <v>669</v>
      </c>
      <c r="CM20" t="s">
        <v>634</v>
      </c>
      <c r="CN20" t="s">
        <v>608</v>
      </c>
      <c r="CO20" t="s">
        <v>725</v>
      </c>
      <c r="CP20" t="s">
        <v>658</v>
      </c>
      <c r="CQ20" t="s">
        <v>612</v>
      </c>
      <c r="CR20">
        <v>37</v>
      </c>
      <c r="CS20" t="s">
        <v>626</v>
      </c>
      <c r="CT20" t="s">
        <v>760</v>
      </c>
      <c r="CU20" t="s">
        <v>639</v>
      </c>
      <c r="CV20" t="s">
        <v>640</v>
      </c>
      <c r="CW20" t="s">
        <v>673</v>
      </c>
      <c r="CX20" t="s">
        <v>612</v>
      </c>
      <c r="CY20" t="s">
        <v>608</v>
      </c>
      <c r="CZ20" t="s">
        <v>643</v>
      </c>
      <c r="DA20">
        <v>65</v>
      </c>
      <c r="DB20" t="s">
        <v>612</v>
      </c>
      <c r="DC20" t="s">
        <v>687</v>
      </c>
      <c r="DD20" t="s">
        <v>729</v>
      </c>
      <c r="DE20" t="s">
        <v>608</v>
      </c>
      <c r="DF20" t="s">
        <v>658</v>
      </c>
      <c r="DG20" t="s">
        <v>612</v>
      </c>
      <c r="DH20" t="s">
        <v>612</v>
      </c>
      <c r="DI20" t="s">
        <v>715</v>
      </c>
      <c r="DJ20" t="s">
        <v>711</v>
      </c>
      <c r="DK20" t="s">
        <v>612</v>
      </c>
      <c r="DL20" t="s">
        <v>640</v>
      </c>
      <c r="DM20" t="s">
        <v>641</v>
      </c>
      <c r="DN20" t="s">
        <v>612</v>
      </c>
      <c r="DO20" t="s">
        <v>608</v>
      </c>
      <c r="DP20" t="s">
        <v>711</v>
      </c>
      <c r="DQ20" t="s">
        <v>612</v>
      </c>
      <c r="DR20" t="s">
        <v>612</v>
      </c>
      <c r="DS20" t="s">
        <v>612</v>
      </c>
      <c r="DT20" t="s">
        <v>612</v>
      </c>
      <c r="DU20" t="s">
        <v>612</v>
      </c>
      <c r="DV20" t="s">
        <v>612</v>
      </c>
      <c r="DW20" t="s">
        <v>612</v>
      </c>
      <c r="DX20" t="s">
        <v>612</v>
      </c>
      <c r="DY20" t="s">
        <v>612</v>
      </c>
      <c r="DZ20" t="s">
        <v>612</v>
      </c>
      <c r="EA20" t="s">
        <v>612</v>
      </c>
      <c r="EB20" t="s">
        <v>612</v>
      </c>
      <c r="EC20" t="s">
        <v>612</v>
      </c>
      <c r="ED20" t="s">
        <v>612</v>
      </c>
      <c r="EE20" t="s">
        <v>612</v>
      </c>
      <c r="EF20" t="s">
        <v>612</v>
      </c>
      <c r="EG20" t="s">
        <v>612</v>
      </c>
      <c r="EH20" t="s">
        <v>612</v>
      </c>
      <c r="EI20">
        <v>18</v>
      </c>
      <c r="EJ20" t="s">
        <v>761</v>
      </c>
      <c r="EK20" t="s">
        <v>648</v>
      </c>
      <c r="EL20">
        <v>0</v>
      </c>
      <c r="EM20">
        <v>0</v>
      </c>
      <c r="EN20">
        <v>0</v>
      </c>
      <c r="EO20">
        <v>-1</v>
      </c>
      <c r="EP20">
        <v>0</v>
      </c>
    </row>
    <row r="21" spans="1:146" x14ac:dyDescent="0.25">
      <c r="A21">
        <v>20</v>
      </c>
      <c r="B21" t="s">
        <v>606</v>
      </c>
      <c r="C21">
        <v>1</v>
      </c>
      <c r="D21">
        <v>3110</v>
      </c>
      <c r="E21">
        <v>370890</v>
      </c>
      <c r="F21">
        <v>1142333</v>
      </c>
      <c r="G21">
        <v>51</v>
      </c>
      <c r="H21" t="s">
        <v>762</v>
      </c>
      <c r="I21">
        <v>0</v>
      </c>
      <c r="J21" t="s">
        <v>608</v>
      </c>
      <c r="K21">
        <v>1</v>
      </c>
      <c r="L21" t="s">
        <v>662</v>
      </c>
      <c r="M21">
        <v>1</v>
      </c>
      <c r="N21" t="s">
        <v>676</v>
      </c>
      <c r="O21">
        <v>1</v>
      </c>
      <c r="P21" t="s">
        <v>611</v>
      </c>
      <c r="Q21" t="s">
        <v>612</v>
      </c>
      <c r="R21" t="s">
        <v>612</v>
      </c>
      <c r="S21">
        <v>1</v>
      </c>
      <c r="T21" t="s">
        <v>613</v>
      </c>
      <c r="U21">
        <v>1</v>
      </c>
      <c r="V21" t="s">
        <v>614</v>
      </c>
      <c r="W21">
        <v>1</v>
      </c>
      <c r="X21" t="s">
        <v>615</v>
      </c>
      <c r="Y21">
        <v>1</v>
      </c>
      <c r="Z21" t="s">
        <v>616</v>
      </c>
      <c r="AA21">
        <v>0</v>
      </c>
      <c r="AB21" t="s">
        <v>617</v>
      </c>
      <c r="AC21">
        <v>4</v>
      </c>
      <c r="AD21" t="s">
        <v>748</v>
      </c>
      <c r="AE21">
        <v>1</v>
      </c>
      <c r="AF21" t="s">
        <v>619</v>
      </c>
      <c r="AG21">
        <v>1</v>
      </c>
      <c r="AH21" t="s">
        <v>651</v>
      </c>
      <c r="AI21">
        <v>4</v>
      </c>
      <c r="AJ21" t="s">
        <v>706</v>
      </c>
      <c r="AK21">
        <v>1</v>
      </c>
      <c r="AL21" t="s">
        <v>622</v>
      </c>
      <c r="AM21">
        <v>2</v>
      </c>
      <c r="AN21" t="s">
        <v>623</v>
      </c>
      <c r="AO21">
        <v>2</v>
      </c>
      <c r="AP21" t="s">
        <v>624</v>
      </c>
      <c r="AQ21">
        <v>2</v>
      </c>
      <c r="AR21" t="s">
        <v>763</v>
      </c>
      <c r="AS21">
        <v>2</v>
      </c>
      <c r="AT21">
        <v>1</v>
      </c>
      <c r="AU21" s="91">
        <v>45154</v>
      </c>
      <c r="AV21" s="92">
        <v>45397.458333333336</v>
      </c>
      <c r="AW21" s="91">
        <v>45160</v>
      </c>
      <c r="AX21">
        <v>2</v>
      </c>
      <c r="AY21" t="s">
        <v>626</v>
      </c>
      <c r="AZ21" s="91">
        <v>45154</v>
      </c>
      <c r="BA21" s="92">
        <v>45397.460416666669</v>
      </c>
      <c r="BB21" t="s">
        <v>612</v>
      </c>
      <c r="BC21">
        <v>61</v>
      </c>
      <c r="BD21">
        <v>23004946</v>
      </c>
      <c r="BE21">
        <v>48.707884</v>
      </c>
      <c r="BF21">
        <v>-102.08249600000001</v>
      </c>
      <c r="BG21">
        <v>1</v>
      </c>
      <c r="BH21">
        <v>52</v>
      </c>
      <c r="BI21" t="s">
        <v>612</v>
      </c>
      <c r="BJ21" t="s">
        <v>612</v>
      </c>
      <c r="BK21">
        <v>40.74</v>
      </c>
      <c r="BL21">
        <v>40.74</v>
      </c>
      <c r="BM21" t="s">
        <v>612</v>
      </c>
      <c r="BN21" t="s">
        <v>612</v>
      </c>
      <c r="BO21" t="s">
        <v>612</v>
      </c>
      <c r="BP21" t="s">
        <v>612</v>
      </c>
      <c r="BQ21" t="s">
        <v>612</v>
      </c>
      <c r="BR21" t="s">
        <v>612</v>
      </c>
      <c r="BS21" t="s">
        <v>612</v>
      </c>
      <c r="BT21" t="s">
        <v>612</v>
      </c>
      <c r="BU21" t="s">
        <v>612</v>
      </c>
      <c r="BV21" t="s">
        <v>612</v>
      </c>
      <c r="BW21" t="s">
        <v>612</v>
      </c>
      <c r="BX21">
        <v>0</v>
      </c>
      <c r="BY21" t="s">
        <v>627</v>
      </c>
      <c r="BZ21" t="s">
        <v>627</v>
      </c>
      <c r="CA21" t="s">
        <v>612</v>
      </c>
      <c r="CB21" t="s">
        <v>701</v>
      </c>
      <c r="CC21" t="s">
        <v>764</v>
      </c>
      <c r="CD21" t="s">
        <v>765</v>
      </c>
      <c r="CE21" t="s">
        <v>630</v>
      </c>
      <c r="CF21" t="s">
        <v>655</v>
      </c>
      <c r="CG21" t="s">
        <v>630</v>
      </c>
      <c r="CH21" t="s">
        <v>630</v>
      </c>
      <c r="CI21" t="s">
        <v>630</v>
      </c>
      <c r="CJ21" t="s">
        <v>766</v>
      </c>
      <c r="CK21" t="s">
        <v>632</v>
      </c>
      <c r="CL21" t="s">
        <v>749</v>
      </c>
      <c r="CM21" t="s">
        <v>612</v>
      </c>
      <c r="CN21" t="s">
        <v>767</v>
      </c>
      <c r="CO21" t="s">
        <v>729</v>
      </c>
      <c r="CP21" t="s">
        <v>658</v>
      </c>
      <c r="CQ21" t="s">
        <v>611</v>
      </c>
      <c r="CR21">
        <v>42</v>
      </c>
      <c r="CS21" t="s">
        <v>626</v>
      </c>
      <c r="CT21" t="s">
        <v>768</v>
      </c>
      <c r="CU21" t="s">
        <v>639</v>
      </c>
      <c r="CV21" t="s">
        <v>711</v>
      </c>
      <c r="CW21" t="s">
        <v>673</v>
      </c>
      <c r="CX21" t="s">
        <v>769</v>
      </c>
      <c r="CY21" t="s">
        <v>689</v>
      </c>
      <c r="CZ21" t="s">
        <v>643</v>
      </c>
      <c r="DA21">
        <v>45</v>
      </c>
      <c r="DB21" t="s">
        <v>608</v>
      </c>
      <c r="DC21" t="s">
        <v>766</v>
      </c>
      <c r="DD21" t="s">
        <v>729</v>
      </c>
      <c r="DE21" t="s">
        <v>767</v>
      </c>
      <c r="DF21" t="s">
        <v>644</v>
      </c>
      <c r="DG21" t="s">
        <v>611</v>
      </c>
      <c r="DH21">
        <v>67</v>
      </c>
      <c r="DI21" t="s">
        <v>626</v>
      </c>
      <c r="DJ21" t="s">
        <v>757</v>
      </c>
      <c r="DK21" t="s">
        <v>639</v>
      </c>
      <c r="DL21" t="s">
        <v>640</v>
      </c>
      <c r="DM21" t="s">
        <v>673</v>
      </c>
      <c r="DN21" t="s">
        <v>642</v>
      </c>
      <c r="DO21" t="s">
        <v>608</v>
      </c>
      <c r="DP21" t="s">
        <v>643</v>
      </c>
      <c r="DQ21">
        <v>45</v>
      </c>
      <c r="DR21" t="s">
        <v>608</v>
      </c>
      <c r="DS21" t="s">
        <v>612</v>
      </c>
      <c r="DT21" t="s">
        <v>612</v>
      </c>
      <c r="DU21" t="s">
        <v>612</v>
      </c>
      <c r="DV21" t="s">
        <v>612</v>
      </c>
      <c r="DW21" t="s">
        <v>612</v>
      </c>
      <c r="DX21" t="s">
        <v>612</v>
      </c>
      <c r="DY21" t="s">
        <v>612</v>
      </c>
      <c r="DZ21" t="s">
        <v>612</v>
      </c>
      <c r="EA21" t="s">
        <v>612</v>
      </c>
      <c r="EB21" t="s">
        <v>612</v>
      </c>
      <c r="EC21" t="s">
        <v>612</v>
      </c>
      <c r="ED21" t="s">
        <v>612</v>
      </c>
      <c r="EE21" t="s">
        <v>612</v>
      </c>
      <c r="EF21" t="s">
        <v>612</v>
      </c>
      <c r="EG21" t="s">
        <v>612</v>
      </c>
      <c r="EH21" t="s">
        <v>612</v>
      </c>
      <c r="EI21">
        <v>11</v>
      </c>
      <c r="EJ21" t="s">
        <v>761</v>
      </c>
      <c r="EK21" t="s">
        <v>648</v>
      </c>
      <c r="EL21">
        <v>0</v>
      </c>
      <c r="EM21">
        <v>0</v>
      </c>
      <c r="EN21">
        <v>0</v>
      </c>
      <c r="EO21">
        <v>-1</v>
      </c>
      <c r="EP21">
        <v>0</v>
      </c>
    </row>
    <row r="22" spans="1:146" x14ac:dyDescent="0.25">
      <c r="A22">
        <v>21</v>
      </c>
      <c r="B22" t="s">
        <v>606</v>
      </c>
      <c r="C22">
        <v>1</v>
      </c>
      <c r="D22">
        <v>3112</v>
      </c>
      <c r="E22">
        <v>220630</v>
      </c>
      <c r="F22">
        <v>319784</v>
      </c>
      <c r="G22">
        <v>51</v>
      </c>
      <c r="H22" t="s">
        <v>762</v>
      </c>
      <c r="I22">
        <v>0</v>
      </c>
      <c r="J22" t="s">
        <v>608</v>
      </c>
      <c r="K22">
        <v>1</v>
      </c>
      <c r="L22" t="s">
        <v>662</v>
      </c>
      <c r="M22">
        <v>1</v>
      </c>
      <c r="N22" t="s">
        <v>676</v>
      </c>
      <c r="O22">
        <v>49</v>
      </c>
      <c r="P22" t="s">
        <v>770</v>
      </c>
      <c r="Q22" t="s">
        <v>612</v>
      </c>
      <c r="R22" t="s">
        <v>612</v>
      </c>
      <c r="S22">
        <v>1</v>
      </c>
      <c r="T22" t="s">
        <v>613</v>
      </c>
      <c r="U22">
        <v>1</v>
      </c>
      <c r="V22" t="s">
        <v>614</v>
      </c>
      <c r="W22">
        <v>1</v>
      </c>
      <c r="X22" t="s">
        <v>615</v>
      </c>
      <c r="Y22">
        <v>1</v>
      </c>
      <c r="Z22" t="s">
        <v>616</v>
      </c>
      <c r="AA22">
        <v>0</v>
      </c>
      <c r="AB22" t="s">
        <v>617</v>
      </c>
      <c r="AC22">
        <v>1</v>
      </c>
      <c r="AD22" t="s">
        <v>618</v>
      </c>
      <c r="AE22">
        <v>1</v>
      </c>
      <c r="AF22" t="s">
        <v>619</v>
      </c>
      <c r="AG22">
        <v>6</v>
      </c>
      <c r="AH22" t="s">
        <v>620</v>
      </c>
      <c r="AI22">
        <v>3</v>
      </c>
      <c r="AJ22" t="s">
        <v>621</v>
      </c>
      <c r="AK22">
        <v>1</v>
      </c>
      <c r="AL22" t="s">
        <v>622</v>
      </c>
      <c r="AM22">
        <v>7</v>
      </c>
      <c r="AN22" t="s">
        <v>652</v>
      </c>
      <c r="AO22">
        <v>2</v>
      </c>
      <c r="AP22" t="s">
        <v>624</v>
      </c>
      <c r="AQ22">
        <v>1</v>
      </c>
      <c r="AR22" t="s">
        <v>653</v>
      </c>
      <c r="AS22">
        <v>2</v>
      </c>
      <c r="AT22">
        <v>1</v>
      </c>
      <c r="AU22" s="91">
        <v>42016</v>
      </c>
      <c r="AV22" s="92">
        <v>45397.604166666664</v>
      </c>
      <c r="AW22" s="91">
        <v>42025</v>
      </c>
      <c r="AX22">
        <v>2</v>
      </c>
      <c r="AY22" t="s">
        <v>626</v>
      </c>
      <c r="AZ22" s="91">
        <v>42016</v>
      </c>
      <c r="BA22" s="92">
        <v>45397.609722222223</v>
      </c>
      <c r="BB22" t="s">
        <v>612</v>
      </c>
      <c r="BC22" t="s">
        <v>612</v>
      </c>
      <c r="BD22">
        <v>295</v>
      </c>
      <c r="BE22">
        <v>48.711965999999997</v>
      </c>
      <c r="BF22">
        <v>-102.08243</v>
      </c>
      <c r="BG22">
        <v>1</v>
      </c>
      <c r="BH22">
        <v>52</v>
      </c>
      <c r="BI22" t="s">
        <v>612</v>
      </c>
      <c r="BJ22" t="s">
        <v>612</v>
      </c>
      <c r="BK22">
        <v>40.44</v>
      </c>
      <c r="BL22">
        <v>40.44</v>
      </c>
      <c r="BM22" t="s">
        <v>612</v>
      </c>
      <c r="BN22" t="s">
        <v>612</v>
      </c>
      <c r="BO22" t="s">
        <v>612</v>
      </c>
      <c r="BP22" t="s">
        <v>612</v>
      </c>
      <c r="BQ22" t="s">
        <v>612</v>
      </c>
      <c r="BR22" t="s">
        <v>612</v>
      </c>
      <c r="BS22" t="s">
        <v>612</v>
      </c>
      <c r="BT22" t="s">
        <v>612</v>
      </c>
      <c r="BU22" t="s">
        <v>612</v>
      </c>
      <c r="BV22" t="s">
        <v>612</v>
      </c>
      <c r="BW22" t="s">
        <v>612</v>
      </c>
      <c r="BX22">
        <v>1000</v>
      </c>
      <c r="BY22" t="s">
        <v>627</v>
      </c>
      <c r="BZ22" t="s">
        <v>627</v>
      </c>
      <c r="CA22" t="s">
        <v>612</v>
      </c>
      <c r="CB22" t="s">
        <v>686</v>
      </c>
      <c r="CC22" t="s">
        <v>629</v>
      </c>
      <c r="CD22" t="s">
        <v>629</v>
      </c>
      <c r="CE22" t="s">
        <v>630</v>
      </c>
      <c r="CF22" t="s">
        <v>630</v>
      </c>
      <c r="CG22" t="s">
        <v>630</v>
      </c>
      <c r="CH22" t="s">
        <v>655</v>
      </c>
      <c r="CI22" t="s">
        <v>630</v>
      </c>
      <c r="CJ22" t="s">
        <v>631</v>
      </c>
      <c r="CK22" t="s">
        <v>632</v>
      </c>
      <c r="CL22" t="s">
        <v>679</v>
      </c>
      <c r="CM22" t="s">
        <v>634</v>
      </c>
      <c r="CN22" t="s">
        <v>635</v>
      </c>
      <c r="CO22" t="s">
        <v>729</v>
      </c>
      <c r="CP22" t="s">
        <v>658</v>
      </c>
      <c r="CQ22" t="s">
        <v>770</v>
      </c>
      <c r="CR22">
        <v>54</v>
      </c>
      <c r="CS22" t="s">
        <v>626</v>
      </c>
      <c r="CT22" t="s">
        <v>771</v>
      </c>
      <c r="CU22" t="s">
        <v>772</v>
      </c>
      <c r="CV22" t="s">
        <v>640</v>
      </c>
      <c r="CW22" t="s">
        <v>673</v>
      </c>
      <c r="CX22" t="s">
        <v>689</v>
      </c>
      <c r="CY22" t="s">
        <v>608</v>
      </c>
      <c r="CZ22" t="s">
        <v>643</v>
      </c>
      <c r="DA22">
        <v>65</v>
      </c>
      <c r="DB22" t="s">
        <v>608</v>
      </c>
      <c r="DC22" t="s">
        <v>612</v>
      </c>
      <c r="DD22" t="s">
        <v>612</v>
      </c>
      <c r="DE22" t="s">
        <v>612</v>
      </c>
      <c r="DF22" t="s">
        <v>612</v>
      </c>
      <c r="DG22" t="s">
        <v>612</v>
      </c>
      <c r="DH22" t="s">
        <v>612</v>
      </c>
      <c r="DI22" t="s">
        <v>612</v>
      </c>
      <c r="DJ22" t="s">
        <v>612</v>
      </c>
      <c r="DK22" t="s">
        <v>612</v>
      </c>
      <c r="DL22" t="s">
        <v>612</v>
      </c>
      <c r="DM22" t="s">
        <v>612</v>
      </c>
      <c r="DN22" t="s">
        <v>612</v>
      </c>
      <c r="DO22" t="s">
        <v>612</v>
      </c>
      <c r="DP22" t="s">
        <v>612</v>
      </c>
      <c r="DQ22" t="s">
        <v>612</v>
      </c>
      <c r="DR22" t="s">
        <v>612</v>
      </c>
      <c r="DS22" t="s">
        <v>612</v>
      </c>
      <c r="DT22" t="s">
        <v>612</v>
      </c>
      <c r="DU22" t="s">
        <v>612</v>
      </c>
      <c r="DV22" t="s">
        <v>612</v>
      </c>
      <c r="DW22" t="s">
        <v>612</v>
      </c>
      <c r="DX22" t="s">
        <v>612</v>
      </c>
      <c r="DY22" t="s">
        <v>612</v>
      </c>
      <c r="DZ22" t="s">
        <v>612</v>
      </c>
      <c r="EA22" t="s">
        <v>612</v>
      </c>
      <c r="EB22" t="s">
        <v>612</v>
      </c>
      <c r="EC22" t="s">
        <v>612</v>
      </c>
      <c r="ED22" t="s">
        <v>612</v>
      </c>
      <c r="EE22" t="s">
        <v>612</v>
      </c>
      <c r="EF22" t="s">
        <v>612</v>
      </c>
      <c r="EG22" t="s">
        <v>612</v>
      </c>
      <c r="EH22" t="s">
        <v>612</v>
      </c>
      <c r="EI22">
        <v>14</v>
      </c>
      <c r="EJ22" t="s">
        <v>761</v>
      </c>
      <c r="EK22" t="s">
        <v>648</v>
      </c>
      <c r="EL22">
        <v>0</v>
      </c>
      <c r="EM22">
        <v>0</v>
      </c>
      <c r="EN22">
        <v>0</v>
      </c>
      <c r="EO22">
        <v>-1</v>
      </c>
      <c r="EP22">
        <v>0</v>
      </c>
    </row>
    <row r="27" spans="1:146" x14ac:dyDescent="0.25">
      <c r="E27" s="93" t="s">
        <v>780</v>
      </c>
      <c r="F27" s="93" t="s">
        <v>773</v>
      </c>
    </row>
    <row r="28" spans="1:146" x14ac:dyDescent="0.25">
      <c r="E28" s="93" t="s">
        <v>775</v>
      </c>
      <c r="F28" t="s">
        <v>706</v>
      </c>
      <c r="G28" t="s">
        <v>621</v>
      </c>
      <c r="H28" t="s">
        <v>774</v>
      </c>
    </row>
    <row r="29" spans="1:146" x14ac:dyDescent="0.25">
      <c r="E29" s="94" t="s">
        <v>652</v>
      </c>
      <c r="F29">
        <v>1</v>
      </c>
      <c r="G29">
        <v>4</v>
      </c>
      <c r="H29">
        <v>5</v>
      </c>
    </row>
    <row r="30" spans="1:146" x14ac:dyDescent="0.25">
      <c r="E30" s="95" t="s">
        <v>727</v>
      </c>
      <c r="G30">
        <v>1</v>
      </c>
      <c r="H30">
        <v>1</v>
      </c>
    </row>
    <row r="31" spans="1:146" x14ac:dyDescent="0.25">
      <c r="E31" s="96" t="s">
        <v>778</v>
      </c>
      <c r="G31">
        <v>1</v>
      </c>
      <c r="H31">
        <v>1</v>
      </c>
    </row>
    <row r="32" spans="1:146" x14ac:dyDescent="0.25">
      <c r="E32" s="95" t="s">
        <v>647</v>
      </c>
      <c r="F32">
        <v>1</v>
      </c>
      <c r="G32">
        <v>1</v>
      </c>
      <c r="H32">
        <v>2</v>
      </c>
    </row>
    <row r="33" spans="5:8" x14ac:dyDescent="0.25">
      <c r="E33" s="96" t="s">
        <v>777</v>
      </c>
      <c r="G33">
        <v>1</v>
      </c>
      <c r="H33">
        <v>1</v>
      </c>
    </row>
    <row r="34" spans="5:8" x14ac:dyDescent="0.25">
      <c r="E34" s="96" t="s">
        <v>778</v>
      </c>
      <c r="F34">
        <v>1</v>
      </c>
      <c r="H34">
        <v>1</v>
      </c>
    </row>
    <row r="35" spans="5:8" x14ac:dyDescent="0.25">
      <c r="E35" s="95" t="s">
        <v>661</v>
      </c>
      <c r="G35">
        <v>2</v>
      </c>
      <c r="H35">
        <v>2</v>
      </c>
    </row>
    <row r="36" spans="5:8" x14ac:dyDescent="0.25">
      <c r="E36" s="96" t="s">
        <v>779</v>
      </c>
      <c r="G36">
        <v>2</v>
      </c>
      <c r="H36">
        <v>2</v>
      </c>
    </row>
    <row r="37" spans="5:8" x14ac:dyDescent="0.25">
      <c r="E37" s="94" t="s">
        <v>623</v>
      </c>
      <c r="F37">
        <v>1</v>
      </c>
      <c r="G37">
        <v>1</v>
      </c>
      <c r="H37">
        <v>2</v>
      </c>
    </row>
    <row r="38" spans="5:8" x14ac:dyDescent="0.25">
      <c r="E38" s="95" t="s">
        <v>727</v>
      </c>
      <c r="G38">
        <v>1</v>
      </c>
      <c r="H38">
        <v>1</v>
      </c>
    </row>
    <row r="39" spans="5:8" x14ac:dyDescent="0.25">
      <c r="E39" s="96" t="s">
        <v>776</v>
      </c>
      <c r="G39">
        <v>1</v>
      </c>
      <c r="H39">
        <v>1</v>
      </c>
    </row>
    <row r="40" spans="5:8" x14ac:dyDescent="0.25">
      <c r="E40" s="95" t="s">
        <v>761</v>
      </c>
      <c r="F40">
        <v>1</v>
      </c>
      <c r="H40">
        <v>1</v>
      </c>
    </row>
    <row r="41" spans="5:8" x14ac:dyDescent="0.25">
      <c r="E41" s="96" t="s">
        <v>779</v>
      </c>
      <c r="F41">
        <v>1</v>
      </c>
      <c r="H41">
        <v>1</v>
      </c>
    </row>
    <row r="42" spans="5:8" x14ac:dyDescent="0.25">
      <c r="E42" s="94" t="s">
        <v>752</v>
      </c>
      <c r="G42">
        <v>1</v>
      </c>
      <c r="H42">
        <v>1</v>
      </c>
    </row>
    <row r="43" spans="5:8" x14ac:dyDescent="0.25">
      <c r="E43" s="95" t="s">
        <v>747</v>
      </c>
      <c r="G43">
        <v>1</v>
      </c>
      <c r="H43">
        <v>1</v>
      </c>
    </row>
    <row r="44" spans="5:8" x14ac:dyDescent="0.25">
      <c r="E44" s="96" t="s">
        <v>776</v>
      </c>
      <c r="G44">
        <v>1</v>
      </c>
      <c r="H44">
        <v>1</v>
      </c>
    </row>
    <row r="45" spans="5:8" x14ac:dyDescent="0.25">
      <c r="E45" s="94" t="s">
        <v>774</v>
      </c>
      <c r="F45">
        <v>2</v>
      </c>
      <c r="G45">
        <v>6</v>
      </c>
      <c r="H45">
        <v>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8E3AB-7B0E-4970-8EC5-48FE538B28E2}">
  <dimension ref="A1:N27"/>
  <sheetViews>
    <sheetView workbookViewId="0">
      <selection activeCell="P27" sqref="P27"/>
    </sheetView>
  </sheetViews>
  <sheetFormatPr defaultColWidth="9.140625" defaultRowHeight="12.75" x14ac:dyDescent="0.25"/>
  <cols>
    <col min="1" max="1" width="17" style="114" customWidth="1"/>
    <col min="2" max="2" width="13.85546875" style="114" customWidth="1"/>
    <col min="3" max="3" width="4" style="114" customWidth="1"/>
    <col min="4" max="4" width="9.85546875" style="114" customWidth="1"/>
    <col min="5" max="5" width="12" style="114" customWidth="1"/>
    <col min="6" max="6" width="13" style="114" customWidth="1"/>
    <col min="7" max="7" width="9.140625" style="114"/>
    <col min="8" max="8" width="8.42578125" style="114" bestFit="1" customWidth="1"/>
    <col min="9" max="9" width="9.140625" style="114"/>
    <col min="10" max="10" width="8.28515625" style="114" bestFit="1" customWidth="1"/>
    <col min="11" max="16384" width="9.140625" style="114"/>
  </cols>
  <sheetData>
    <row r="1" spans="1:14" ht="14.45" customHeight="1" x14ac:dyDescent="0.25">
      <c r="A1" s="172" t="s">
        <v>894</v>
      </c>
      <c r="B1" s="173"/>
      <c r="C1" s="173"/>
      <c r="D1" s="173"/>
      <c r="E1" s="173"/>
      <c r="F1" s="174"/>
    </row>
    <row r="2" spans="1:14" ht="14.45" customHeight="1" x14ac:dyDescent="0.2">
      <c r="A2" s="116" t="s">
        <v>893</v>
      </c>
      <c r="B2" s="175" t="s">
        <v>892</v>
      </c>
      <c r="C2" s="176"/>
      <c r="D2" s="176"/>
      <c r="E2" s="177"/>
      <c r="F2" s="115"/>
      <c r="H2" s="114" t="s">
        <v>38</v>
      </c>
      <c r="I2" s="114" t="s">
        <v>809</v>
      </c>
      <c r="J2" s="114" t="s">
        <v>891</v>
      </c>
      <c r="K2" s="114" t="s">
        <v>134</v>
      </c>
      <c r="M2" s="114" t="s">
        <v>890</v>
      </c>
    </row>
    <row r="3" spans="1:14" ht="14.45" customHeight="1" x14ac:dyDescent="0.25">
      <c r="A3" s="116" t="s">
        <v>847</v>
      </c>
      <c r="B3" s="116" t="s">
        <v>889</v>
      </c>
      <c r="C3" s="178" t="s">
        <v>888</v>
      </c>
      <c r="D3" s="179"/>
      <c r="E3" s="116" t="s">
        <v>887</v>
      </c>
      <c r="F3" s="116" t="s">
        <v>883</v>
      </c>
      <c r="G3" s="114">
        <v>1</v>
      </c>
      <c r="H3" s="114">
        <f t="shared" ref="H3:H20" si="0">VALUE(RIGHT(A3,4))</f>
        <v>2022</v>
      </c>
      <c r="I3" s="114">
        <f t="shared" ref="I3:I20" si="1">VALUE(RIGHT(B3,LEN(B3)-7))</f>
        <v>215</v>
      </c>
      <c r="J3" s="114">
        <f t="shared" ref="J3:J20" si="2">VALUE(RIGHT(C3,LEN(C3)-8))</f>
        <v>585</v>
      </c>
      <c r="K3" s="114">
        <f>SUM(I3:J3)</f>
        <v>800</v>
      </c>
      <c r="M3" s="114" cm="1">
        <f t="array" ref="M3:N7">LINEST(LN($I$3:$I$20),$H$3:$H$20,TRUE,TRUE)</f>
        <v>1.2869822558576702E-2</v>
      </c>
      <c r="N3" s="114">
        <v>-19.121810733521194</v>
      </c>
    </row>
    <row r="4" spans="1:14" ht="14.45" customHeight="1" x14ac:dyDescent="0.25">
      <c r="A4" s="116" t="s">
        <v>843</v>
      </c>
      <c r="B4" s="116" t="s">
        <v>886</v>
      </c>
      <c r="C4" s="178" t="s">
        <v>885</v>
      </c>
      <c r="D4" s="179"/>
      <c r="E4" s="116" t="s">
        <v>884</v>
      </c>
      <c r="F4" s="116" t="s">
        <v>883</v>
      </c>
      <c r="G4" s="114">
        <v>1</v>
      </c>
      <c r="H4" s="114">
        <f t="shared" si="0"/>
        <v>2042</v>
      </c>
      <c r="I4" s="114">
        <f t="shared" si="1"/>
        <v>290</v>
      </c>
      <c r="J4" s="114">
        <f t="shared" si="2"/>
        <v>755</v>
      </c>
      <c r="K4" s="114">
        <f>SUM(I4:J4)</f>
        <v>1045</v>
      </c>
      <c r="M4" s="114">
        <v>1.5382152193267362E-2</v>
      </c>
      <c r="N4" s="114">
        <v>31.253494191878289</v>
      </c>
    </row>
    <row r="5" spans="1:14" ht="14.45" customHeight="1" x14ac:dyDescent="0.25">
      <c r="A5" s="116" t="s">
        <v>847</v>
      </c>
      <c r="B5" s="116" t="s">
        <v>882</v>
      </c>
      <c r="C5" s="178" t="s">
        <v>881</v>
      </c>
      <c r="D5" s="179"/>
      <c r="E5" s="116" t="s">
        <v>880</v>
      </c>
      <c r="F5" s="116" t="s">
        <v>876</v>
      </c>
      <c r="G5" s="114">
        <v>2</v>
      </c>
      <c r="H5" s="114">
        <f t="shared" si="0"/>
        <v>2022</v>
      </c>
      <c r="I5" s="114">
        <f t="shared" si="1"/>
        <v>615</v>
      </c>
      <c r="J5" s="114">
        <f t="shared" si="2"/>
        <v>600</v>
      </c>
      <c r="K5" s="114">
        <f t="shared" ref="K5:K20" si="3">SUM(I5:J5)</f>
        <v>1215</v>
      </c>
      <c r="M5" s="114">
        <v>4.1917357793947833E-2</v>
      </c>
      <c r="N5" s="114">
        <v>0.65317318749313835</v>
      </c>
    </row>
    <row r="6" spans="1:14" ht="14.45" customHeight="1" x14ac:dyDescent="0.25">
      <c r="A6" s="116" t="s">
        <v>843</v>
      </c>
      <c r="B6" s="116" t="s">
        <v>879</v>
      </c>
      <c r="C6" s="178" t="s">
        <v>878</v>
      </c>
      <c r="D6" s="179"/>
      <c r="E6" s="116" t="s">
        <v>877</v>
      </c>
      <c r="F6" s="116" t="s">
        <v>876</v>
      </c>
      <c r="G6" s="114">
        <v>2</v>
      </c>
      <c r="H6" s="114">
        <f t="shared" si="0"/>
        <v>2042</v>
      </c>
      <c r="I6" s="114">
        <f t="shared" si="1"/>
        <v>795</v>
      </c>
      <c r="J6" s="114">
        <f t="shared" si="2"/>
        <v>775</v>
      </c>
      <c r="K6" s="114">
        <f t="shared" si="3"/>
        <v>1570</v>
      </c>
      <c r="M6" s="114">
        <v>0.70002074472290099</v>
      </c>
      <c r="N6" s="114">
        <v>16</v>
      </c>
    </row>
    <row r="7" spans="1:14" ht="14.45" customHeight="1" x14ac:dyDescent="0.25">
      <c r="A7" s="116" t="s">
        <v>847</v>
      </c>
      <c r="B7" s="116" t="s">
        <v>875</v>
      </c>
      <c r="C7" s="178" t="s">
        <v>874</v>
      </c>
      <c r="D7" s="179"/>
      <c r="E7" s="116" t="s">
        <v>873</v>
      </c>
      <c r="F7" s="116" t="s">
        <v>870</v>
      </c>
      <c r="G7" s="114">
        <v>3</v>
      </c>
      <c r="H7" s="114">
        <f t="shared" si="0"/>
        <v>2022</v>
      </c>
      <c r="I7" s="114">
        <f t="shared" si="1"/>
        <v>1185</v>
      </c>
      <c r="J7" s="114">
        <f t="shared" si="2"/>
        <v>510</v>
      </c>
      <c r="K7" s="114">
        <f t="shared" si="3"/>
        <v>1695</v>
      </c>
      <c r="M7" s="114">
        <v>0.29865349943123309</v>
      </c>
      <c r="N7" s="114">
        <v>6.8261634057591429</v>
      </c>
    </row>
    <row r="8" spans="1:14" ht="14.45" customHeight="1" x14ac:dyDescent="0.25">
      <c r="A8" s="116" t="s">
        <v>843</v>
      </c>
      <c r="B8" s="116" t="s">
        <v>872</v>
      </c>
      <c r="C8" s="178" t="s">
        <v>871</v>
      </c>
      <c r="D8" s="179"/>
      <c r="E8" s="116" t="s">
        <v>867</v>
      </c>
      <c r="F8" s="116" t="s">
        <v>870</v>
      </c>
      <c r="G8" s="114">
        <v>3</v>
      </c>
      <c r="H8" s="114">
        <f t="shared" si="0"/>
        <v>2042</v>
      </c>
      <c r="I8" s="114">
        <f t="shared" si="1"/>
        <v>1530</v>
      </c>
      <c r="J8" s="114">
        <f t="shared" si="2"/>
        <v>690</v>
      </c>
      <c r="K8" s="114">
        <f t="shared" si="3"/>
        <v>2220</v>
      </c>
    </row>
    <row r="9" spans="1:14" ht="14.45" customHeight="1" x14ac:dyDescent="0.25">
      <c r="A9" s="116" t="s">
        <v>855</v>
      </c>
      <c r="B9" s="116" t="s">
        <v>869</v>
      </c>
      <c r="C9" s="178" t="s">
        <v>868</v>
      </c>
      <c r="D9" s="179"/>
      <c r="E9" s="116" t="s">
        <v>867</v>
      </c>
      <c r="F9" s="116" t="s">
        <v>863</v>
      </c>
      <c r="G9" s="114">
        <v>4</v>
      </c>
      <c r="H9" s="114">
        <f t="shared" si="0"/>
        <v>2021</v>
      </c>
      <c r="I9" s="114">
        <f t="shared" si="1"/>
        <v>1400</v>
      </c>
      <c r="J9" s="114">
        <f t="shared" si="2"/>
        <v>820</v>
      </c>
      <c r="K9" s="114">
        <f t="shared" si="3"/>
        <v>2220</v>
      </c>
    </row>
    <row r="10" spans="1:14" ht="14.45" customHeight="1" x14ac:dyDescent="0.25">
      <c r="A10" s="116" t="s">
        <v>851</v>
      </c>
      <c r="B10" s="116" t="s">
        <v>866</v>
      </c>
      <c r="C10" s="178" t="s">
        <v>865</v>
      </c>
      <c r="D10" s="179"/>
      <c r="E10" s="116" t="s">
        <v>864</v>
      </c>
      <c r="F10" s="116" t="s">
        <v>863</v>
      </c>
      <c r="G10" s="114">
        <v>4</v>
      </c>
      <c r="H10" s="114">
        <f t="shared" si="0"/>
        <v>2041</v>
      </c>
      <c r="I10" s="114">
        <f t="shared" si="1"/>
        <v>1890</v>
      </c>
      <c r="J10" s="114">
        <f t="shared" si="2"/>
        <v>1175</v>
      </c>
      <c r="K10" s="114">
        <f t="shared" si="3"/>
        <v>3065</v>
      </c>
    </row>
    <row r="11" spans="1:14" ht="14.45" customHeight="1" x14ac:dyDescent="0.25">
      <c r="A11" s="116" t="s">
        <v>847</v>
      </c>
      <c r="B11" s="116" t="s">
        <v>861</v>
      </c>
      <c r="C11" s="178" t="s">
        <v>860</v>
      </c>
      <c r="D11" s="179"/>
      <c r="E11" s="116" t="s">
        <v>859</v>
      </c>
      <c r="F11" s="116" t="s">
        <v>862</v>
      </c>
      <c r="G11" s="114">
        <v>5</v>
      </c>
      <c r="H11" s="114">
        <f t="shared" si="0"/>
        <v>2022</v>
      </c>
      <c r="I11" s="114">
        <f t="shared" si="1"/>
        <v>1145</v>
      </c>
      <c r="J11" s="114">
        <f t="shared" si="2"/>
        <v>735</v>
      </c>
      <c r="K11" s="114">
        <f t="shared" si="3"/>
        <v>1880</v>
      </c>
    </row>
    <row r="12" spans="1:14" ht="14.45" customHeight="1" x14ac:dyDescent="0.25">
      <c r="A12" s="116" t="s">
        <v>843</v>
      </c>
      <c r="B12" s="116" t="s">
        <v>858</v>
      </c>
      <c r="C12" s="178" t="s">
        <v>857</v>
      </c>
      <c r="D12" s="179"/>
      <c r="E12" s="116" t="s">
        <v>856</v>
      </c>
      <c r="F12" s="116" t="s">
        <v>862</v>
      </c>
      <c r="G12" s="114">
        <v>5</v>
      </c>
      <c r="H12" s="114">
        <f t="shared" si="0"/>
        <v>2042</v>
      </c>
      <c r="I12" s="114">
        <f t="shared" si="1"/>
        <v>1480</v>
      </c>
      <c r="J12" s="114">
        <f t="shared" si="2"/>
        <v>995</v>
      </c>
      <c r="K12" s="114">
        <f t="shared" si="3"/>
        <v>2475</v>
      </c>
    </row>
    <row r="13" spans="1:14" ht="14.45" customHeight="1" x14ac:dyDescent="0.2">
      <c r="A13" s="116" t="s">
        <v>847</v>
      </c>
      <c r="B13" s="116" t="s">
        <v>861</v>
      </c>
      <c r="C13" s="178" t="s">
        <v>860</v>
      </c>
      <c r="D13" s="179"/>
      <c r="E13" s="116" t="s">
        <v>859</v>
      </c>
      <c r="F13" s="115"/>
      <c r="G13" s="114">
        <v>6</v>
      </c>
      <c r="H13" s="114">
        <f t="shared" si="0"/>
        <v>2022</v>
      </c>
      <c r="I13" s="114">
        <f t="shared" si="1"/>
        <v>1145</v>
      </c>
      <c r="J13" s="114">
        <f t="shared" si="2"/>
        <v>735</v>
      </c>
      <c r="K13" s="114">
        <f t="shared" si="3"/>
        <v>1880</v>
      </c>
    </row>
    <row r="14" spans="1:14" ht="14.45" customHeight="1" x14ac:dyDescent="0.2">
      <c r="A14" s="116" t="s">
        <v>843</v>
      </c>
      <c r="B14" s="116" t="s">
        <v>858</v>
      </c>
      <c r="C14" s="178" t="s">
        <v>857</v>
      </c>
      <c r="D14" s="179"/>
      <c r="E14" s="116" t="s">
        <v>856</v>
      </c>
      <c r="F14" s="115"/>
      <c r="G14" s="114">
        <v>6</v>
      </c>
      <c r="H14" s="114">
        <f t="shared" si="0"/>
        <v>2042</v>
      </c>
      <c r="I14" s="114">
        <f t="shared" si="1"/>
        <v>1480</v>
      </c>
      <c r="J14" s="114">
        <f t="shared" si="2"/>
        <v>995</v>
      </c>
      <c r="K14" s="114">
        <f t="shared" si="3"/>
        <v>2475</v>
      </c>
    </row>
    <row r="15" spans="1:14" ht="14.45" customHeight="1" x14ac:dyDescent="0.2">
      <c r="A15" s="116" t="s">
        <v>847</v>
      </c>
      <c r="B15" s="116" t="s">
        <v>861</v>
      </c>
      <c r="C15" s="178" t="s">
        <v>860</v>
      </c>
      <c r="D15" s="179"/>
      <c r="E15" s="116" t="s">
        <v>859</v>
      </c>
      <c r="F15" s="115"/>
      <c r="G15" s="114">
        <v>7</v>
      </c>
      <c r="H15" s="114">
        <f t="shared" si="0"/>
        <v>2022</v>
      </c>
      <c r="I15" s="114">
        <f t="shared" si="1"/>
        <v>1145</v>
      </c>
      <c r="J15" s="114">
        <f t="shared" si="2"/>
        <v>735</v>
      </c>
      <c r="K15" s="114">
        <f t="shared" si="3"/>
        <v>1880</v>
      </c>
    </row>
    <row r="16" spans="1:14" ht="14.45" customHeight="1" x14ac:dyDescent="0.2">
      <c r="A16" s="116" t="s">
        <v>843</v>
      </c>
      <c r="B16" s="116" t="s">
        <v>858</v>
      </c>
      <c r="C16" s="178" t="s">
        <v>857</v>
      </c>
      <c r="D16" s="179"/>
      <c r="E16" s="116" t="s">
        <v>856</v>
      </c>
      <c r="F16" s="115"/>
      <c r="G16" s="114">
        <v>7</v>
      </c>
      <c r="H16" s="114">
        <f t="shared" si="0"/>
        <v>2042</v>
      </c>
      <c r="I16" s="114">
        <f t="shared" si="1"/>
        <v>1480</v>
      </c>
      <c r="J16" s="114">
        <f t="shared" si="2"/>
        <v>995</v>
      </c>
      <c r="K16" s="114">
        <f t="shared" si="3"/>
        <v>2475</v>
      </c>
    </row>
    <row r="17" spans="1:12" ht="14.45" customHeight="1" x14ac:dyDescent="0.2">
      <c r="A17" s="116" t="s">
        <v>855</v>
      </c>
      <c r="B17" s="116" t="s">
        <v>854</v>
      </c>
      <c r="C17" s="178" t="s">
        <v>853</v>
      </c>
      <c r="D17" s="179"/>
      <c r="E17" s="116" t="s">
        <v>852</v>
      </c>
      <c r="F17" s="115"/>
      <c r="G17" s="114">
        <v>8</v>
      </c>
      <c r="H17" s="114">
        <f t="shared" si="0"/>
        <v>2021</v>
      </c>
      <c r="I17" s="114">
        <f t="shared" si="1"/>
        <v>1200</v>
      </c>
      <c r="J17" s="114">
        <f t="shared" si="2"/>
        <v>635</v>
      </c>
      <c r="K17" s="114">
        <f t="shared" si="3"/>
        <v>1835</v>
      </c>
    </row>
    <row r="18" spans="1:12" ht="14.45" customHeight="1" x14ac:dyDescent="0.2">
      <c r="A18" s="116" t="s">
        <v>851</v>
      </c>
      <c r="B18" s="116" t="s">
        <v>850</v>
      </c>
      <c r="C18" s="178" t="s">
        <v>849</v>
      </c>
      <c r="D18" s="179"/>
      <c r="E18" s="116" t="s">
        <v>848</v>
      </c>
      <c r="F18" s="115"/>
      <c r="G18" s="114">
        <v>8</v>
      </c>
      <c r="H18" s="114">
        <f t="shared" si="0"/>
        <v>2041</v>
      </c>
      <c r="I18" s="114">
        <f t="shared" si="1"/>
        <v>1620</v>
      </c>
      <c r="J18" s="114">
        <f t="shared" si="2"/>
        <v>950</v>
      </c>
      <c r="K18" s="114">
        <f t="shared" si="3"/>
        <v>2570</v>
      </c>
    </row>
    <row r="19" spans="1:12" ht="14.45" customHeight="1" x14ac:dyDescent="0.2">
      <c r="A19" s="116" t="s">
        <v>847</v>
      </c>
      <c r="B19" s="116" t="s">
        <v>846</v>
      </c>
      <c r="C19" s="178" t="s">
        <v>845</v>
      </c>
      <c r="D19" s="179"/>
      <c r="E19" s="116" t="s">
        <v>844</v>
      </c>
      <c r="F19" s="115"/>
      <c r="G19" s="114">
        <v>9</v>
      </c>
      <c r="H19" s="114">
        <f t="shared" si="0"/>
        <v>2022</v>
      </c>
      <c r="I19" s="114">
        <f t="shared" si="1"/>
        <v>2185</v>
      </c>
      <c r="J19" s="114">
        <f t="shared" si="2"/>
        <v>715</v>
      </c>
      <c r="K19" s="114">
        <f t="shared" si="3"/>
        <v>2900</v>
      </c>
    </row>
    <row r="20" spans="1:12" ht="13.35" customHeight="1" x14ac:dyDescent="0.2">
      <c r="A20" s="116" t="s">
        <v>843</v>
      </c>
      <c r="B20" s="116" t="s">
        <v>842</v>
      </c>
      <c r="C20" s="178" t="s">
        <v>841</v>
      </c>
      <c r="D20" s="179"/>
      <c r="E20" s="116" t="s">
        <v>840</v>
      </c>
      <c r="F20" s="115"/>
      <c r="G20" s="114">
        <v>9</v>
      </c>
      <c r="H20" s="114">
        <f t="shared" si="0"/>
        <v>2042</v>
      </c>
      <c r="I20" s="114">
        <f t="shared" si="1"/>
        <v>2820</v>
      </c>
      <c r="J20" s="114">
        <f t="shared" si="2"/>
        <v>925</v>
      </c>
      <c r="K20" s="114">
        <f t="shared" si="3"/>
        <v>3745</v>
      </c>
    </row>
    <row r="21" spans="1:12" ht="14.85" customHeight="1" x14ac:dyDescent="0.25">
      <c r="A21" s="178" t="s">
        <v>839</v>
      </c>
      <c r="B21" s="180"/>
      <c r="C21" s="179"/>
      <c r="D21" s="178" t="s">
        <v>838</v>
      </c>
      <c r="E21" s="180"/>
      <c r="F21" s="179"/>
    </row>
    <row r="22" spans="1:12" ht="14.25" customHeight="1" x14ac:dyDescent="0.2">
      <c r="A22" s="178" t="s">
        <v>837</v>
      </c>
      <c r="B22" s="180"/>
      <c r="C22" s="179"/>
      <c r="D22" s="181"/>
      <c r="E22" s="182"/>
      <c r="F22" s="183"/>
      <c r="I22" s="114">
        <f t="shared" ref="I22:K23" si="4">SUM(I3,I5,I7,I9,I11,I13,I15,I17,I19)</f>
        <v>10235</v>
      </c>
      <c r="J22" s="114">
        <f>SUM(J3,J5,J7,J9,J11,J13,J15,J17,J19)</f>
        <v>6070</v>
      </c>
      <c r="K22" s="114">
        <f t="shared" si="4"/>
        <v>16305</v>
      </c>
      <c r="L22" s="114">
        <f>J22/K22</f>
        <v>0.37227844219564549</v>
      </c>
    </row>
    <row r="23" spans="1:12" ht="14.85" customHeight="1" x14ac:dyDescent="0.25">
      <c r="A23" s="178" t="s">
        <v>836</v>
      </c>
      <c r="B23" s="180"/>
      <c r="C23" s="179"/>
      <c r="D23" s="178" t="s">
        <v>835</v>
      </c>
      <c r="E23" s="180"/>
      <c r="F23" s="179"/>
      <c r="I23" s="114">
        <f t="shared" si="4"/>
        <v>13385</v>
      </c>
      <c r="J23" s="114">
        <f>SUM(J4,J6,J8,J10,J12,J14,J16,J18,J20)</f>
        <v>8255</v>
      </c>
      <c r="K23" s="114">
        <f t="shared" si="4"/>
        <v>21640</v>
      </c>
      <c r="L23" s="114">
        <f>J23/K23</f>
        <v>0.38146950092421444</v>
      </c>
    </row>
    <row r="24" spans="1:12" ht="14.45" customHeight="1" x14ac:dyDescent="0.25">
      <c r="A24" s="178" t="s">
        <v>834</v>
      </c>
      <c r="B24" s="180"/>
      <c r="C24" s="179"/>
      <c r="D24" s="178" t="s">
        <v>833</v>
      </c>
      <c r="E24" s="180"/>
      <c r="F24" s="179"/>
    </row>
    <row r="25" spans="1:12" ht="14.25" customHeight="1" x14ac:dyDescent="0.25">
      <c r="A25" s="178" t="s">
        <v>832</v>
      </c>
      <c r="B25" s="180"/>
      <c r="C25" s="180"/>
      <c r="D25" s="180"/>
      <c r="E25" s="180"/>
      <c r="F25" s="179"/>
    </row>
    <row r="26" spans="1:12" ht="14.25" customHeight="1" x14ac:dyDescent="0.25">
      <c r="A26" s="178" t="s">
        <v>831</v>
      </c>
      <c r="B26" s="180"/>
      <c r="C26" s="180"/>
      <c r="D26" s="180"/>
      <c r="E26" s="180"/>
      <c r="F26" s="179"/>
    </row>
    <row r="27" spans="1:12" ht="14.25" customHeight="1" x14ac:dyDescent="0.25">
      <c r="A27" s="184" t="s">
        <v>830</v>
      </c>
      <c r="B27" s="185"/>
      <c r="C27" s="185"/>
      <c r="D27" s="185"/>
      <c r="E27" s="185"/>
      <c r="F27" s="186"/>
    </row>
  </sheetData>
  <mergeCells count="31">
    <mergeCell ref="A24:C24"/>
    <mergeCell ref="D24:F24"/>
    <mergeCell ref="A25:F25"/>
    <mergeCell ref="A26:F26"/>
    <mergeCell ref="A27:F27"/>
    <mergeCell ref="D23:F23"/>
    <mergeCell ref="C16:D16"/>
    <mergeCell ref="C17:D17"/>
    <mergeCell ref="C18:D18"/>
    <mergeCell ref="C19:D19"/>
    <mergeCell ref="C20:D20"/>
    <mergeCell ref="A21:C21"/>
    <mergeCell ref="D21:F21"/>
    <mergeCell ref="A22:C22"/>
    <mergeCell ref="D22:F22"/>
    <mergeCell ref="A23:C23"/>
    <mergeCell ref="C6:D6"/>
    <mergeCell ref="C7:D7"/>
    <mergeCell ref="C8:D8"/>
    <mergeCell ref="C9:D9"/>
    <mergeCell ref="C10:D10"/>
    <mergeCell ref="C11:D11"/>
    <mergeCell ref="C12:D12"/>
    <mergeCell ref="C13:D13"/>
    <mergeCell ref="C14:D14"/>
    <mergeCell ref="C15:D15"/>
    <mergeCell ref="A1:F1"/>
    <mergeCell ref="B2:E2"/>
    <mergeCell ref="C3:D3"/>
    <mergeCell ref="C4:D4"/>
    <mergeCell ref="C5:D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Assumptions</vt:lpstr>
      <vt:lpstr>BCA Summary</vt:lpstr>
      <vt:lpstr>Travel Time - US52</vt:lpstr>
      <vt:lpstr>Veh Maint Cost - US52</vt:lpstr>
      <vt:lpstr>Safety</vt:lpstr>
      <vt:lpstr>Maintenance Costs</vt:lpstr>
      <vt:lpstr>Capital Costs</vt:lpstr>
      <vt:lpstr>Costs PCN 23153</vt:lpstr>
      <vt:lpstr>Costs PCN 23404</vt:lpstr>
      <vt:lpstr>Costs PCN 23721</vt:lpstr>
      <vt:lpstr>Intersection Crashes</vt:lpstr>
      <vt:lpstr>Design Data</vt:lpstr>
      <vt:lpstr>Assumptions!Print_Area</vt:lpstr>
      <vt:lpstr>'BCA Summary'!Print_Area</vt:lpstr>
      <vt:lpstr>'Capital Costs'!Print_Area</vt:lpstr>
      <vt:lpstr>'Maintenance Costs'!Print_Area</vt:lpstr>
      <vt:lpstr>Safety!Print_Area</vt:lpstr>
      <vt:lpstr>'Travel Time - US52'!Print_Area</vt:lpstr>
      <vt:lpstr>'Veh Maint Cost - US52'!Print_Area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Kappelman</dc:creator>
  <cp:lastModifiedBy>Erik Kappelman</cp:lastModifiedBy>
  <dcterms:created xsi:type="dcterms:W3CDTF">2024-04-23T22:08:54Z</dcterms:created>
  <dcterms:modified xsi:type="dcterms:W3CDTF">2024-05-06T16:00:45Z</dcterms:modified>
</cp:coreProperties>
</file>