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K:\Trans\Grant Applications\2022 Grants\CRISI\MnDOT\D3\Baxter\BCA\"/>
    </mc:Choice>
  </mc:AlternateContent>
  <xr:revisionPtr revIDLastSave="0" documentId="13_ncr:1_{27FA156E-4B01-4E7E-95C4-7CE59538B499}" xr6:coauthVersionLast="47" xr6:coauthVersionMax="47" xr10:uidLastSave="{00000000-0000-0000-0000-000000000000}"/>
  <bookViews>
    <workbookView xWindow="-120" yWindow="-120" windowWidth="29040" windowHeight="15990" tabRatio="851" activeTab="1" xr2:uid="{00000000-000D-0000-FFFF-FFFF00000000}"/>
  </bookViews>
  <sheets>
    <sheet name="Assumptions" sheetId="28" r:id="rId1"/>
    <sheet name="BCA Summary " sheetId="46" r:id="rId2"/>
    <sheet name="Travel Time Savings " sheetId="36" r:id="rId3"/>
    <sheet name="Operation Benefits" sheetId="44" r:id="rId4"/>
    <sheet name="Safety Benefits" sheetId="50" r:id="rId5"/>
    <sheet name="Air Quality" sheetId="47" r:id="rId6"/>
    <sheet name="Operating and Maintenance Costs" sheetId="48" r:id="rId7"/>
    <sheet name="Capital Cost and RCV Calc" sheetId="42" r:id="rId8"/>
    <sheet name="RCV Calculator" sheetId="10" r:id="rId9"/>
    <sheet name="Public Crossings" sheetId="51" r:id="rId10"/>
  </sheets>
  <externalReferences>
    <externalReference r:id="rId11"/>
    <externalReference r:id="rId12"/>
  </externalReferences>
  <definedNames>
    <definedName name="_Fill" localSheetId="9" hidden="1">#REF!</definedName>
    <definedName name="_Fill" hidden="1">#REF!</definedName>
    <definedName name="_Key1" localSheetId="9" hidden="1">'[1]Journal Entry'!#REF!</definedName>
    <definedName name="_Key1" hidden="1">'[1]Journal Entry'!#REF!</definedName>
    <definedName name="_Key2" localSheetId="9" hidden="1">'[1]Journal Entry'!#REF!</definedName>
    <definedName name="_Key2" hidden="1">'[1]Journal Entry'!#REF!</definedName>
    <definedName name="_Order1" hidden="1">255</definedName>
    <definedName name="_Order2" hidden="1">255</definedName>
    <definedName name="BEx3O85IKWARA6NCJOLRBRJFMEWW" hidden="1">'[2]Q2 09 Rail BS Leads'!#REF!</definedName>
    <definedName name="BEx5MLQZM68YQSKARVWTTPINFQ2C" hidden="1">'[2]Q2 09 Rail BS Leads'!#REF!</definedName>
    <definedName name="BExERWCEBKQRYWRQLYJ4UCMMKTHG" hidden="1">'[2]Q2 09 Rail BS Leads'!#REF!</definedName>
    <definedName name="BExMBYPQDG9AYDQ5E8IECVFREPO6" hidden="1">'[2]Q2 09 Rail BS Leads'!#REF!</definedName>
    <definedName name="BExQ9ZLYHWABXAA9NJDW8ZS0UQ9P" hidden="1">'[2]Q2 09 Rail BS Leads'!#REF!</definedName>
    <definedName name="BExTUY9WNSJ91GV8CP0SKJTEIV82" hidden="1">'[2]Q2 09 Rail BS Leads'!#REF!</definedName>
    <definedName name="_xlnm.Print_Area" localSheetId="5">'Air Quality'!$A$1:$AS$52</definedName>
    <definedName name="_xlnm.Print_Area" localSheetId="1">'BCA Summary '!$A$1:$K$89</definedName>
    <definedName name="_xlnm.Print_Area" localSheetId="7">'Capital Cost and RCV Calc'!$A$1:$M$76</definedName>
    <definedName name="_xlnm.Print_Area" localSheetId="4">'Safety Benefits'!$A$1:$R$75</definedName>
    <definedName name="SAPBEXhrIndnt" hidden="1">"Wide"</definedName>
    <definedName name="SAPsysID" hidden="1">"708C5W7SBKP804JT78WJ0JNKI"</definedName>
    <definedName name="SAPwbID" hidden="1">"ARS"</definedName>
    <definedName name="solver_typ" localSheetId="7" hidden="1">2</definedName>
    <definedName name="solver_typ" localSheetId="6" hidden="1">2</definedName>
    <definedName name="solver_ver" localSheetId="7" hidden="1">17</definedName>
    <definedName name="solver_ver" localSheetId="6" hidden="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4" i="44" l="1"/>
  <c r="P22" i="36"/>
  <c r="O22" i="36"/>
  <c r="N22" i="36"/>
  <c r="M22" i="36"/>
  <c r="AR44" i="36"/>
  <c r="AQ44" i="36"/>
  <c r="AP44" i="36"/>
  <c r="AO44" i="36"/>
  <c r="AN44" i="36"/>
  <c r="AR53" i="36"/>
  <c r="AQ53" i="36"/>
  <c r="AP53" i="36"/>
  <c r="AO53" i="36"/>
  <c r="AN53" i="36"/>
  <c r="AM53" i="36"/>
  <c r="AR52" i="36"/>
  <c r="AQ52" i="36"/>
  <c r="AP52" i="36"/>
  <c r="AO52" i="36"/>
  <c r="AN52" i="36"/>
  <c r="AM52" i="36"/>
  <c r="AR51" i="36"/>
  <c r="AQ51" i="36"/>
  <c r="AP51" i="36"/>
  <c r="AO51" i="36"/>
  <c r="AN51" i="36"/>
  <c r="AM51" i="36"/>
  <c r="AR50" i="36"/>
  <c r="AQ50" i="36"/>
  <c r="AP50" i="36"/>
  <c r="AO50" i="36"/>
  <c r="AN50" i="36"/>
  <c r="AM50" i="36"/>
  <c r="AR49" i="36"/>
  <c r="AQ49" i="36"/>
  <c r="AP49" i="36"/>
  <c r="AO49" i="36"/>
  <c r="AN49" i="36"/>
  <c r="AM49" i="36"/>
  <c r="AR48" i="36"/>
  <c r="AQ48" i="36"/>
  <c r="AP48" i="36"/>
  <c r="AO48" i="36"/>
  <c r="AN48" i="36"/>
  <c r="AM48" i="36"/>
  <c r="AR47" i="36"/>
  <c r="AQ47" i="36"/>
  <c r="AP47" i="36"/>
  <c r="AO47" i="36"/>
  <c r="AN47" i="36"/>
  <c r="AM47" i="36"/>
  <c r="AR46" i="36"/>
  <c r="AQ46" i="36"/>
  <c r="AP46" i="36"/>
  <c r="AO46" i="36"/>
  <c r="AN46" i="36"/>
  <c r="AM46" i="36"/>
  <c r="AR45" i="36"/>
  <c r="AQ45" i="36"/>
  <c r="AP45" i="36"/>
  <c r="AO45" i="36"/>
  <c r="AN45" i="36"/>
  <c r="AM45" i="36"/>
  <c r="AL53" i="36"/>
  <c r="AL52" i="36"/>
  <c r="AL51" i="36"/>
  <c r="AL50" i="36"/>
  <c r="AL49" i="36"/>
  <c r="AL48" i="36"/>
  <c r="AL47" i="36"/>
  <c r="AL46" i="36"/>
  <c r="AL45" i="36"/>
  <c r="AL44" i="36"/>
  <c r="AL43" i="36"/>
  <c r="AR43" i="36"/>
  <c r="AQ43" i="36"/>
  <c r="AP43" i="36"/>
  <c r="AO43" i="36"/>
  <c r="AN43" i="36"/>
  <c r="AM43" i="36"/>
  <c r="AR42" i="36"/>
  <c r="AQ42" i="36"/>
  <c r="AP42" i="36"/>
  <c r="AO42" i="36"/>
  <c r="AN42" i="36"/>
  <c r="AM42" i="36"/>
  <c r="AL42" i="36"/>
  <c r="AH44" i="36"/>
  <c r="AG44" i="36"/>
  <c r="AF44" i="36"/>
  <c r="AE44" i="36"/>
  <c r="AD44" i="36"/>
  <c r="AH43" i="36"/>
  <c r="AG43" i="36"/>
  <c r="AF43" i="36"/>
  <c r="AE43" i="36"/>
  <c r="AD43" i="36"/>
  <c r="AC43" i="36"/>
  <c r="AH42" i="36"/>
  <c r="AG42" i="36"/>
  <c r="AF42" i="36"/>
  <c r="AE42" i="36"/>
  <c r="AD42" i="36"/>
  <c r="AC42" i="36"/>
  <c r="AH53" i="36"/>
  <c r="AG53" i="36"/>
  <c r="AF53" i="36"/>
  <c r="AE53" i="36"/>
  <c r="AD53" i="36"/>
  <c r="AC53" i="36"/>
  <c r="AH52" i="36"/>
  <c r="AG52" i="36"/>
  <c r="AF52" i="36"/>
  <c r="AE52" i="36"/>
  <c r="AD52" i="36"/>
  <c r="AC52" i="36"/>
  <c r="AH51" i="36"/>
  <c r="AG51" i="36"/>
  <c r="AF51" i="36"/>
  <c r="AE51" i="36"/>
  <c r="AD51" i="36"/>
  <c r="AC51" i="36"/>
  <c r="AH50" i="36"/>
  <c r="AG50" i="36"/>
  <c r="AF50" i="36"/>
  <c r="AE50" i="36"/>
  <c r="AD50" i="36"/>
  <c r="AC50" i="36"/>
  <c r="AH49" i="36"/>
  <c r="AG49" i="36"/>
  <c r="AF49" i="36"/>
  <c r="AE49" i="36"/>
  <c r="AD49" i="36"/>
  <c r="AC49" i="36"/>
  <c r="AH48" i="36"/>
  <c r="AG48" i="36"/>
  <c r="AF48" i="36"/>
  <c r="AE48" i="36"/>
  <c r="AD48" i="36"/>
  <c r="AC48" i="36"/>
  <c r="AH47" i="36"/>
  <c r="AG47" i="36"/>
  <c r="AF47" i="36"/>
  <c r="AE47" i="36"/>
  <c r="AD47" i="36"/>
  <c r="AC47" i="36"/>
  <c r="AH46" i="36"/>
  <c r="AG46" i="36"/>
  <c r="AF46" i="36"/>
  <c r="AE46" i="36"/>
  <c r="AD46" i="36"/>
  <c r="AC46" i="36"/>
  <c r="AH45" i="36"/>
  <c r="AG45" i="36"/>
  <c r="AF45" i="36"/>
  <c r="AE45" i="36"/>
  <c r="AD45" i="36"/>
  <c r="AC45" i="36"/>
  <c r="AB53" i="36"/>
  <c r="AB52" i="36"/>
  <c r="AB51" i="36"/>
  <c r="AB50" i="36"/>
  <c r="AB49" i="36"/>
  <c r="AB48" i="36"/>
  <c r="AB47" i="36"/>
  <c r="AB46" i="36"/>
  <c r="AB45" i="36"/>
  <c r="AB44" i="36"/>
  <c r="AB43" i="36"/>
  <c r="AB42" i="36"/>
  <c r="AR29" i="36"/>
  <c r="AQ29" i="36"/>
  <c r="AP29" i="36"/>
  <c r="AO29" i="36"/>
  <c r="AN29" i="36"/>
  <c r="AR28" i="36"/>
  <c r="AQ28" i="36"/>
  <c r="AP28" i="36"/>
  <c r="AO28" i="36"/>
  <c r="AN28" i="36"/>
  <c r="AM28" i="36"/>
  <c r="AR27" i="36"/>
  <c r="AQ27" i="36"/>
  <c r="AP27" i="36"/>
  <c r="AO27" i="36"/>
  <c r="AN27" i="36"/>
  <c r="AM27" i="36"/>
  <c r="AR38" i="36"/>
  <c r="AQ38" i="36"/>
  <c r="AP38" i="36"/>
  <c r="AO38" i="36"/>
  <c r="AN38" i="36"/>
  <c r="AM38" i="36"/>
  <c r="AR37" i="36"/>
  <c r="AQ37" i="36"/>
  <c r="AP37" i="36"/>
  <c r="AO37" i="36"/>
  <c r="AN37" i="36"/>
  <c r="AM37" i="36"/>
  <c r="AR36" i="36"/>
  <c r="AQ36" i="36"/>
  <c r="AP36" i="36"/>
  <c r="AO36" i="36"/>
  <c r="AN36" i="36"/>
  <c r="AM36" i="36"/>
  <c r="AR35" i="36"/>
  <c r="AQ35" i="36"/>
  <c r="AP35" i="36"/>
  <c r="AO35" i="36"/>
  <c r="AN35" i="36"/>
  <c r="AM35" i="36"/>
  <c r="AR34" i="36"/>
  <c r="AQ34" i="36"/>
  <c r="AP34" i="36"/>
  <c r="AO34" i="36"/>
  <c r="AN34" i="36"/>
  <c r="AM34" i="36"/>
  <c r="AR33" i="36"/>
  <c r="AQ33" i="36"/>
  <c r="AP33" i="36"/>
  <c r="AO33" i="36"/>
  <c r="AN33" i="36"/>
  <c r="AM33" i="36"/>
  <c r="AR32" i="36"/>
  <c r="AQ32" i="36"/>
  <c r="AP32" i="36"/>
  <c r="AO32" i="36"/>
  <c r="AN32" i="36"/>
  <c r="AM32" i="36"/>
  <c r="AR31" i="36"/>
  <c r="AQ31" i="36"/>
  <c r="AP31" i="36"/>
  <c r="AO31" i="36"/>
  <c r="AN31" i="36"/>
  <c r="AM31" i="36"/>
  <c r="AR30" i="36"/>
  <c r="AQ30" i="36"/>
  <c r="AP30" i="36"/>
  <c r="AO30" i="36"/>
  <c r="AN30" i="36"/>
  <c r="AM30" i="36"/>
  <c r="AL38" i="36"/>
  <c r="AL37" i="36"/>
  <c r="AL36" i="36"/>
  <c r="AL35" i="36"/>
  <c r="AL34" i="36"/>
  <c r="AL33" i="36"/>
  <c r="AL32" i="36"/>
  <c r="AL31" i="36"/>
  <c r="AL30" i="36"/>
  <c r="AL29" i="36"/>
  <c r="AL28" i="36"/>
  <c r="AL27" i="36"/>
  <c r="AH29" i="36"/>
  <c r="AG29" i="36"/>
  <c r="AF29" i="36"/>
  <c r="AE29" i="36"/>
  <c r="AD29" i="36"/>
  <c r="AH38" i="36"/>
  <c r="AG38" i="36"/>
  <c r="AF38" i="36"/>
  <c r="AE38" i="36"/>
  <c r="AD38" i="36"/>
  <c r="AC38" i="36"/>
  <c r="AH37" i="36"/>
  <c r="AG37" i="36"/>
  <c r="AF37" i="36"/>
  <c r="AE37" i="36"/>
  <c r="AD37" i="36"/>
  <c r="AC37" i="36"/>
  <c r="AH36" i="36"/>
  <c r="AG36" i="36"/>
  <c r="AF36" i="36"/>
  <c r="AE36" i="36"/>
  <c r="AD36" i="36"/>
  <c r="AC36" i="36"/>
  <c r="AH35" i="36"/>
  <c r="AG35" i="36"/>
  <c r="AF35" i="36"/>
  <c r="AE35" i="36"/>
  <c r="AD35" i="36"/>
  <c r="AC35" i="36"/>
  <c r="AH34" i="36"/>
  <c r="AG34" i="36"/>
  <c r="AF34" i="36"/>
  <c r="AE34" i="36"/>
  <c r="AD34" i="36"/>
  <c r="AC34" i="36"/>
  <c r="AH33" i="36"/>
  <c r="AG33" i="36"/>
  <c r="AF33" i="36"/>
  <c r="AE33" i="36"/>
  <c r="AD33" i="36"/>
  <c r="AC33" i="36"/>
  <c r="AH32" i="36"/>
  <c r="AG32" i="36"/>
  <c r="AF32" i="36"/>
  <c r="AE32" i="36"/>
  <c r="AD32" i="36"/>
  <c r="AC32" i="36"/>
  <c r="AH31" i="36"/>
  <c r="AG31" i="36"/>
  <c r="AF31" i="36"/>
  <c r="AE31" i="36"/>
  <c r="AD31" i="36"/>
  <c r="AC31" i="36"/>
  <c r="AH30" i="36"/>
  <c r="AG30" i="36"/>
  <c r="AF30" i="36"/>
  <c r="AE30" i="36"/>
  <c r="AD30" i="36"/>
  <c r="AC30" i="36"/>
  <c r="AB38" i="36"/>
  <c r="AB37" i="36"/>
  <c r="AB36" i="36"/>
  <c r="AB35" i="36"/>
  <c r="AB34" i="36"/>
  <c r="AB33" i="36"/>
  <c r="AB32" i="36"/>
  <c r="AB31" i="36"/>
  <c r="AB30" i="36"/>
  <c r="AB29" i="36"/>
  <c r="AB28" i="36"/>
  <c r="AH28" i="36"/>
  <c r="AG28" i="36"/>
  <c r="AF28" i="36"/>
  <c r="AE28" i="36"/>
  <c r="AD28" i="36"/>
  <c r="AC28" i="36"/>
  <c r="AH27" i="36"/>
  <c r="AG27" i="36"/>
  <c r="AF27" i="36"/>
  <c r="AE27" i="36"/>
  <c r="AD27" i="36"/>
  <c r="AC27" i="36"/>
  <c r="AB27" i="36"/>
  <c r="AR54" i="36"/>
  <c r="AS54" i="36" s="1"/>
  <c r="AH54" i="36"/>
  <c r="AI54" i="36" s="1"/>
  <c r="AT54" i="36" s="1"/>
  <c r="AR39" i="36"/>
  <c r="AS39" i="36" s="1"/>
  <c r="AH39" i="36"/>
  <c r="AI39" i="36" s="1"/>
  <c r="AT39" i="36" s="1"/>
  <c r="J33" i="50" l="1"/>
  <c r="K33" i="50"/>
  <c r="K34" i="50"/>
  <c r="J37" i="50"/>
  <c r="J38" i="50"/>
  <c r="J40" i="51"/>
  <c r="J39" i="51"/>
  <c r="J38" i="51"/>
  <c r="J37" i="51"/>
  <c r="J36" i="51"/>
  <c r="J35" i="51"/>
  <c r="J34" i="51"/>
  <c r="J33" i="51"/>
  <c r="J32" i="51"/>
  <c r="J31" i="51"/>
  <c r="J30" i="51"/>
  <c r="J29" i="51"/>
  <c r="J28" i="51"/>
  <c r="J27" i="51"/>
  <c r="J26" i="51"/>
  <c r="J25" i="51"/>
  <c r="J19" i="51"/>
  <c r="J18" i="51"/>
  <c r="J17" i="51"/>
  <c r="J16" i="51"/>
  <c r="J15" i="51"/>
  <c r="J14" i="51"/>
  <c r="J13" i="51"/>
  <c r="J12" i="51"/>
  <c r="J11" i="51"/>
  <c r="J10" i="51"/>
  <c r="J9" i="51"/>
  <c r="J8" i="51"/>
  <c r="J7" i="51"/>
  <c r="J6" i="51"/>
  <c r="J5" i="51"/>
  <c r="J4" i="51"/>
  <c r="L36" i="50"/>
  <c r="L38" i="50" l="1"/>
  <c r="K38" i="50"/>
  <c r="K37" i="50" l="1"/>
  <c r="L37" i="50"/>
  <c r="J27" i="50" l="1" a="1"/>
  <c r="J27" i="50"/>
  <c r="J26" i="50" a="1"/>
  <c r="J26" i="50"/>
  <c r="AB5" i="50"/>
  <c r="L11" i="50"/>
  <c r="AB6" i="50" l="1"/>
  <c r="AL6" i="50" s="1"/>
  <c r="K26" i="50"/>
  <c r="K27" i="50"/>
  <c r="AH5" i="50" l="1"/>
  <c r="AH6" i="50" s="1"/>
  <c r="AI5" i="50"/>
  <c r="AI6" i="50" s="1"/>
  <c r="AJ5" i="50"/>
  <c r="AJ6" i="50" s="1"/>
  <c r="AK5" i="50"/>
  <c r="AK6" i="50" s="1"/>
  <c r="AG5" i="50"/>
  <c r="AG6" i="50" s="1"/>
  <c r="AC5" i="50"/>
  <c r="AC6" i="50" s="1"/>
  <c r="AM6" i="50" s="1"/>
  <c r="AD5" i="50"/>
  <c r="AD6" i="50" s="1"/>
  <c r="AN6" i="50" s="1"/>
  <c r="AE5" i="50"/>
  <c r="AE6" i="50" s="1"/>
  <c r="AF5" i="50"/>
  <c r="AF6" i="50" s="1"/>
  <c r="AL5" i="50" l="1"/>
  <c r="AP5" i="50"/>
  <c r="AO5" i="50"/>
  <c r="AN5" i="50"/>
  <c r="AM5" i="50"/>
  <c r="AQ5" i="50"/>
  <c r="AU5" i="50"/>
  <c r="AT5" i="50"/>
  <c r="AS5" i="50"/>
  <c r="AR5" i="50"/>
  <c r="AR6" i="50" l="1"/>
  <c r="AS6" i="50"/>
  <c r="AT6" i="50"/>
  <c r="AU6" i="50"/>
  <c r="AQ6" i="50"/>
  <c r="AO6" i="50"/>
  <c r="AP6" i="50"/>
  <c r="K14" i="42" l="1"/>
  <c r="V71" i="42"/>
  <c r="V67" i="42"/>
  <c r="V63" i="42"/>
  <c r="V62" i="42"/>
  <c r="V60" i="42"/>
  <c r="K19" i="42" l="1"/>
  <c r="V64" i="42"/>
  <c r="T64" i="42"/>
  <c r="T55" i="42"/>
  <c r="T49" i="42" l="1"/>
  <c r="T45" i="42"/>
  <c r="T40" i="42"/>
  <c r="T32" i="42"/>
  <c r="I6" i="42"/>
  <c r="I7" i="42" s="1"/>
  <c r="T27" i="42"/>
  <c r="T22" i="42"/>
  <c r="T72" i="42" l="1"/>
  <c r="T69" i="42"/>
  <c r="T65" i="42"/>
  <c r="T57" i="42"/>
  <c r="C34" i="48"/>
  <c r="C33" i="48"/>
  <c r="C32" i="48"/>
  <c r="C31" i="48"/>
  <c r="C30" i="48"/>
  <c r="C29" i="48"/>
  <c r="C28" i="48"/>
  <c r="C27" i="48"/>
  <c r="C26" i="48"/>
  <c r="C25" i="48"/>
  <c r="C24" i="48"/>
  <c r="C23" i="48"/>
  <c r="C22" i="48"/>
  <c r="C21" i="48"/>
  <c r="C20" i="48"/>
  <c r="C19" i="48"/>
  <c r="C18" i="48"/>
  <c r="C17" i="48"/>
  <c r="C16" i="48"/>
  <c r="C15" i="48"/>
  <c r="C14" i="48"/>
  <c r="C13" i="48"/>
  <c r="C12" i="48"/>
  <c r="C11" i="48"/>
  <c r="C10" i="48"/>
  <c r="C9" i="48"/>
  <c r="C8" i="48"/>
  <c r="C7" i="48"/>
  <c r="C6" i="48"/>
  <c r="C5" i="48"/>
  <c r="T49" i="47"/>
  <c r="U49" i="47"/>
  <c r="V49" i="47"/>
  <c r="T50" i="47"/>
  <c r="U50" i="47"/>
  <c r="V50" i="47"/>
  <c r="T51" i="47"/>
  <c r="U51" i="47"/>
  <c r="V51" i="47"/>
  <c r="S49" i="47"/>
  <c r="S50" i="47"/>
  <c r="S51" i="47"/>
  <c r="U21" i="42" l="1"/>
  <c r="V21" i="42" s="1"/>
  <c r="U53" i="42"/>
  <c r="V53" i="42" s="1"/>
  <c r="U54" i="42"/>
  <c r="V54" i="42" s="1"/>
  <c r="U52" i="42"/>
  <c r="V52" i="42" s="1"/>
  <c r="V55" i="42" s="1"/>
  <c r="U48" i="42"/>
  <c r="V48" i="42" s="1"/>
  <c r="V49" i="42" s="1"/>
  <c r="U44" i="42"/>
  <c r="V44" i="42" s="1"/>
  <c r="U43" i="42"/>
  <c r="V43" i="42" s="1"/>
  <c r="V45" i="42" s="1"/>
  <c r="U39" i="42"/>
  <c r="V39" i="42" s="1"/>
  <c r="U36" i="42"/>
  <c r="V36" i="42" s="1"/>
  <c r="U37" i="42"/>
  <c r="V37" i="42" s="1"/>
  <c r="U38" i="42"/>
  <c r="V38" i="42" s="1"/>
  <c r="U35" i="42"/>
  <c r="V35" i="42" s="1"/>
  <c r="V40" i="42" s="1"/>
  <c r="U31" i="42"/>
  <c r="V31" i="42" s="1"/>
  <c r="U26" i="42"/>
  <c r="V26" i="42" s="1"/>
  <c r="U25" i="42"/>
  <c r="V25" i="42" s="1"/>
  <c r="V27" i="42" s="1"/>
  <c r="U11" i="42"/>
  <c r="V11" i="42" s="1"/>
  <c r="U12" i="42"/>
  <c r="V12" i="42" s="1"/>
  <c r="K17" i="42" s="1"/>
  <c r="U13" i="42"/>
  <c r="V13" i="42" s="1"/>
  <c r="U14" i="42"/>
  <c r="V14" i="42" s="1"/>
  <c r="U15" i="42"/>
  <c r="V15" i="42" s="1"/>
  <c r="U16" i="42"/>
  <c r="V16" i="42" s="1"/>
  <c r="U17" i="42"/>
  <c r="V17" i="42" s="1"/>
  <c r="U18" i="42"/>
  <c r="V18" i="42" s="1"/>
  <c r="U19" i="42"/>
  <c r="V19" i="42" s="1"/>
  <c r="U20" i="42"/>
  <c r="V20" i="42" s="1"/>
  <c r="U10" i="42"/>
  <c r="H9" i="46"/>
  <c r="H10" i="46"/>
  <c r="H11" i="46"/>
  <c r="H12" i="46"/>
  <c r="H13" i="46"/>
  <c r="H14" i="46"/>
  <c r="H15" i="46"/>
  <c r="H16" i="46"/>
  <c r="H17" i="46"/>
  <c r="H18" i="46"/>
  <c r="H19" i="46"/>
  <c r="H20" i="46"/>
  <c r="H21" i="46"/>
  <c r="H22" i="46"/>
  <c r="H23" i="46"/>
  <c r="H24" i="46"/>
  <c r="H25" i="46"/>
  <c r="H26" i="46"/>
  <c r="H27" i="46"/>
  <c r="H28" i="46"/>
  <c r="H29" i="46"/>
  <c r="H30" i="46"/>
  <c r="H31" i="46"/>
  <c r="H32" i="46"/>
  <c r="H33" i="46"/>
  <c r="H34" i="46"/>
  <c r="H35" i="46"/>
  <c r="H36" i="46"/>
  <c r="H37" i="46"/>
  <c r="H38" i="46"/>
  <c r="V10" i="42" l="1"/>
  <c r="U76" i="42"/>
  <c r="K18" i="42"/>
  <c r="K15" i="42"/>
  <c r="V32" i="42"/>
  <c r="J31" i="50"/>
  <c r="K16" i="42" l="1"/>
  <c r="K20" i="42" s="1"/>
  <c r="V22" i="42"/>
  <c r="K26" i="42"/>
  <c r="V72" i="42" l="1"/>
  <c r="V69" i="42"/>
  <c r="V65" i="42"/>
  <c r="V57" i="42"/>
  <c r="L26" i="50"/>
  <c r="E14" i="28"/>
  <c r="D14" i="28"/>
  <c r="K31" i="50" l="1"/>
  <c r="B39" i="44" l="1"/>
  <c r="B43" i="36"/>
  <c r="B39" i="36"/>
  <c r="E15" i="28"/>
  <c r="D15" i="28"/>
  <c r="D23" i="28" s="1"/>
  <c r="D8" i="28"/>
  <c r="I10" i="46"/>
  <c r="I11" i="46"/>
  <c r="I12" i="46"/>
  <c r="I13" i="46"/>
  <c r="I14" i="46"/>
  <c r="I15" i="46"/>
  <c r="I16" i="46"/>
  <c r="I17" i="46"/>
  <c r="I18" i="46"/>
  <c r="I19" i="46"/>
  <c r="I20" i="46"/>
  <c r="I21" i="46"/>
  <c r="I22" i="46"/>
  <c r="I23" i="46"/>
  <c r="I24" i="46"/>
  <c r="I25" i="46"/>
  <c r="I26" i="46"/>
  <c r="I27" i="46"/>
  <c r="I28" i="46"/>
  <c r="I29" i="46"/>
  <c r="I30" i="46"/>
  <c r="I31" i="46"/>
  <c r="I32" i="46"/>
  <c r="I33" i="46"/>
  <c r="I34" i="46"/>
  <c r="I35" i="46"/>
  <c r="I36" i="46"/>
  <c r="I37" i="46"/>
  <c r="Y6" i="47"/>
  <c r="Y13" i="47" s="1"/>
  <c r="D9" i="28" l="1"/>
  <c r="B6" i="50"/>
  <c r="C6" i="50" s="1"/>
  <c r="AA7" i="50" l="1"/>
  <c r="B7" i="50"/>
  <c r="C7" i="50" s="1"/>
  <c r="AK26" i="47"/>
  <c r="V8" i="47" s="1"/>
  <c r="AJ26" i="47"/>
  <c r="U8" i="47" s="1"/>
  <c r="AI26" i="47"/>
  <c r="T8" i="47" s="1"/>
  <c r="AH26" i="47"/>
  <c r="S8" i="47" s="1"/>
  <c r="AK25" i="47"/>
  <c r="V7" i="47" s="1"/>
  <c r="AJ25" i="47"/>
  <c r="U7" i="47" s="1"/>
  <c r="AI25" i="47"/>
  <c r="T7" i="47" s="1"/>
  <c r="AH25" i="47"/>
  <c r="S7" i="47" s="1"/>
  <c r="F30" i="42"/>
  <c r="F31" i="42"/>
  <c r="F32" i="42"/>
  <c r="F33" i="42"/>
  <c r="F34" i="42"/>
  <c r="J8" i="42"/>
  <c r="AA8" i="50" l="1"/>
  <c r="AK7" i="50" a="1"/>
  <c r="AK7" i="50" s="1"/>
  <c r="AJ7" i="50" a="1"/>
  <c r="AJ7" i="50" s="1"/>
  <c r="AI7" i="50" a="1"/>
  <c r="AI7" i="50" s="1"/>
  <c r="AH7" i="50" a="1"/>
  <c r="AH7" i="50" s="1"/>
  <c r="AG7" i="50" a="1"/>
  <c r="AG7" i="50" s="1"/>
  <c r="AF7" i="50" a="1"/>
  <c r="AF7" i="50" s="1"/>
  <c r="AE7" i="50" a="1"/>
  <c r="AE7" i="50" s="1"/>
  <c r="AD7" i="50" a="1"/>
  <c r="AD7" i="50" s="1"/>
  <c r="AC7" i="50" a="1"/>
  <c r="AC7" i="50" s="1"/>
  <c r="AB7" i="50" a="1"/>
  <c r="AB7" i="50" s="1"/>
  <c r="B8" i="50"/>
  <c r="C8" i="50" s="1"/>
  <c r="AL7" i="50" l="1"/>
  <c r="AM7" i="50"/>
  <c r="AN7" i="50"/>
  <c r="AO7" i="50"/>
  <c r="AP7" i="50"/>
  <c r="AQ7" i="50"/>
  <c r="AR7" i="50"/>
  <c r="AS7" i="50"/>
  <c r="AT7" i="50"/>
  <c r="AU7" i="50"/>
  <c r="AA9" i="50"/>
  <c r="AK8" i="50" a="1"/>
  <c r="AK8" i="50" s="1"/>
  <c r="AJ8" i="50" a="1"/>
  <c r="AJ8" i="50" s="1"/>
  <c r="AI8" i="50" a="1"/>
  <c r="AI8" i="50" s="1"/>
  <c r="AH8" i="50" a="1"/>
  <c r="AH8" i="50" s="1"/>
  <c r="AG8" i="50" a="1"/>
  <c r="AG8" i="50" s="1"/>
  <c r="AF8" i="50" a="1"/>
  <c r="AF8" i="50" s="1"/>
  <c r="AE8" i="50" a="1"/>
  <c r="AE8" i="50" s="1"/>
  <c r="AD8" i="50" a="1"/>
  <c r="AD8" i="50" s="1"/>
  <c r="AC8" i="50" a="1"/>
  <c r="AC8" i="50" s="1"/>
  <c r="AB8" i="50" a="1"/>
  <c r="AB8" i="50" s="1"/>
  <c r="B9" i="50"/>
  <c r="C9" i="50" s="1"/>
  <c r="V44" i="47"/>
  <c r="V45" i="47" s="1"/>
  <c r="V46" i="47" s="1"/>
  <c r="V47" i="47" s="1"/>
  <c r="V48" i="47" s="1"/>
  <c r="AL8" i="50" l="1"/>
  <c r="AM8" i="50"/>
  <c r="AN8" i="50"/>
  <c r="AO8" i="50"/>
  <c r="AP8" i="50"/>
  <c r="AQ8" i="50"/>
  <c r="AR8" i="50"/>
  <c r="AS8" i="50"/>
  <c r="AT8" i="50"/>
  <c r="AU8" i="50"/>
  <c r="AA10" i="50"/>
  <c r="AK9" i="50" a="1"/>
  <c r="AK9" i="50" s="1"/>
  <c r="AJ9" i="50" a="1"/>
  <c r="AJ9" i="50" s="1"/>
  <c r="AI9" i="50" a="1"/>
  <c r="AI9" i="50" s="1"/>
  <c r="AH9" i="50" a="1"/>
  <c r="AH9" i="50" s="1"/>
  <c r="AG9" i="50" a="1"/>
  <c r="AG9" i="50" s="1"/>
  <c r="AF9" i="50" a="1"/>
  <c r="AF9" i="50" s="1"/>
  <c r="AE9" i="50" a="1"/>
  <c r="AE9" i="50" s="1"/>
  <c r="AD9" i="50" a="1"/>
  <c r="AD9" i="50" s="1"/>
  <c r="AC9" i="50" a="1"/>
  <c r="AC9" i="50" s="1"/>
  <c r="AB9" i="50" a="1"/>
  <c r="AB9" i="50" s="1"/>
  <c r="B10" i="50"/>
  <c r="C10" i="50" s="1"/>
  <c r="T44" i="47"/>
  <c r="T45" i="47" s="1"/>
  <c r="T46" i="47" s="1"/>
  <c r="T47" i="47" s="1"/>
  <c r="T48" i="47" s="1"/>
  <c r="U44" i="47"/>
  <c r="U45" i="47" s="1"/>
  <c r="U46" i="47" s="1"/>
  <c r="U47" i="47" s="1"/>
  <c r="U48" i="47" s="1"/>
  <c r="S44" i="47"/>
  <c r="S45" i="47" s="1"/>
  <c r="S46" i="47" s="1"/>
  <c r="S47" i="47" s="1"/>
  <c r="S48" i="47" s="1"/>
  <c r="AL9" i="50" l="1"/>
  <c r="AM9" i="50"/>
  <c r="AN9" i="50"/>
  <c r="AO9" i="50"/>
  <c r="AP9" i="50"/>
  <c r="AQ9" i="50"/>
  <c r="AR9" i="50"/>
  <c r="AS9" i="50"/>
  <c r="AT9" i="50"/>
  <c r="AU9" i="50"/>
  <c r="AA11" i="50"/>
  <c r="AK10" i="50" a="1"/>
  <c r="AK10" i="50" s="1"/>
  <c r="AJ10" i="50" a="1"/>
  <c r="AJ10" i="50" s="1"/>
  <c r="AI10" i="50" a="1"/>
  <c r="AI10" i="50" s="1"/>
  <c r="AH10" i="50" a="1"/>
  <c r="AH10" i="50" s="1"/>
  <c r="AG10" i="50" a="1"/>
  <c r="AG10" i="50" s="1"/>
  <c r="AF10" i="50" a="1"/>
  <c r="AF10" i="50" s="1"/>
  <c r="AE10" i="50" a="1"/>
  <c r="AE10" i="50" s="1"/>
  <c r="AD10" i="50" a="1"/>
  <c r="AD10" i="50" s="1"/>
  <c r="AC10" i="50" a="1"/>
  <c r="AC10" i="50" s="1"/>
  <c r="AB10" i="50" a="1"/>
  <c r="AB10" i="50" s="1"/>
  <c r="B11" i="50"/>
  <c r="C11" i="50" s="1"/>
  <c r="I9" i="46"/>
  <c r="F11" i="42"/>
  <c r="F12" i="42"/>
  <c r="F13" i="42"/>
  <c r="F14" i="42"/>
  <c r="F15" i="42"/>
  <c r="F16" i="42"/>
  <c r="F17" i="42"/>
  <c r="F18" i="42"/>
  <c r="F19" i="42"/>
  <c r="F20" i="42"/>
  <c r="J5" i="42"/>
  <c r="AL10" i="50" l="1"/>
  <c r="AM10" i="50"/>
  <c r="AN10" i="50"/>
  <c r="AO10" i="50"/>
  <c r="AP10" i="50"/>
  <c r="AQ10" i="50"/>
  <c r="AR10" i="50"/>
  <c r="AS10" i="50"/>
  <c r="AT10" i="50"/>
  <c r="AU10" i="50"/>
  <c r="AA12" i="50"/>
  <c r="AK11" i="50" a="1"/>
  <c r="AK11" i="50" s="1"/>
  <c r="AJ11" i="50" a="1"/>
  <c r="AJ11" i="50" s="1"/>
  <c r="AI11" i="50" a="1"/>
  <c r="AI11" i="50" s="1"/>
  <c r="AH11" i="50" a="1"/>
  <c r="AH11" i="50" s="1"/>
  <c r="AG11" i="50" a="1"/>
  <c r="AG11" i="50" s="1"/>
  <c r="AF11" i="50" a="1"/>
  <c r="AF11" i="50" s="1"/>
  <c r="AE11" i="50" a="1"/>
  <c r="AE11" i="50" s="1"/>
  <c r="AD11" i="50" a="1"/>
  <c r="AD11" i="50" s="1"/>
  <c r="AC11" i="50" a="1"/>
  <c r="AC11" i="50" s="1"/>
  <c r="AB11" i="50" a="1"/>
  <c r="AB11" i="50" s="1"/>
  <c r="B12" i="50"/>
  <c r="C12" i="50" s="1"/>
  <c r="F21" i="42"/>
  <c r="F22" i="42"/>
  <c r="F23" i="42"/>
  <c r="F24" i="42"/>
  <c r="F25" i="42"/>
  <c r="F26" i="42"/>
  <c r="F27" i="42"/>
  <c r="AL11" i="50" l="1"/>
  <c r="AM11" i="50"/>
  <c r="AN11" i="50"/>
  <c r="AO11" i="50"/>
  <c r="AP11" i="50"/>
  <c r="AQ11" i="50"/>
  <c r="AR11" i="50"/>
  <c r="AS11" i="50"/>
  <c r="AT11" i="50"/>
  <c r="AU11" i="50"/>
  <c r="AA13" i="50"/>
  <c r="AK12" i="50" a="1"/>
  <c r="AK12" i="50" s="1"/>
  <c r="AJ12" i="50" a="1"/>
  <c r="AJ12" i="50" s="1"/>
  <c r="AI12" i="50" a="1"/>
  <c r="AI12" i="50" s="1"/>
  <c r="AH12" i="50" a="1"/>
  <c r="AH12" i="50" s="1"/>
  <c r="AG12" i="50" a="1"/>
  <c r="AG12" i="50" s="1"/>
  <c r="AF12" i="50" a="1"/>
  <c r="AF12" i="50" s="1"/>
  <c r="AE12" i="50" a="1"/>
  <c r="AE12" i="50" s="1"/>
  <c r="AD12" i="50" a="1"/>
  <c r="AD12" i="50" s="1"/>
  <c r="AC12" i="50" a="1"/>
  <c r="AC12" i="50" s="1"/>
  <c r="AB12" i="50" a="1"/>
  <c r="AB12" i="50" s="1"/>
  <c r="B13" i="50"/>
  <c r="C13" i="50" s="1"/>
  <c r="AL12" i="50" l="1"/>
  <c r="AM12" i="50"/>
  <c r="AN12" i="50"/>
  <c r="AO12" i="50"/>
  <c r="AP12" i="50"/>
  <c r="AQ12" i="50"/>
  <c r="AR12" i="50"/>
  <c r="AS12" i="50"/>
  <c r="AT12" i="50"/>
  <c r="AU12" i="50"/>
  <c r="AA14" i="50"/>
  <c r="AK13" i="50" a="1"/>
  <c r="AK13" i="50" s="1"/>
  <c r="AJ13" i="50" a="1"/>
  <c r="AJ13" i="50" s="1"/>
  <c r="AI13" i="50" a="1"/>
  <c r="AI13" i="50" s="1"/>
  <c r="AH13" i="50" a="1"/>
  <c r="AH13" i="50" s="1"/>
  <c r="AG13" i="50" a="1"/>
  <c r="AG13" i="50" s="1"/>
  <c r="AF13" i="50" a="1"/>
  <c r="AF13" i="50" s="1"/>
  <c r="AE13" i="50" a="1"/>
  <c r="AE13" i="50" s="1"/>
  <c r="AD13" i="50" a="1"/>
  <c r="AD13" i="50" s="1"/>
  <c r="AC13" i="50" a="1"/>
  <c r="AC13" i="50" s="1"/>
  <c r="AB13" i="50" a="1"/>
  <c r="AB13" i="50" s="1"/>
  <c r="B14" i="50"/>
  <c r="C14" i="50" s="1"/>
  <c r="AL13" i="50" l="1"/>
  <c r="AM13" i="50"/>
  <c r="AN13" i="50"/>
  <c r="AO13" i="50"/>
  <c r="AP13" i="50"/>
  <c r="AQ13" i="50"/>
  <c r="AR13" i="50"/>
  <c r="AS13" i="50"/>
  <c r="AT13" i="50"/>
  <c r="AU13" i="50"/>
  <c r="AA15" i="50"/>
  <c r="AK14" i="50" a="1"/>
  <c r="AK14" i="50" s="1"/>
  <c r="AJ14" i="50" a="1"/>
  <c r="AJ14" i="50" s="1"/>
  <c r="AI14" i="50" a="1"/>
  <c r="AI14" i="50" s="1"/>
  <c r="AH14" i="50" a="1"/>
  <c r="AH14" i="50" s="1"/>
  <c r="AG14" i="50" a="1"/>
  <c r="AG14" i="50" s="1"/>
  <c r="AF14" i="50" a="1"/>
  <c r="AF14" i="50" s="1"/>
  <c r="AE14" i="50" a="1"/>
  <c r="AE14" i="50" s="1"/>
  <c r="AD14" i="50" a="1"/>
  <c r="AD14" i="50" s="1"/>
  <c r="AC14" i="50" a="1"/>
  <c r="AC14" i="50" s="1"/>
  <c r="AB14" i="50" a="1"/>
  <c r="AB14" i="50" s="1"/>
  <c r="B15" i="50"/>
  <c r="C15" i="50" s="1"/>
  <c r="AL14" i="50" l="1"/>
  <c r="AM14" i="50"/>
  <c r="AN14" i="50"/>
  <c r="AO14" i="50"/>
  <c r="AP14" i="50"/>
  <c r="AQ14" i="50"/>
  <c r="AR14" i="50"/>
  <c r="AS14" i="50"/>
  <c r="AT14" i="50"/>
  <c r="AU14" i="50"/>
  <c r="AA16" i="50"/>
  <c r="AK15" i="50" a="1"/>
  <c r="AK15" i="50" s="1"/>
  <c r="AJ15" i="50" a="1"/>
  <c r="AJ15" i="50" s="1"/>
  <c r="AI15" i="50" a="1"/>
  <c r="AI15" i="50" s="1"/>
  <c r="AH15" i="50" a="1"/>
  <c r="AH15" i="50" s="1"/>
  <c r="AG15" i="50" a="1"/>
  <c r="AG15" i="50" s="1"/>
  <c r="AF15" i="50" a="1"/>
  <c r="AF15" i="50" s="1"/>
  <c r="AE15" i="50" a="1"/>
  <c r="AE15" i="50" s="1"/>
  <c r="AD15" i="50" a="1"/>
  <c r="AD15" i="50" s="1"/>
  <c r="AC15" i="50" a="1"/>
  <c r="AC15" i="50" s="1"/>
  <c r="AB15" i="50" a="1"/>
  <c r="AB15" i="50" s="1"/>
  <c r="B16" i="50"/>
  <c r="C16" i="50" s="1"/>
  <c r="F9" i="42"/>
  <c r="F10" i="42"/>
  <c r="AL15" i="50" l="1"/>
  <c r="AM15" i="50"/>
  <c r="AN15" i="50"/>
  <c r="AO15" i="50"/>
  <c r="AP15" i="50"/>
  <c r="AQ15" i="50"/>
  <c r="AR15" i="50"/>
  <c r="AS15" i="50"/>
  <c r="AT15" i="50"/>
  <c r="AU15" i="50"/>
  <c r="AA17" i="50"/>
  <c r="AK16" i="50" a="1"/>
  <c r="AK16" i="50" s="1"/>
  <c r="AJ16" i="50" a="1"/>
  <c r="AJ16" i="50" s="1"/>
  <c r="AI16" i="50" a="1"/>
  <c r="AI16" i="50" s="1"/>
  <c r="AH16" i="50" a="1"/>
  <c r="AH16" i="50" s="1"/>
  <c r="AG16" i="50" a="1"/>
  <c r="AG16" i="50" s="1"/>
  <c r="AF16" i="50" a="1"/>
  <c r="AF16" i="50" s="1"/>
  <c r="AE16" i="50" a="1"/>
  <c r="AE16" i="50" s="1"/>
  <c r="AD16" i="50" a="1"/>
  <c r="AD16" i="50" s="1"/>
  <c r="AC16" i="50" a="1"/>
  <c r="AC16" i="50" s="1"/>
  <c r="AB16" i="50" a="1"/>
  <c r="AB16" i="50" s="1"/>
  <c r="B17" i="50"/>
  <c r="C17" i="50" s="1"/>
  <c r="M10" i="36"/>
  <c r="AL16" i="50" l="1"/>
  <c r="AM16" i="50"/>
  <c r="AN16" i="50"/>
  <c r="AO16" i="50"/>
  <c r="AP16" i="50"/>
  <c r="AQ16" i="50"/>
  <c r="AR16" i="50"/>
  <c r="AS16" i="50"/>
  <c r="AT16" i="50"/>
  <c r="AU16" i="50"/>
  <c r="AA18" i="50"/>
  <c r="AK17" i="50" a="1"/>
  <c r="AK17" i="50" s="1"/>
  <c r="AJ17" i="50" a="1"/>
  <c r="AJ17" i="50" s="1"/>
  <c r="AI17" i="50" a="1"/>
  <c r="AI17" i="50" s="1"/>
  <c r="AH17" i="50" a="1"/>
  <c r="AH17" i="50" s="1"/>
  <c r="AG17" i="50" a="1"/>
  <c r="AG17" i="50" s="1"/>
  <c r="AF17" i="50" a="1"/>
  <c r="AF17" i="50" s="1"/>
  <c r="AE17" i="50" a="1"/>
  <c r="AE17" i="50" s="1"/>
  <c r="AD17" i="50" a="1"/>
  <c r="AD17" i="50" s="1"/>
  <c r="AC17" i="50" a="1"/>
  <c r="AC17" i="50" s="1"/>
  <c r="AB17" i="50" a="1"/>
  <c r="AB17" i="50" s="1"/>
  <c r="B18" i="50"/>
  <c r="C18" i="50" s="1"/>
  <c r="C35" i="48"/>
  <c r="AL17" i="50" l="1"/>
  <c r="AM17" i="50"/>
  <c r="AN17" i="50"/>
  <c r="AO17" i="50"/>
  <c r="AP17" i="50"/>
  <c r="AQ17" i="50"/>
  <c r="AR17" i="50"/>
  <c r="AS17" i="50"/>
  <c r="AT17" i="50"/>
  <c r="AU17" i="50"/>
  <c r="AA19" i="50"/>
  <c r="AK18" i="50" a="1"/>
  <c r="AK18" i="50" s="1"/>
  <c r="AJ18" i="50" a="1"/>
  <c r="AJ18" i="50" s="1"/>
  <c r="AI18" i="50" a="1"/>
  <c r="AI18" i="50" s="1"/>
  <c r="AH18" i="50" a="1"/>
  <c r="AH18" i="50" s="1"/>
  <c r="AG18" i="50" a="1"/>
  <c r="AG18" i="50" s="1"/>
  <c r="AF18" i="50" a="1"/>
  <c r="AF18" i="50" s="1"/>
  <c r="AE18" i="50" a="1"/>
  <c r="AE18" i="50" s="1"/>
  <c r="AD18" i="50" a="1"/>
  <c r="AD18" i="50" s="1"/>
  <c r="AC18" i="50" a="1"/>
  <c r="AC18" i="50" s="1"/>
  <c r="AB18" i="50" a="1"/>
  <c r="AB18" i="50" s="1"/>
  <c r="B19" i="50"/>
  <c r="C19" i="50" s="1"/>
  <c r="J31" i="42"/>
  <c r="B5" i="42"/>
  <c r="AL18" i="50" l="1"/>
  <c r="AM18" i="50"/>
  <c r="AN18" i="50"/>
  <c r="AO18" i="50"/>
  <c r="AP18" i="50"/>
  <c r="AQ18" i="50"/>
  <c r="AR18" i="50"/>
  <c r="AS18" i="50"/>
  <c r="AT18" i="50"/>
  <c r="AU18" i="50"/>
  <c r="AA20" i="50"/>
  <c r="AB19" i="50" a="1"/>
  <c r="AB19" i="50" s="1"/>
  <c r="AK19" i="50" a="1"/>
  <c r="AK19" i="50" s="1"/>
  <c r="AJ19" i="50" a="1"/>
  <c r="AJ19" i="50" s="1"/>
  <c r="AI19" i="50" a="1"/>
  <c r="AI19" i="50" s="1"/>
  <c r="AH19" i="50" a="1"/>
  <c r="AH19" i="50" s="1"/>
  <c r="AG19" i="50" a="1"/>
  <c r="AG19" i="50" s="1"/>
  <c r="AF19" i="50" a="1"/>
  <c r="AF19" i="50" s="1"/>
  <c r="AE19" i="50" a="1"/>
  <c r="AE19" i="50" s="1"/>
  <c r="AD19" i="50" a="1"/>
  <c r="AD19" i="50" s="1"/>
  <c r="AC19" i="50" a="1"/>
  <c r="AC19" i="50" s="1"/>
  <c r="B20" i="50"/>
  <c r="C20" i="50" s="1"/>
  <c r="B44" i="46"/>
  <c r="AM19" i="50" l="1"/>
  <c r="AN19" i="50"/>
  <c r="AO19" i="50"/>
  <c r="AP19" i="50"/>
  <c r="AQ19" i="50"/>
  <c r="AR19" i="50"/>
  <c r="AS19" i="50"/>
  <c r="AT19" i="50"/>
  <c r="AU19" i="50"/>
  <c r="AL19" i="50"/>
  <c r="AA21" i="50"/>
  <c r="AK20" i="50" a="1"/>
  <c r="AK20" i="50" s="1"/>
  <c r="AJ20" i="50" a="1"/>
  <c r="AJ20" i="50" s="1"/>
  <c r="AI20" i="50" a="1"/>
  <c r="AI20" i="50" s="1"/>
  <c r="AH20" i="50" a="1"/>
  <c r="AH20" i="50" s="1"/>
  <c r="AG20" i="50" a="1"/>
  <c r="AG20" i="50" s="1"/>
  <c r="AF20" i="50" a="1"/>
  <c r="AF20" i="50" s="1"/>
  <c r="AE20" i="50" a="1"/>
  <c r="AE20" i="50" s="1"/>
  <c r="AD20" i="50" a="1"/>
  <c r="AD20" i="50" s="1"/>
  <c r="AC20" i="50" a="1"/>
  <c r="AC20" i="50" s="1"/>
  <c r="AB20" i="50" a="1"/>
  <c r="AB20" i="50" s="1"/>
  <c r="B21" i="50"/>
  <c r="C21" i="50" s="1"/>
  <c r="B45" i="46"/>
  <c r="AL20" i="50" l="1"/>
  <c r="AM20" i="50"/>
  <c r="AN20" i="50"/>
  <c r="AO20" i="50"/>
  <c r="AP20" i="50"/>
  <c r="AQ20" i="50"/>
  <c r="AR20" i="50"/>
  <c r="AS20" i="50"/>
  <c r="AT20" i="50"/>
  <c r="AU20" i="50"/>
  <c r="AA22" i="50"/>
  <c r="AK21" i="50" a="1"/>
  <c r="AK21" i="50" s="1"/>
  <c r="AJ21" i="50" a="1"/>
  <c r="AJ21" i="50" s="1"/>
  <c r="AI21" i="50" a="1"/>
  <c r="AI21" i="50" s="1"/>
  <c r="AH21" i="50" a="1"/>
  <c r="AH21" i="50" s="1"/>
  <c r="AG21" i="50" a="1"/>
  <c r="AG21" i="50" s="1"/>
  <c r="AF21" i="50" a="1"/>
  <c r="AF21" i="50" s="1"/>
  <c r="AE21" i="50" a="1"/>
  <c r="AE21" i="50" s="1"/>
  <c r="AD21" i="50" a="1"/>
  <c r="AD21" i="50" s="1"/>
  <c r="AC21" i="50" a="1"/>
  <c r="AC21" i="50" s="1"/>
  <c r="AB21" i="50" a="1"/>
  <c r="AB21" i="50" s="1"/>
  <c r="B22" i="50"/>
  <c r="C22" i="50" s="1"/>
  <c r="K31" i="42"/>
  <c r="I31" i="42"/>
  <c r="K30" i="42"/>
  <c r="I30" i="42"/>
  <c r="K29" i="42"/>
  <c r="L29" i="42" s="1"/>
  <c r="I29" i="42"/>
  <c r="K28" i="42"/>
  <c r="I28" i="42"/>
  <c r="F35" i="42"/>
  <c r="K27" i="42"/>
  <c r="L27" i="42" s="1"/>
  <c r="I27" i="42"/>
  <c r="L26" i="42"/>
  <c r="I26" i="42"/>
  <c r="F29" i="42"/>
  <c r="F28" i="42"/>
  <c r="F8" i="42"/>
  <c r="F7" i="42"/>
  <c r="F6" i="42"/>
  <c r="F5" i="42"/>
  <c r="AL21" i="50" l="1"/>
  <c r="AM21" i="50"/>
  <c r="AN21" i="50"/>
  <c r="AO21" i="50"/>
  <c r="AP21" i="50"/>
  <c r="AQ21" i="50"/>
  <c r="AR21" i="50"/>
  <c r="AS21" i="50"/>
  <c r="AT21" i="50"/>
  <c r="AU21" i="50"/>
  <c r="AA23" i="50"/>
  <c r="AA24" i="50" s="1"/>
  <c r="AK22" i="50" a="1"/>
  <c r="AK22" i="50" s="1"/>
  <c r="AJ22" i="50" a="1"/>
  <c r="AJ22" i="50" s="1"/>
  <c r="AI22" i="50" a="1"/>
  <c r="AI22" i="50" s="1"/>
  <c r="AH22" i="50" a="1"/>
  <c r="AH22" i="50" s="1"/>
  <c r="AG22" i="50" a="1"/>
  <c r="AG22" i="50" s="1"/>
  <c r="AF22" i="50" a="1"/>
  <c r="AF22" i="50" s="1"/>
  <c r="AE22" i="50" a="1"/>
  <c r="AE22" i="50" s="1"/>
  <c r="AD22" i="50" a="1"/>
  <c r="AD22" i="50" s="1"/>
  <c r="AC22" i="50" a="1"/>
  <c r="AC22" i="50" s="1"/>
  <c r="AB22" i="50" a="1"/>
  <c r="AB22" i="50" s="1"/>
  <c r="B23" i="50"/>
  <c r="C23" i="50" s="1"/>
  <c r="C5" i="42"/>
  <c r="C44" i="46" s="1"/>
  <c r="D44" i="46" s="1"/>
  <c r="B6" i="42"/>
  <c r="L31" i="42"/>
  <c r="L28" i="42"/>
  <c r="L30" i="42"/>
  <c r="AA25" i="50" l="1"/>
  <c r="AH24" i="50" a="1"/>
  <c r="AH24" i="50" s="1"/>
  <c r="AR24" i="50" s="1"/>
  <c r="AI24" i="50" a="1"/>
  <c r="AI24" i="50" s="1"/>
  <c r="AS24" i="50" s="1"/>
  <c r="AJ24" i="50" a="1"/>
  <c r="AJ24" i="50" s="1"/>
  <c r="AT24" i="50" s="1"/>
  <c r="AK24" i="50" a="1"/>
  <c r="AK24" i="50" s="1"/>
  <c r="AU24" i="50" s="1"/>
  <c r="AG24" i="50" a="1"/>
  <c r="AG24" i="50" s="1"/>
  <c r="AQ24" i="50" s="1"/>
  <c r="AC24" i="50" a="1"/>
  <c r="AC24" i="50" s="1"/>
  <c r="AM24" i="50" s="1"/>
  <c r="AD24" i="50" a="1"/>
  <c r="AD24" i="50" s="1"/>
  <c r="AN24" i="50" s="1"/>
  <c r="AE24" i="50" a="1"/>
  <c r="AE24" i="50" s="1"/>
  <c r="AO24" i="50" s="1"/>
  <c r="AF24" i="50" a="1"/>
  <c r="AF24" i="50" s="1"/>
  <c r="AP24" i="50" s="1"/>
  <c r="AB24" i="50" a="1"/>
  <c r="AB24" i="50" s="1"/>
  <c r="AL24" i="50" s="1"/>
  <c r="AL22" i="50"/>
  <c r="AM22" i="50"/>
  <c r="AN22" i="50"/>
  <c r="AO22" i="50"/>
  <c r="AP22" i="50"/>
  <c r="AQ22" i="50"/>
  <c r="AR22" i="50"/>
  <c r="AS22" i="50"/>
  <c r="AT22" i="50"/>
  <c r="AU22" i="50"/>
  <c r="AK23" i="50" a="1"/>
  <c r="AK23" i="50" s="1"/>
  <c r="AJ23" i="50" a="1"/>
  <c r="AJ23" i="50" s="1"/>
  <c r="AI23" i="50" a="1"/>
  <c r="AI23" i="50" s="1"/>
  <c r="AH23" i="50" a="1"/>
  <c r="AH23" i="50" s="1"/>
  <c r="AG23" i="50" a="1"/>
  <c r="AG23" i="50" s="1"/>
  <c r="AF23" i="50" a="1"/>
  <c r="AF23" i="50" s="1"/>
  <c r="AE23" i="50" a="1"/>
  <c r="AE23" i="50" s="1"/>
  <c r="AD23" i="50" a="1"/>
  <c r="AD23" i="50" s="1"/>
  <c r="AC23" i="50" a="1"/>
  <c r="AC23" i="50" s="1"/>
  <c r="AB23" i="50" a="1"/>
  <c r="AB23" i="50" s="1"/>
  <c r="B24" i="50"/>
  <c r="C24" i="50" s="1"/>
  <c r="C6" i="42"/>
  <c r="D6" i="42" s="1"/>
  <c r="D5" i="42"/>
  <c r="B7" i="42"/>
  <c r="L32" i="42"/>
  <c r="AA26" i="50" l="1"/>
  <c r="AH25" i="50" a="1"/>
  <c r="AH25" i="50" s="1"/>
  <c r="AI25" i="50" a="1"/>
  <c r="AI25" i="50" s="1"/>
  <c r="AJ25" i="50" a="1"/>
  <c r="AJ25" i="50" s="1"/>
  <c r="AK25" i="50" a="1"/>
  <c r="AK25" i="50" s="1"/>
  <c r="AG25" i="50" a="1"/>
  <c r="AG25" i="50" s="1"/>
  <c r="AC25" i="50" a="1"/>
  <c r="AC25" i="50" s="1"/>
  <c r="AD25" i="50" a="1"/>
  <c r="AD25" i="50" s="1"/>
  <c r="AE25" i="50" a="1"/>
  <c r="AE25" i="50" s="1"/>
  <c r="AF25" i="50" a="1"/>
  <c r="AF25" i="50" s="1"/>
  <c r="AB25" i="50" a="1"/>
  <c r="AB25" i="50" s="1"/>
  <c r="AL23" i="50"/>
  <c r="AM23" i="50"/>
  <c r="AN23" i="50"/>
  <c r="AO23" i="50"/>
  <c r="AP23" i="50"/>
  <c r="AQ23" i="50"/>
  <c r="AR23" i="50"/>
  <c r="AS23" i="50"/>
  <c r="AT23" i="50"/>
  <c r="AU23" i="50"/>
  <c r="E36" i="42"/>
  <c r="I38" i="46" s="1"/>
  <c r="B25" i="50"/>
  <c r="C25" i="50" s="1"/>
  <c r="C45" i="46"/>
  <c r="D45" i="46" s="1"/>
  <c r="C37" i="42"/>
  <c r="B8" i="42"/>
  <c r="D8" i="42" s="1"/>
  <c r="AL25" i="50" l="1"/>
  <c r="AP25" i="50"/>
  <c r="AO25" i="50"/>
  <c r="AN25" i="50"/>
  <c r="AM25" i="50"/>
  <c r="AQ25" i="50"/>
  <c r="AU25" i="50"/>
  <c r="AT25" i="50"/>
  <c r="AS25" i="50"/>
  <c r="AR25" i="50"/>
  <c r="AA27" i="50"/>
  <c r="AH26" i="50" a="1"/>
  <c r="AH26" i="50" s="1"/>
  <c r="AI26" i="50" a="1"/>
  <c r="AI26" i="50" s="1"/>
  <c r="AJ26" i="50" a="1"/>
  <c r="AJ26" i="50" s="1"/>
  <c r="AK26" i="50" a="1"/>
  <c r="AK26" i="50" s="1"/>
  <c r="AG26" i="50" a="1"/>
  <c r="AG26" i="50" s="1"/>
  <c r="AC26" i="50" a="1"/>
  <c r="AC26" i="50" s="1"/>
  <c r="AD26" i="50" a="1"/>
  <c r="AD26" i="50" s="1"/>
  <c r="AE26" i="50" a="1"/>
  <c r="AE26" i="50" s="1"/>
  <c r="AF26" i="50" a="1"/>
  <c r="AF26" i="50" s="1"/>
  <c r="AB26" i="50" a="1"/>
  <c r="AB26" i="50" s="1"/>
  <c r="B26" i="50"/>
  <c r="C26" i="50" s="1"/>
  <c r="B9" i="42"/>
  <c r="D7" i="42"/>
  <c r="AL26" i="50" l="1"/>
  <c r="AP26" i="50"/>
  <c r="AO26" i="50"/>
  <c r="AN26" i="50"/>
  <c r="AM26" i="50"/>
  <c r="AQ26" i="50"/>
  <c r="AU26" i="50"/>
  <c r="AT26" i="50"/>
  <c r="AS26" i="50"/>
  <c r="AR26" i="50"/>
  <c r="AH27" i="50" a="1"/>
  <c r="AH27" i="50" s="1"/>
  <c r="AI27" i="50" a="1"/>
  <c r="AI27" i="50" s="1"/>
  <c r="AJ27" i="50" a="1"/>
  <c r="AJ27" i="50" s="1"/>
  <c r="AK27" i="50" a="1"/>
  <c r="AK27" i="50" s="1"/>
  <c r="AG27" i="50" a="1"/>
  <c r="AG27" i="50" s="1"/>
  <c r="AC27" i="50" a="1"/>
  <c r="AC27" i="50" s="1"/>
  <c r="AD27" i="50" a="1"/>
  <c r="AD27" i="50" s="1"/>
  <c r="AE27" i="50" a="1"/>
  <c r="AE27" i="50" s="1"/>
  <c r="AF27" i="50" a="1"/>
  <c r="AF27" i="50" s="1"/>
  <c r="AB27" i="50" a="1"/>
  <c r="AB27" i="50" s="1"/>
  <c r="AA28" i="50"/>
  <c r="B27" i="50"/>
  <c r="C27" i="50" s="1"/>
  <c r="B10" i="42"/>
  <c r="D9" i="42"/>
  <c r="M11" i="36"/>
  <c r="AL27" i="50" l="1"/>
  <c r="AP27" i="50"/>
  <c r="AO27" i="50"/>
  <c r="AN27" i="50"/>
  <c r="AM27" i="50"/>
  <c r="AQ27" i="50"/>
  <c r="AU27" i="50"/>
  <c r="AT27" i="50"/>
  <c r="AS27" i="50"/>
  <c r="AR27" i="50"/>
  <c r="AA29" i="50"/>
  <c r="AK28" i="50" a="1"/>
  <c r="AK28" i="50" s="1"/>
  <c r="AJ28" i="50" a="1"/>
  <c r="AJ28" i="50" s="1"/>
  <c r="AI28" i="50" a="1"/>
  <c r="AI28" i="50" s="1"/>
  <c r="AH28" i="50" a="1"/>
  <c r="AH28" i="50" s="1"/>
  <c r="AG28" i="50" a="1"/>
  <c r="AG28" i="50" s="1"/>
  <c r="AF28" i="50" a="1"/>
  <c r="AF28" i="50" s="1"/>
  <c r="AE28" i="50" a="1"/>
  <c r="AE28" i="50" s="1"/>
  <c r="AD28" i="50" a="1"/>
  <c r="AD28" i="50" s="1"/>
  <c r="AC28" i="50" a="1"/>
  <c r="AC28" i="50" s="1"/>
  <c r="AB28" i="50" a="1"/>
  <c r="AB28" i="50" s="1"/>
  <c r="B28" i="50"/>
  <c r="C28" i="50" s="1"/>
  <c r="B11" i="42"/>
  <c r="D10" i="42"/>
  <c r="M15" i="36"/>
  <c r="M14" i="36"/>
  <c r="M7" i="36"/>
  <c r="M6" i="36"/>
  <c r="M18" i="36" s="1"/>
  <c r="AL28" i="50" l="1"/>
  <c r="AM28" i="50"/>
  <c r="AN28" i="50"/>
  <c r="AO28" i="50"/>
  <c r="AP28" i="50"/>
  <c r="AQ28" i="50"/>
  <c r="AR28" i="50"/>
  <c r="AS28" i="50"/>
  <c r="AT28" i="50"/>
  <c r="AU28" i="50"/>
  <c r="AA30" i="50"/>
  <c r="AK29" i="50" a="1"/>
  <c r="AK29" i="50" s="1"/>
  <c r="AJ29" i="50" a="1"/>
  <c r="AJ29" i="50" s="1"/>
  <c r="AI29" i="50" a="1"/>
  <c r="AI29" i="50" s="1"/>
  <c r="AH29" i="50" a="1"/>
  <c r="AH29" i="50" s="1"/>
  <c r="AG29" i="50" a="1"/>
  <c r="AG29" i="50" s="1"/>
  <c r="AF29" i="50" a="1"/>
  <c r="AF29" i="50" s="1"/>
  <c r="AE29" i="50" a="1"/>
  <c r="AE29" i="50" s="1"/>
  <c r="AD29" i="50" a="1"/>
  <c r="AD29" i="50" s="1"/>
  <c r="AC29" i="50" a="1"/>
  <c r="AC29" i="50" s="1"/>
  <c r="AB29" i="50" a="1"/>
  <c r="AB29" i="50" s="1"/>
  <c r="B29" i="50"/>
  <c r="C29" i="50" s="1"/>
  <c r="D11" i="42"/>
  <c r="B12" i="42"/>
  <c r="AL29" i="50" l="1"/>
  <c r="AM29" i="50"/>
  <c r="AN29" i="50"/>
  <c r="AO29" i="50"/>
  <c r="AP29" i="50"/>
  <c r="AQ29" i="50"/>
  <c r="AR29" i="50"/>
  <c r="AS29" i="50"/>
  <c r="AT29" i="50"/>
  <c r="AU29" i="50"/>
  <c r="AA31" i="50"/>
  <c r="AK30" i="50" a="1"/>
  <c r="AK30" i="50" s="1"/>
  <c r="AJ30" i="50" a="1"/>
  <c r="AJ30" i="50" s="1"/>
  <c r="AI30" i="50" a="1"/>
  <c r="AI30" i="50" s="1"/>
  <c r="AH30" i="50" a="1"/>
  <c r="AH30" i="50" s="1"/>
  <c r="AG30" i="50" a="1"/>
  <c r="AG30" i="50" s="1"/>
  <c r="AF30" i="50" a="1"/>
  <c r="AF30" i="50" s="1"/>
  <c r="AE30" i="50" a="1"/>
  <c r="AE30" i="50" s="1"/>
  <c r="AD30" i="50" a="1"/>
  <c r="AD30" i="50" s="1"/>
  <c r="AC30" i="50" a="1"/>
  <c r="AC30" i="50" s="1"/>
  <c r="AB30" i="50" a="1"/>
  <c r="AB30" i="50" s="1"/>
  <c r="B30" i="50"/>
  <c r="C30" i="50" s="1"/>
  <c r="B13" i="42"/>
  <c r="D12" i="42"/>
  <c r="AL30" i="50" l="1"/>
  <c r="AM30" i="50"/>
  <c r="AN30" i="50"/>
  <c r="AO30" i="50"/>
  <c r="AP30" i="50"/>
  <c r="AQ30" i="50"/>
  <c r="AR30" i="50"/>
  <c r="AS30" i="50"/>
  <c r="AT30" i="50"/>
  <c r="AU30" i="50"/>
  <c r="AA32" i="50"/>
  <c r="AK31" i="50" a="1"/>
  <c r="AK31" i="50" s="1"/>
  <c r="AJ31" i="50" a="1"/>
  <c r="AJ31" i="50" s="1"/>
  <c r="AI31" i="50" a="1"/>
  <c r="AI31" i="50" s="1"/>
  <c r="AH31" i="50" a="1"/>
  <c r="AH31" i="50" s="1"/>
  <c r="AG31" i="50" a="1"/>
  <c r="AG31" i="50" s="1"/>
  <c r="AF31" i="50" a="1"/>
  <c r="AF31" i="50" s="1"/>
  <c r="AE31" i="50" a="1"/>
  <c r="AE31" i="50" s="1"/>
  <c r="AD31" i="50" a="1"/>
  <c r="AD31" i="50" s="1"/>
  <c r="AC31" i="50" a="1"/>
  <c r="AC31" i="50" s="1"/>
  <c r="AB31" i="50" a="1"/>
  <c r="AB31" i="50" s="1"/>
  <c r="B31" i="50"/>
  <c r="C31" i="50" s="1"/>
  <c r="B14" i="42"/>
  <c r="B15" i="42" s="1"/>
  <c r="B16" i="42" s="1"/>
  <c r="D13" i="42"/>
  <c r="AL31" i="50" l="1"/>
  <c r="AM31" i="50"/>
  <c r="AN31" i="50"/>
  <c r="AO31" i="50"/>
  <c r="AP31" i="50"/>
  <c r="AQ31" i="50"/>
  <c r="AR31" i="50"/>
  <c r="AS31" i="50"/>
  <c r="AT31" i="50"/>
  <c r="AU31" i="50"/>
  <c r="AA33" i="50"/>
  <c r="AK32" i="50" a="1"/>
  <c r="AK32" i="50" s="1"/>
  <c r="AJ32" i="50" a="1"/>
  <c r="AJ32" i="50" s="1"/>
  <c r="AI32" i="50" a="1"/>
  <c r="AI32" i="50" s="1"/>
  <c r="AH32" i="50" a="1"/>
  <c r="AH32" i="50" s="1"/>
  <c r="AG32" i="50" a="1"/>
  <c r="AG32" i="50" s="1"/>
  <c r="AF32" i="50" a="1"/>
  <c r="AF32" i="50" s="1"/>
  <c r="AE32" i="50" a="1"/>
  <c r="AE32" i="50" s="1"/>
  <c r="AD32" i="50" a="1"/>
  <c r="AD32" i="50" s="1"/>
  <c r="AC32" i="50" a="1"/>
  <c r="AC32" i="50" s="1"/>
  <c r="AB32" i="50" a="1"/>
  <c r="AB32" i="50" s="1"/>
  <c r="B32" i="50"/>
  <c r="C32" i="50" s="1"/>
  <c r="D14" i="42"/>
  <c r="AL32" i="50" l="1"/>
  <c r="AM32" i="50"/>
  <c r="AN32" i="50"/>
  <c r="AO32" i="50"/>
  <c r="AP32" i="50"/>
  <c r="AQ32" i="50"/>
  <c r="AR32" i="50"/>
  <c r="AS32" i="50"/>
  <c r="AT32" i="50"/>
  <c r="AU32" i="50"/>
  <c r="AA34" i="50"/>
  <c r="AK33" i="50" a="1"/>
  <c r="AK33" i="50" s="1"/>
  <c r="AJ33" i="50" a="1"/>
  <c r="AJ33" i="50" s="1"/>
  <c r="AI33" i="50" a="1"/>
  <c r="AI33" i="50" s="1"/>
  <c r="AH33" i="50" a="1"/>
  <c r="AH33" i="50" s="1"/>
  <c r="AG33" i="50" a="1"/>
  <c r="AG33" i="50" s="1"/>
  <c r="AF33" i="50" a="1"/>
  <c r="AF33" i="50" s="1"/>
  <c r="AE33" i="50" a="1"/>
  <c r="AE33" i="50" s="1"/>
  <c r="AD33" i="50" a="1"/>
  <c r="AD33" i="50" s="1"/>
  <c r="AC33" i="50" a="1"/>
  <c r="AC33" i="50" s="1"/>
  <c r="AB33" i="50" a="1"/>
  <c r="AB33" i="50" s="1"/>
  <c r="B33" i="50"/>
  <c r="C33" i="50" s="1"/>
  <c r="B9" i="46"/>
  <c r="B8" i="46" s="1"/>
  <c r="B7" i="46"/>
  <c r="B5" i="48"/>
  <c r="D5" i="48" s="1"/>
  <c r="B5" i="47"/>
  <c r="B6" i="44"/>
  <c r="B6" i="36"/>
  <c r="AL33" i="50" l="1"/>
  <c r="AM33" i="50"/>
  <c r="AN33" i="50"/>
  <c r="AO33" i="50"/>
  <c r="AP33" i="50"/>
  <c r="AQ33" i="50"/>
  <c r="AR33" i="50"/>
  <c r="AS33" i="50"/>
  <c r="AT33" i="50"/>
  <c r="AU33" i="50"/>
  <c r="AA35" i="50"/>
  <c r="AK34" i="50" a="1"/>
  <c r="AK34" i="50" s="1"/>
  <c r="AJ34" i="50" a="1"/>
  <c r="AJ34" i="50" s="1"/>
  <c r="AI34" i="50" a="1"/>
  <c r="AI34" i="50" s="1"/>
  <c r="AH34" i="50" a="1"/>
  <c r="AH34" i="50" s="1"/>
  <c r="AG34" i="50" a="1"/>
  <c r="AG34" i="50" s="1"/>
  <c r="AF34" i="50" a="1"/>
  <c r="AF34" i="50" s="1"/>
  <c r="AE34" i="50" a="1"/>
  <c r="AE34" i="50" s="1"/>
  <c r="AD34" i="50" a="1"/>
  <c r="AD34" i="50" s="1"/>
  <c r="AC34" i="50" a="1"/>
  <c r="AC34" i="50" s="1"/>
  <c r="AB34" i="50" a="1"/>
  <c r="AB34" i="50" s="1"/>
  <c r="B6" i="47"/>
  <c r="B34" i="50"/>
  <c r="C34" i="50" s="1"/>
  <c r="B10" i="46"/>
  <c r="B7" i="47"/>
  <c r="D15" i="42"/>
  <c r="B6" i="48"/>
  <c r="D6" i="48" s="1"/>
  <c r="B11" i="46"/>
  <c r="B7" i="36"/>
  <c r="B7" i="44"/>
  <c r="B46" i="46"/>
  <c r="AL34" i="50" l="1"/>
  <c r="AM34" i="50"/>
  <c r="AN34" i="50"/>
  <c r="AO34" i="50"/>
  <c r="AP34" i="50"/>
  <c r="AQ34" i="50"/>
  <c r="AR34" i="50"/>
  <c r="AS34" i="50"/>
  <c r="AT34" i="50"/>
  <c r="AU34" i="50"/>
  <c r="AA36" i="50"/>
  <c r="AK35" i="50" a="1"/>
  <c r="AK35" i="50" s="1"/>
  <c r="AJ35" i="50" a="1"/>
  <c r="AJ35" i="50" s="1"/>
  <c r="AI35" i="50" a="1"/>
  <c r="AI35" i="50" s="1"/>
  <c r="AH35" i="50" a="1"/>
  <c r="AH35" i="50" s="1"/>
  <c r="AG35" i="50" a="1"/>
  <c r="AG35" i="50" s="1"/>
  <c r="AF35" i="50" a="1"/>
  <c r="AF35" i="50" s="1"/>
  <c r="AE35" i="50" a="1"/>
  <c r="AE35" i="50" s="1"/>
  <c r="AD35" i="50" a="1"/>
  <c r="AD35" i="50" s="1"/>
  <c r="AC35" i="50" a="1"/>
  <c r="AC35" i="50" s="1"/>
  <c r="AB35" i="50" a="1"/>
  <c r="AB35" i="50" s="1"/>
  <c r="B35" i="50"/>
  <c r="C35" i="50" s="1"/>
  <c r="B8" i="47"/>
  <c r="D16" i="42"/>
  <c r="B17" i="42"/>
  <c r="B47" i="46"/>
  <c r="C46" i="46"/>
  <c r="D46" i="46" s="1"/>
  <c r="B7" i="48"/>
  <c r="D7" i="48" s="1"/>
  <c r="B12" i="46"/>
  <c r="B8" i="36"/>
  <c r="B9" i="36" s="1"/>
  <c r="B10" i="36" s="1"/>
  <c r="B11" i="36" s="1"/>
  <c r="B12" i="36" s="1"/>
  <c r="B13" i="36" s="1"/>
  <c r="B14" i="36" s="1"/>
  <c r="B15" i="36" s="1"/>
  <c r="B16" i="36" s="1"/>
  <c r="B17" i="36" s="1"/>
  <c r="B18" i="36" s="1"/>
  <c r="B19" i="36" s="1"/>
  <c r="B20" i="36" s="1"/>
  <c r="B21" i="36" s="1"/>
  <c r="B22" i="36" s="1"/>
  <c r="B23" i="36" s="1"/>
  <c r="B8" i="44"/>
  <c r="AL35" i="50" l="1"/>
  <c r="AM35" i="50"/>
  <c r="AN35" i="50"/>
  <c r="AO35" i="50"/>
  <c r="AP35" i="50"/>
  <c r="AQ35" i="50"/>
  <c r="AR35" i="50"/>
  <c r="AS35" i="50"/>
  <c r="AT35" i="50"/>
  <c r="AU35" i="50"/>
  <c r="AK36" i="50" a="1"/>
  <c r="AK36" i="50" s="1"/>
  <c r="AK37" i="50" s="1"/>
  <c r="AJ36" i="50" a="1"/>
  <c r="AJ36" i="50" s="1"/>
  <c r="AJ37" i="50" s="1"/>
  <c r="AI36" i="50" a="1"/>
  <c r="AI36" i="50" s="1"/>
  <c r="AI37" i="50" s="1"/>
  <c r="AH36" i="50" a="1"/>
  <c r="AH36" i="50" s="1"/>
  <c r="AH37" i="50" s="1"/>
  <c r="AG36" i="50" a="1"/>
  <c r="AG36" i="50" s="1"/>
  <c r="AG37" i="50" s="1"/>
  <c r="AF36" i="50" a="1"/>
  <c r="AF36" i="50" s="1"/>
  <c r="AF37" i="50" s="1"/>
  <c r="AE36" i="50" a="1"/>
  <c r="AE36" i="50" s="1"/>
  <c r="AE37" i="50" s="1"/>
  <c r="AD36" i="50" a="1"/>
  <c r="AD36" i="50" s="1"/>
  <c r="AD37" i="50" s="1"/>
  <c r="AC36" i="50" a="1"/>
  <c r="AC36" i="50" s="1"/>
  <c r="AC37" i="50" s="1"/>
  <c r="V31" i="50" s="1"/>
  <c r="AB36" i="50" a="1"/>
  <c r="AB36" i="50" s="1"/>
  <c r="AB37" i="50" s="1"/>
  <c r="V32" i="50" s="1"/>
  <c r="B9" i="47"/>
  <c r="B18" i="42"/>
  <c r="D17" i="42"/>
  <c r="B48" i="46"/>
  <c r="C47" i="46"/>
  <c r="D47" i="46" s="1"/>
  <c r="B8" i="48"/>
  <c r="D8" i="48" s="1"/>
  <c r="B13" i="46"/>
  <c r="B9" i="44"/>
  <c r="AL36" i="50" l="1"/>
  <c r="AL37" i="50" s="1"/>
  <c r="W32" i="50" s="1"/>
  <c r="X32" i="50" s="1"/>
  <c r="AM36" i="50"/>
  <c r="AM37" i="50" s="1"/>
  <c r="AN36" i="50"/>
  <c r="AN37" i="50" s="1"/>
  <c r="AO36" i="50"/>
  <c r="AO37" i="50" s="1"/>
  <c r="AP36" i="50"/>
  <c r="AP37" i="50" s="1"/>
  <c r="AQ36" i="50"/>
  <c r="AQ37" i="50" s="1"/>
  <c r="AR36" i="50"/>
  <c r="AR37" i="50" s="1"/>
  <c r="AS36" i="50"/>
  <c r="AS37" i="50" s="1"/>
  <c r="AT36" i="50"/>
  <c r="AT37" i="50" s="1"/>
  <c r="AU36" i="50"/>
  <c r="AU37" i="50" s="1"/>
  <c r="B10" i="47"/>
  <c r="D18" i="42"/>
  <c r="B19" i="42"/>
  <c r="B49" i="46"/>
  <c r="C48" i="46"/>
  <c r="D48" i="46" s="1"/>
  <c r="B9" i="48"/>
  <c r="D9" i="48" s="1"/>
  <c r="B14" i="46"/>
  <c r="B10" i="44"/>
  <c r="W31" i="50" l="1"/>
  <c r="V30" i="50"/>
  <c r="W30" i="50"/>
  <c r="B11" i="47"/>
  <c r="B11" i="44"/>
  <c r="B12" i="44" s="1"/>
  <c r="D19" i="42"/>
  <c r="B20" i="42"/>
  <c r="B50" i="46"/>
  <c r="C49" i="46"/>
  <c r="D49" i="46" s="1"/>
  <c r="B10" i="48"/>
  <c r="D10" i="48" s="1"/>
  <c r="B15" i="46"/>
  <c r="X30" i="50" l="1"/>
  <c r="Y30" i="50" s="1"/>
  <c r="X31" i="50"/>
  <c r="B12" i="47"/>
  <c r="D20" i="42"/>
  <c r="B21" i="42"/>
  <c r="B51" i="46"/>
  <c r="B52" i="46" s="1"/>
  <c r="B53" i="46" s="1"/>
  <c r="B54" i="46" s="1"/>
  <c r="B55" i="46" s="1"/>
  <c r="B56" i="46" s="1"/>
  <c r="B57" i="46" s="1"/>
  <c r="B58" i="46" s="1"/>
  <c r="B59" i="46" s="1"/>
  <c r="B60" i="46" s="1"/>
  <c r="B61" i="46" s="1"/>
  <c r="B62" i="46" s="1"/>
  <c r="B63" i="46" s="1"/>
  <c r="C50" i="46"/>
  <c r="D50" i="46" s="1"/>
  <c r="B13" i="44"/>
  <c r="B11" i="48"/>
  <c r="D11" i="48" s="1"/>
  <c r="B16" i="46"/>
  <c r="B13" i="47" l="1"/>
  <c r="B22" i="42"/>
  <c r="D21" i="42"/>
  <c r="B12" i="48"/>
  <c r="D12" i="48" s="1"/>
  <c r="B14" i="44"/>
  <c r="B17" i="46"/>
  <c r="B24" i="36"/>
  <c r="B64" i="46" l="1"/>
  <c r="B14" i="47"/>
  <c r="B23" i="42"/>
  <c r="D22" i="42"/>
  <c r="B15" i="44"/>
  <c r="B13" i="48"/>
  <c r="D13" i="48" s="1"/>
  <c r="B18" i="46"/>
  <c r="B25" i="36"/>
  <c r="B65" i="46" l="1"/>
  <c r="B15" i="47"/>
  <c r="B24" i="42"/>
  <c r="D23" i="42"/>
  <c r="C51" i="46"/>
  <c r="D51" i="46" s="1"/>
  <c r="B16" i="44"/>
  <c r="B14" i="48"/>
  <c r="D14" i="48" s="1"/>
  <c r="B19" i="46"/>
  <c r="B26" i="36"/>
  <c r="B66" i="46" l="1"/>
  <c r="B16" i="47"/>
  <c r="D24" i="42"/>
  <c r="B25" i="42"/>
  <c r="B15" i="48"/>
  <c r="D15" i="48" s="1"/>
  <c r="B17" i="44"/>
  <c r="B20" i="46"/>
  <c r="B27" i="36"/>
  <c r="B67" i="46" l="1"/>
  <c r="B17" i="47"/>
  <c r="D25" i="42"/>
  <c r="B26" i="42"/>
  <c r="B16" i="48"/>
  <c r="D16" i="48" s="1"/>
  <c r="B18" i="44"/>
  <c r="B21" i="46"/>
  <c r="B28" i="36"/>
  <c r="B68" i="46" l="1"/>
  <c r="B18" i="47"/>
  <c r="D26" i="42"/>
  <c r="B27" i="42"/>
  <c r="B19" i="44"/>
  <c r="B17" i="48"/>
  <c r="D17" i="48" s="1"/>
  <c r="B22" i="46"/>
  <c r="B29" i="36"/>
  <c r="B69" i="46" l="1"/>
  <c r="B19" i="47"/>
  <c r="D27" i="42"/>
  <c r="B28" i="42"/>
  <c r="B18" i="48"/>
  <c r="D18" i="48" s="1"/>
  <c r="B20" i="44"/>
  <c r="B23" i="46"/>
  <c r="B30" i="36"/>
  <c r="B70" i="46" l="1"/>
  <c r="B71" i="46" s="1"/>
  <c r="B72" i="46" s="1"/>
  <c r="B73" i="46" s="1"/>
  <c r="B74" i="46" s="1"/>
  <c r="B75" i="46" s="1"/>
  <c r="B20" i="47"/>
  <c r="B29" i="42"/>
  <c r="D28" i="42"/>
  <c r="B21" i="44"/>
  <c r="B19" i="48"/>
  <c r="D19" i="48" s="1"/>
  <c r="B24" i="46"/>
  <c r="B31" i="36"/>
  <c r="B30" i="42" l="1"/>
  <c r="D30" i="42"/>
  <c r="B31" i="42"/>
  <c r="B21" i="47"/>
  <c r="D29" i="42"/>
  <c r="B20" i="48"/>
  <c r="D20" i="48" s="1"/>
  <c r="B22" i="44"/>
  <c r="B25" i="46"/>
  <c r="B32" i="36"/>
  <c r="D31" i="42" l="1"/>
  <c r="B32" i="42"/>
  <c r="B22" i="47"/>
  <c r="B23" i="44"/>
  <c r="B21" i="48"/>
  <c r="D21" i="48" s="1"/>
  <c r="B26" i="46"/>
  <c r="B33" i="36"/>
  <c r="D32" i="42" l="1"/>
  <c r="B33" i="42"/>
  <c r="B23" i="47"/>
  <c r="B24" i="44"/>
  <c r="B22" i="48"/>
  <c r="D22" i="48" s="1"/>
  <c r="B27" i="46"/>
  <c r="B34" i="36"/>
  <c r="D33" i="42" l="1"/>
  <c r="B34" i="42"/>
  <c r="D34" i="42" s="1"/>
  <c r="B24" i="47"/>
  <c r="B25" i="44"/>
  <c r="B23" i="48"/>
  <c r="D23" i="48" s="1"/>
  <c r="B28" i="46"/>
  <c r="B35" i="36"/>
  <c r="B25" i="47" l="1"/>
  <c r="B35" i="42"/>
  <c r="B26" i="44"/>
  <c r="B24" i="48"/>
  <c r="D24" i="48" s="1"/>
  <c r="B29" i="46"/>
  <c r="C69" i="46" l="1"/>
  <c r="D69" i="46" s="1"/>
  <c r="B26" i="47"/>
  <c r="D35" i="42"/>
  <c r="B36" i="42"/>
  <c r="B25" i="48"/>
  <c r="D25" i="48" s="1"/>
  <c r="B27" i="44"/>
  <c r="B30" i="46"/>
  <c r="C63" i="46" l="1"/>
  <c r="D63" i="46" s="1"/>
  <c r="C65" i="46"/>
  <c r="D65" i="46" s="1"/>
  <c r="C64" i="46"/>
  <c r="D64" i="46" s="1"/>
  <c r="C66" i="46"/>
  <c r="D66" i="46" s="1"/>
  <c r="C67" i="46"/>
  <c r="D67" i="46" s="1"/>
  <c r="C68" i="46"/>
  <c r="D68" i="46" s="1"/>
  <c r="B27" i="47"/>
  <c r="C60" i="46"/>
  <c r="D60" i="46" s="1"/>
  <c r="C62" i="46"/>
  <c r="D62" i="46" s="1"/>
  <c r="C54" i="46"/>
  <c r="D54" i="46" s="1"/>
  <c r="C52" i="46"/>
  <c r="D52" i="46" s="1"/>
  <c r="C59" i="46"/>
  <c r="D59" i="46" s="1"/>
  <c r="C75" i="46"/>
  <c r="D75" i="46" s="1"/>
  <c r="C55" i="46"/>
  <c r="D55" i="46" s="1"/>
  <c r="C57" i="46"/>
  <c r="D57" i="46" s="1"/>
  <c r="C61" i="46"/>
  <c r="D61" i="46" s="1"/>
  <c r="C56" i="46"/>
  <c r="D56" i="46" s="1"/>
  <c r="C72" i="46"/>
  <c r="D72" i="46" s="1"/>
  <c r="C58" i="46"/>
  <c r="D58" i="46" s="1"/>
  <c r="C70" i="46"/>
  <c r="D70" i="46" s="1"/>
  <c r="C53" i="46"/>
  <c r="D53" i="46" s="1"/>
  <c r="C71" i="46"/>
  <c r="D71" i="46" s="1"/>
  <c r="C74" i="46"/>
  <c r="D74" i="46" s="1"/>
  <c r="C73" i="46"/>
  <c r="D73" i="46" s="1"/>
  <c r="F36" i="42"/>
  <c r="F37" i="42" s="1"/>
  <c r="P72" i="46" s="1"/>
  <c r="P82" i="46" s="1"/>
  <c r="D36" i="42"/>
  <c r="D37" i="42" s="1"/>
  <c r="B26" i="48"/>
  <c r="D26" i="48" s="1"/>
  <c r="B28" i="44"/>
  <c r="B31" i="46"/>
  <c r="B28" i="47" l="1"/>
  <c r="E76" i="46"/>
  <c r="C40" i="42"/>
  <c r="B29" i="44"/>
  <c r="B27" i="48"/>
  <c r="D27" i="48" s="1"/>
  <c r="B32" i="46"/>
  <c r="B29" i="47" l="1"/>
  <c r="B30" i="44"/>
  <c r="B28" i="48"/>
  <c r="D28" i="48" s="1"/>
  <c r="B33" i="46"/>
  <c r="B30" i="47" l="1"/>
  <c r="B29" i="48"/>
  <c r="D29" i="48" s="1"/>
  <c r="B31" i="44"/>
  <c r="B34" i="46"/>
  <c r="B31" i="47" l="1"/>
  <c r="B32" i="44"/>
  <c r="B30" i="48"/>
  <c r="D30" i="48" s="1"/>
  <c r="B35" i="46"/>
  <c r="B32" i="47" l="1"/>
  <c r="B31" i="48"/>
  <c r="D31" i="48" s="1"/>
  <c r="B33" i="44"/>
  <c r="B36" i="46"/>
  <c r="B33" i="47" l="1"/>
  <c r="B34" i="44"/>
  <c r="B32" i="48"/>
  <c r="D32" i="48" s="1"/>
  <c r="B37" i="46"/>
  <c r="B34" i="47" l="1"/>
  <c r="B33" i="48"/>
  <c r="D33" i="48" s="1"/>
  <c r="B35" i="44"/>
  <c r="B38" i="46"/>
  <c r="B34" i="48" l="1"/>
  <c r="D34" i="48" s="1"/>
  <c r="D35" i="48" l="1"/>
  <c r="P71" i="46" s="1"/>
  <c r="P81" i="46" s="1"/>
  <c r="D76" i="46" l="1"/>
  <c r="C81" i="46" s="1"/>
  <c r="C87" i="46" s="1"/>
  <c r="E7" i="10" l="1"/>
  <c r="E6" i="10"/>
  <c r="E5" i="10"/>
  <c r="H14" i="10" l="1"/>
  <c r="L27" i="50" l="1"/>
  <c r="AA17" i="47" l="1"/>
  <c r="AA21" i="47" s="1"/>
  <c r="D7" i="36" a="1"/>
  <c r="D7" i="36" s="1"/>
  <c r="G7" i="36" s="1"/>
  <c r="D9" i="36" a="1"/>
  <c r="D9" i="36" s="1"/>
  <c r="G9" i="36" s="1"/>
  <c r="D13" i="36" a="1"/>
  <c r="D13" i="36" s="1"/>
  <c r="G13" i="36" s="1"/>
  <c r="D10" i="36" a="1"/>
  <c r="D10" i="36" s="1"/>
  <c r="G10" i="36" s="1"/>
  <c r="D32" i="36" a="1"/>
  <c r="D32" i="36" s="1"/>
  <c r="G32" i="36" s="1"/>
  <c r="D14" i="36" a="1"/>
  <c r="D14" i="36" s="1"/>
  <c r="G14" i="36" s="1"/>
  <c r="D11" i="36" a="1"/>
  <c r="D11" i="36" s="1"/>
  <c r="G11" i="36" s="1"/>
  <c r="D15" i="36" a="1"/>
  <c r="D15" i="36" s="1"/>
  <c r="G15" i="36" s="1"/>
  <c r="D8" i="36" a="1"/>
  <c r="D8" i="36" s="1"/>
  <c r="G8" i="36" s="1"/>
  <c r="D22" i="36" a="1"/>
  <c r="D22" i="36" s="1"/>
  <c r="G22" i="36" s="1"/>
  <c r="D16" i="36" a="1"/>
  <c r="D16" i="36" s="1"/>
  <c r="G16" i="36" s="1"/>
  <c r="D25" i="36" a="1"/>
  <c r="D25" i="36" s="1"/>
  <c r="G25" i="36" s="1"/>
  <c r="D26" i="36" a="1"/>
  <c r="D26" i="36" s="1"/>
  <c r="G26" i="36" s="1"/>
  <c r="D23" i="36" a="1"/>
  <c r="D23" i="36" s="1"/>
  <c r="G23" i="36" s="1"/>
  <c r="D18" i="36" a="1"/>
  <c r="D18" i="36" s="1"/>
  <c r="G18" i="36" s="1"/>
  <c r="D12" i="36" a="1"/>
  <c r="D12" i="36" s="1"/>
  <c r="G12" i="36" s="1"/>
  <c r="D21" i="36" a="1"/>
  <c r="D21" i="36" s="1"/>
  <c r="G21" i="36" s="1"/>
  <c r="D19" i="36" a="1"/>
  <c r="D19" i="36" s="1"/>
  <c r="G19" i="36" s="1"/>
  <c r="D20" i="36" a="1"/>
  <c r="D20" i="36" s="1"/>
  <c r="G20" i="36" s="1"/>
  <c r="D29" i="36" a="1"/>
  <c r="D29" i="36" s="1"/>
  <c r="G29" i="36" s="1"/>
  <c r="D30" i="36" a="1"/>
  <c r="D30" i="36" s="1"/>
  <c r="G30" i="36" s="1"/>
  <c r="D27" i="36" a="1"/>
  <c r="D27" i="36" s="1"/>
  <c r="G27" i="36" s="1"/>
  <c r="D17" i="36" a="1"/>
  <c r="D17" i="36" s="1"/>
  <c r="G17" i="36" s="1"/>
  <c r="D24" i="36" a="1"/>
  <c r="D24" i="36" s="1"/>
  <c r="G24" i="36" s="1"/>
  <c r="D33" i="36" a="1"/>
  <c r="D33" i="36" s="1"/>
  <c r="G33" i="36" s="1"/>
  <c r="D34" i="36" a="1"/>
  <c r="D34" i="36" s="1"/>
  <c r="G34" i="36" s="1"/>
  <c r="D31" i="36" a="1"/>
  <c r="D31" i="36" s="1"/>
  <c r="G31" i="36" s="1"/>
  <c r="D28" i="36" a="1"/>
  <c r="D28" i="36" s="1"/>
  <c r="G28" i="36" s="1"/>
  <c r="D6" i="36" a="1"/>
  <c r="D6" i="36" s="1"/>
  <c r="G6" i="36" s="1"/>
  <c r="D35" i="36" a="1"/>
  <c r="D35" i="36" s="1"/>
  <c r="G35" i="36" s="1"/>
  <c r="AB17" i="47" l="1"/>
  <c r="AB21" i="47" s="1"/>
  <c r="Y17" i="47" l="1"/>
  <c r="Y21" i="47" s="1"/>
  <c r="C28" i="36" a="1"/>
  <c r="C28" i="36" s="1"/>
  <c r="C35" i="36" a="1"/>
  <c r="C35" i="36" s="1"/>
  <c r="C31" i="36" a="1"/>
  <c r="C31" i="36" s="1"/>
  <c r="C27" i="36" a="1"/>
  <c r="C27" i="36" s="1"/>
  <c r="C23" i="36" a="1"/>
  <c r="C23" i="36" s="1"/>
  <c r="C19" i="36" a="1"/>
  <c r="C19" i="36" s="1"/>
  <c r="C15" i="36" a="1"/>
  <c r="C15" i="36" s="1"/>
  <c r="C11" i="36" a="1"/>
  <c r="C11" i="36" s="1"/>
  <c r="C7" i="36" a="1"/>
  <c r="C7" i="36" s="1"/>
  <c r="C20" i="36" a="1"/>
  <c r="C20" i="36" s="1"/>
  <c r="C6" i="36" a="1"/>
  <c r="C6" i="36" s="1"/>
  <c r="C16" i="36" a="1"/>
  <c r="C16" i="36" s="1"/>
  <c r="C34" i="36" a="1"/>
  <c r="C34" i="36" s="1"/>
  <c r="C30" i="36" a="1"/>
  <c r="C30" i="36" s="1"/>
  <c r="C26" i="36" a="1"/>
  <c r="C26" i="36" s="1"/>
  <c r="C22" i="36" a="1"/>
  <c r="C22" i="36" s="1"/>
  <c r="C18" i="36" a="1"/>
  <c r="C18" i="36" s="1"/>
  <c r="C14" i="36" a="1"/>
  <c r="C14" i="36" s="1"/>
  <c r="C10" i="36" a="1"/>
  <c r="C10" i="36" s="1"/>
  <c r="C8" i="36" a="1"/>
  <c r="C8" i="36" s="1"/>
  <c r="C24" i="36" a="1"/>
  <c r="C24" i="36" s="1"/>
  <c r="C33" i="36" a="1"/>
  <c r="C33" i="36" s="1"/>
  <c r="C29" i="36" a="1"/>
  <c r="C29" i="36" s="1"/>
  <c r="C25" i="36" a="1"/>
  <c r="C25" i="36" s="1"/>
  <c r="C21" i="36" a="1"/>
  <c r="C21" i="36" s="1"/>
  <c r="C17" i="36" a="1"/>
  <c r="C17" i="36" s="1"/>
  <c r="C13" i="36" a="1"/>
  <c r="C13" i="36" s="1"/>
  <c r="C9" i="36" a="1"/>
  <c r="C9" i="36" s="1"/>
  <c r="C12" i="36" a="1"/>
  <c r="C12" i="36" s="1"/>
  <c r="C32" i="36" a="1"/>
  <c r="C32" i="36" s="1"/>
  <c r="F32" i="36" l="1"/>
  <c r="H32" i="36" s="1"/>
  <c r="E32" i="36"/>
  <c r="F12" i="36"/>
  <c r="H12" i="36" s="1"/>
  <c r="E12" i="36"/>
  <c r="F9" i="36"/>
  <c r="H9" i="36" s="1"/>
  <c r="E9" i="36"/>
  <c r="F13" i="36"/>
  <c r="H13" i="36" s="1"/>
  <c r="E13" i="36"/>
  <c r="F17" i="36"/>
  <c r="H17" i="36" s="1"/>
  <c r="E17" i="36"/>
  <c r="F21" i="36"/>
  <c r="H21" i="36" s="1"/>
  <c r="E21" i="36"/>
  <c r="F25" i="36"/>
  <c r="H25" i="36" s="1"/>
  <c r="E25" i="36"/>
  <c r="F29" i="36"/>
  <c r="H29" i="36" s="1"/>
  <c r="E29" i="36"/>
  <c r="F33" i="36"/>
  <c r="H33" i="36" s="1"/>
  <c r="E33" i="36"/>
  <c r="F24" i="36"/>
  <c r="H24" i="36" s="1"/>
  <c r="E24" i="36"/>
  <c r="F8" i="36"/>
  <c r="H8" i="36" s="1"/>
  <c r="E8" i="36"/>
  <c r="F10" i="36"/>
  <c r="H10" i="36" s="1"/>
  <c r="E10" i="36"/>
  <c r="F14" i="36"/>
  <c r="H14" i="36" s="1"/>
  <c r="E14" i="36"/>
  <c r="F18" i="36"/>
  <c r="H18" i="36" s="1"/>
  <c r="E18" i="36"/>
  <c r="F22" i="36"/>
  <c r="H22" i="36" s="1"/>
  <c r="E22" i="36"/>
  <c r="F26" i="36"/>
  <c r="H26" i="36" s="1"/>
  <c r="E26" i="36"/>
  <c r="F30" i="36"/>
  <c r="H30" i="36" s="1"/>
  <c r="E30" i="36"/>
  <c r="F34" i="36"/>
  <c r="H34" i="36" s="1"/>
  <c r="E34" i="36"/>
  <c r="F16" i="36"/>
  <c r="H16" i="36" s="1"/>
  <c r="E16" i="36"/>
  <c r="F6" i="36"/>
  <c r="H6" i="36" s="1"/>
  <c r="E6" i="36"/>
  <c r="F20" i="36"/>
  <c r="H20" i="36" s="1"/>
  <c r="E20" i="36"/>
  <c r="F7" i="36"/>
  <c r="H7" i="36" s="1"/>
  <c r="E7" i="36"/>
  <c r="F11" i="36"/>
  <c r="H11" i="36" s="1"/>
  <c r="E11" i="36"/>
  <c r="F15" i="36"/>
  <c r="H15" i="36" s="1"/>
  <c r="E15" i="36"/>
  <c r="F19" i="36"/>
  <c r="H19" i="36" s="1"/>
  <c r="E19" i="36"/>
  <c r="F23" i="36"/>
  <c r="H23" i="36" s="1"/>
  <c r="E23" i="36"/>
  <c r="F27" i="36"/>
  <c r="H27" i="36" s="1"/>
  <c r="E27" i="36"/>
  <c r="F31" i="36"/>
  <c r="H31" i="36" s="1"/>
  <c r="E31" i="36"/>
  <c r="F35" i="36"/>
  <c r="H35" i="36" s="1"/>
  <c r="E35" i="36"/>
  <c r="F28" i="36"/>
  <c r="H28" i="36" s="1"/>
  <c r="E28" i="36"/>
  <c r="Z17" i="47"/>
  <c r="Z21" i="47" s="1"/>
  <c r="D35" i="46"/>
  <c r="I32" i="36"/>
  <c r="D15" i="46"/>
  <c r="I12" i="36"/>
  <c r="D12" i="46"/>
  <c r="I9" i="36"/>
  <c r="D16" i="46"/>
  <c r="I13" i="36"/>
  <c r="D20" i="46"/>
  <c r="I17" i="36"/>
  <c r="D24" i="46"/>
  <c r="I21" i="36"/>
  <c r="D28" i="46"/>
  <c r="I25" i="36"/>
  <c r="D32" i="46"/>
  <c r="I29" i="36"/>
  <c r="D36" i="46"/>
  <c r="I33" i="36"/>
  <c r="D27" i="46"/>
  <c r="I24" i="36"/>
  <c r="D11" i="46"/>
  <c r="I8" i="36"/>
  <c r="D13" i="46"/>
  <c r="I10" i="36"/>
  <c r="D17" i="46"/>
  <c r="I14" i="36"/>
  <c r="D21" i="46"/>
  <c r="I18" i="36"/>
  <c r="D25" i="46"/>
  <c r="I22" i="36"/>
  <c r="D29" i="46"/>
  <c r="I26" i="36"/>
  <c r="D33" i="46"/>
  <c r="I30" i="36"/>
  <c r="D37" i="46"/>
  <c r="I34" i="36"/>
  <c r="D19" i="46"/>
  <c r="I16" i="36"/>
  <c r="D9" i="46"/>
  <c r="I6" i="36"/>
  <c r="D23" i="46"/>
  <c r="I20" i="36"/>
  <c r="D10" i="46"/>
  <c r="I7" i="36"/>
  <c r="D14" i="46"/>
  <c r="I11" i="36"/>
  <c r="D18" i="46"/>
  <c r="I15" i="36"/>
  <c r="D22" i="46"/>
  <c r="I19" i="36"/>
  <c r="D26" i="46"/>
  <c r="I23" i="36"/>
  <c r="D30" i="46"/>
  <c r="I27" i="36"/>
  <c r="D34" i="46"/>
  <c r="I31" i="36"/>
  <c r="D38" i="46"/>
  <c r="I35" i="36"/>
  <c r="D31" i="46"/>
  <c r="I28" i="36"/>
  <c r="F8" i="47"/>
  <c r="F5" i="47"/>
  <c r="F7" i="47"/>
  <c r="F6" i="47"/>
  <c r="F21" i="47"/>
  <c r="F16" i="47"/>
  <c r="F26" i="47"/>
  <c r="F25" i="47"/>
  <c r="F22" i="47"/>
  <c r="F19" i="47"/>
  <c r="F34" i="47"/>
  <c r="F18" i="47"/>
  <c r="F33" i="47"/>
  <c r="F17" i="47"/>
  <c r="F28" i="47"/>
  <c r="F12" i="47"/>
  <c r="F27" i="47"/>
  <c r="F11" i="47"/>
  <c r="F10" i="47"/>
  <c r="F9" i="47"/>
  <c r="F20" i="47"/>
  <c r="F23" i="47"/>
  <c r="F32" i="47"/>
  <c r="F31" i="47"/>
  <c r="F15" i="47"/>
  <c r="F30" i="47"/>
  <c r="F14" i="47"/>
  <c r="F29" i="47"/>
  <c r="F13" i="47"/>
  <c r="F24" i="47"/>
  <c r="AA6" i="47" l="1"/>
  <c r="Z6" i="47"/>
  <c r="C25" i="44"/>
  <c r="C24" i="47"/>
  <c r="D24" i="47" s="1"/>
  <c r="E24" i="47" s="1"/>
  <c r="F28" i="46" s="1"/>
  <c r="H24" i="47"/>
  <c r="K24" i="47" s="1"/>
  <c r="I24" i="47"/>
  <c r="L24" i="47" s="1"/>
  <c r="G24" i="47"/>
  <c r="J24" i="47" s="1"/>
  <c r="M24" i="47" s="1"/>
  <c r="C14" i="44"/>
  <c r="I13" i="47"/>
  <c r="L13" i="47" s="1"/>
  <c r="G13" i="47"/>
  <c r="J13" i="47" s="1"/>
  <c r="C13" i="47"/>
  <c r="D13" i="47" s="1"/>
  <c r="E13" i="47" s="1"/>
  <c r="F17" i="46" s="1"/>
  <c r="H13" i="47"/>
  <c r="K13" i="47" s="1"/>
  <c r="C30" i="44"/>
  <c r="G29" i="47"/>
  <c r="J29" i="47" s="1"/>
  <c r="H29" i="47"/>
  <c r="K29" i="47" s="1"/>
  <c r="C29" i="47"/>
  <c r="D29" i="47" s="1"/>
  <c r="E29" i="47" s="1"/>
  <c r="F33" i="46" s="1"/>
  <c r="I29" i="47"/>
  <c r="L29" i="47" s="1"/>
  <c r="C15" i="44"/>
  <c r="G14" i="47"/>
  <c r="J14" i="47" s="1"/>
  <c r="C14" i="47"/>
  <c r="D14" i="47" s="1"/>
  <c r="E14" i="47" s="1"/>
  <c r="F18" i="46" s="1"/>
  <c r="H14" i="47"/>
  <c r="K14" i="47" s="1"/>
  <c r="I14" i="47"/>
  <c r="L14" i="47" s="1"/>
  <c r="C31" i="44"/>
  <c r="C30" i="47"/>
  <c r="D30" i="47" s="1"/>
  <c r="E30" i="47" s="1"/>
  <c r="F34" i="46" s="1"/>
  <c r="H30" i="47"/>
  <c r="K30" i="47" s="1"/>
  <c r="I30" i="47"/>
  <c r="L30" i="47" s="1"/>
  <c r="G30" i="47"/>
  <c r="J30" i="47" s="1"/>
  <c r="M30" i="47" s="1"/>
  <c r="C16" i="44"/>
  <c r="H15" i="47"/>
  <c r="I15" i="47"/>
  <c r="G15" i="47"/>
  <c r="C15" i="47"/>
  <c r="C32" i="44"/>
  <c r="H31" i="47"/>
  <c r="K31" i="47" s="1"/>
  <c r="I31" i="47"/>
  <c r="L31" i="47" s="1"/>
  <c r="G31" i="47"/>
  <c r="J31" i="47" s="1"/>
  <c r="M31" i="47" s="1"/>
  <c r="C31" i="47"/>
  <c r="D31" i="47" s="1"/>
  <c r="E31" i="47" s="1"/>
  <c r="F35" i="46" s="1"/>
  <c r="C33" i="44"/>
  <c r="H32" i="47"/>
  <c r="K32" i="47" s="1"/>
  <c r="I32" i="47"/>
  <c r="L32" i="47" s="1"/>
  <c r="G32" i="47"/>
  <c r="J32" i="47" s="1"/>
  <c r="M32" i="47" s="1"/>
  <c r="C32" i="47"/>
  <c r="D32" i="47" s="1"/>
  <c r="E32" i="47" s="1"/>
  <c r="F36" i="46" s="1"/>
  <c r="C24" i="44"/>
  <c r="H23" i="47"/>
  <c r="K23" i="47" s="1"/>
  <c r="I23" i="47"/>
  <c r="L23" i="47" s="1"/>
  <c r="G23" i="47"/>
  <c r="J23" i="47" s="1"/>
  <c r="M23" i="47" s="1"/>
  <c r="C23" i="47"/>
  <c r="D23" i="47" s="1"/>
  <c r="E23" i="47" s="1"/>
  <c r="F27" i="46" s="1"/>
  <c r="C21" i="44"/>
  <c r="H20" i="47"/>
  <c r="K20" i="47" s="1"/>
  <c r="I20" i="47"/>
  <c r="L20" i="47" s="1"/>
  <c r="G20" i="47"/>
  <c r="J20" i="47" s="1"/>
  <c r="M20" i="47" s="1"/>
  <c r="C20" i="47"/>
  <c r="D20" i="47" s="1"/>
  <c r="E20" i="47" s="1"/>
  <c r="F24" i="46" s="1"/>
  <c r="C10" i="44"/>
  <c r="G9" i="47"/>
  <c r="J9" i="47" s="1"/>
  <c r="C9" i="47"/>
  <c r="D9" i="47" s="1"/>
  <c r="E9" i="47" s="1"/>
  <c r="F13" i="46" s="1"/>
  <c r="H9" i="47"/>
  <c r="K9" i="47" s="1"/>
  <c r="I9" i="47"/>
  <c r="L9" i="47" s="1"/>
  <c r="C11" i="44"/>
  <c r="C10" i="47"/>
  <c r="D10" i="47" s="1"/>
  <c r="E10" i="47" s="1"/>
  <c r="F14" i="46" s="1"/>
  <c r="H10" i="47"/>
  <c r="K10" i="47" s="1"/>
  <c r="I10" i="47"/>
  <c r="L10" i="47" s="1"/>
  <c r="G10" i="47"/>
  <c r="J10" i="47" s="1"/>
  <c r="M10" i="47" s="1"/>
  <c r="C12" i="44"/>
  <c r="G11" i="47"/>
  <c r="J11" i="47" s="1"/>
  <c r="H11" i="47"/>
  <c r="K11" i="47" s="1"/>
  <c r="I11" i="47"/>
  <c r="L11" i="47" s="1"/>
  <c r="C11" i="47"/>
  <c r="D11" i="47" s="1"/>
  <c r="E11" i="47" s="1"/>
  <c r="F15" i="46" s="1"/>
  <c r="C28" i="44"/>
  <c r="G27" i="47"/>
  <c r="J27" i="47" s="1"/>
  <c r="C27" i="47"/>
  <c r="D27" i="47" s="1"/>
  <c r="E27" i="47" s="1"/>
  <c r="F31" i="46" s="1"/>
  <c r="H27" i="47"/>
  <c r="K27" i="47" s="1"/>
  <c r="I27" i="47"/>
  <c r="L27" i="47" s="1"/>
  <c r="C13" i="44"/>
  <c r="G12" i="47"/>
  <c r="J12" i="47" s="1"/>
  <c r="C12" i="47"/>
  <c r="D12" i="47" s="1"/>
  <c r="E12" i="47" s="1"/>
  <c r="F16" i="46" s="1"/>
  <c r="H12" i="47"/>
  <c r="K12" i="47" s="1"/>
  <c r="I12" i="47"/>
  <c r="L12" i="47" s="1"/>
  <c r="C29" i="44"/>
  <c r="C28" i="47"/>
  <c r="D28" i="47" s="1"/>
  <c r="E28" i="47" s="1"/>
  <c r="F32" i="46" s="1"/>
  <c r="H28" i="47"/>
  <c r="K28" i="47" s="1"/>
  <c r="I28" i="47"/>
  <c r="L28" i="47" s="1"/>
  <c r="G28" i="47"/>
  <c r="J28" i="47" s="1"/>
  <c r="M28" i="47" s="1"/>
  <c r="C18" i="44"/>
  <c r="I17" i="47"/>
  <c r="L17" i="47" s="1"/>
  <c r="G17" i="47"/>
  <c r="J17" i="47" s="1"/>
  <c r="C17" i="47"/>
  <c r="D17" i="47" s="1"/>
  <c r="E17" i="47" s="1"/>
  <c r="F21" i="46" s="1"/>
  <c r="H17" i="47"/>
  <c r="K17" i="47" s="1"/>
  <c r="C34" i="44"/>
  <c r="C33" i="47"/>
  <c r="D33" i="47" s="1"/>
  <c r="E33" i="47" s="1"/>
  <c r="F37" i="46" s="1"/>
  <c r="H33" i="47"/>
  <c r="K33" i="47" s="1"/>
  <c r="I33" i="47"/>
  <c r="L33" i="47" s="1"/>
  <c r="G33" i="47"/>
  <c r="J33" i="47" s="1"/>
  <c r="M33" i="47" s="1"/>
  <c r="C19" i="44"/>
  <c r="G18" i="47"/>
  <c r="J18" i="47" s="1"/>
  <c r="C18" i="47"/>
  <c r="D18" i="47" s="1"/>
  <c r="E18" i="47" s="1"/>
  <c r="F22" i="46" s="1"/>
  <c r="H18" i="47"/>
  <c r="K18" i="47" s="1"/>
  <c r="I18" i="47"/>
  <c r="L18" i="47" s="1"/>
  <c r="C35" i="44"/>
  <c r="G34" i="47"/>
  <c r="J34" i="47" s="1"/>
  <c r="C34" i="47"/>
  <c r="D34" i="47" s="1"/>
  <c r="E34" i="47" s="1"/>
  <c r="F38" i="46" s="1"/>
  <c r="H34" i="47"/>
  <c r="K34" i="47" s="1"/>
  <c r="I34" i="47"/>
  <c r="L34" i="47" s="1"/>
  <c r="C20" i="44"/>
  <c r="I19" i="47"/>
  <c r="L19" i="47" s="1"/>
  <c r="C19" i="47"/>
  <c r="D19" i="47" s="1"/>
  <c r="E19" i="47" s="1"/>
  <c r="F23" i="46" s="1"/>
  <c r="G19" i="47"/>
  <c r="J19" i="47" s="1"/>
  <c r="H19" i="47"/>
  <c r="K19" i="47" s="1"/>
  <c r="C23" i="44"/>
  <c r="H22" i="47"/>
  <c r="K22" i="47" s="1"/>
  <c r="I22" i="47"/>
  <c r="L22" i="47" s="1"/>
  <c r="G22" i="47"/>
  <c r="J22" i="47" s="1"/>
  <c r="M22" i="47" s="1"/>
  <c r="C22" i="47"/>
  <c r="D22" i="47" s="1"/>
  <c r="E22" i="47" s="1"/>
  <c r="F26" i="46" s="1"/>
  <c r="C26" i="44"/>
  <c r="I25" i="47"/>
  <c r="L25" i="47" s="1"/>
  <c r="G25" i="47"/>
  <c r="J25" i="47" s="1"/>
  <c r="C25" i="47"/>
  <c r="D25" i="47" s="1"/>
  <c r="E25" i="47" s="1"/>
  <c r="F29" i="46" s="1"/>
  <c r="H25" i="47"/>
  <c r="K25" i="47" s="1"/>
  <c r="C27" i="44"/>
  <c r="I26" i="47"/>
  <c r="L26" i="47" s="1"/>
  <c r="G26" i="47"/>
  <c r="J26" i="47" s="1"/>
  <c r="C26" i="47"/>
  <c r="D26" i="47" s="1"/>
  <c r="E26" i="47" s="1"/>
  <c r="F30" i="46" s="1"/>
  <c r="H26" i="47"/>
  <c r="K26" i="47" s="1"/>
  <c r="C17" i="44"/>
  <c r="G16" i="47"/>
  <c r="J16" i="47" s="1"/>
  <c r="C16" i="47"/>
  <c r="D16" i="47" s="1"/>
  <c r="E16" i="47" s="1"/>
  <c r="F20" i="46" s="1"/>
  <c r="H16" i="47"/>
  <c r="K16" i="47" s="1"/>
  <c r="I16" i="47"/>
  <c r="L16" i="47" s="1"/>
  <c r="C22" i="44"/>
  <c r="C21" i="47"/>
  <c r="D21" i="47" s="1"/>
  <c r="E21" i="47" s="1"/>
  <c r="F25" i="46" s="1"/>
  <c r="H21" i="47"/>
  <c r="K21" i="47" s="1"/>
  <c r="I21" i="47"/>
  <c r="L21" i="47" s="1"/>
  <c r="G21" i="47"/>
  <c r="J21" i="47" s="1"/>
  <c r="M21" i="47" s="1"/>
  <c r="C7" i="44"/>
  <c r="C6" i="47"/>
  <c r="D6" i="47" s="1"/>
  <c r="E6" i="47" s="1"/>
  <c r="F10" i="46" s="1"/>
  <c r="H6" i="47"/>
  <c r="K6" i="47" s="1"/>
  <c r="I6" i="47"/>
  <c r="L6" i="47" s="1"/>
  <c r="G6" i="47"/>
  <c r="J6" i="47" s="1"/>
  <c r="M6" i="47" s="1"/>
  <c r="C8" i="44"/>
  <c r="H7" i="47"/>
  <c r="K7" i="47" s="1"/>
  <c r="I7" i="47"/>
  <c r="L7" i="47" s="1"/>
  <c r="G7" i="47"/>
  <c r="J7" i="47" s="1"/>
  <c r="M7" i="47" s="1"/>
  <c r="C7" i="47"/>
  <c r="D7" i="47" s="1"/>
  <c r="E7" i="47" s="1"/>
  <c r="F11" i="46" s="1"/>
  <c r="C6" i="44"/>
  <c r="H5" i="47"/>
  <c r="G5" i="47"/>
  <c r="C5" i="47"/>
  <c r="I5" i="47"/>
  <c r="C9" i="44"/>
  <c r="I8" i="47"/>
  <c r="L8" i="47" s="1"/>
  <c r="G8" i="47"/>
  <c r="J8" i="47" s="1"/>
  <c r="C8" i="47"/>
  <c r="D8" i="47" s="1"/>
  <c r="E8" i="47" s="1"/>
  <c r="F12" i="46" s="1"/>
  <c r="H8" i="47"/>
  <c r="K8" i="47" s="1"/>
  <c r="I36" i="36"/>
  <c r="P67" i="46" s="1"/>
  <c r="L5" i="47" l="1"/>
  <c r="I35" i="47"/>
  <c r="D5" i="47"/>
  <c r="E5" i="47" s="1"/>
  <c r="C35" i="47"/>
  <c r="J5" i="47"/>
  <c r="G35" i="47"/>
  <c r="K5" i="47"/>
  <c r="H35" i="47"/>
  <c r="P77" i="46"/>
  <c r="D15" i="47"/>
  <c r="E15" i="47" s="1"/>
  <c r="F19" i="46" s="1"/>
  <c r="E54" i="47"/>
  <c r="J15" i="47"/>
  <c r="G36" i="47"/>
  <c r="E55" i="47" s="1"/>
  <c r="L15" i="47"/>
  <c r="I36" i="47"/>
  <c r="E57" i="47" s="1"/>
  <c r="K15" i="47"/>
  <c r="H36" i="47"/>
  <c r="E56" i="47" s="1"/>
  <c r="M8" i="47"/>
  <c r="D9" i="44"/>
  <c r="E9" i="44"/>
  <c r="F9" i="46"/>
  <c r="E35" i="47"/>
  <c r="M5" i="47"/>
  <c r="D6" i="44"/>
  <c r="E6" i="44"/>
  <c r="N7" i="47"/>
  <c r="P7" i="47" s="1"/>
  <c r="O7" i="47"/>
  <c r="E11" i="46"/>
  <c r="E8" i="44"/>
  <c r="D8" i="44"/>
  <c r="F8" i="44" s="1"/>
  <c r="N6" i="47"/>
  <c r="P6" i="47" s="1"/>
  <c r="E10" i="46"/>
  <c r="O6" i="47"/>
  <c r="D7" i="44"/>
  <c r="E7" i="44"/>
  <c r="N21" i="47"/>
  <c r="P21" i="47" s="1"/>
  <c r="O21" i="47"/>
  <c r="E25" i="46"/>
  <c r="D22" i="44"/>
  <c r="E22" i="44"/>
  <c r="M16" i="47"/>
  <c r="D17" i="44"/>
  <c r="E17" i="44"/>
  <c r="M26" i="47"/>
  <c r="D27" i="44"/>
  <c r="E27" i="44"/>
  <c r="M25" i="47"/>
  <c r="D26" i="44"/>
  <c r="E26" i="44"/>
  <c r="N22" i="47"/>
  <c r="P22" i="47" s="1"/>
  <c r="E26" i="46"/>
  <c r="O22" i="47"/>
  <c r="D23" i="44"/>
  <c r="E23" i="44"/>
  <c r="M19" i="47"/>
  <c r="E20" i="44"/>
  <c r="D20" i="44"/>
  <c r="F20" i="44" s="1"/>
  <c r="M34" i="47"/>
  <c r="D35" i="44"/>
  <c r="E35" i="44"/>
  <c r="M18" i="47"/>
  <c r="D19" i="44"/>
  <c r="E19" i="44"/>
  <c r="N33" i="47"/>
  <c r="P33" i="47" s="1"/>
  <c r="E37" i="46"/>
  <c r="O33" i="47"/>
  <c r="E34" i="44"/>
  <c r="D34" i="44"/>
  <c r="F34" i="44" s="1"/>
  <c r="M17" i="47"/>
  <c r="D18" i="44"/>
  <c r="E18" i="44"/>
  <c r="N28" i="47"/>
  <c r="P28" i="47" s="1"/>
  <c r="E32" i="46"/>
  <c r="O28" i="47"/>
  <c r="E29" i="44"/>
  <c r="D29" i="44"/>
  <c r="F29" i="44" s="1"/>
  <c r="M12" i="47"/>
  <c r="E13" i="44"/>
  <c r="D13" i="44"/>
  <c r="F13" i="44" s="1"/>
  <c r="M27" i="47"/>
  <c r="E28" i="44"/>
  <c r="D28" i="44"/>
  <c r="F28" i="44" s="1"/>
  <c r="M11" i="47"/>
  <c r="E12" i="44"/>
  <c r="D12" i="44"/>
  <c r="F12" i="44" s="1"/>
  <c r="O10" i="47"/>
  <c r="N10" i="47"/>
  <c r="P10" i="47" s="1"/>
  <c r="E14" i="46"/>
  <c r="D11" i="44"/>
  <c r="E11" i="44"/>
  <c r="M9" i="47"/>
  <c r="D10" i="44"/>
  <c r="E10" i="44"/>
  <c r="N20" i="47"/>
  <c r="P20" i="47" s="1"/>
  <c r="O20" i="47"/>
  <c r="E24" i="46"/>
  <c r="D21" i="44"/>
  <c r="E21" i="44"/>
  <c r="N23" i="47"/>
  <c r="P23" i="47" s="1"/>
  <c r="E27" i="46"/>
  <c r="O23" i="47"/>
  <c r="D24" i="44"/>
  <c r="E24" i="44"/>
  <c r="N32" i="47"/>
  <c r="P32" i="47" s="1"/>
  <c r="O32" i="47"/>
  <c r="E36" i="46"/>
  <c r="E33" i="44"/>
  <c r="D33" i="44"/>
  <c r="F33" i="44" s="1"/>
  <c r="N31" i="47"/>
  <c r="P31" i="47" s="1"/>
  <c r="O31" i="47"/>
  <c r="E35" i="46"/>
  <c r="E32" i="44"/>
  <c r="D32" i="44"/>
  <c r="F32" i="44" s="1"/>
  <c r="E16" i="44"/>
  <c r="D16" i="44"/>
  <c r="F16" i="44" s="1"/>
  <c r="N30" i="47"/>
  <c r="P30" i="47" s="1"/>
  <c r="O30" i="47"/>
  <c r="E34" i="46"/>
  <c r="D31" i="44"/>
  <c r="E31" i="44"/>
  <c r="M14" i="47"/>
  <c r="E15" i="44"/>
  <c r="D15" i="44"/>
  <c r="F15" i="44" s="1"/>
  <c r="M29" i="47"/>
  <c r="E30" i="44"/>
  <c r="D30" i="44"/>
  <c r="F30" i="44" s="1"/>
  <c r="M13" i="47"/>
  <c r="E14" i="44"/>
  <c r="D14" i="44"/>
  <c r="F14" i="44" s="1"/>
  <c r="E28" i="46"/>
  <c r="N24" i="47"/>
  <c r="P24" i="47" s="1"/>
  <c r="O24" i="47"/>
  <c r="E25" i="44"/>
  <c r="D25" i="44"/>
  <c r="F25" i="44" s="1"/>
  <c r="M15" i="47" l="1"/>
  <c r="C28" i="46"/>
  <c r="G25" i="44"/>
  <c r="C17" i="46"/>
  <c r="G14" i="44"/>
  <c r="N13" i="47"/>
  <c r="P13" i="47" s="1"/>
  <c r="E17" i="46"/>
  <c r="O13" i="47"/>
  <c r="C33" i="46"/>
  <c r="G30" i="44"/>
  <c r="N29" i="47"/>
  <c r="P29" i="47" s="1"/>
  <c r="E33" i="46"/>
  <c r="O29" i="47"/>
  <c r="G15" i="44"/>
  <c r="C18" i="46"/>
  <c r="N14" i="47"/>
  <c r="P14" i="47" s="1"/>
  <c r="O14" i="47"/>
  <c r="E18" i="46"/>
  <c r="F31" i="44"/>
  <c r="C19" i="46"/>
  <c r="G16" i="44"/>
  <c r="C35" i="46"/>
  <c r="G32" i="44"/>
  <c r="C36" i="46"/>
  <c r="G33" i="44"/>
  <c r="F24" i="44"/>
  <c r="F21" i="44"/>
  <c r="F10" i="44"/>
  <c r="N9" i="47"/>
  <c r="P9" i="47" s="1"/>
  <c r="E13" i="46"/>
  <c r="O9" i="47"/>
  <c r="F11" i="44"/>
  <c r="C15" i="46"/>
  <c r="G12" i="44"/>
  <c r="N11" i="47"/>
  <c r="P11" i="47" s="1"/>
  <c r="E15" i="46"/>
  <c r="O11" i="47"/>
  <c r="G28" i="44"/>
  <c r="C31" i="46"/>
  <c r="N27" i="47"/>
  <c r="P27" i="47" s="1"/>
  <c r="O27" i="47"/>
  <c r="E31" i="46"/>
  <c r="C16" i="46"/>
  <c r="G13" i="44"/>
  <c r="O12" i="47"/>
  <c r="E16" i="46"/>
  <c r="N12" i="47"/>
  <c r="P12" i="47" s="1"/>
  <c r="G29" i="44"/>
  <c r="C32" i="46"/>
  <c r="F18" i="44"/>
  <c r="N17" i="47"/>
  <c r="P17" i="47" s="1"/>
  <c r="O17" i="47"/>
  <c r="E21" i="46"/>
  <c r="C37" i="46"/>
  <c r="G34" i="44"/>
  <c r="F19" i="44"/>
  <c r="N18" i="47"/>
  <c r="P18" i="47" s="1"/>
  <c r="O18" i="47"/>
  <c r="E22" i="46"/>
  <c r="F35" i="44"/>
  <c r="N34" i="47"/>
  <c r="P34" i="47" s="1"/>
  <c r="O34" i="47"/>
  <c r="E38" i="46"/>
  <c r="C23" i="46"/>
  <c r="G20" i="44"/>
  <c r="N19" i="47"/>
  <c r="P19" i="47" s="1"/>
  <c r="E23" i="46"/>
  <c r="O19" i="47"/>
  <c r="F23" i="44"/>
  <c r="F26" i="44"/>
  <c r="N25" i="47"/>
  <c r="P25" i="47" s="1"/>
  <c r="O25" i="47"/>
  <c r="E29" i="46"/>
  <c r="F27" i="44"/>
  <c r="N26" i="47"/>
  <c r="P26" i="47" s="1"/>
  <c r="E30" i="46"/>
  <c r="O26" i="47"/>
  <c r="F17" i="44"/>
  <c r="N16" i="47"/>
  <c r="P16" i="47" s="1"/>
  <c r="O16" i="47"/>
  <c r="E20" i="46"/>
  <c r="F22" i="44"/>
  <c r="F7" i="44"/>
  <c r="C11" i="46"/>
  <c r="G8" i="44"/>
  <c r="F6" i="44"/>
  <c r="N5" i="47"/>
  <c r="O5" i="47"/>
  <c r="E9" i="46"/>
  <c r="F9" i="44"/>
  <c r="N8" i="47"/>
  <c r="P8" i="47" s="1"/>
  <c r="E12" i="46"/>
  <c r="O8" i="47"/>
  <c r="N15" i="47" l="1"/>
  <c r="P15" i="47" s="1"/>
  <c r="E19" i="46"/>
  <c r="O15" i="47"/>
  <c r="C12" i="46"/>
  <c r="G9" i="44"/>
  <c r="O35" i="47"/>
  <c r="P5" i="47"/>
  <c r="P35" i="47" s="1"/>
  <c r="P70" i="46" s="1"/>
  <c r="P80" i="46" s="1"/>
  <c r="N35" i="47"/>
  <c r="C9" i="46"/>
  <c r="G6" i="44"/>
  <c r="C10" i="46"/>
  <c r="G7" i="44"/>
  <c r="C25" i="46"/>
  <c r="G22" i="44"/>
  <c r="C20" i="46"/>
  <c r="G17" i="44"/>
  <c r="C30" i="46"/>
  <c r="G27" i="44"/>
  <c r="C29" i="46"/>
  <c r="G26" i="44"/>
  <c r="C26" i="46"/>
  <c r="G23" i="44"/>
  <c r="C38" i="46"/>
  <c r="G35" i="44"/>
  <c r="C22" i="46"/>
  <c r="G19" i="44"/>
  <c r="C21" i="46"/>
  <c r="G18" i="44"/>
  <c r="C14" i="46"/>
  <c r="G11" i="44"/>
  <c r="C13" i="46"/>
  <c r="G10" i="44"/>
  <c r="C24" i="46"/>
  <c r="G21" i="44"/>
  <c r="C27" i="46"/>
  <c r="G24" i="44"/>
  <c r="C34" i="46"/>
  <c r="G31" i="44"/>
  <c r="G36" i="44" l="1"/>
  <c r="P68" i="46" l="1"/>
  <c r="P78" i="46" l="1"/>
  <c r="AW7" i="50" l="1"/>
  <c r="AV7" i="50"/>
  <c r="AW8" i="50"/>
  <c r="AV8" i="50"/>
  <c r="AW9" i="50"/>
  <c r="AW10" i="50"/>
  <c r="AW11" i="50"/>
  <c r="AW12" i="50"/>
  <c r="AW13" i="50"/>
  <c r="AW14" i="50"/>
  <c r="AW15" i="50"/>
  <c r="AW16" i="50"/>
  <c r="AW17" i="50"/>
  <c r="AW18" i="50"/>
  <c r="AW19" i="50"/>
  <c r="AW20" i="50"/>
  <c r="AW21" i="50"/>
  <c r="AW22" i="50"/>
  <c r="AW23" i="50"/>
  <c r="AW28" i="50"/>
  <c r="AW29" i="50"/>
  <c r="AW30" i="50"/>
  <c r="AW31" i="50"/>
  <c r="AW32" i="50"/>
  <c r="AW33" i="50"/>
  <c r="AW34" i="50"/>
  <c r="AW35" i="50"/>
  <c r="AW36" i="50"/>
  <c r="AV9" i="50"/>
  <c r="AV10" i="50"/>
  <c r="AV11" i="50"/>
  <c r="AV12" i="50"/>
  <c r="AV13" i="50"/>
  <c r="AV14" i="50"/>
  <c r="AV15" i="50"/>
  <c r="AV16" i="50"/>
  <c r="AV17" i="50"/>
  <c r="AV18" i="50"/>
  <c r="AV19" i="50"/>
  <c r="AV20" i="50"/>
  <c r="AV21" i="50"/>
  <c r="AV22" i="50"/>
  <c r="AV23" i="50"/>
  <c r="AV28" i="50"/>
  <c r="AV29" i="50"/>
  <c r="AV30" i="50"/>
  <c r="AV31" i="50"/>
  <c r="AV32" i="50"/>
  <c r="AV33" i="50"/>
  <c r="AV34" i="50"/>
  <c r="AV35" i="50"/>
  <c r="AV36" i="50"/>
  <c r="AW6" i="50"/>
  <c r="AW5" i="50"/>
  <c r="AV6" i="50"/>
  <c r="AV5" i="50"/>
  <c r="AV24" i="50"/>
  <c r="AW24" i="50"/>
  <c r="AV25" i="50"/>
  <c r="AW25" i="50"/>
  <c r="AV26" i="50"/>
  <c r="AW26" i="50"/>
  <c r="AV27" i="50"/>
  <c r="AW27" i="50"/>
  <c r="W33" i="50"/>
  <c r="V33" i="50"/>
  <c r="X33" i="50"/>
  <c r="AV37" i="50"/>
  <c r="AW37" i="50"/>
  <c r="K39" i="50"/>
  <c r="L39" i="50"/>
  <c r="D7" i="50" l="1"/>
  <c r="E7" i="50" s="1"/>
  <c r="D8" i="50"/>
  <c r="E8" i="50" s="1"/>
  <c r="D9" i="50"/>
  <c r="E9" i="50" s="1"/>
  <c r="D10" i="50"/>
  <c r="E10" i="50" s="1"/>
  <c r="D11" i="50"/>
  <c r="E11" i="50" s="1"/>
  <c r="D12" i="50"/>
  <c r="E12" i="50" s="1"/>
  <c r="D13" i="50"/>
  <c r="E13" i="50" s="1"/>
  <c r="D14" i="50"/>
  <c r="E14" i="50" s="1"/>
  <c r="D15" i="50"/>
  <c r="E15" i="50" s="1"/>
  <c r="D16" i="50"/>
  <c r="E16" i="50" s="1"/>
  <c r="D17" i="50"/>
  <c r="E17" i="50" s="1"/>
  <c r="D18" i="50"/>
  <c r="E18" i="50" s="1"/>
  <c r="D19" i="50"/>
  <c r="E19" i="50" s="1"/>
  <c r="D20" i="50"/>
  <c r="E20" i="50" s="1"/>
  <c r="D21" i="50"/>
  <c r="E21" i="50" s="1"/>
  <c r="D22" i="50"/>
  <c r="E22" i="50" s="1"/>
  <c r="D23" i="50"/>
  <c r="E23" i="50" s="1"/>
  <c r="D24" i="50"/>
  <c r="E24" i="50" s="1"/>
  <c r="D25" i="50"/>
  <c r="E25" i="50" s="1"/>
  <c r="D26" i="50"/>
  <c r="E26" i="50" s="1"/>
  <c r="D27" i="50"/>
  <c r="E27" i="50" s="1"/>
  <c r="D28" i="50"/>
  <c r="E28" i="50" s="1"/>
  <c r="D29" i="50"/>
  <c r="E29" i="50" s="1"/>
  <c r="D30" i="50"/>
  <c r="E30" i="50" s="1"/>
  <c r="D31" i="50"/>
  <c r="E31" i="50" s="1"/>
  <c r="D32" i="50"/>
  <c r="E32" i="50" s="1"/>
  <c r="D33" i="50"/>
  <c r="E33" i="50" s="1"/>
  <c r="D34" i="50"/>
  <c r="E34" i="50" s="1"/>
  <c r="D35" i="50"/>
  <c r="E35" i="50" s="1"/>
  <c r="D6" i="50"/>
  <c r="E6" i="50" s="1"/>
  <c r="G9" i="46" l="1"/>
  <c r="J9" i="46" s="1"/>
  <c r="F6" i="50"/>
  <c r="G38" i="46"/>
  <c r="J38" i="46" s="1"/>
  <c r="F35" i="50"/>
  <c r="G37" i="46"/>
  <c r="J37" i="46" s="1"/>
  <c r="F34" i="50"/>
  <c r="G36" i="46"/>
  <c r="J36" i="46" s="1"/>
  <c r="F33" i="50"/>
  <c r="G35" i="46"/>
  <c r="J35" i="46" s="1"/>
  <c r="F32" i="50"/>
  <c r="G34" i="46"/>
  <c r="J34" i="46" s="1"/>
  <c r="F31" i="50"/>
  <c r="G33" i="46"/>
  <c r="J33" i="46" s="1"/>
  <c r="F30" i="50"/>
  <c r="G32" i="46"/>
  <c r="J32" i="46" s="1"/>
  <c r="F29" i="50"/>
  <c r="G31" i="46"/>
  <c r="J31" i="46" s="1"/>
  <c r="F28" i="50"/>
  <c r="G30" i="46"/>
  <c r="J30" i="46" s="1"/>
  <c r="F27" i="50"/>
  <c r="G29" i="46"/>
  <c r="J29" i="46" s="1"/>
  <c r="F26" i="50"/>
  <c r="G28" i="46"/>
  <c r="J28" i="46" s="1"/>
  <c r="F25" i="50"/>
  <c r="G27" i="46"/>
  <c r="J27" i="46" s="1"/>
  <c r="F24" i="50"/>
  <c r="G26" i="46"/>
  <c r="J26" i="46" s="1"/>
  <c r="F23" i="50"/>
  <c r="G25" i="46"/>
  <c r="J25" i="46" s="1"/>
  <c r="F22" i="50"/>
  <c r="G24" i="46"/>
  <c r="J24" i="46" s="1"/>
  <c r="F21" i="50"/>
  <c r="G23" i="46"/>
  <c r="J23" i="46" s="1"/>
  <c r="F20" i="50"/>
  <c r="G22" i="46"/>
  <c r="J22" i="46" s="1"/>
  <c r="F19" i="50"/>
  <c r="G21" i="46"/>
  <c r="J21" i="46" s="1"/>
  <c r="F18" i="50"/>
  <c r="G20" i="46"/>
  <c r="J20" i="46" s="1"/>
  <c r="F17" i="50"/>
  <c r="G19" i="46"/>
  <c r="J19" i="46" s="1"/>
  <c r="F16" i="50"/>
  <c r="G18" i="46"/>
  <c r="J18" i="46" s="1"/>
  <c r="F15" i="50"/>
  <c r="G17" i="46"/>
  <c r="J17" i="46" s="1"/>
  <c r="F14" i="50"/>
  <c r="G16" i="46"/>
  <c r="J16" i="46" s="1"/>
  <c r="F13" i="50"/>
  <c r="G15" i="46"/>
  <c r="J15" i="46" s="1"/>
  <c r="F12" i="50"/>
  <c r="G14" i="46"/>
  <c r="J14" i="46" s="1"/>
  <c r="F11" i="50"/>
  <c r="G13" i="46"/>
  <c r="J13" i="46" s="1"/>
  <c r="F10" i="50"/>
  <c r="G12" i="46"/>
  <c r="J12" i="46" s="1"/>
  <c r="F9" i="50"/>
  <c r="G11" i="46"/>
  <c r="J11" i="46" s="1"/>
  <c r="F8" i="50"/>
  <c r="G10" i="46"/>
  <c r="J10" i="46" s="1"/>
  <c r="F7" i="50"/>
  <c r="F36" i="50" l="1"/>
  <c r="J39" i="46"/>
  <c r="C80" i="46" s="1"/>
  <c r="C86" i="46" l="1"/>
  <c r="C83" i="46"/>
  <c r="C82" i="46"/>
  <c r="P69" i="46"/>
  <c r="K39" i="46"/>
  <c r="P79" i="46" l="1"/>
  <c r="P83" i="46" s="1"/>
  <c r="P73" i="46"/>
  <c r="C89" i="46"/>
  <c r="C88" i="4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<sst xmlns="http://schemas.openxmlformats.org/spreadsheetml/2006/main" count="766" uniqueCount="409">
  <si>
    <t>Analysis Year</t>
  </si>
  <si>
    <t>7% Discount</t>
  </si>
  <si>
    <t>Total Benefit</t>
  </si>
  <si>
    <t>NOTES:</t>
  </si>
  <si>
    <t>Initial Capital</t>
  </si>
  <si>
    <t xml:space="preserve">Costs in </t>
  </si>
  <si>
    <t xml:space="preserve">Cost Category </t>
  </si>
  <si>
    <t>Total</t>
  </si>
  <si>
    <t>Remaining</t>
  </si>
  <si>
    <t>Costs in</t>
  </si>
  <si>
    <t>Capital Value</t>
  </si>
  <si>
    <t>Constant Dollars</t>
  </si>
  <si>
    <t xml:space="preserve">in Constant Dollars </t>
  </si>
  <si>
    <t>Total Remaining Capital Value in Constant Dollars</t>
  </si>
  <si>
    <t>RCV = A*(B-C)/B</t>
  </si>
  <si>
    <t>A = (1+r)^n</t>
  </si>
  <si>
    <t>=</t>
  </si>
  <si>
    <t>r = discount rate</t>
  </si>
  <si>
    <t>B = ((1+r)^L-1)/(r(1+r)^L)</t>
  </si>
  <si>
    <t>n = number of years in the analysis period</t>
  </si>
  <si>
    <t>C = ((1+r)^n-1)/(r(1+r)^n)</t>
  </si>
  <si>
    <t>L = expected lifespan of the asset</t>
  </si>
  <si>
    <t>r</t>
  </si>
  <si>
    <t>n</t>
  </si>
  <si>
    <t>L</t>
  </si>
  <si>
    <t>RCV</t>
  </si>
  <si>
    <t>Years of Construction</t>
  </si>
  <si>
    <t>N/A</t>
  </si>
  <si>
    <t>(7%)</t>
  </si>
  <si>
    <t>STATE OF GOOD REPIAR - CAPITAL COST AND RESIDUAL PROJECT VALUE</t>
  </si>
  <si>
    <t>BENEFITS</t>
  </si>
  <si>
    <t>COSTS</t>
  </si>
  <si>
    <t>Economic Competitiveness</t>
  </si>
  <si>
    <t>Safety</t>
  </si>
  <si>
    <t>Crash Savings</t>
  </si>
  <si>
    <t>Benefits</t>
  </si>
  <si>
    <t>Costs</t>
  </si>
  <si>
    <t>B/C Ratio</t>
  </si>
  <si>
    <t>7% Discount Total</t>
  </si>
  <si>
    <t>Table 1 - Years of Construction</t>
  </si>
  <si>
    <t>Table 2 - Capital Costs</t>
  </si>
  <si>
    <t>Table 3 - Remaining Capital Value Factors</t>
  </si>
  <si>
    <t>SUMMARY</t>
  </si>
  <si>
    <t>No Build</t>
  </si>
  <si>
    <t>Build</t>
  </si>
  <si>
    <t>Service Life</t>
  </si>
  <si>
    <t>Table 1 - Analysis Timeframe Assumptions</t>
  </si>
  <si>
    <r>
      <t xml:space="preserve">Year of Construction </t>
    </r>
    <r>
      <rPr>
        <vertAlign val="superscript"/>
        <sz val="9"/>
        <rFont val="Calibri"/>
        <family val="2"/>
        <scheme val="minor"/>
      </rPr>
      <t>(1)</t>
    </r>
  </si>
  <si>
    <r>
      <t xml:space="preserve">Duration of Construction </t>
    </r>
    <r>
      <rPr>
        <vertAlign val="superscript"/>
        <sz val="9"/>
        <rFont val="Calibri"/>
        <family val="2"/>
        <scheme val="minor"/>
      </rPr>
      <t>(1)</t>
    </r>
  </si>
  <si>
    <r>
      <t xml:space="preserve">Benefit-Cost First Year of Benefit </t>
    </r>
    <r>
      <rPr>
        <vertAlign val="superscript"/>
        <sz val="9"/>
        <rFont val="Calibri"/>
        <family val="2"/>
        <scheme val="minor"/>
      </rPr>
      <t>(1)</t>
    </r>
  </si>
  <si>
    <t>Benefit-Cost Final Year of Benefit</t>
  </si>
  <si>
    <t>Table 2 - Network Assumptions</t>
  </si>
  <si>
    <t>Table 3 - Global Assumptions and Factors</t>
  </si>
  <si>
    <t>1)</t>
  </si>
  <si>
    <t>K</t>
  </si>
  <si>
    <t>A</t>
  </si>
  <si>
    <t>B</t>
  </si>
  <si>
    <t>C</t>
  </si>
  <si>
    <t>PDO</t>
  </si>
  <si>
    <t>Right-of-Way</t>
  </si>
  <si>
    <t>Major Structures</t>
  </si>
  <si>
    <t>Grading and Drainage</t>
  </si>
  <si>
    <t>Sub Base and Base</t>
  </si>
  <si>
    <t>Surface</t>
  </si>
  <si>
    <t>Miscellaneous (Sunk)</t>
  </si>
  <si>
    <t>Travel Time Savings</t>
  </si>
  <si>
    <t>2)</t>
  </si>
  <si>
    <t>3)</t>
  </si>
  <si>
    <t>4)</t>
  </si>
  <si>
    <t>5)</t>
  </si>
  <si>
    <t>Composite Cost per Hour</t>
  </si>
  <si>
    <t>Years of Benefit-Cost Analysis Period</t>
  </si>
  <si>
    <t>Aggregate Travel Time Cost</t>
  </si>
  <si>
    <t>Table 4 - Travel Time Cost Saving ($ per person hour)</t>
  </si>
  <si>
    <t>Truck Vehicle Occupancy</t>
  </si>
  <si>
    <t>Truck Percentage</t>
  </si>
  <si>
    <t>Auto Percentage</t>
  </si>
  <si>
    <t>Truck Travel Time Cost</t>
  </si>
  <si>
    <t>Travel Time Cost Savings</t>
  </si>
  <si>
    <t>Build Travel Time Cost</t>
  </si>
  <si>
    <t>No Build Travel Time Cost</t>
  </si>
  <si>
    <t>Build Annual VHT</t>
  </si>
  <si>
    <t xml:space="preserve">No Build Annual VHT </t>
  </si>
  <si>
    <t>Entire Network</t>
  </si>
  <si>
    <t>Remaining Capital Value (7%)</t>
  </si>
  <si>
    <t>Project Cost (7%)</t>
  </si>
  <si>
    <t>Present Value RCV 7% Discount</t>
  </si>
  <si>
    <t>Forecast Traffic Year</t>
  </si>
  <si>
    <r>
      <t xml:space="preserve">Percent Autos </t>
    </r>
    <r>
      <rPr>
        <vertAlign val="superscript"/>
        <sz val="9"/>
        <rFont val="Calibri"/>
        <family val="2"/>
        <scheme val="minor"/>
      </rPr>
      <t>(2)</t>
    </r>
  </si>
  <si>
    <r>
      <t xml:space="preserve">Percent Trucks </t>
    </r>
    <r>
      <rPr>
        <vertAlign val="superscript"/>
        <sz val="9"/>
        <rFont val="Calibri"/>
        <family val="2"/>
        <scheme val="minor"/>
      </rPr>
      <t>(2)</t>
    </r>
  </si>
  <si>
    <r>
      <t xml:space="preserve">Auto Occupancy </t>
    </r>
    <r>
      <rPr>
        <vertAlign val="superscript"/>
        <sz val="9"/>
        <rFont val="Calibri"/>
        <family val="2"/>
        <scheme val="minor"/>
      </rPr>
      <t>(3)</t>
    </r>
  </si>
  <si>
    <r>
      <t xml:space="preserve">Truck Occupancy </t>
    </r>
    <r>
      <rPr>
        <vertAlign val="superscript"/>
        <sz val="9"/>
        <rFont val="Calibri"/>
        <family val="2"/>
        <scheme val="minor"/>
      </rPr>
      <t>(3)</t>
    </r>
  </si>
  <si>
    <r>
      <t xml:space="preserve">Number of Days in a Year </t>
    </r>
    <r>
      <rPr>
        <vertAlign val="superscript"/>
        <sz val="9"/>
        <rFont val="Calibri"/>
        <family val="2"/>
        <scheme val="minor"/>
      </rPr>
      <t>(4)</t>
    </r>
  </si>
  <si>
    <t>All-Purpose Travel Time Cost</t>
  </si>
  <si>
    <t>Passenger Vehicle Occupancy</t>
  </si>
  <si>
    <r>
      <t xml:space="preserve">Value of Time </t>
    </r>
    <r>
      <rPr>
        <vertAlign val="superscript"/>
        <sz val="9"/>
        <rFont val="Calibri"/>
        <family val="2"/>
        <scheme val="minor"/>
      </rPr>
      <t>(5)</t>
    </r>
    <r>
      <rPr>
        <sz val="9"/>
        <rFont val="Calibri"/>
        <family val="2"/>
        <scheme val="minor"/>
      </rPr>
      <t xml:space="preserve"> - All-Purpose Travel</t>
    </r>
  </si>
  <si>
    <r>
      <t xml:space="preserve">Value of Time </t>
    </r>
    <r>
      <rPr>
        <vertAlign val="superscript"/>
        <sz val="9"/>
        <rFont val="Calibri"/>
        <family val="2"/>
        <scheme val="minor"/>
      </rPr>
      <t>(5)</t>
    </r>
    <r>
      <rPr>
        <sz val="9"/>
        <rFont val="Calibri"/>
        <family val="2"/>
        <scheme val="minor"/>
      </rPr>
      <t xml:space="preserve"> - Truck Travel</t>
    </r>
  </si>
  <si>
    <t>Base Year</t>
  </si>
  <si>
    <t>Total (7% Discount)</t>
  </si>
  <si>
    <t>ENVIRONMENTAL SUSTAINABILITY - AIR QUALITY</t>
  </si>
  <si>
    <t>Mode</t>
  </si>
  <si>
    <t>Automobile</t>
  </si>
  <si>
    <t>Trucks</t>
  </si>
  <si>
    <t>ECONOMIC COMPETITIVENESS - OPERATIONAL BENEFITS</t>
  </si>
  <si>
    <t>Total Cost Savings</t>
  </si>
  <si>
    <t>Environmental Sustainability</t>
  </si>
  <si>
    <t>Operations Savings</t>
  </si>
  <si>
    <t>6)</t>
  </si>
  <si>
    <r>
      <t xml:space="preserve">Cost per Mile </t>
    </r>
    <r>
      <rPr>
        <vertAlign val="superscript"/>
        <sz val="9"/>
        <rFont val="Calibri"/>
        <family val="2"/>
        <scheme val="minor"/>
      </rPr>
      <t>(6)</t>
    </r>
    <r>
      <rPr>
        <sz val="9"/>
        <rFont val="Calibri"/>
        <family val="2"/>
        <scheme val="minor"/>
      </rPr>
      <t xml:space="preserve"> - Auto</t>
    </r>
  </si>
  <si>
    <r>
      <t xml:space="preserve">Cost per Mile </t>
    </r>
    <r>
      <rPr>
        <vertAlign val="superscript"/>
        <sz val="9"/>
        <rFont val="Calibri"/>
        <family val="2"/>
        <scheme val="minor"/>
      </rPr>
      <t>(6)</t>
    </r>
    <r>
      <rPr>
        <sz val="9"/>
        <rFont val="Calibri"/>
        <family val="2"/>
        <scheme val="minor"/>
      </rPr>
      <t xml:space="preserve"> - Truck</t>
    </r>
  </si>
  <si>
    <t>Year</t>
  </si>
  <si>
    <t>VHT</t>
  </si>
  <si>
    <t>Table 3 - Vehicle Occupancy</t>
  </si>
  <si>
    <t>NPV</t>
  </si>
  <si>
    <t>TRAVEL TIME SAVINGS</t>
  </si>
  <si>
    <t xml:space="preserve">Capital Costs    </t>
  </si>
  <si>
    <t>Other Emissions Cost Savings</t>
  </si>
  <si>
    <t>Total (Carbon + Other Emissions)</t>
  </si>
  <si>
    <t>Subtotal</t>
  </si>
  <si>
    <t>Annual Pavement Maintenance Costs</t>
  </si>
  <si>
    <t>Operation and Maintenance Costs</t>
  </si>
  <si>
    <t>7 w 20-yr</t>
  </si>
  <si>
    <t>7 w 30-yr</t>
  </si>
  <si>
    <t>Jan</t>
  </si>
  <si>
    <t>Feb</t>
  </si>
  <si>
    <t>Mar</t>
  </si>
  <si>
    <t>Apr</t>
  </si>
  <si>
    <t>May</t>
  </si>
  <si>
    <t>Aug</t>
  </si>
  <si>
    <t>Oct</t>
  </si>
  <si>
    <t>Nov</t>
  </si>
  <si>
    <t>Dec</t>
  </si>
  <si>
    <t>Total Construction Months</t>
  </si>
  <si>
    <t>AADTs in project area</t>
  </si>
  <si>
    <t>Assumed a 365-day year to account for benefits incurred on weekends and recreational peaks in the project area.</t>
  </si>
  <si>
    <t>NOX</t>
  </si>
  <si>
    <t>SO2</t>
  </si>
  <si>
    <t>PM2.5</t>
  </si>
  <si>
    <t>CO2</t>
  </si>
  <si>
    <t>3% Discount</t>
  </si>
  <si>
    <r>
      <t>Air quality (no CO</t>
    </r>
    <r>
      <rPr>
        <vertAlign val="subscript"/>
        <sz val="9"/>
        <color theme="1"/>
        <rFont val="Calibri"/>
        <family val="2"/>
        <scheme val="minor"/>
      </rPr>
      <t>2</t>
    </r>
    <r>
      <rPr>
        <sz val="9"/>
        <color theme="1"/>
        <rFont val="Calibri"/>
        <family val="2"/>
        <scheme val="minor"/>
      </rPr>
      <t>)</t>
    </r>
  </si>
  <si>
    <r>
      <t>CO</t>
    </r>
    <r>
      <rPr>
        <vertAlign val="subscript"/>
        <sz val="9"/>
        <color theme="1"/>
        <rFont val="Calibri"/>
        <family val="2"/>
        <scheme val="minor"/>
      </rPr>
      <t>2</t>
    </r>
    <r>
      <rPr>
        <sz val="9"/>
        <color theme="1"/>
        <rFont val="Calibri"/>
        <family val="2"/>
        <scheme val="minor"/>
      </rPr>
      <t xml:space="preserve"> Discounted at 3%</t>
    </r>
  </si>
  <si>
    <t>Source Type</t>
  </si>
  <si>
    <t>HPMS Description</t>
  </si>
  <si>
    <t>Auto/Truck</t>
  </si>
  <si>
    <t>Motorcycle</t>
  </si>
  <si>
    <t>Auto</t>
  </si>
  <si>
    <t>Light-Duty Vehicle</t>
  </si>
  <si>
    <t>Buses</t>
  </si>
  <si>
    <t>Truck</t>
  </si>
  <si>
    <t>Single-Unit Truck</t>
  </si>
  <si>
    <t>Combination Truck</t>
  </si>
  <si>
    <t>MOVES Model Output (grams per VMT)</t>
  </si>
  <si>
    <t>*Damage costs for emissions in years beyond 2050 assume costs provided for year 2050.</t>
  </si>
  <si>
    <t>Automobile (gallons per hour)</t>
  </si>
  <si>
    <t>*Note conservative estimate does not include trucks which  reflects an undercount in benefits.</t>
  </si>
  <si>
    <t>Type</t>
  </si>
  <si>
    <t>Average MPG</t>
  </si>
  <si>
    <t>1 hour of delay is equivalent to</t>
  </si>
  <si>
    <t>VMT</t>
  </si>
  <si>
    <t>Location</t>
  </si>
  <si>
    <t>Source: U.S. Department of Energy</t>
  </si>
  <si>
    <t>U.S. Department of Energy, Vehicle Technology Office</t>
  </si>
  <si>
    <t>Fact of the Week # 861</t>
  </si>
  <si>
    <t>Idle Consumption at Idle for Selected Gasoline and Diesel Vehicles</t>
  </si>
  <si>
    <t>Vehicle Type</t>
  </si>
  <si>
    <t>Fuel Type</t>
  </si>
  <si>
    <t>Engine Size (liter)</t>
  </si>
  <si>
    <t>Gross Vehicle Weight (GVW) (lb)</t>
  </si>
  <si>
    <t>Idling fuel use (Gal/hr with no load)</t>
  </si>
  <si>
    <t>Tractor-Semitrailer</t>
  </si>
  <si>
    <t>Diesel</t>
  </si>
  <si>
    <t>-</t>
  </si>
  <si>
    <t>Bucket Truck</t>
  </si>
  <si>
    <t>Transit Bus</t>
  </si>
  <si>
    <t>Medium Heavy Truck</t>
  </si>
  <si>
    <t>6-10</t>
  </si>
  <si>
    <t>23,000-33,000</t>
  </si>
  <si>
    <t>Tow Truck</t>
  </si>
  <si>
    <t>Delivery Truck</t>
  </si>
  <si>
    <t>Gas</t>
  </si>
  <si>
    <t>5-7</t>
  </si>
  <si>
    <t>19,700-26,000</t>
  </si>
  <si>
    <t>Compact Sedan</t>
  </si>
  <si>
    <t>Large Sedan</t>
  </si>
  <si>
    <t xml:space="preserve">Source: Argonne National Laboratory, Idling Reduction Savings Calculator, </t>
  </si>
  <si>
    <t>http://www.transportation.anl.gov/pdfs/idling_worksheet.pdf</t>
  </si>
  <si>
    <t>Table 6 - Annual VHT Summary</t>
  </si>
  <si>
    <t>Network</t>
  </si>
  <si>
    <r>
      <rPr>
        <b/>
        <sz val="8"/>
        <rFont val="Arial"/>
        <family val="2"/>
      </rPr>
      <t>Item</t>
    </r>
  </si>
  <si>
    <r>
      <rPr>
        <b/>
        <sz val="8"/>
        <rFont val="Arial"/>
        <family val="2"/>
      </rPr>
      <t>Unit</t>
    </r>
  </si>
  <si>
    <r>
      <rPr>
        <b/>
        <sz val="8"/>
        <rFont val="Arial"/>
        <family val="2"/>
      </rPr>
      <t>Total</t>
    </r>
    <r>
      <rPr>
        <sz val="8"/>
        <rFont val="Times New Roman"/>
        <family val="1"/>
      </rPr>
      <t xml:space="preserve"> </t>
    </r>
    <r>
      <rPr>
        <b/>
        <sz val="8"/>
        <rFont val="Arial"/>
        <family val="2"/>
      </rPr>
      <t>Qty</t>
    </r>
  </si>
  <si>
    <r>
      <rPr>
        <b/>
        <sz val="8"/>
        <rFont val="Arial"/>
        <family val="2"/>
      </rPr>
      <t>Unit</t>
    </r>
    <r>
      <rPr>
        <sz val="8"/>
        <rFont val="Times New Roman"/>
        <family val="1"/>
      </rPr>
      <t xml:space="preserve"> </t>
    </r>
    <r>
      <rPr>
        <b/>
        <sz val="8"/>
        <rFont val="Arial"/>
        <family val="2"/>
      </rPr>
      <t>Price</t>
    </r>
  </si>
  <si>
    <r>
      <rPr>
        <b/>
        <sz val="8"/>
        <rFont val="Arial"/>
        <family val="2"/>
      </rPr>
      <t>Total</t>
    </r>
    <r>
      <rPr>
        <sz val="8"/>
        <rFont val="Times New Roman"/>
        <family val="1"/>
      </rPr>
      <t xml:space="preserve"> </t>
    </r>
    <r>
      <rPr>
        <b/>
        <sz val="8"/>
        <rFont val="Arial"/>
        <family val="2"/>
      </rPr>
      <t>Cost</t>
    </r>
  </si>
  <si>
    <r>
      <rPr>
        <b/>
        <sz val="8"/>
        <rFont val="Arial"/>
        <family val="2"/>
      </rPr>
      <t>Subtotal</t>
    </r>
  </si>
  <si>
    <t>Table 1 - Per-mile Travel Time Cost by Mode</t>
  </si>
  <si>
    <t>Table 2 - Fleet Composition</t>
  </si>
  <si>
    <t>Yearly Operations Savings for Passenger Vehicles
($)</t>
  </si>
  <si>
    <t>Yearly Operations Savings for Commercial Trucks
($)</t>
  </si>
  <si>
    <t>Change in NOx 
(metric tons)</t>
  </si>
  <si>
    <t>Change in NOx 
($)</t>
  </si>
  <si>
    <t>Change in PM
($)</t>
  </si>
  <si>
    <t xml:space="preserve">Yearly Emissions Savings in Current Dollars ($) </t>
  </si>
  <si>
    <t>Table 1 - Pollution Emission by Mode (g/VMT)</t>
  </si>
  <si>
    <t>Table 2 - Damage Costs for Emissions per metric ton</t>
  </si>
  <si>
    <t>Base Capital Cost in Constant Dollars</t>
  </si>
  <si>
    <t>Base RCV in Constant Dollars (7%)</t>
  </si>
  <si>
    <t>Factor</t>
  </si>
  <si>
    <t>Change in PM
(metric tons)</t>
  </si>
  <si>
    <r>
      <t>Change in SO</t>
    </r>
    <r>
      <rPr>
        <vertAlign val="subscript"/>
        <sz val="9"/>
        <color theme="1"/>
        <rFont val="Calibri"/>
        <family val="2"/>
        <scheme val="minor"/>
      </rPr>
      <t>2</t>
    </r>
    <r>
      <rPr>
        <sz val="9"/>
        <color theme="1"/>
        <rFont val="Calibri"/>
        <family val="2"/>
        <scheme val="minor"/>
      </rPr>
      <t xml:space="preserve">
(metric tons)</t>
    </r>
  </si>
  <si>
    <r>
      <t>Change in SO</t>
    </r>
    <r>
      <rPr>
        <vertAlign val="subscript"/>
        <sz val="9"/>
        <color theme="1"/>
        <rFont val="Calibri"/>
        <family val="2"/>
        <scheme val="minor"/>
      </rPr>
      <t>2</t>
    </r>
    <r>
      <rPr>
        <sz val="9"/>
        <color theme="1"/>
        <rFont val="Calibri"/>
        <family val="2"/>
        <scheme val="minor"/>
      </rPr>
      <t xml:space="preserve">
($)</t>
    </r>
  </si>
  <si>
    <t>Yearly Emissions Savings - Carbon in Current Dollars ($)</t>
  </si>
  <si>
    <t xml:space="preserve">Vehicle occupancy ratios were obtained from Benefit-Cost Analysis Guidance for Discretionary Grant Programs: March 2022: https://www.transportation.gov/sites/dot.gov/files/2022-03/Benefit%20Cost%20Analysis%20Guidance%202022%20%28Revised%29.pdf </t>
  </si>
  <si>
    <t>Change in VMT Equivalents</t>
  </si>
  <si>
    <t>User travel time benefits were valued in accordance with the Benefit-Cost Analysis Guidance for Discretionary Grant Programs - March 2022 (Revised). The recommended values for travel time were provided in year 2020 dollars.</t>
  </si>
  <si>
    <t>Vehicle operational costs  were valued in accordance with the Benefit-Cost Analysis Guidance for Discretionary Grant Programs - March 2022 (Revised). The recommended values for travel time were provided in year 2020 dollars.</t>
  </si>
  <si>
    <t>Emission costs were obtained from Benefit-Cost Analysis Guidance for Discretionary Grant Programs - March 2022 (Revised).</t>
  </si>
  <si>
    <r>
      <t>Change in C0</t>
    </r>
    <r>
      <rPr>
        <vertAlign val="subscript"/>
        <sz val="9"/>
        <color theme="1"/>
        <rFont val="Calibri"/>
        <family val="2"/>
        <scheme val="minor"/>
      </rPr>
      <t>2</t>
    </r>
    <r>
      <rPr>
        <sz val="9"/>
        <color theme="1"/>
        <rFont val="Calibri"/>
        <family val="2"/>
        <scheme val="minor"/>
      </rPr>
      <t xml:space="preserve"> (metric tons)</t>
    </r>
  </si>
  <si>
    <r>
      <t>CO</t>
    </r>
    <r>
      <rPr>
        <b/>
        <vertAlign val="subscript"/>
        <sz val="11"/>
        <color theme="1"/>
        <rFont val="Calibri"/>
        <family val="2"/>
        <scheme val="minor"/>
      </rPr>
      <t>2</t>
    </r>
    <r>
      <rPr>
        <b/>
        <sz val="11"/>
        <color theme="1"/>
        <rFont val="Calibri"/>
        <family val="2"/>
        <scheme val="minor"/>
      </rPr>
      <t xml:space="preserve"> Savings Estimations</t>
    </r>
  </si>
  <si>
    <r>
      <t>NO</t>
    </r>
    <r>
      <rPr>
        <b/>
        <vertAlign val="subscript"/>
        <sz val="11"/>
        <color theme="1"/>
        <rFont val="Calibri"/>
        <family val="2"/>
        <scheme val="minor"/>
      </rPr>
      <t>X</t>
    </r>
  </si>
  <si>
    <r>
      <t>SO</t>
    </r>
    <r>
      <rPr>
        <b/>
        <vertAlign val="subscript"/>
        <sz val="11"/>
        <color theme="1"/>
        <rFont val="Calibri"/>
        <family val="2"/>
        <scheme val="minor"/>
      </rPr>
      <t>2</t>
    </r>
  </si>
  <si>
    <r>
      <t>PM</t>
    </r>
    <r>
      <rPr>
        <b/>
        <vertAlign val="subscript"/>
        <sz val="11"/>
        <color theme="1"/>
        <rFont val="Calibri"/>
        <family val="2"/>
        <scheme val="minor"/>
      </rPr>
      <t>2.5</t>
    </r>
  </si>
  <si>
    <r>
      <t>CO</t>
    </r>
    <r>
      <rPr>
        <b/>
        <vertAlign val="subscript"/>
        <sz val="11"/>
        <color theme="1"/>
        <rFont val="Calibri"/>
        <family val="2"/>
        <scheme val="minor"/>
      </rPr>
      <t>2</t>
    </r>
  </si>
  <si>
    <t>Table 3 - Average Gallons of Fuel Consumed Per Hour Idle</t>
  </si>
  <si>
    <t>Table 4 - Average MPG for VMT Equivalent</t>
  </si>
  <si>
    <t>Table 5 - VMT Equivalent</t>
  </si>
  <si>
    <t>Table 7 - Annual  VMT Equivalent</t>
  </si>
  <si>
    <t>SAFETY - CRASH COST SAVINGS</t>
  </si>
  <si>
    <r>
      <t xml:space="preserve">Table 1 - Crash Costs by Severity </t>
    </r>
    <r>
      <rPr>
        <b/>
        <vertAlign val="superscript"/>
        <sz val="11"/>
        <color theme="1"/>
        <rFont val="Calibri"/>
        <family val="2"/>
        <scheme val="minor"/>
      </rPr>
      <t>5</t>
    </r>
  </si>
  <si>
    <t>Crash Severity</t>
  </si>
  <si>
    <t>Recommended Value</t>
  </si>
  <si>
    <t>Location (Cross street or driveway)</t>
  </si>
  <si>
    <r>
      <t xml:space="preserve">Table 4 - Crash Modification Factor (CMF) Summary </t>
    </r>
    <r>
      <rPr>
        <b/>
        <vertAlign val="superscript"/>
        <sz val="11"/>
        <color theme="1"/>
        <rFont val="Calibri"/>
        <family val="2"/>
        <scheme val="minor"/>
      </rPr>
      <t>2</t>
    </r>
  </si>
  <si>
    <t>Improvement</t>
  </si>
  <si>
    <t>Sources:</t>
  </si>
  <si>
    <t>Existing Crash Cost</t>
  </si>
  <si>
    <t xml:space="preserve"> BCA SUMMARY - MnDOT TH 210 and TH 371 Interchange</t>
  </si>
  <si>
    <t>TH 210 and TH 371</t>
  </si>
  <si>
    <t>TH 210 and Elder Drive</t>
  </si>
  <si>
    <t>Table 6 - Total TH 210 and TH 371 Crash Cost Savings</t>
  </si>
  <si>
    <t>Table 3 - Existing Three-Year Crashes by Severity from from year 2019-2021</t>
  </si>
  <si>
    <r>
      <t xml:space="preserve">Table 5 - TH 210/371 Crash Cost Savings By Location </t>
    </r>
    <r>
      <rPr>
        <b/>
        <vertAlign val="superscript"/>
        <sz val="11"/>
        <color theme="1"/>
        <rFont val="Calibri"/>
        <family val="2"/>
        <scheme val="minor"/>
      </rPr>
      <t>3</t>
    </r>
  </si>
  <si>
    <t>Truck percentage in the project area is estimated based on year 2019 AADT and HCAADT counts performed by MnDOT (https://mndot.maps.arcgis.com/apps/webappviewer/index.html?id=7b3be07daed84e7fa170a91059ce63bb).</t>
  </si>
  <si>
    <t>TH 210/371</t>
  </si>
  <si>
    <t>https://www.cmfclearinghouse.org/detail.cfm?facid=459</t>
  </si>
  <si>
    <t>HSM Chapter 15</t>
  </si>
  <si>
    <t>Convert at-grade intersection into grade-separated interchange</t>
  </si>
  <si>
    <t>Table 1 - Yearly Maintenance Costs</t>
  </si>
  <si>
    <t>Yearly Maintenance Costs</t>
  </si>
  <si>
    <t>PAVING AND GRADING COSTS</t>
  </si>
  <si>
    <t>GrP  1a</t>
  </si>
  <si>
    <t>2106 Excavation - common &amp; subgrade</t>
  </si>
  <si>
    <t>cu. yd.</t>
  </si>
  <si>
    <t>GrP 2a</t>
  </si>
  <si>
    <t>2106 Common Embankment (CV)</t>
  </si>
  <si>
    <t>GrP 2d</t>
  </si>
  <si>
    <t>GrP 3a</t>
  </si>
  <si>
    <t>GrP 3b</t>
  </si>
  <si>
    <t>GrP 3c</t>
  </si>
  <si>
    <t>GrP 3d</t>
  </si>
  <si>
    <t>GrP 3e</t>
  </si>
  <si>
    <t>GrP 3f</t>
  </si>
  <si>
    <t xml:space="preserve">2106 Granular Subgrade (CV) </t>
  </si>
  <si>
    <t>Mainline Pavement</t>
  </si>
  <si>
    <t>Mainline Shoulder Pavement</t>
  </si>
  <si>
    <t>Ramp Pavement</t>
  </si>
  <si>
    <t>Ramp Shoulder Pavement</t>
  </si>
  <si>
    <t>Local Road Pavement</t>
  </si>
  <si>
    <t>Local Road Shoulder Pavement</t>
  </si>
  <si>
    <t>sq. yd.</t>
  </si>
  <si>
    <t>GrP 4a</t>
  </si>
  <si>
    <t>Concrete Walk / Trail / Median</t>
  </si>
  <si>
    <t>GrP 4c</t>
  </si>
  <si>
    <t>GrP 5</t>
  </si>
  <si>
    <t>ADA Pedestrian Curb Ramp</t>
  </si>
  <si>
    <t>Concrete Curb and Gutter</t>
  </si>
  <si>
    <t>each</t>
  </si>
  <si>
    <t>lin. ft.</t>
  </si>
  <si>
    <t>DRAINAGE, UTILITIES AND EROSION CONTROL</t>
  </si>
  <si>
    <t>Dr 5</t>
  </si>
  <si>
    <t>Drainage - urban &amp; rural</t>
  </si>
  <si>
    <t>Dr 7</t>
  </si>
  <si>
    <t>Turf Establishment &amp; Erosion Control</t>
  </si>
  <si>
    <t xml:space="preserve"> BRIDGE COSTS</t>
  </si>
  <si>
    <t>Br 1</t>
  </si>
  <si>
    <t>Bridge - Combined TH 371 over TH 210 and Railroad</t>
  </si>
  <si>
    <t>sq. ft.</t>
  </si>
  <si>
    <t xml:space="preserve"> RETAINING WALLS  &amp; OTHER MINOR STRUCTURAL COSTS</t>
  </si>
  <si>
    <t>RW 3</t>
  </si>
  <si>
    <t>CIP Ret. Walls  5' high (spread foundation)</t>
  </si>
  <si>
    <t>RW 4</t>
  </si>
  <si>
    <t>CIP Ret. Walls  10' high (spread foundation)</t>
  </si>
  <si>
    <t>RW 5</t>
  </si>
  <si>
    <t>CIP Ret. Walls  15' high (spread foundation)</t>
  </si>
  <si>
    <t>RW 6</t>
  </si>
  <si>
    <t>CIP Ret. Walls  20' high (spread foundation)</t>
  </si>
  <si>
    <t>RW 30</t>
  </si>
  <si>
    <t>Ret. Walls  Architectural Treatments (normal)</t>
  </si>
  <si>
    <t xml:space="preserve"> SIGNAL AND LIGHTING COSTS</t>
  </si>
  <si>
    <t>SGL 1</t>
  </si>
  <si>
    <t>Signals (permanent)</t>
  </si>
  <si>
    <t>SGL 6</t>
  </si>
  <si>
    <t>Interchange Lighting (permanent, standard)</t>
  </si>
  <si>
    <t xml:space="preserve"> INTELLIGENT TRANSPORTATION SYSTEMS COSTS</t>
  </si>
  <si>
    <t>ITS 2</t>
  </si>
  <si>
    <t>Permanent ITS - rural</t>
  </si>
  <si>
    <t>mile</t>
  </si>
  <si>
    <t>SGN 1</t>
  </si>
  <si>
    <t>Mainline Signing (C&amp;D)</t>
  </si>
  <si>
    <t>SGN 2</t>
  </si>
  <si>
    <t>Mainline Striping</t>
  </si>
  <si>
    <t>SGN 3</t>
  </si>
  <si>
    <t>Mainline Signing (A, OH, Br Mtd)</t>
  </si>
  <si>
    <t>Subtotal - Construction Costs</t>
  </si>
  <si>
    <t xml:space="preserve"> MISCELLANEOUS COSTS</t>
  </si>
  <si>
    <t>M 1</t>
  </si>
  <si>
    <t>Mobilization</t>
  </si>
  <si>
    <t>M 2</t>
  </si>
  <si>
    <t>Non Quantified Minor Items</t>
  </si>
  <si>
    <t>M 7</t>
  </si>
  <si>
    <t>Temporary Pavement &amp; Drainage</t>
  </si>
  <si>
    <t>M 8</t>
  </si>
  <si>
    <t>Traffic Control</t>
  </si>
  <si>
    <t>Estimated Total Construction Costs without Contingency</t>
  </si>
  <si>
    <t>Contingency or "risk"</t>
  </si>
  <si>
    <t>Estimated Total Construction Costs Plus Contingency</t>
  </si>
  <si>
    <t>DESIGN ENG. &amp; CONSTRUCTION ADMIN.</t>
  </si>
  <si>
    <t>Total Project Costs</t>
  </si>
  <si>
    <t>Peak Hour Volume</t>
  </si>
  <si>
    <t>Proportion of Non Quantified Minor Items</t>
  </si>
  <si>
    <t>Adjusted Cost</t>
  </si>
  <si>
    <t>Adjusted Subtotal</t>
  </si>
  <si>
    <t>Adjusted Subtotal - Construction Costs</t>
  </si>
  <si>
    <t>Adjusted Estimated Total Construction Costs Plus Contingency</t>
  </si>
  <si>
    <t>&lt;-From Intersection Study One Pager</t>
  </si>
  <si>
    <t>&lt;-Note these are the sum of the peak hour volumes. The peak hour growth was slightly lower than what we were seeing with the estimated daily volumes</t>
  </si>
  <si>
    <t>Benefit Categories</t>
  </si>
  <si>
    <t>Benefit (2020 dollars)</t>
  </si>
  <si>
    <t>Travel Time</t>
  </si>
  <si>
    <t>Vehicle Operating Costs</t>
  </si>
  <si>
    <t>Air Quality</t>
  </si>
  <si>
    <t>Maintenance</t>
  </si>
  <si>
    <t>Remaining Capital Value</t>
  </si>
  <si>
    <t>Emission Type</t>
  </si>
  <si>
    <t>Reduction</t>
  </si>
  <si>
    <t>CO2 (metric tons)</t>
  </si>
  <si>
    <t>NOx (kg)</t>
  </si>
  <si>
    <t>SO2 (kg)</t>
  </si>
  <si>
    <t>PM2.5 (kg)</t>
  </si>
  <si>
    <t>Percent Reduction</t>
  </si>
  <si>
    <t>Total Crashes</t>
  </si>
  <si>
    <t>Crash Cost ($ millions)*</t>
  </si>
  <si>
    <t>* Crash costs are in undiscounted dollars</t>
  </si>
  <si>
    <t>Thirty-Year (2028-2057) Intersection Crash Summary</t>
  </si>
  <si>
    <t>210/371</t>
  </si>
  <si>
    <t>Elder Drive</t>
  </si>
  <si>
    <t>No Build Crash Cost</t>
  </si>
  <si>
    <t>Build Crash Cost</t>
  </si>
  <si>
    <t>Results</t>
  </si>
  <si>
    <t>Fatal Crashes</t>
  </si>
  <si>
    <t>Injury Crashes</t>
  </si>
  <si>
    <t>Table 2 - TH 210/371 Peak Hour Volume</t>
  </si>
  <si>
    <t>Predicted Annual Collisions</t>
  </si>
  <si>
    <t>Others</t>
  </si>
  <si>
    <t>Total Cost Reduction</t>
  </si>
  <si>
    <t>Injury</t>
  </si>
  <si>
    <t>Intersection Crash Cost Savings</t>
  </si>
  <si>
    <t>Crossing Crash Cost Savings</t>
  </si>
  <si>
    <t>Deaths and nonfatal injuries and illnesses at public crossing incidents, United States, 2007-2021</t>
  </si>
  <si>
    <t>Deaths</t>
  </si>
  <si>
    <t>Nonfatal injuries and illnesses</t>
  </si>
  <si>
    <t>Motor Vehicles</t>
  </si>
  <si>
    <t>Pedestrians</t>
  </si>
  <si>
    <t>Source: Federal Railroad Administration, compiled on June 30, 2022.</t>
  </si>
  <si>
    <t>Link: https://injuryfacts.nsc.org/home-and-community/safety-topics/railroad-deaths-and-injuries/</t>
  </si>
  <si>
    <t>Deaths and nonfatal injuries and illnesses at private crossing incidents, United States, 2007-2021</t>
  </si>
  <si>
    <t xml:space="preserve">The analysis assumed that construction would take place over a two-year period and be completed in 2027. Therefore, year 2028 was assumed to be the first full year of benefits that will be accrued from the project. </t>
  </si>
  <si>
    <t>Travel time changes in the Highway 371/Highway 210 study area were captured using Synchro/SimTraffic microsimulation modeling. No Build and Build models were developed for morning and afternoon/evening peak hours as well as additional hours throughout the day including midday and overnight hours, and analysis was performed for existing year 2022 and forecast year 2045. Year 2022 turning movement counts and forecasted year 2045 turning movement volumes were provided by MnDOT. The growth rate between existing year 2022 and year 2045 turning movement volumes is approximately 0.5 percent per year at the intersection of Highway 371 and Highway 210.</t>
  </si>
  <si>
    <t>To capture travel time estimates in hours outside the morning, midday, afternoon, and overnight peak hours, volume-to-travel time relationships were developed and applied in the BCA. StreetLight Data  for trips through the Highway 371/Highway 210 intersection was used to identify hour-of-day, day-of-week, and month-of-year volume profiles for years 2021 and 2022. Travel time-to-volume curves were developed based on study network entering volume and travel time output from each of the microsimulation modeling scenarios (existing year and forecast year, no build and build). These curves were used to predict travel time for the hours between the morning and afternoon/evening peak periods. Predicted operations for the No Build and Build Alternatives outside 7 am to 7 pm (where volumes were relatively low) were similar and thus, were excluded in the analysis. 
Once the daily travel time for each modeling scenario was established, day-of-the-week and month-of-the-year adjustment factors for study area traffic volumes were applied based on the annual volume profile obtained from StreetLight Data. The adjustment factors reflect the number of vehicle trips through the study area relative to the analysis weekday and month of a Tuesday in March (i.e. the day and month the turn movement counts used in the microsimulation model were collected).</t>
  </si>
  <si>
    <t>Outcomes from the analysis estimate full-year travel time for the No Build and Build Alternatives in years 2022 and 2045. Benefits for years between existing year 2022 and forecast year 2045 were interpolated based on an annual growth rate, and benefits for years beyond year 2045 were extrapolated using the same annual growth rate. Savings due to the reduction of travel time were calculated using costs per hour that account for vehicle occupancy and different vehicle types.</t>
  </si>
  <si>
    <t>VHT Reduction</t>
  </si>
  <si>
    <t>Table 5 - Annual VHT Summary</t>
  </si>
  <si>
    <t>Monday</t>
  </si>
  <si>
    <t>Tuesday</t>
  </si>
  <si>
    <t>Wednesday</t>
  </si>
  <si>
    <t>Thursday</t>
  </si>
  <si>
    <t>Friday</t>
  </si>
  <si>
    <t>Saturday</t>
  </si>
  <si>
    <t>Sunday</t>
  </si>
  <si>
    <t>June</t>
  </si>
  <si>
    <t>July</t>
  </si>
  <si>
    <t>Sept</t>
  </si>
  <si>
    <t>Weekly and Monthly Volume Adjustment Factors from StreetLight Data</t>
  </si>
  <si>
    <t>Existing No Build Travel Time</t>
  </si>
  <si>
    <t>Existing Build Travel Time</t>
  </si>
  <si>
    <t>Year 2045 Build Travel Time</t>
  </si>
  <si>
    <t>Year 2045 No Build Travel Time</t>
  </si>
  <si>
    <t>Changes in VMT equivalents between the No Build and Build Alternatives were estimated based on the change in vehicle idling. It was assumed that time vehicles spend idling would produce wear and tear on the vehicle similar to time moving. The change in intersection delay between No Build and Build conditions was obtained from microsimulation modeling and converted to equivalents of vehicle-miles traveled (VMT) by applying fuel consumption for idling vehicles to average miles per gallon for passenger cars.</t>
  </si>
  <si>
    <t>% of Collisions</t>
  </si>
  <si>
    <t>Table 7 - Annual Rail Crossing Collision Frequency</t>
  </si>
  <si>
    <t>Table 8 - Annual Rail Crossing Crash Cost Reductions</t>
  </si>
  <si>
    <t>The Build Alternative improves the Highway 371/Highway 210 intersection by converting the existing at-grade intersection into a grade-separated interchange. Reconstruction to a grade-separated interchange is expected to generate safety benefits by reducing the number of crashes at the existing Highway 371/Highway 210 intersection as well as at the intersection of Highway 210 and Elder Drive where access will be consolidated with the proposed interchange. The analysis used three-year existing (2019-2021) crash data at the Highway 371/Highway 210 and Highway 210/Elder Drive intersections to develop annual crashes by severity for the No Build Alternative.</t>
  </si>
  <si>
    <t xml:space="preserve">The crash modification factor from CMF Clearinghouse used in the BCA was obtained for the project improvement: convert an at-grade intersection into a grade-separated interchange.  To determine estimated reduction of existing intersection crashes, the CMF was applied to crashes tied to each intersection. Year 2045 crashes for the No Build Alternative were estimated based on peak hour turning movement growth. Similar assumptions used to estimate existing year Build Alternative crashes by severity were applied to produce year 2045 estimates. </t>
  </si>
  <si>
    <t>The safety benefit for reduction in intersection crashes was quantified for years 2020 (i.e. the centroid of the existing crash analysis timeframe) and 2045 and interpolated/extrapolated based on the forecasted growth in intersection volume to determine total safety benefits for the period from year 2028 to 2057. Safety benefits for the reduction in potential highway-rail collisions used the same growth rate assumptions as the intersection crash reductions. However, an existing year of 2022 was used based on the FRA database assumptions. Crash cost assumptions are consistent with values and methodologies published in the Benefit-Cost Analysis Guidance for Discretionary Grant Programs, dated March 2022.</t>
  </si>
  <si>
    <t>Safety benefits were also quantified for the reduction in potential collisions with trains and other modes of transportation (e.g. vehicles, pedestrians, bicyclists, etc.). The Federal Railroad Administration’s Web Accident Predictive System  was used to estimate the annual frequency of collisions. The Highway 371 rail crossing has a predicted annual frequency of 0.037 collisions. Since the FRA tool does not predict injury severity of collisions, a distribution of deaths and injuries for highway-rail incidents was obtained from the National Safety Council and applied to expected collisions in the analysis.</t>
  </si>
  <si>
    <t>Changes in emissions are expected to be impacted by the time vehicles spend idling at each of the project intersections. The change in intersection delay between No Build and Build conditions was obtained from travel time analysis and converted to equivalents of vehicle-miles traveled (VMT) by applying fuel consumption for idling vehicles to average miles per gallon for passenger cars. The change in VMT equivalents was then applied to emission rates by vehicle type. Average emission rates per vehicle type were obtained from the Environmental Protection Agency’s Motor Vehicle Emission Simulator (MOVES) version 3.</t>
  </si>
  <si>
    <t xml:space="preserve">Routine annual roadway maintenance costs associated with maintaining the additional roadway infrastructure under the Build Alternative were considered in the BCA. An annual maintenance cost of $9,000 per lane mile, which was provided by MnDOT, was applied to the length of the new interchange pavement. An annual cost of $0.35 per square foot of bridge deck, resulting in $16,341 annually, was assumed for bridge inspection and maintenance and also provided by MnDOT. </t>
  </si>
  <si>
    <t>This analysis assumed that construction would take place over a two-year period and be completed in 2027. Initial capital costs were discounted back to year 2020 dollars to determine present value.</t>
  </si>
  <si>
    <r>
      <t xml:space="preserve">Remaining capital value factors were calculated using a 7 percent discount rate. These were calculated by following guidance provided in </t>
    </r>
    <r>
      <rPr>
        <i/>
        <sz val="11"/>
        <color theme="1"/>
        <rFont val="Calibri"/>
        <family val="2"/>
        <scheme val="minor"/>
      </rPr>
      <t>Recommended remaining capital value factors for use in benefit-cost analysis in SFY 2023</t>
    </r>
    <r>
      <rPr>
        <sz val="11"/>
        <color theme="1"/>
        <rFont val="Calibri"/>
        <family val="2"/>
        <scheme val="minor"/>
      </rPr>
      <t xml:space="preserve">, Minnesota Department of Transportation, Office of Transportation System Management, August 2022 (http://www.dot.state.mn.us/planning/program/appendix_a.html) (values were adjusted to reflect a 7% discount rate). The equation used to calculate remaining capital factors for each cost category is shown below:
RCV = A*(B-C)/B
where:
A = (1+r)^n
B = ((1+r)^L-1)/(r(1+r)^L)
C = ((1+r)^n-1)/(r(1+r)^n)
and: n = analysis period, r = discount rate, L = service life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</si>
</sst>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_(&quot;$&quot;* #,##0_);_(&quot;$&quot;* \(#,##0\);_(&quot;$&quot;* &quot;-&quot;??_);_(@_)"/>
    <numFmt numFmtId="166" formatCode="&quot;$&quot;#,##0\ ;\(&quot;$&quot;#,##0\)"/>
    <numFmt numFmtId="167" formatCode="0.00000"/>
    <numFmt numFmtId="168" formatCode="#,##0_);\(#,##0_)"/>
    <numFmt numFmtId="169" formatCode="_(* #,##0_);_(* \(#,##0\);_(* &quot;-&quot;??_);_(@_)"/>
    <numFmt numFmtId="170" formatCode="&quot;$&quot;#,##0.00"/>
    <numFmt numFmtId="171" formatCode="0.0000"/>
    <numFmt numFmtId="172" formatCode="0.0%"/>
    <numFmt numFmtId="173" formatCode="0.0"/>
    <numFmt numFmtId="174" formatCode="#,##0.000"/>
    <numFmt numFmtId="175" formatCode="&quot;$&quot;#,##0.0"/>
    <numFmt numFmtId="176" formatCode="m/dd/yyyy;@"/>
  </numFmts>
  <fonts count="45" x14ac:knownFonts="1">
    <font>
      <sz val="11"/>
      <color theme="1"/>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0"/>
      <name val="Arial"/>
      <family val="2"/>
    </font>
    <font>
      <b/>
      <sz val="9"/>
      <name val="Calibri"/>
      <family val="2"/>
      <scheme val="minor"/>
    </font>
    <font>
      <b/>
      <sz val="9"/>
      <color indexed="16"/>
      <name val="Calibri"/>
      <family val="2"/>
      <scheme val="minor"/>
    </font>
    <font>
      <sz val="9"/>
      <name val="Calibri"/>
      <family val="2"/>
      <scheme val="minor"/>
    </font>
    <font>
      <b/>
      <i/>
      <sz val="9"/>
      <name val="Calibri"/>
      <family val="2"/>
      <scheme val="minor"/>
    </font>
    <font>
      <b/>
      <sz val="12"/>
      <color theme="1"/>
      <name val="Calibri"/>
      <family val="2"/>
      <scheme val="minor"/>
    </font>
    <font>
      <sz val="11"/>
      <color theme="0" tint="-0.249977111117893"/>
      <name val="Calibri"/>
      <family val="2"/>
      <scheme val="minor"/>
    </font>
    <font>
      <sz val="9"/>
      <color theme="0" tint="-0.249977111117893"/>
      <name val="Calibri"/>
      <family val="2"/>
      <scheme val="minor"/>
    </font>
    <font>
      <sz val="11"/>
      <name val="Arial Narrow"/>
      <family val="2"/>
    </font>
    <font>
      <b/>
      <sz val="11"/>
      <name val="Calibri"/>
      <family val="2"/>
      <scheme val="minor"/>
    </font>
    <font>
      <b/>
      <sz val="18"/>
      <color theme="1"/>
      <name val="Calibri"/>
      <family val="2"/>
      <scheme val="minor"/>
    </font>
    <font>
      <i/>
      <sz val="9"/>
      <name val="Calibri"/>
      <family val="2"/>
      <scheme val="minor"/>
    </font>
    <font>
      <b/>
      <sz val="11"/>
      <color rgb="FFFF0000"/>
      <name val="Calibri"/>
      <family val="2"/>
      <scheme val="minor"/>
    </font>
    <font>
      <vertAlign val="superscript"/>
      <sz val="9"/>
      <name val="Calibri"/>
      <family val="2"/>
      <scheme val="minor"/>
    </font>
    <font>
      <b/>
      <u/>
      <sz val="11"/>
      <name val="Calibri"/>
      <family val="2"/>
      <scheme val="minor"/>
    </font>
    <font>
      <b/>
      <sz val="18"/>
      <color rgb="FFFF0000"/>
      <name val="Calibri"/>
      <family val="2"/>
      <scheme val="minor"/>
    </font>
    <font>
      <sz val="9"/>
      <color rgb="FFFF0000"/>
      <name val="Calibri"/>
      <family val="2"/>
      <scheme val="minor"/>
    </font>
    <font>
      <i/>
      <sz val="11"/>
      <color theme="1"/>
      <name val="Calibri"/>
      <family val="2"/>
      <scheme val="minor"/>
    </font>
    <font>
      <u/>
      <sz val="11"/>
      <color theme="10"/>
      <name val="Calibri"/>
      <family val="2"/>
      <scheme val="minor"/>
    </font>
    <font>
      <sz val="11"/>
      <color theme="0" tint="-0.499984740745262"/>
      <name val="Calibri"/>
      <family val="2"/>
      <scheme val="minor"/>
    </font>
    <font>
      <vertAlign val="subscript"/>
      <sz val="9"/>
      <color theme="1"/>
      <name val="Calibri"/>
      <family val="2"/>
      <scheme val="minor"/>
    </font>
    <font>
      <sz val="10"/>
      <name val="Arial"/>
      <family val="2"/>
    </font>
    <font>
      <sz val="12"/>
      <name val="Arial"/>
      <family val="2"/>
    </font>
    <font>
      <u/>
      <sz val="10"/>
      <color indexed="12"/>
      <name val="Arial"/>
      <family val="2"/>
    </font>
    <font>
      <u/>
      <sz val="12"/>
      <color indexed="12"/>
      <name val="Arial"/>
      <family val="2"/>
    </font>
    <font>
      <b/>
      <sz val="12"/>
      <name val="Arial"/>
      <family val="2"/>
    </font>
    <font>
      <sz val="8"/>
      <name val="Times New Roman"/>
      <family val="1"/>
    </font>
    <font>
      <sz val="7"/>
      <color rgb="FF000000"/>
      <name val="Calibri"/>
      <family val="2"/>
    </font>
    <font>
      <b/>
      <sz val="8"/>
      <name val="Arial"/>
      <family val="2"/>
    </font>
    <font>
      <sz val="8"/>
      <name val="Arial"/>
      <family val="2"/>
    </font>
    <font>
      <sz val="8"/>
      <color rgb="FF000000"/>
      <name val="Arial"/>
      <family val="2"/>
    </font>
    <font>
      <b/>
      <vertAlign val="subscript"/>
      <sz val="11"/>
      <color theme="1"/>
      <name val="Calibri"/>
      <family val="2"/>
      <scheme val="minor"/>
    </font>
    <font>
      <sz val="11"/>
      <color theme="0"/>
      <name val="Calibri"/>
      <family val="2"/>
      <scheme val="minor"/>
    </font>
    <font>
      <b/>
      <vertAlign val="superscript"/>
      <sz val="11"/>
      <color theme="1"/>
      <name val="Calibri"/>
      <family val="2"/>
      <scheme val="minor"/>
    </font>
    <font>
      <sz val="9"/>
      <color theme="1"/>
      <name val="Franklin Gothic Medium"/>
      <family val="2"/>
    </font>
    <font>
      <sz val="9"/>
      <color theme="1"/>
      <name val="Garamond"/>
      <family val="1"/>
    </font>
    <font>
      <sz val="10"/>
      <color rgb="FF000000"/>
      <name val="Arial"/>
      <family val="2"/>
    </font>
    <font>
      <b/>
      <sz val="10"/>
      <name val="Arial"/>
      <family val="2"/>
    </font>
  </fonts>
  <fills count="9">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34998626667073579"/>
        <bgColor indexed="64"/>
      </patternFill>
    </fill>
    <fill>
      <patternFill patternType="solid">
        <fgColor rgb="FF006938"/>
      </patternFill>
    </fill>
    <fill>
      <patternFill patternType="solid">
        <fgColor rgb="FFD9D9D9"/>
      </patternFill>
    </fill>
    <fill>
      <patternFill patternType="solid">
        <fgColor rgb="FFCFAEE7"/>
      </patternFill>
    </fill>
    <fill>
      <patternFill patternType="solid">
        <fgColor theme="8" tint="0.39997558519241921"/>
        <bgColor indexed="64"/>
      </patternFill>
    </fill>
  </fills>
  <borders count="10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style="thin">
        <color auto="1"/>
      </right>
      <top/>
      <bottom style="thin">
        <color auto="1"/>
      </bottom>
      <diagonal/>
    </border>
    <border>
      <left/>
      <right style="thin">
        <color auto="1"/>
      </right>
      <top style="thin">
        <color auto="1"/>
      </top>
      <bottom/>
      <diagonal/>
    </border>
    <border>
      <left/>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diagonal/>
    </border>
    <border>
      <left style="medium">
        <color indexed="64"/>
      </left>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style="medium">
        <color indexed="64"/>
      </top>
      <bottom style="medium">
        <color indexed="64"/>
      </bottom>
      <diagonal/>
    </border>
    <border>
      <left/>
      <right/>
      <top/>
      <bottom style="thin">
        <color rgb="FF000000"/>
      </bottom>
      <diagonal/>
    </border>
    <border>
      <left/>
      <right/>
      <top style="thin">
        <color rgb="FF000000"/>
      </top>
      <bottom/>
      <diagonal/>
    </border>
    <border>
      <left style="medium">
        <color indexed="64"/>
      </left>
      <right style="thin">
        <color rgb="FF000000"/>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double">
        <color rgb="FF6AA84F"/>
      </left>
      <right/>
      <top style="double">
        <color rgb="FF6AA84F"/>
      </top>
      <bottom/>
      <diagonal/>
    </border>
    <border>
      <left/>
      <right/>
      <top style="double">
        <color rgb="FF6AA84F"/>
      </top>
      <bottom/>
      <diagonal/>
    </border>
    <border>
      <left/>
      <right style="double">
        <color rgb="FF6AA84F"/>
      </right>
      <top style="double">
        <color rgb="FF6AA84F"/>
      </top>
      <bottom/>
      <diagonal/>
    </border>
    <border>
      <left style="double">
        <color rgb="FF6AA84F"/>
      </left>
      <right style="medium">
        <color rgb="FF6AA84F"/>
      </right>
      <top style="medium">
        <color rgb="FF6AA84F"/>
      </top>
      <bottom/>
      <diagonal/>
    </border>
    <border>
      <left style="medium">
        <color rgb="FF6AA84F"/>
      </left>
      <right/>
      <top style="medium">
        <color rgb="FF6AA84F"/>
      </top>
      <bottom style="medium">
        <color rgb="FF6AA84F"/>
      </bottom>
      <diagonal/>
    </border>
    <border>
      <left/>
      <right/>
      <top style="medium">
        <color rgb="FF6AA84F"/>
      </top>
      <bottom style="medium">
        <color rgb="FF6AA84F"/>
      </bottom>
      <diagonal/>
    </border>
    <border>
      <left/>
      <right style="medium">
        <color rgb="FF6AA84F"/>
      </right>
      <top style="medium">
        <color rgb="FF6AA84F"/>
      </top>
      <bottom style="medium">
        <color rgb="FF6AA84F"/>
      </bottom>
      <diagonal/>
    </border>
    <border>
      <left/>
      <right style="double">
        <color rgb="FF6AA84F"/>
      </right>
      <top style="medium">
        <color rgb="FF6AA84F"/>
      </top>
      <bottom style="medium">
        <color rgb="FF6AA84F"/>
      </bottom>
      <diagonal/>
    </border>
    <border>
      <left style="double">
        <color rgb="FF6AA84F"/>
      </left>
      <right style="medium">
        <color rgb="FF6AA84F"/>
      </right>
      <top/>
      <bottom style="medium">
        <color rgb="FF6AA84F"/>
      </bottom>
      <diagonal/>
    </border>
    <border>
      <left style="medium">
        <color rgb="FF6AA84F"/>
      </left>
      <right style="medium">
        <color rgb="FF6AA84F"/>
      </right>
      <top style="medium">
        <color rgb="FF6AA84F"/>
      </top>
      <bottom style="medium">
        <color rgb="FF6AA84F"/>
      </bottom>
      <diagonal/>
    </border>
    <border>
      <left style="medium">
        <color rgb="FF6AA84F"/>
      </left>
      <right style="double">
        <color rgb="FF6AA84F"/>
      </right>
      <top style="medium">
        <color rgb="FF6AA84F"/>
      </top>
      <bottom style="medium">
        <color rgb="FF6AA84F"/>
      </bottom>
      <diagonal/>
    </border>
    <border>
      <left style="double">
        <color rgb="FF6AA84F"/>
      </left>
      <right/>
      <top/>
      <bottom/>
      <diagonal/>
    </border>
    <border>
      <left/>
      <right style="double">
        <color rgb="FF6AA84F"/>
      </right>
      <top/>
      <bottom/>
      <diagonal/>
    </border>
    <border>
      <left style="double">
        <color rgb="FF6AA84F"/>
      </left>
      <right/>
      <top style="medium">
        <color rgb="FF6AA84F"/>
      </top>
      <bottom style="double">
        <color rgb="FF6AA84F"/>
      </bottom>
      <diagonal/>
    </border>
    <border>
      <left/>
      <right/>
      <top style="medium">
        <color rgb="FF6AA84F"/>
      </top>
      <bottom style="double">
        <color rgb="FF6AA84F"/>
      </bottom>
      <diagonal/>
    </border>
    <border>
      <left/>
      <right style="double">
        <color rgb="FF6AA84F"/>
      </right>
      <top style="medium">
        <color rgb="FF6AA84F"/>
      </top>
      <bottom style="double">
        <color rgb="FF6AA84F"/>
      </bottom>
      <diagonal/>
    </border>
  </borders>
  <cellStyleXfs count="142">
    <xf numFmtId="0" fontId="0" fillId="0" borderId="0"/>
    <xf numFmtId="4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3" fontId="7" fillId="0" borderId="0" applyFont="0" applyFill="0" applyBorder="0" applyAlignment="0" applyProtection="0"/>
    <xf numFmtId="166" fontId="7" fillId="0" borderId="0" applyFont="0" applyFill="0" applyBorder="0" applyAlignment="0" applyProtection="0"/>
    <xf numFmtId="0" fontId="7" fillId="0" borderId="0" applyFont="0" applyFill="0" applyBorder="0" applyAlignment="0" applyProtection="0"/>
    <xf numFmtId="2" fontId="7" fillId="0" borderId="0" applyFont="0" applyFill="0" applyBorder="0" applyAlignment="0" applyProtection="0"/>
    <xf numFmtId="0" fontId="1" fillId="0" borderId="0"/>
    <xf numFmtId="0" fontId="15" fillId="0" borderId="0"/>
    <xf numFmtId="9" fontId="1"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1" fillId="0" borderId="0" applyFont="0" applyFill="0" applyBorder="0" applyAlignment="0" applyProtection="0"/>
    <xf numFmtId="9" fontId="1" fillId="0" borderId="0" applyFont="0" applyFill="0" applyBorder="0" applyAlignment="0" applyProtection="0"/>
    <xf numFmtId="0" fontId="25" fillId="0" borderId="0" applyNumberFormat="0" applyFill="0" applyBorder="0" applyAlignment="0" applyProtection="0"/>
    <xf numFmtId="0" fontId="28" fillId="0" borderId="0"/>
    <xf numFmtId="0" fontId="30" fillId="0" borderId="0" applyNumberFormat="0" applyFill="0" applyBorder="0" applyAlignment="0" applyProtection="0">
      <alignment vertical="top"/>
      <protection locked="0"/>
    </xf>
    <xf numFmtId="0" fontId="43" fillId="0" borderId="0"/>
  </cellStyleXfs>
  <cellXfs count="594">
    <xf numFmtId="0" fontId="0" fillId="0" borderId="0" xfId="0"/>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0" xfId="0" applyFont="1"/>
    <xf numFmtId="0" fontId="3" fillId="0" borderId="0" xfId="0" applyFont="1"/>
    <xf numFmtId="164" fontId="2" fillId="0" borderId="0" xfId="0" applyNumberFormat="1" applyFont="1" applyAlignment="1">
      <alignment horizontal="center"/>
    </xf>
    <xf numFmtId="1" fontId="2" fillId="0" borderId="8" xfId="0" applyNumberFormat="1" applyFont="1" applyBorder="1" applyAlignment="1">
      <alignment horizontal="center"/>
    </xf>
    <xf numFmtId="1" fontId="2" fillId="0" borderId="10" xfId="0" applyNumberFormat="1" applyFont="1" applyBorder="1" applyAlignment="1">
      <alignment horizontal="center"/>
    </xf>
    <xf numFmtId="164" fontId="2" fillId="0" borderId="19" xfId="0" applyNumberFormat="1" applyFont="1" applyBorder="1" applyAlignment="1">
      <alignment horizontal="center"/>
    </xf>
    <xf numFmtId="164" fontId="2" fillId="0" borderId="20" xfId="0" applyNumberFormat="1" applyFont="1" applyBorder="1" applyAlignment="1">
      <alignment horizontal="center"/>
    </xf>
    <xf numFmtId="164" fontId="2" fillId="0" borderId="2" xfId="0" applyNumberFormat="1" applyFont="1" applyBorder="1" applyAlignment="1">
      <alignment horizontal="center"/>
    </xf>
    <xf numFmtId="0" fontId="5" fillId="0" borderId="0" xfId="0" applyFont="1"/>
    <xf numFmtId="0" fontId="0" fillId="0" borderId="0" xfId="0" applyAlignment="1">
      <alignment horizontal="right"/>
    </xf>
    <xf numFmtId="165" fontId="10" fillId="0" borderId="22" xfId="1" applyNumberFormat="1" applyFont="1" applyFill="1" applyBorder="1" applyAlignment="1">
      <alignment horizontal="center"/>
    </xf>
    <xf numFmtId="165" fontId="10" fillId="0" borderId="23" xfId="1" applyNumberFormat="1" applyFont="1" applyFill="1" applyBorder="1" applyAlignment="1">
      <alignment horizontal="center"/>
    </xf>
    <xf numFmtId="165" fontId="10" fillId="0" borderId="24" xfId="1" applyNumberFormat="1" applyFont="1" applyFill="1" applyBorder="1" applyAlignment="1">
      <alignment horizontal="center"/>
    </xf>
    <xf numFmtId="0" fontId="8" fillId="0" borderId="0" xfId="0" applyFont="1" applyAlignment="1">
      <alignment horizontal="left"/>
    </xf>
    <xf numFmtId="165" fontId="10" fillId="0" borderId="25" xfId="1" applyNumberFormat="1" applyFont="1" applyFill="1" applyBorder="1" applyAlignment="1">
      <alignment horizontal="center"/>
    </xf>
    <xf numFmtId="0" fontId="2" fillId="0" borderId="13" xfId="0" applyFont="1" applyBorder="1" applyAlignment="1">
      <alignment horizontal="center" vertical="center" wrapText="1"/>
    </xf>
    <xf numFmtId="164" fontId="2" fillId="0" borderId="18" xfId="0" applyNumberFormat="1" applyFont="1" applyBorder="1" applyAlignment="1">
      <alignment horizontal="center" vertical="center"/>
    </xf>
    <xf numFmtId="0" fontId="0" fillId="0" borderId="0" xfId="0" applyAlignment="1">
      <alignment horizontal="center"/>
    </xf>
    <xf numFmtId="10" fontId="0" fillId="0" borderId="0" xfId="0" applyNumberFormat="1"/>
    <xf numFmtId="8" fontId="2" fillId="0" borderId="6" xfId="0" applyNumberFormat="1" applyFont="1" applyBorder="1" applyAlignment="1">
      <alignment horizontal="center" vertical="center" wrapText="1"/>
    </xf>
    <xf numFmtId="165" fontId="2" fillId="0" borderId="0" xfId="0" applyNumberFormat="1" applyFont="1"/>
    <xf numFmtId="164" fontId="2" fillId="0" borderId="10" xfId="0" applyNumberFormat="1" applyFont="1" applyBorder="1" applyAlignment="1">
      <alignment horizontal="center"/>
    </xf>
    <xf numFmtId="0" fontId="2" fillId="0" borderId="0" xfId="0" applyFont="1" applyAlignment="1">
      <alignment horizontal="center"/>
    </xf>
    <xf numFmtId="1" fontId="2" fillId="0" borderId="0" xfId="0" applyNumberFormat="1" applyFont="1" applyAlignment="1">
      <alignment horizontal="center"/>
    </xf>
    <xf numFmtId="0" fontId="12" fillId="0" borderId="0" xfId="0" applyFont="1" applyAlignment="1">
      <alignment horizontal="center"/>
    </xf>
    <xf numFmtId="0" fontId="13" fillId="0" borderId="0" xfId="0" applyFont="1"/>
    <xf numFmtId="164" fontId="14" fillId="0" borderId="0" xfId="0" applyNumberFormat="1" applyFont="1" applyAlignment="1">
      <alignment horizontal="center"/>
    </xf>
    <xf numFmtId="0" fontId="0" fillId="0" borderId="39" xfId="0" applyBorder="1"/>
    <xf numFmtId="0" fontId="5" fillId="2" borderId="42" xfId="0" applyFont="1" applyFill="1" applyBorder="1"/>
    <xf numFmtId="0" fontId="5" fillId="2" borderId="41" xfId="0" applyFont="1" applyFill="1" applyBorder="1"/>
    <xf numFmtId="9" fontId="5" fillId="2" borderId="37" xfId="0" applyNumberFormat="1" applyFont="1" applyFill="1" applyBorder="1" applyAlignment="1">
      <alignment horizontal="center"/>
    </xf>
    <xf numFmtId="0" fontId="5" fillId="0" borderId="26" xfId="0" applyFont="1" applyBorder="1"/>
    <xf numFmtId="0" fontId="0" fillId="0" borderId="0" xfId="0" applyAlignment="1">
      <alignment vertical="top" wrapText="1"/>
    </xf>
    <xf numFmtId="1" fontId="0" fillId="0" borderId="0" xfId="0" applyNumberFormat="1"/>
    <xf numFmtId="165" fontId="10" fillId="0" borderId="0" xfId="1" applyNumberFormat="1" applyFont="1" applyFill="1" applyBorder="1" applyAlignment="1">
      <alignment horizontal="center"/>
    </xf>
    <xf numFmtId="0" fontId="17" fillId="0" borderId="0" xfId="0" applyFont="1"/>
    <xf numFmtId="168" fontId="18" fillId="0" borderId="0" xfId="2" applyNumberFormat="1" applyFont="1" applyAlignment="1">
      <alignment horizontal="left" vertical="center"/>
    </xf>
    <xf numFmtId="0" fontId="10" fillId="0" borderId="0" xfId="2" applyFont="1" applyAlignment="1">
      <alignment horizontal="left"/>
    </xf>
    <xf numFmtId="0" fontId="10" fillId="0" borderId="0" xfId="2" applyFont="1" applyAlignment="1">
      <alignment horizontal="left" vertical="center"/>
    </xf>
    <xf numFmtId="167" fontId="10" fillId="0" borderId="0" xfId="2" applyNumberFormat="1" applyFont="1" applyAlignment="1">
      <alignment horizontal="left"/>
    </xf>
    <xf numFmtId="0" fontId="8" fillId="0" borderId="0" xfId="2" applyFont="1" applyAlignment="1">
      <alignment horizontal="left"/>
    </xf>
    <xf numFmtId="0" fontId="2" fillId="0" borderId="45" xfId="0" applyFont="1" applyBorder="1" applyAlignment="1">
      <alignment horizontal="center"/>
    </xf>
    <xf numFmtId="6" fontId="2" fillId="0" borderId="0" xfId="0" applyNumberFormat="1" applyFont="1" applyAlignment="1">
      <alignment horizontal="right" indent="1"/>
    </xf>
    <xf numFmtId="0" fontId="19" fillId="0" borderId="0" xfId="0" applyFont="1" applyAlignment="1">
      <alignment horizontal="center"/>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8" fillId="0" borderId="24" xfId="2" applyFont="1" applyBorder="1" applyAlignment="1">
      <alignment horizontal="center" vertical="center"/>
    </xf>
    <xf numFmtId="165" fontId="10" fillId="0" borderId="46" xfId="1" applyNumberFormat="1" applyFont="1" applyFill="1" applyBorder="1" applyAlignment="1">
      <alignment horizontal="center"/>
    </xf>
    <xf numFmtId="165" fontId="10" fillId="0" borderId="28" xfId="1" applyNumberFormat="1" applyFont="1" applyFill="1" applyBorder="1" applyAlignment="1">
      <alignment horizontal="center"/>
    </xf>
    <xf numFmtId="49" fontId="0" fillId="0" borderId="24" xfId="0" applyNumberFormat="1" applyBorder="1" applyAlignment="1">
      <alignment horizontal="center"/>
    </xf>
    <xf numFmtId="0" fontId="8" fillId="0" borderId="0" xfId="2" applyFont="1" applyAlignment="1">
      <alignment horizontal="left" vertical="center"/>
    </xf>
    <xf numFmtId="0" fontId="10" fillId="0" borderId="26" xfId="2" applyFont="1" applyBorder="1" applyAlignment="1">
      <alignment horizontal="left" vertical="center"/>
    </xf>
    <xf numFmtId="0" fontId="11" fillId="0" borderId="0" xfId="2" applyFont="1" applyAlignment="1">
      <alignment horizontal="left"/>
    </xf>
    <xf numFmtId="0" fontId="8" fillId="0" borderId="26" xfId="2" applyFont="1" applyBorder="1" applyAlignment="1">
      <alignment horizontal="center" vertical="center"/>
    </xf>
    <xf numFmtId="0" fontId="5" fillId="0" borderId="26" xfId="0" applyFont="1" applyBorder="1" applyAlignment="1">
      <alignment horizontal="center"/>
    </xf>
    <xf numFmtId="0" fontId="0" fillId="0" borderId="0" xfId="0" applyAlignment="1">
      <alignment vertical="top"/>
    </xf>
    <xf numFmtId="0" fontId="0" fillId="0" borderId="0" xfId="0" applyAlignment="1">
      <alignment horizontal="left" vertical="top"/>
    </xf>
    <xf numFmtId="0" fontId="5" fillId="0" borderId="0" xfId="0" applyFont="1" applyAlignment="1">
      <alignment horizontal="center"/>
    </xf>
    <xf numFmtId="0" fontId="4" fillId="0" borderId="0" xfId="0" applyFont="1"/>
    <xf numFmtId="0" fontId="10" fillId="0" borderId="0" xfId="2" applyFont="1" applyAlignment="1">
      <alignment horizontal="right"/>
    </xf>
    <xf numFmtId="0" fontId="6" fillId="0" borderId="0" xfId="2" applyFont="1" applyAlignment="1">
      <alignment vertical="top" wrapText="1"/>
    </xf>
    <xf numFmtId="0" fontId="23" fillId="0" borderId="0" xfId="2" applyFont="1" applyAlignment="1">
      <alignment horizontal="left"/>
    </xf>
    <xf numFmtId="0" fontId="10" fillId="0" borderId="0" xfId="2" applyFont="1" applyAlignment="1">
      <alignment horizontal="right" vertical="center"/>
    </xf>
    <xf numFmtId="0" fontId="0" fillId="0" borderId="26" xfId="0" applyBorder="1" applyAlignment="1">
      <alignment horizontal="left"/>
    </xf>
    <xf numFmtId="10" fontId="10" fillId="0" borderId="0" xfId="2" applyNumberFormat="1" applyFont="1" applyAlignment="1">
      <alignment horizontal="center" vertical="center"/>
    </xf>
    <xf numFmtId="164" fontId="0" fillId="0" borderId="0" xfId="0" applyNumberFormat="1" applyAlignment="1">
      <alignment horizontal="center"/>
    </xf>
    <xf numFmtId="0" fontId="5" fillId="0" borderId="0" xfId="0" applyFont="1" applyAlignment="1">
      <alignment horizontal="left"/>
    </xf>
    <xf numFmtId="39" fontId="0" fillId="0" borderId="0" xfId="0" applyNumberFormat="1"/>
    <xf numFmtId="0" fontId="0" fillId="0" borderId="0" xfId="0" applyAlignment="1">
      <alignment horizontal="left"/>
    </xf>
    <xf numFmtId="37" fontId="2" fillId="0" borderId="0" xfId="0" applyNumberFormat="1" applyFont="1"/>
    <xf numFmtId="0" fontId="0" fillId="0" borderId="0" xfId="0" applyAlignment="1">
      <alignment horizontal="center" vertical="top" wrapText="1"/>
    </xf>
    <xf numFmtId="169" fontId="0" fillId="0" borderId="0" xfId="0" applyNumberFormat="1" applyAlignment="1">
      <alignment horizontal="center" vertical="top" wrapText="1"/>
    </xf>
    <xf numFmtId="44" fontId="0" fillId="0" borderId="0" xfId="1" applyFont="1" applyFill="1" applyBorder="1"/>
    <xf numFmtId="43" fontId="0" fillId="0" borderId="0" xfId="0" applyNumberFormat="1" applyAlignment="1">
      <alignment horizontal="center"/>
    </xf>
    <xf numFmtId="169" fontId="0" fillId="0" borderId="0" xfId="0" applyNumberFormat="1" applyAlignment="1">
      <alignment horizontal="center"/>
    </xf>
    <xf numFmtId="0" fontId="0" fillId="0" borderId="26" xfId="0" applyBorder="1"/>
    <xf numFmtId="43" fontId="0" fillId="0" borderId="0" xfId="0" applyNumberFormat="1"/>
    <xf numFmtId="3" fontId="0" fillId="0" borderId="0" xfId="137" applyNumberFormat="1" applyFont="1" applyFill="1" applyBorder="1" applyAlignment="1">
      <alignment horizontal="center"/>
    </xf>
    <xf numFmtId="170" fontId="0" fillId="0" borderId="0" xfId="1" applyNumberFormat="1" applyFont="1" applyFill="1" applyBorder="1" applyAlignment="1">
      <alignment horizontal="center"/>
    </xf>
    <xf numFmtId="164" fontId="0" fillId="0" borderId="0" xfId="0" applyNumberFormat="1"/>
    <xf numFmtId="6" fontId="2" fillId="0" borderId="47" xfId="0" applyNumberFormat="1" applyFont="1" applyBorder="1" applyAlignment="1">
      <alignment horizontal="right" indent="1"/>
    </xf>
    <xf numFmtId="0" fontId="5" fillId="0" borderId="0" xfId="0" applyFont="1" applyAlignment="1">
      <alignment horizontal="right"/>
    </xf>
    <xf numFmtId="0" fontId="3" fillId="0" borderId="11" xfId="0" applyFont="1" applyBorder="1" applyAlignment="1">
      <alignment horizontal="center" wrapText="1"/>
    </xf>
    <xf numFmtId="0" fontId="0" fillId="0" borderId="0" xfId="0" applyAlignment="1">
      <alignment horizontal="left" vertical="top" wrapText="1"/>
    </xf>
    <xf numFmtId="6" fontId="3" fillId="0" borderId="0" xfId="0" applyNumberFormat="1" applyFont="1" applyAlignment="1">
      <alignment horizontal="right"/>
    </xf>
    <xf numFmtId="164" fontId="0" fillId="2" borderId="44" xfId="0" applyNumberFormat="1" applyFill="1" applyBorder="1" applyAlignment="1">
      <alignment horizontal="center"/>
    </xf>
    <xf numFmtId="164" fontId="0" fillId="2" borderId="40" xfId="0" applyNumberFormat="1" applyFill="1" applyBorder="1" applyAlignment="1">
      <alignment horizontal="center"/>
    </xf>
    <xf numFmtId="0" fontId="8" fillId="3" borderId="0" xfId="2" applyFont="1" applyFill="1" applyAlignment="1">
      <alignment horizontal="left" vertical="center"/>
    </xf>
    <xf numFmtId="0" fontId="2" fillId="0" borderId="5" xfId="0" applyFont="1" applyBorder="1" applyAlignment="1">
      <alignment horizontal="center"/>
    </xf>
    <xf numFmtId="0" fontId="2" fillId="0" borderId="7" xfId="0" applyFont="1" applyBorder="1" applyAlignment="1">
      <alignment horizontal="center"/>
    </xf>
    <xf numFmtId="0" fontId="2" fillId="0" borderId="9" xfId="0" applyFont="1" applyBorder="1" applyAlignment="1">
      <alignment horizontal="center"/>
    </xf>
    <xf numFmtId="0" fontId="5" fillId="0" borderId="26" xfId="0" applyFont="1" applyBorder="1" applyAlignment="1">
      <alignment horizontal="center" vertical="center"/>
    </xf>
    <xf numFmtId="6" fontId="2" fillId="0" borderId="6" xfId="0" applyNumberFormat="1" applyFont="1" applyBorder="1" applyAlignment="1">
      <alignment horizontal="center" vertical="center" wrapText="1"/>
    </xf>
    <xf numFmtId="6" fontId="2" fillId="0" borderId="0" xfId="0" applyNumberFormat="1" applyFont="1" applyAlignment="1">
      <alignment horizontal="center" vertical="center" wrapText="1"/>
    </xf>
    <xf numFmtId="0" fontId="8" fillId="0" borderId="22" xfId="0" applyFont="1" applyBorder="1" applyAlignment="1">
      <alignment horizontal="center" vertical="center"/>
    </xf>
    <xf numFmtId="0" fontId="8" fillId="0" borderId="24" xfId="0" applyFont="1" applyBorder="1" applyAlignment="1">
      <alignment horizontal="center" vertical="center"/>
    </xf>
    <xf numFmtId="0" fontId="11" fillId="0" borderId="0" xfId="0" applyFont="1" applyAlignment="1">
      <alignment horizontal="left"/>
    </xf>
    <xf numFmtId="0" fontId="8" fillId="0" borderId="24" xfId="4" applyFont="1" applyBorder="1" applyAlignment="1">
      <alignment horizontal="center" vertical="center"/>
    </xf>
    <xf numFmtId="165" fontId="2" fillId="0" borderId="0" xfId="0" applyNumberFormat="1" applyFont="1" applyAlignment="1">
      <alignment horizontal="center"/>
    </xf>
    <xf numFmtId="0" fontId="2" fillId="0" borderId="26" xfId="0" applyFont="1" applyBorder="1"/>
    <xf numFmtId="164" fontId="2" fillId="0" borderId="26" xfId="0" applyNumberFormat="1" applyFont="1" applyBorder="1"/>
    <xf numFmtId="0" fontId="0" fillId="0" borderId="0" xfId="0" applyAlignment="1">
      <alignment wrapText="1"/>
    </xf>
    <xf numFmtId="0" fontId="0" fillId="0" borderId="0" xfId="0" applyAlignment="1">
      <alignment horizontal="left" wrapText="1"/>
    </xf>
    <xf numFmtId="0" fontId="2" fillId="0" borderId="5" xfId="0" applyFont="1" applyBorder="1" applyAlignment="1">
      <alignment horizontal="center" vertical="center" wrapText="1"/>
    </xf>
    <xf numFmtId="170" fontId="10" fillId="0" borderId="0" xfId="2" applyNumberFormat="1" applyFont="1" applyAlignment="1">
      <alignment horizontal="left" vertical="center"/>
    </xf>
    <xf numFmtId="0" fontId="25" fillId="0" borderId="0" xfId="138" applyFill="1"/>
    <xf numFmtId="0" fontId="5" fillId="0" borderId="27" xfId="0" applyFont="1" applyBorder="1" applyAlignment="1">
      <alignment horizontal="left"/>
    </xf>
    <xf numFmtId="6" fontId="2" fillId="0" borderId="26" xfId="0" applyNumberFormat="1" applyFont="1" applyBorder="1" applyAlignment="1">
      <alignment horizontal="center"/>
    </xf>
    <xf numFmtId="6" fontId="2" fillId="0" borderId="19" xfId="0" applyNumberFormat="1" applyFont="1" applyBorder="1" applyAlignment="1">
      <alignment horizontal="center"/>
    </xf>
    <xf numFmtId="0" fontId="0" fillId="0" borderId="26" xfId="0" applyBorder="1" applyAlignment="1">
      <alignment horizontal="center" vertical="center"/>
    </xf>
    <xf numFmtId="0" fontId="23" fillId="0" borderId="0" xfId="0" applyFont="1"/>
    <xf numFmtId="6" fontId="3" fillId="0" borderId="0" xfId="0" applyNumberFormat="1" applyFont="1"/>
    <xf numFmtId="6" fontId="2" fillId="0" borderId="44" xfId="0" applyNumberFormat="1" applyFont="1" applyBorder="1" applyAlignment="1">
      <alignment horizontal="center"/>
    </xf>
    <xf numFmtId="6" fontId="2" fillId="0" borderId="14" xfId="0" applyNumberFormat="1" applyFont="1" applyBorder="1" applyAlignment="1">
      <alignment horizontal="center"/>
    </xf>
    <xf numFmtId="6" fontId="2" fillId="0" borderId="43" xfId="0" applyNumberFormat="1" applyFont="1" applyBorder="1" applyAlignment="1">
      <alignment horizontal="right" indent="1"/>
    </xf>
    <xf numFmtId="6" fontId="2" fillId="0" borderId="44" xfId="0" applyNumberFormat="1" applyFont="1" applyBorder="1" applyAlignment="1">
      <alignment horizontal="right" indent="1"/>
    </xf>
    <xf numFmtId="3" fontId="0" fillId="0" borderId="0" xfId="0" applyNumberFormat="1"/>
    <xf numFmtId="6" fontId="2" fillId="0" borderId="36" xfId="0" applyNumberFormat="1" applyFont="1" applyBorder="1" applyAlignment="1">
      <alignment horizontal="right" indent="1"/>
    </xf>
    <xf numFmtId="6" fontId="2" fillId="0" borderId="12" xfId="0" applyNumberFormat="1" applyFont="1" applyBorder="1" applyAlignment="1">
      <alignment horizontal="right" indent="1"/>
    </xf>
    <xf numFmtId="172" fontId="0" fillId="0" borderId="26" xfId="137" applyNumberFormat="1" applyFont="1" applyFill="1" applyBorder="1" applyAlignment="1">
      <alignment horizontal="center"/>
    </xf>
    <xf numFmtId="6" fontId="2" fillId="0" borderId="18" xfId="0" applyNumberFormat="1" applyFont="1" applyBorder="1" applyAlignment="1">
      <alignment horizontal="right"/>
    </xf>
    <xf numFmtId="6" fontId="2" fillId="0" borderId="19" xfId="0" applyNumberFormat="1" applyFont="1" applyBorder="1" applyAlignment="1">
      <alignment horizontal="right"/>
    </xf>
    <xf numFmtId="6" fontId="2" fillId="0" borderId="20" xfId="0" applyNumberFormat="1" applyFont="1" applyBorder="1" applyAlignment="1">
      <alignment horizontal="right"/>
    </xf>
    <xf numFmtId="0" fontId="22" fillId="0" borderId="0" xfId="2" applyFont="1"/>
    <xf numFmtId="6" fontId="2" fillId="0" borderId="13" xfId="0" applyNumberFormat="1" applyFont="1" applyBorder="1" applyAlignment="1">
      <alignment horizontal="right"/>
    </xf>
    <xf numFmtId="6" fontId="2" fillId="0" borderId="45" xfId="0" applyNumberFormat="1" applyFont="1" applyBorder="1" applyAlignment="1">
      <alignment horizontal="right"/>
    </xf>
    <xf numFmtId="6" fontId="0" fillId="0" borderId="0" xfId="0" applyNumberFormat="1"/>
    <xf numFmtId="164" fontId="2" fillId="0" borderId="13" xfId="0" applyNumberFormat="1" applyFont="1" applyBorder="1" applyAlignment="1">
      <alignment horizontal="center"/>
    </xf>
    <xf numFmtId="164" fontId="2" fillId="0" borderId="14" xfId="0" applyNumberFormat="1" applyFont="1" applyBorder="1" applyAlignment="1">
      <alignment horizontal="center"/>
    </xf>
    <xf numFmtId="164" fontId="2" fillId="0" borderId="15" xfId="0" applyNumberFormat="1" applyFont="1" applyBorder="1" applyAlignment="1">
      <alignment horizontal="center"/>
    </xf>
    <xf numFmtId="0" fontId="0" fillId="0" borderId="26" xfId="0" applyBorder="1" applyAlignment="1">
      <alignment horizontal="center"/>
    </xf>
    <xf numFmtId="6" fontId="2" fillId="0" borderId="34" xfId="0" applyNumberFormat="1" applyFont="1" applyBorder="1" applyAlignment="1">
      <alignment horizontal="right" indent="1"/>
    </xf>
    <xf numFmtId="164" fontId="2" fillId="0" borderId="45" xfId="0" applyNumberFormat="1" applyFont="1" applyBorder="1" applyAlignment="1">
      <alignment horizontal="center"/>
    </xf>
    <xf numFmtId="0" fontId="2" fillId="0" borderId="0" xfId="0" applyFont="1" applyAlignment="1">
      <alignment horizontal="center" vertical="center"/>
    </xf>
    <xf numFmtId="37" fontId="2" fillId="0" borderId="43" xfId="1" applyNumberFormat="1" applyFont="1" applyBorder="1" applyAlignment="1">
      <alignment horizontal="right" indent="1"/>
    </xf>
    <xf numFmtId="6" fontId="2" fillId="0" borderId="26" xfId="136" applyNumberFormat="1" applyFont="1" applyFill="1" applyBorder="1" applyAlignment="1">
      <alignment horizontal="right"/>
    </xf>
    <xf numFmtId="37" fontId="2" fillId="0" borderId="53" xfId="136" applyNumberFormat="1" applyFont="1" applyFill="1" applyBorder="1" applyAlignment="1">
      <alignment horizontal="center"/>
    </xf>
    <xf numFmtId="37" fontId="2" fillId="0" borderId="19" xfId="136" applyNumberFormat="1" applyFont="1" applyFill="1" applyBorder="1" applyAlignment="1">
      <alignment horizontal="center"/>
    </xf>
    <xf numFmtId="37" fontId="2" fillId="0" borderId="35" xfId="136" applyNumberFormat="1" applyFont="1" applyFill="1" applyBorder="1" applyAlignment="1">
      <alignment horizontal="center"/>
    </xf>
    <xf numFmtId="37" fontId="2" fillId="0" borderId="20" xfId="136" applyNumberFormat="1" applyFont="1" applyFill="1" applyBorder="1" applyAlignment="1">
      <alignment horizontal="center"/>
    </xf>
    <xf numFmtId="37" fontId="2" fillId="0" borderId="18" xfId="136" applyNumberFormat="1" applyFont="1" applyFill="1" applyBorder="1" applyAlignment="1">
      <alignment horizontal="center"/>
    </xf>
    <xf numFmtId="6" fontId="2" fillId="0" borderId="34" xfId="136" applyNumberFormat="1" applyFont="1" applyFill="1" applyBorder="1" applyAlignment="1">
      <alignment horizontal="right"/>
    </xf>
    <xf numFmtId="6" fontId="2" fillId="0" borderId="51" xfId="136" applyNumberFormat="1" applyFont="1" applyFill="1" applyBorder="1" applyAlignment="1">
      <alignment horizontal="right"/>
    </xf>
    <xf numFmtId="6" fontId="2" fillId="0" borderId="53" xfId="136" applyNumberFormat="1" applyFont="1" applyFill="1" applyBorder="1" applyAlignment="1">
      <alignment horizontal="right"/>
    </xf>
    <xf numFmtId="6" fontId="2" fillId="0" borderId="35" xfId="136" applyNumberFormat="1" applyFont="1" applyFill="1" applyBorder="1" applyAlignment="1">
      <alignment horizontal="right"/>
    </xf>
    <xf numFmtId="6" fontId="2" fillId="0" borderId="52" xfId="136" applyNumberFormat="1" applyFont="1" applyFill="1" applyBorder="1" applyAlignment="1">
      <alignment horizontal="right"/>
    </xf>
    <xf numFmtId="6" fontId="2" fillId="0" borderId="18" xfId="0" applyNumberFormat="1" applyFont="1" applyBorder="1" applyAlignment="1">
      <alignment horizontal="right" indent="1"/>
    </xf>
    <xf numFmtId="6" fontId="2" fillId="0" borderId="17" xfId="0" applyNumberFormat="1" applyFont="1" applyBorder="1" applyAlignment="1">
      <alignment horizontal="right" indent="1"/>
    </xf>
    <xf numFmtId="0" fontId="0" fillId="0" borderId="34" xfId="0" applyBorder="1"/>
    <xf numFmtId="0" fontId="8" fillId="0" borderId="56" xfId="0" applyFont="1" applyBorder="1" applyAlignment="1">
      <alignment horizontal="center" vertical="center"/>
    </xf>
    <xf numFmtId="0" fontId="8" fillId="0" borderId="43" xfId="0" applyFont="1" applyBorder="1" applyAlignment="1">
      <alignment horizontal="center" vertical="center"/>
    </xf>
    <xf numFmtId="0" fontId="0" fillId="0" borderId="18" xfId="0" applyBorder="1"/>
    <xf numFmtId="0" fontId="0" fillId="0" borderId="53" xfId="0" applyBorder="1"/>
    <xf numFmtId="2" fontId="0" fillId="0" borderId="19" xfId="0" applyNumberFormat="1" applyBorder="1"/>
    <xf numFmtId="0" fontId="0" fillId="0" borderId="35" xfId="0" applyBorder="1"/>
    <xf numFmtId="2" fontId="0" fillId="0" borderId="20" xfId="0" applyNumberFormat="1" applyBorder="1"/>
    <xf numFmtId="0" fontId="16" fillId="0" borderId="1" xfId="0" applyFont="1" applyBorder="1" applyAlignment="1">
      <alignment horizontal="left"/>
    </xf>
    <xf numFmtId="164" fontId="8" fillId="0" borderId="2" xfId="0" applyNumberFormat="1" applyFont="1" applyBorder="1" applyAlignment="1">
      <alignment horizontal="center"/>
    </xf>
    <xf numFmtId="0" fontId="8" fillId="0" borderId="54" xfId="0" applyFont="1" applyBorder="1" applyAlignment="1">
      <alignment horizontal="center" vertical="center"/>
    </xf>
    <xf numFmtId="0" fontId="8" fillId="0" borderId="3" xfId="0" applyFont="1" applyBorder="1" applyAlignment="1">
      <alignment horizontal="left"/>
    </xf>
    <xf numFmtId="0" fontId="8" fillId="0" borderId="4" xfId="0" applyFont="1" applyBorder="1" applyAlignment="1">
      <alignment horizontal="center"/>
    </xf>
    <xf numFmtId="164" fontId="8" fillId="0" borderId="4" xfId="0" applyNumberFormat="1" applyFont="1" applyBorder="1" applyAlignment="1">
      <alignment horizontal="center"/>
    </xf>
    <xf numFmtId="165" fontId="10" fillId="0" borderId="58" xfId="1" applyNumberFormat="1" applyFont="1" applyFill="1" applyBorder="1" applyAlignment="1">
      <alignment horizontal="center"/>
    </xf>
    <xf numFmtId="0" fontId="5" fillId="0" borderId="1" xfId="0" applyFont="1" applyBorder="1"/>
    <xf numFmtId="0" fontId="0" fillId="0" borderId="2" xfId="0" applyBorder="1"/>
    <xf numFmtId="0" fontId="5" fillId="0" borderId="51" xfId="0" applyFont="1" applyBorder="1" applyAlignment="1">
      <alignment horizontal="center"/>
    </xf>
    <xf numFmtId="169" fontId="0" fillId="0" borderId="0" xfId="136" applyNumberFormat="1" applyFont="1" applyFill="1" applyBorder="1"/>
    <xf numFmtId="172" fontId="0" fillId="0" borderId="0" xfId="137" applyNumberFormat="1" applyFont="1" applyFill="1" applyBorder="1"/>
    <xf numFmtId="2" fontId="0" fillId="0" borderId="26" xfId="137" applyNumberFormat="1" applyFont="1" applyFill="1" applyBorder="1" applyAlignment="1">
      <alignment horizontal="center"/>
    </xf>
    <xf numFmtId="170" fontId="0" fillId="0" borderId="26" xfId="1" applyNumberFormat="1" applyFont="1" applyFill="1" applyBorder="1" applyAlignment="1">
      <alignment horizontal="center"/>
    </xf>
    <xf numFmtId="6" fontId="2" fillId="0" borderId="52" xfId="0" applyNumberFormat="1" applyFont="1" applyBorder="1" applyAlignment="1">
      <alignment horizontal="center"/>
    </xf>
    <xf numFmtId="6" fontId="2" fillId="0" borderId="20" xfId="0" applyNumberFormat="1" applyFont="1" applyBorder="1" applyAlignment="1">
      <alignment horizontal="center"/>
    </xf>
    <xf numFmtId="6" fontId="2" fillId="0" borderId="15" xfId="0" applyNumberFormat="1" applyFont="1" applyBorder="1" applyAlignment="1">
      <alignment horizontal="center"/>
    </xf>
    <xf numFmtId="6" fontId="2" fillId="0" borderId="59" xfId="0" applyNumberFormat="1" applyFont="1" applyBorder="1" applyAlignment="1">
      <alignment horizontal="center"/>
    </xf>
    <xf numFmtId="6" fontId="2" fillId="0" borderId="60" xfId="0" applyNumberFormat="1" applyFont="1" applyBorder="1" applyAlignment="1">
      <alignment horizontal="center"/>
    </xf>
    <xf numFmtId="0" fontId="5" fillId="2" borderId="61" xfId="0" applyFont="1" applyFill="1" applyBorder="1"/>
    <xf numFmtId="0" fontId="5" fillId="2" borderId="35" xfId="0" applyFont="1" applyFill="1" applyBorder="1"/>
    <xf numFmtId="2" fontId="0" fillId="0" borderId="62" xfId="0" applyNumberFormat="1" applyBorder="1" applyAlignment="1">
      <alignment horizontal="center"/>
    </xf>
    <xf numFmtId="164" fontId="0" fillId="0" borderId="20" xfId="0" applyNumberFormat="1" applyBorder="1" applyAlignment="1">
      <alignment horizontal="center"/>
    </xf>
    <xf numFmtId="6" fontId="2" fillId="0" borderId="12" xfId="0" applyNumberFormat="1" applyFont="1" applyBorder="1" applyAlignment="1">
      <alignment horizontal="right"/>
    </xf>
    <xf numFmtId="173" fontId="2" fillId="0" borderId="42" xfId="0" applyNumberFormat="1" applyFont="1" applyBorder="1" applyAlignment="1">
      <alignment horizontal="center"/>
    </xf>
    <xf numFmtId="6" fontId="2" fillId="0" borderId="43" xfId="0" applyNumberFormat="1" applyFont="1" applyBorder="1" applyAlignment="1">
      <alignment horizontal="center"/>
    </xf>
    <xf numFmtId="173" fontId="2" fillId="0" borderId="9" xfId="0" applyNumberFormat="1" applyFont="1" applyBorder="1" applyAlignment="1">
      <alignment horizontal="center"/>
    </xf>
    <xf numFmtId="6" fontId="2" fillId="0" borderId="35" xfId="0" applyNumberFormat="1" applyFont="1" applyBorder="1" applyAlignment="1">
      <alignment horizontal="center"/>
    </xf>
    <xf numFmtId="6" fontId="2" fillId="0" borderId="0" xfId="0" applyNumberFormat="1" applyFont="1" applyAlignment="1">
      <alignment horizontal="center"/>
    </xf>
    <xf numFmtId="0" fontId="0" fillId="0" borderId="49" xfId="0" applyBorder="1"/>
    <xf numFmtId="0" fontId="5" fillId="0" borderId="0" xfId="0" applyFont="1" applyAlignment="1">
      <alignment horizontal="center" vertical="center" textRotation="90" wrapText="1"/>
    </xf>
    <xf numFmtId="3" fontId="2" fillId="0" borderId="13" xfId="0" applyNumberFormat="1" applyFont="1" applyBorder="1" applyAlignment="1">
      <alignment horizontal="center"/>
    </xf>
    <xf numFmtId="3" fontId="2" fillId="0" borderId="14" xfId="0" applyNumberFormat="1" applyFont="1" applyBorder="1" applyAlignment="1">
      <alignment horizontal="center"/>
    </xf>
    <xf numFmtId="3" fontId="2" fillId="0" borderId="15" xfId="0" applyNumberFormat="1" applyFont="1" applyBorder="1" applyAlignment="1">
      <alignment horizontal="center"/>
    </xf>
    <xf numFmtId="174" fontId="2" fillId="0" borderId="53" xfId="0" applyNumberFormat="1" applyFont="1" applyBorder="1" applyAlignment="1">
      <alignment horizontal="center"/>
    </xf>
    <xf numFmtId="174" fontId="2" fillId="0" borderId="26" xfId="0" applyNumberFormat="1" applyFont="1" applyBorder="1" applyAlignment="1">
      <alignment horizontal="center"/>
    </xf>
    <xf numFmtId="174" fontId="2" fillId="0" borderId="19" xfId="0" applyNumberFormat="1" applyFont="1" applyBorder="1" applyAlignment="1">
      <alignment horizontal="center"/>
    </xf>
    <xf numFmtId="174" fontId="2" fillId="0" borderId="35" xfId="0" applyNumberFormat="1" applyFont="1" applyBorder="1" applyAlignment="1">
      <alignment horizontal="center"/>
    </xf>
    <xf numFmtId="174" fontId="2" fillId="0" borderId="52" xfId="0" applyNumberFormat="1" applyFont="1" applyBorder="1" applyAlignment="1">
      <alignment horizontal="center"/>
    </xf>
    <xf numFmtId="174" fontId="2" fillId="0" borderId="20" xfId="0" applyNumberFormat="1" applyFont="1" applyBorder="1" applyAlignment="1">
      <alignment horizontal="center"/>
    </xf>
    <xf numFmtId="173" fontId="2" fillId="0" borderId="5" xfId="0" applyNumberFormat="1" applyFont="1" applyBorder="1" applyAlignment="1">
      <alignment horizontal="center"/>
    </xf>
    <xf numFmtId="6" fontId="2" fillId="0" borderId="34" xfId="0" applyNumberFormat="1" applyFont="1" applyBorder="1" applyAlignment="1">
      <alignment horizontal="center"/>
    </xf>
    <xf numFmtId="6" fontId="2" fillId="0" borderId="18" xfId="0" applyNumberFormat="1" applyFont="1" applyBorder="1" applyAlignment="1">
      <alignment horizontal="center"/>
    </xf>
    <xf numFmtId="174" fontId="2" fillId="0" borderId="34" xfId="0" applyNumberFormat="1" applyFont="1" applyBorder="1" applyAlignment="1">
      <alignment horizontal="center"/>
    </xf>
    <xf numFmtId="174" fontId="2" fillId="0" borderId="51" xfId="0" applyNumberFormat="1" applyFont="1" applyBorder="1" applyAlignment="1">
      <alignment horizontal="center"/>
    </xf>
    <xf numFmtId="174" fontId="2" fillId="0" borderId="18" xfId="0" applyNumberFormat="1" applyFont="1" applyBorder="1" applyAlignment="1">
      <alignment horizontal="center"/>
    </xf>
    <xf numFmtId="6" fontId="2" fillId="0" borderId="57" xfId="0" applyNumberFormat="1" applyFont="1" applyBorder="1" applyAlignment="1">
      <alignment horizontal="center"/>
    </xf>
    <xf numFmtId="6" fontId="2" fillId="0" borderId="51" xfId="0" applyNumberFormat="1" applyFont="1" applyBorder="1" applyAlignment="1">
      <alignment horizontal="center"/>
    </xf>
    <xf numFmtId="6" fontId="2" fillId="0" borderId="13" xfId="0" applyNumberFormat="1" applyFont="1" applyBorder="1" applyAlignment="1">
      <alignment horizontal="center"/>
    </xf>
    <xf numFmtId="6" fontId="2" fillId="0" borderId="6" xfId="0" applyNumberFormat="1" applyFont="1" applyBorder="1" applyAlignment="1">
      <alignment horizontal="center"/>
    </xf>
    <xf numFmtId="6" fontId="2" fillId="0" borderId="8" xfId="0" applyNumberFormat="1" applyFont="1" applyBorder="1" applyAlignment="1">
      <alignment horizontal="center"/>
    </xf>
    <xf numFmtId="6" fontId="2" fillId="0" borderId="10" xfId="0" applyNumberFormat="1" applyFont="1" applyBorder="1" applyAlignment="1">
      <alignment horizontal="center"/>
    </xf>
    <xf numFmtId="6" fontId="2" fillId="0" borderId="53" xfId="0" applyNumberFormat="1" applyFont="1" applyBorder="1" applyAlignment="1">
      <alignment horizontal="center"/>
    </xf>
    <xf numFmtId="3" fontId="0" fillId="0" borderId="26" xfId="0" applyNumberFormat="1" applyBorder="1" applyAlignment="1">
      <alignment horizontal="center"/>
    </xf>
    <xf numFmtId="37" fontId="2" fillId="0" borderId="15" xfId="1" applyNumberFormat="1" applyFont="1" applyBorder="1" applyAlignment="1">
      <alignment horizontal="right" indent="1"/>
    </xf>
    <xf numFmtId="37" fontId="2" fillId="0" borderId="34" xfId="136" applyNumberFormat="1" applyFont="1" applyFill="1" applyBorder="1" applyAlignment="1">
      <alignment horizontal="center"/>
    </xf>
    <xf numFmtId="0" fontId="3" fillId="0" borderId="0" xfId="0" applyFont="1" applyAlignment="1">
      <alignment horizontal="center" wrapText="1"/>
    </xf>
    <xf numFmtId="0" fontId="0" fillId="0" borderId="66" xfId="0" applyBorder="1"/>
    <xf numFmtId="164" fontId="0" fillId="0" borderId="22" xfId="0" applyNumberFormat="1" applyBorder="1"/>
    <xf numFmtId="6" fontId="26" fillId="0" borderId="0" xfId="0" applyNumberFormat="1" applyFont="1"/>
    <xf numFmtId="164" fontId="2" fillId="0" borderId="44" xfId="0" applyNumberFormat="1" applyFont="1" applyBorder="1" applyAlignment="1">
      <alignment horizontal="center"/>
    </xf>
    <xf numFmtId="1" fontId="2" fillId="0" borderId="27" xfId="0" applyNumberFormat="1" applyFont="1" applyBorder="1" applyAlignment="1">
      <alignment horizontal="center"/>
    </xf>
    <xf numFmtId="0" fontId="2" fillId="0" borderId="14" xfId="0" applyFont="1" applyBorder="1" applyAlignment="1">
      <alignment horizontal="center" vertical="center" wrapText="1"/>
    </xf>
    <xf numFmtId="0" fontId="2" fillId="0" borderId="7" xfId="0" applyFont="1" applyBorder="1" applyAlignment="1">
      <alignment horizontal="center" vertical="center" wrapText="1"/>
    </xf>
    <xf numFmtId="164" fontId="2" fillId="0" borderId="53" xfId="0" applyNumberFormat="1" applyFont="1" applyBorder="1" applyAlignment="1">
      <alignment horizontal="right" vertical="center" wrapText="1" indent="1"/>
    </xf>
    <xf numFmtId="164" fontId="2" fillId="0" borderId="7" xfId="0" applyNumberFormat="1" applyFont="1" applyBorder="1" applyAlignment="1">
      <alignment horizontal="right" vertical="center" wrapText="1" indent="1"/>
    </xf>
    <xf numFmtId="6" fontId="2" fillId="0" borderId="14" xfId="0" applyNumberFormat="1" applyFont="1" applyBorder="1" applyAlignment="1">
      <alignment horizontal="right"/>
    </xf>
    <xf numFmtId="0" fontId="2" fillId="0" borderId="15" xfId="0" applyFont="1" applyBorder="1" applyAlignment="1">
      <alignment horizontal="center" vertical="center" wrapText="1"/>
    </xf>
    <xf numFmtId="0" fontId="2" fillId="0" borderId="9" xfId="0" applyFont="1" applyBorder="1" applyAlignment="1">
      <alignment horizontal="center" vertical="center" wrapText="1"/>
    </xf>
    <xf numFmtId="164" fontId="2" fillId="0" borderId="35" xfId="0" applyNumberFormat="1" applyFont="1" applyBorder="1" applyAlignment="1">
      <alignment horizontal="right" vertical="center" wrapText="1" indent="1"/>
    </xf>
    <xf numFmtId="164" fontId="2" fillId="0" borderId="9" xfId="0" applyNumberFormat="1" applyFont="1" applyBorder="1" applyAlignment="1">
      <alignment horizontal="right" vertical="center" wrapText="1" indent="1"/>
    </xf>
    <xf numFmtId="6" fontId="2" fillId="0" borderId="15" xfId="0" applyNumberFormat="1" applyFont="1" applyBorder="1" applyAlignment="1">
      <alignment horizontal="right"/>
    </xf>
    <xf numFmtId="164" fontId="2" fillId="0" borderId="14" xfId="0" applyNumberFormat="1" applyFont="1" applyBorder="1" applyAlignment="1">
      <alignment horizontal="right" vertical="center" wrapText="1" indent="1"/>
    </xf>
    <xf numFmtId="164" fontId="2" fillId="0" borderId="15" xfId="0" applyNumberFormat="1" applyFont="1" applyBorder="1" applyAlignment="1">
      <alignment horizontal="right" vertical="center" wrapText="1" indent="1"/>
    </xf>
    <xf numFmtId="175" fontId="0" fillId="2" borderId="44" xfId="0" applyNumberFormat="1" applyFill="1" applyBorder="1" applyAlignment="1">
      <alignment horizontal="center"/>
    </xf>
    <xf numFmtId="175" fontId="0" fillId="0" borderId="20" xfId="0" applyNumberFormat="1" applyBorder="1" applyAlignment="1">
      <alignment horizontal="center"/>
    </xf>
    <xf numFmtId="173" fontId="0" fillId="0" borderId="62" xfId="0" applyNumberFormat="1" applyBorder="1" applyAlignment="1">
      <alignment horizontal="center"/>
    </xf>
    <xf numFmtId="175" fontId="0" fillId="2" borderId="40" xfId="0" applyNumberFormat="1" applyFill="1" applyBorder="1" applyAlignment="1">
      <alignment horizontal="center"/>
    </xf>
    <xf numFmtId="0" fontId="6" fillId="0" borderId="0" xfId="0" applyFont="1" applyAlignment="1">
      <alignment horizontal="center" vertical="center"/>
    </xf>
    <xf numFmtId="0" fontId="6" fillId="0" borderId="0" xfId="0" applyFont="1" applyAlignment="1">
      <alignment horizontal="center"/>
    </xf>
    <xf numFmtId="0" fontId="16" fillId="0" borderId="0" xfId="0" applyFont="1" applyAlignment="1">
      <alignment horizontal="center"/>
    </xf>
    <xf numFmtId="171" fontId="0" fillId="0" borderId="26" xfId="0" applyNumberFormat="1" applyBorder="1" applyAlignment="1">
      <alignment horizontal="center" vertical="center"/>
    </xf>
    <xf numFmtId="6" fontId="0" fillId="0" borderId="26" xfId="0" applyNumberFormat="1" applyBorder="1"/>
    <xf numFmtId="0" fontId="5" fillId="0" borderId="26" xfId="0" applyFont="1" applyBorder="1" applyAlignment="1">
      <alignment vertical="center"/>
    </xf>
    <xf numFmtId="0" fontId="8" fillId="0" borderId="0" xfId="2" applyFont="1" applyAlignment="1">
      <alignment horizontal="center" vertical="center"/>
    </xf>
    <xf numFmtId="171" fontId="0" fillId="0" borderId="26" xfId="0" applyNumberFormat="1" applyBorder="1"/>
    <xf numFmtId="0" fontId="0" fillId="4" borderId="26" xfId="0" applyFill="1" applyBorder="1" applyAlignment="1">
      <alignment horizontal="center" vertical="center"/>
    </xf>
    <xf numFmtId="6" fontId="0" fillId="4" borderId="26" xfId="0" applyNumberFormat="1" applyFill="1" applyBorder="1"/>
    <xf numFmtId="6" fontId="5" fillId="0" borderId="0" xfId="0" applyNumberFormat="1" applyFont="1"/>
    <xf numFmtId="0" fontId="0" fillId="0" borderId="23" xfId="0" applyBorder="1" applyAlignment="1">
      <alignment horizontal="left" vertical="top" wrapText="1"/>
    </xf>
    <xf numFmtId="0" fontId="2" fillId="0" borderId="63" xfId="0" applyFont="1" applyBorder="1" applyAlignment="1">
      <alignment horizontal="center" vertical="center" wrapText="1"/>
    </xf>
    <xf numFmtId="164" fontId="0" fillId="0" borderId="26" xfId="0" applyNumberFormat="1" applyBorder="1"/>
    <xf numFmtId="2" fontId="0" fillId="0" borderId="26" xfId="0" applyNumberFormat="1" applyBorder="1" applyAlignment="1">
      <alignment horizontal="center"/>
    </xf>
    <xf numFmtId="0" fontId="5" fillId="0" borderId="21" xfId="0" applyFont="1" applyBorder="1" applyAlignment="1">
      <alignment horizontal="center"/>
    </xf>
    <xf numFmtId="0" fontId="0" fillId="0" borderId="21" xfId="0" applyBorder="1" applyAlignment="1">
      <alignment horizontal="center"/>
    </xf>
    <xf numFmtId="0" fontId="0" fillId="0" borderId="23" xfId="0" applyBorder="1" applyAlignment="1">
      <alignment horizontal="left" vertical="top"/>
    </xf>
    <xf numFmtId="0" fontId="29" fillId="0" borderId="0" xfId="6" applyFont="1"/>
    <xf numFmtId="0" fontId="7" fillId="0" borderId="0" xfId="6"/>
    <xf numFmtId="0" fontId="31" fillId="0" borderId="0" xfId="140" applyFont="1" applyAlignment="1" applyProtection="1"/>
    <xf numFmtId="0" fontId="32" fillId="0" borderId="0" xfId="6" applyFont="1"/>
    <xf numFmtId="0" fontId="29" fillId="0" borderId="0" xfId="6" applyFont="1" applyAlignment="1">
      <alignment horizontal="center"/>
    </xf>
    <xf numFmtId="3" fontId="29" fillId="0" borderId="0" xfId="6" applyNumberFormat="1" applyFont="1" applyAlignment="1">
      <alignment horizontal="center"/>
    </xf>
    <xf numFmtId="2" fontId="29" fillId="0" borderId="0" xfId="6" applyNumberFormat="1" applyFont="1" applyAlignment="1">
      <alignment horizontal="center"/>
    </xf>
    <xf numFmtId="16" fontId="29" fillId="0" borderId="0" xfId="6" quotePrefix="1" applyNumberFormat="1" applyFont="1" applyAlignment="1">
      <alignment horizontal="center"/>
    </xf>
    <xf numFmtId="0" fontId="29" fillId="0" borderId="0" xfId="6" applyFont="1" applyAlignment="1">
      <alignment vertical="center"/>
    </xf>
    <xf numFmtId="0" fontId="25" fillId="0" borderId="0" xfId="138" applyAlignment="1" applyProtection="1"/>
    <xf numFmtId="0" fontId="0" fillId="0" borderId="67" xfId="0" applyBorder="1" applyAlignment="1">
      <alignment horizontal="center"/>
    </xf>
    <xf numFmtId="37" fontId="0" fillId="0" borderId="67" xfId="0" applyNumberFormat="1" applyBorder="1" applyAlignment="1">
      <alignment horizontal="center"/>
    </xf>
    <xf numFmtId="176" fontId="34" fillId="0" borderId="0" xfId="0" applyNumberFormat="1" applyFont="1" applyAlignment="1">
      <alignment horizontal="left" vertical="top" shrinkToFit="1"/>
    </xf>
    <xf numFmtId="0" fontId="35" fillId="6" borderId="71" xfId="0" applyFont="1" applyFill="1" applyBorder="1" applyAlignment="1">
      <alignment horizontal="right" vertical="top" wrapText="1" indent="2"/>
    </xf>
    <xf numFmtId="0" fontId="0" fillId="6" borderId="71" xfId="0" applyFill="1" applyBorder="1" applyAlignment="1">
      <alignment horizontal="center" vertical="top" wrapText="1"/>
    </xf>
    <xf numFmtId="0" fontId="0" fillId="0" borderId="71" xfId="0" applyBorder="1" applyAlignment="1">
      <alignment horizontal="left" wrapText="1"/>
    </xf>
    <xf numFmtId="0" fontId="0" fillId="0" borderId="71" xfId="0" applyBorder="1" applyAlignment="1">
      <alignment horizontal="left" vertical="top" wrapText="1"/>
    </xf>
    <xf numFmtId="0" fontId="36" fillId="0" borderId="71" xfId="0" applyFont="1" applyBorder="1" applyAlignment="1">
      <alignment horizontal="center" vertical="top" wrapText="1"/>
    </xf>
    <xf numFmtId="3" fontId="37" fillId="0" borderId="71" xfId="0" applyNumberFormat="1" applyFont="1" applyBorder="1" applyAlignment="1">
      <alignment horizontal="center" vertical="top" shrinkToFit="1"/>
    </xf>
    <xf numFmtId="0" fontId="0" fillId="0" borderId="71" xfId="0" applyBorder="1" applyAlignment="1">
      <alignment horizontal="center" vertical="top" wrapText="1"/>
    </xf>
    <xf numFmtId="1" fontId="37" fillId="0" borderId="71" xfId="0" applyNumberFormat="1" applyFont="1" applyBorder="1" applyAlignment="1">
      <alignment horizontal="center" vertical="top" shrinkToFit="1"/>
    </xf>
    <xf numFmtId="0" fontId="35" fillId="0" borderId="71" xfId="0" applyFont="1" applyBorder="1" applyAlignment="1">
      <alignment horizontal="left" vertical="top" wrapText="1"/>
    </xf>
    <xf numFmtId="0" fontId="36" fillId="0" borderId="71" xfId="0" applyFont="1" applyBorder="1" applyAlignment="1">
      <alignment horizontal="left" vertical="top" wrapText="1"/>
    </xf>
    <xf numFmtId="0" fontId="0" fillId="6" borderId="68" xfId="0" applyFill="1" applyBorder="1" applyAlignment="1">
      <alignment wrapText="1"/>
    </xf>
    <xf numFmtId="0" fontId="0" fillId="6" borderId="69" xfId="0" applyFill="1" applyBorder="1" applyAlignment="1">
      <alignment wrapText="1"/>
    </xf>
    <xf numFmtId="6" fontId="2" fillId="0" borderId="67" xfId="0" applyNumberFormat="1" applyFont="1" applyBorder="1" applyAlignment="1">
      <alignment horizontal="center" vertical="center" wrapText="1"/>
    </xf>
    <xf numFmtId="164" fontId="2" fillId="0" borderId="64" xfId="0" applyNumberFormat="1" applyFont="1" applyBorder="1" applyAlignment="1">
      <alignment horizontal="center" vertical="center"/>
    </xf>
    <xf numFmtId="8" fontId="2" fillId="0" borderId="67" xfId="0" applyNumberFormat="1" applyFont="1" applyBorder="1" applyAlignment="1">
      <alignment horizontal="center" vertical="center" wrapText="1"/>
    </xf>
    <xf numFmtId="164" fontId="2" fillId="0" borderId="18" xfId="0" applyNumberFormat="1" applyFont="1" applyBorder="1" applyAlignment="1">
      <alignment horizontal="center"/>
    </xf>
    <xf numFmtId="1" fontId="2" fillId="0" borderId="6" xfId="0" applyNumberFormat="1" applyFont="1" applyBorder="1" applyAlignment="1">
      <alignment horizontal="center"/>
    </xf>
    <xf numFmtId="0" fontId="6" fillId="0" borderId="0" xfId="0" applyFont="1" applyAlignment="1">
      <alignment horizontal="right"/>
    </xf>
    <xf numFmtId="0" fontId="16" fillId="0" borderId="0" xfId="0" applyFont="1" applyAlignment="1">
      <alignment horizontal="right"/>
    </xf>
    <xf numFmtId="0" fontId="6" fillId="0" borderId="0" xfId="0" applyFont="1" applyAlignment="1">
      <alignment horizontal="left" vertical="center" wrapText="1"/>
    </xf>
    <xf numFmtId="0" fontId="6" fillId="0" borderId="0" xfId="0" applyFont="1" applyAlignment="1">
      <alignment vertical="top" wrapText="1"/>
    </xf>
    <xf numFmtId="0" fontId="6" fillId="0" borderId="0" xfId="2" applyFont="1" applyAlignment="1">
      <alignment horizontal="right"/>
    </xf>
    <xf numFmtId="0" fontId="6" fillId="0" borderId="0" xfId="2" applyFont="1" applyAlignment="1">
      <alignment horizontal="left" vertical="top"/>
    </xf>
    <xf numFmtId="167" fontId="21" fillId="0" borderId="0" xfId="2" applyNumberFormat="1" applyFont="1" applyAlignment="1">
      <alignment horizontal="left" vertical="top"/>
    </xf>
    <xf numFmtId="164" fontId="0" fillId="0" borderId="26" xfId="0" applyNumberFormat="1" applyBorder="1" applyAlignment="1">
      <alignment horizontal="center"/>
    </xf>
    <xf numFmtId="170" fontId="0" fillId="0" borderId="26" xfId="0" applyNumberFormat="1" applyBorder="1" applyAlignment="1">
      <alignment horizontal="center"/>
    </xf>
    <xf numFmtId="0" fontId="2" fillId="0" borderId="5" xfId="0" applyFont="1" applyBorder="1" applyAlignment="1">
      <alignment horizontal="center" vertical="center"/>
    </xf>
    <xf numFmtId="6" fontId="2" fillId="0" borderId="18" xfId="1" applyNumberFormat="1" applyFont="1" applyFill="1" applyBorder="1" applyAlignment="1">
      <alignment horizontal="right"/>
    </xf>
    <xf numFmtId="9" fontId="0" fillId="0" borderId="0" xfId="137" applyFont="1"/>
    <xf numFmtId="0" fontId="5" fillId="0" borderId="26" xfId="0" applyFont="1" applyBorder="1" applyAlignment="1">
      <alignment horizontal="left"/>
    </xf>
    <xf numFmtId="164" fontId="5" fillId="0" borderId="26" xfId="0" applyNumberFormat="1" applyFont="1" applyBorder="1" applyAlignment="1">
      <alignment horizontal="center"/>
    </xf>
    <xf numFmtId="0" fontId="2" fillId="0" borderId="7" xfId="0" applyFont="1" applyBorder="1" applyAlignment="1">
      <alignment horizontal="center" vertical="center"/>
    </xf>
    <xf numFmtId="6" fontId="2" fillId="0" borderId="19" xfId="1" applyNumberFormat="1" applyFont="1" applyFill="1" applyBorder="1" applyAlignment="1">
      <alignment horizontal="right"/>
    </xf>
    <xf numFmtId="37" fontId="0" fillId="0" borderId="23" xfId="136" applyNumberFormat="1" applyFont="1" applyFill="1" applyBorder="1" applyAlignment="1">
      <alignment horizontal="center"/>
    </xf>
    <xf numFmtId="9" fontId="0" fillId="0" borderId="0" xfId="137" applyFont="1" applyBorder="1" applyAlignment="1">
      <alignment horizontal="center"/>
    </xf>
    <xf numFmtId="169" fontId="0" fillId="0" borderId="0" xfId="136" applyNumberFormat="1" applyFont="1"/>
    <xf numFmtId="10" fontId="0" fillId="0" borderId="0" xfId="137" applyNumberFormat="1" applyFont="1" applyBorder="1" applyAlignment="1">
      <alignment horizontal="center"/>
    </xf>
    <xf numFmtId="44" fontId="0" fillId="0" borderId="0" xfId="0" applyNumberFormat="1"/>
    <xf numFmtId="0" fontId="13" fillId="0" borderId="0" xfId="0" applyFont="1" applyAlignment="1">
      <alignment horizontal="center"/>
    </xf>
    <xf numFmtId="0" fontId="39" fillId="0" borderId="0" xfId="0" applyFont="1"/>
    <xf numFmtId="0" fontId="39" fillId="0" borderId="23" xfId="0" applyFont="1" applyBorder="1"/>
    <xf numFmtId="0" fontId="0" fillId="0" borderId="26" xfId="0" applyBorder="1" applyAlignment="1">
      <alignment horizontal="right"/>
    </xf>
    <xf numFmtId="0" fontId="6" fillId="0" borderId="23" xfId="0" applyFont="1" applyBorder="1" applyAlignment="1">
      <alignment horizontal="center"/>
    </xf>
    <xf numFmtId="0" fontId="2" fillId="0" borderId="9" xfId="0" applyFont="1" applyBorder="1" applyAlignment="1">
      <alignment horizontal="center" vertical="center"/>
    </xf>
    <xf numFmtId="6" fontId="2" fillId="0" borderId="20" xfId="1" applyNumberFormat="1" applyFont="1" applyFill="1" applyBorder="1" applyAlignment="1">
      <alignment horizontal="right"/>
    </xf>
    <xf numFmtId="0" fontId="0" fillId="0" borderId="72" xfId="0" applyBorder="1" applyAlignment="1">
      <alignment horizontal="center" vertical="center"/>
    </xf>
    <xf numFmtId="0" fontId="0" fillId="0" borderId="26" xfId="0" applyBorder="1" applyAlignment="1">
      <alignment horizontal="left" vertical="center"/>
    </xf>
    <xf numFmtId="164" fontId="0" fillId="0" borderId="26" xfId="0" applyNumberFormat="1" applyBorder="1" applyAlignment="1">
      <alignment horizontal="right"/>
    </xf>
    <xf numFmtId="0" fontId="0" fillId="0" borderId="0" xfId="0" applyAlignment="1">
      <alignment horizontal="left" vertical="center"/>
    </xf>
    <xf numFmtId="164" fontId="0" fillId="0" borderId="0" xfId="0" applyNumberFormat="1" applyAlignment="1">
      <alignment horizontal="right"/>
    </xf>
    <xf numFmtId="0" fontId="2" fillId="0" borderId="73" xfId="0" applyFont="1" applyBorder="1" applyAlignment="1">
      <alignment horizontal="center" vertical="center"/>
    </xf>
    <xf numFmtId="6" fontId="2" fillId="0" borderId="64" xfId="1" applyNumberFormat="1" applyFont="1" applyFill="1" applyBorder="1" applyAlignment="1">
      <alignment horizontal="right"/>
    </xf>
    <xf numFmtId="0" fontId="10" fillId="0" borderId="26" xfId="2" applyFont="1" applyBorder="1" applyAlignment="1">
      <alignment horizontal="center" vertical="center"/>
    </xf>
    <xf numFmtId="172" fontId="10" fillId="0" borderId="26" xfId="2" applyNumberFormat="1" applyFont="1" applyBorder="1" applyAlignment="1">
      <alignment horizontal="center" vertical="center"/>
    </xf>
    <xf numFmtId="2" fontId="10" fillId="0" borderId="26" xfId="2" applyNumberFormat="1" applyFont="1" applyBorder="1" applyAlignment="1">
      <alignment horizontal="center" vertical="center"/>
    </xf>
    <xf numFmtId="170" fontId="10" fillId="0" borderId="26" xfId="2" applyNumberFormat="1" applyFont="1" applyBorder="1" applyAlignment="1">
      <alignment horizontal="left" vertical="center"/>
    </xf>
    <xf numFmtId="0" fontId="0" fillId="0" borderId="68" xfId="0" applyBorder="1" applyAlignment="1">
      <alignment horizontal="left" wrapText="1"/>
    </xf>
    <xf numFmtId="0" fontId="25" fillId="0" borderId="59" xfId="138" applyFill="1" applyBorder="1"/>
    <xf numFmtId="0" fontId="0" fillId="0" borderId="74" xfId="0" applyBorder="1" applyAlignment="1">
      <alignment horizontal="left" wrapText="1"/>
    </xf>
    <xf numFmtId="0" fontId="0" fillId="0" borderId="74" xfId="0" applyBorder="1" applyAlignment="1">
      <alignment horizontal="center" wrapText="1"/>
    </xf>
    <xf numFmtId="0" fontId="0" fillId="0" borderId="75" xfId="0" applyBorder="1" applyAlignment="1">
      <alignment horizontal="left" wrapText="1"/>
    </xf>
    <xf numFmtId="44" fontId="0" fillId="0" borderId="71" xfId="1" applyFont="1" applyBorder="1" applyAlignment="1">
      <alignment horizontal="center" vertical="top" wrapText="1"/>
    </xf>
    <xf numFmtId="44" fontId="0" fillId="0" borderId="68" xfId="1" applyFont="1" applyBorder="1" applyAlignment="1">
      <alignment horizontal="center" vertical="top" wrapText="1"/>
    </xf>
    <xf numFmtId="0" fontId="0" fillId="0" borderId="38" xfId="0" applyBorder="1"/>
    <xf numFmtId="0" fontId="0" fillId="6" borderId="74" xfId="0" applyFill="1" applyBorder="1" applyAlignment="1">
      <alignment horizontal="center" vertical="top" wrapText="1"/>
    </xf>
    <xf numFmtId="173" fontId="37" fillId="0" borderId="71" xfId="0" applyNumberFormat="1" applyFont="1" applyBorder="1" applyAlignment="1">
      <alignment horizontal="center" vertical="top" shrinkToFit="1"/>
    </xf>
    <xf numFmtId="0" fontId="0" fillId="0" borderId="68" xfId="0" applyBorder="1" applyAlignment="1">
      <alignment vertical="top" wrapText="1"/>
    </xf>
    <xf numFmtId="0" fontId="0" fillId="0" borderId="76" xfId="0" applyBorder="1" applyAlignment="1">
      <alignment vertical="top" wrapText="1"/>
    </xf>
    <xf numFmtId="0" fontId="35" fillId="0" borderId="74" xfId="0" applyFont="1" applyBorder="1" applyAlignment="1">
      <alignment horizontal="left" vertical="top" wrapText="1"/>
    </xf>
    <xf numFmtId="0" fontId="0" fillId="0" borderId="76" xfId="0" applyBorder="1" applyAlignment="1">
      <alignment horizontal="left" wrapText="1"/>
    </xf>
    <xf numFmtId="164" fontId="0" fillId="0" borderId="22" xfId="0" applyNumberFormat="1" applyBorder="1" applyAlignment="1">
      <alignment horizontal="center"/>
    </xf>
    <xf numFmtId="0" fontId="0" fillId="0" borderId="77" xfId="0" applyBorder="1" applyAlignment="1">
      <alignment vertical="top" wrapText="1"/>
    </xf>
    <xf numFmtId="164" fontId="0" fillId="0" borderId="25" xfId="0" applyNumberFormat="1" applyBorder="1" applyAlignment="1">
      <alignment horizontal="center"/>
    </xf>
    <xf numFmtId="0" fontId="0" fillId="0" borderId="75" xfId="0" applyBorder="1" applyAlignment="1">
      <alignment horizontal="left" vertical="top" wrapText="1"/>
    </xf>
    <xf numFmtId="0" fontId="36" fillId="0" borderId="75" xfId="0" applyFont="1" applyBorder="1" applyAlignment="1">
      <alignment horizontal="center" vertical="top" wrapText="1"/>
    </xf>
    <xf numFmtId="173" fontId="37" fillId="0" borderId="75" xfId="0" applyNumberFormat="1" applyFont="1" applyBorder="1" applyAlignment="1">
      <alignment horizontal="center" vertical="top" shrinkToFit="1"/>
    </xf>
    <xf numFmtId="44" fontId="0" fillId="0" borderId="75" xfId="1" applyFont="1" applyBorder="1" applyAlignment="1">
      <alignment horizontal="center" vertical="top" wrapText="1"/>
    </xf>
    <xf numFmtId="0" fontId="0" fillId="0" borderId="26" xfId="0" applyBorder="1" applyAlignment="1">
      <alignment horizontal="left" vertical="top"/>
    </xf>
    <xf numFmtId="0" fontId="0" fillId="0" borderId="75" xfId="0" quotePrefix="1" applyBorder="1" applyAlignment="1">
      <alignment horizontal="left" vertical="top" wrapText="1"/>
    </xf>
    <xf numFmtId="9" fontId="36" fillId="0" borderId="75" xfId="0" applyNumberFormat="1" applyFont="1" applyBorder="1" applyAlignment="1">
      <alignment horizontal="center" vertical="top" wrapText="1"/>
    </xf>
    <xf numFmtId="0" fontId="0" fillId="0" borderId="26" xfId="0" applyBorder="1" applyAlignment="1">
      <alignment vertical="top" wrapText="1"/>
    </xf>
    <xf numFmtId="0" fontId="35" fillId="0" borderId="26" xfId="0" applyFont="1" applyBorder="1" applyAlignment="1">
      <alignment horizontal="left" vertical="top" wrapText="1"/>
    </xf>
    <xf numFmtId="0" fontId="0" fillId="0" borderId="26" xfId="0" applyBorder="1" applyAlignment="1">
      <alignment horizontal="left" wrapText="1"/>
    </xf>
    <xf numFmtId="44" fontId="5" fillId="0" borderId="26" xfId="1" applyFont="1" applyBorder="1"/>
    <xf numFmtId="0" fontId="0" fillId="0" borderId="74" xfId="0" applyBorder="1" applyAlignment="1">
      <alignment horizontal="left" vertical="top" wrapText="1"/>
    </xf>
    <xf numFmtId="0" fontId="36" fillId="0" borderId="74" xfId="0" applyFont="1" applyBorder="1" applyAlignment="1">
      <alignment horizontal="center" vertical="top" wrapText="1"/>
    </xf>
    <xf numFmtId="1" fontId="37" fillId="0" borderId="74" xfId="0" applyNumberFormat="1" applyFont="1" applyBorder="1" applyAlignment="1">
      <alignment horizontal="center" vertical="top" shrinkToFit="1"/>
    </xf>
    <xf numFmtId="44" fontId="0" fillId="0" borderId="74" xfId="1" applyFont="1" applyBorder="1" applyAlignment="1">
      <alignment horizontal="center" vertical="top" wrapText="1"/>
    </xf>
    <xf numFmtId="1" fontId="37" fillId="0" borderId="75" xfId="0" applyNumberFormat="1" applyFont="1" applyBorder="1" applyAlignment="1">
      <alignment horizontal="center" vertical="top" shrinkToFit="1"/>
    </xf>
    <xf numFmtId="0" fontId="0" fillId="0" borderId="78" xfId="0" applyBorder="1" applyAlignment="1">
      <alignment horizontal="left" wrapText="1"/>
    </xf>
    <xf numFmtId="0" fontId="0" fillId="0" borderId="79" xfId="0" applyBorder="1" applyAlignment="1">
      <alignment horizontal="left" vertical="top" wrapText="1"/>
    </xf>
    <xf numFmtId="0" fontId="36" fillId="0" borderId="79" xfId="0" applyFont="1" applyBorder="1" applyAlignment="1">
      <alignment horizontal="center" vertical="top" wrapText="1"/>
    </xf>
    <xf numFmtId="1" fontId="37" fillId="0" borderId="79" xfId="0" applyNumberFormat="1" applyFont="1" applyBorder="1" applyAlignment="1">
      <alignment horizontal="center" vertical="top" shrinkToFit="1"/>
    </xf>
    <xf numFmtId="44" fontId="0" fillId="0" borderId="79" xfId="1" applyFont="1" applyBorder="1" applyAlignment="1">
      <alignment horizontal="center" vertical="top" wrapText="1"/>
    </xf>
    <xf numFmtId="164" fontId="0" fillId="0" borderId="37" xfId="0" applyNumberFormat="1" applyBorder="1" applyAlignment="1">
      <alignment horizontal="center"/>
    </xf>
    <xf numFmtId="0" fontId="5" fillId="0" borderId="23" xfId="0" applyFont="1" applyBorder="1" applyAlignment="1">
      <alignment horizontal="left"/>
    </xf>
    <xf numFmtId="0" fontId="0" fillId="6" borderId="80" xfId="0" applyFill="1" applyBorder="1" applyAlignment="1">
      <alignment horizontal="center" vertical="top" wrapText="1"/>
    </xf>
    <xf numFmtId="0" fontId="35" fillId="0" borderId="78" xfId="0" applyFont="1" applyBorder="1" applyAlignment="1">
      <alignment horizontal="left" vertical="top" wrapText="1"/>
    </xf>
    <xf numFmtId="0" fontId="0" fillId="0" borderId="79" xfId="0" applyBorder="1" applyAlignment="1">
      <alignment horizontal="left" wrapText="1"/>
    </xf>
    <xf numFmtId="164" fontId="0" fillId="0" borderId="29" xfId="0" applyNumberFormat="1" applyBorder="1" applyAlignment="1">
      <alignment horizontal="center"/>
    </xf>
    <xf numFmtId="9" fontId="36" fillId="0" borderId="74" xfId="137" applyFont="1" applyBorder="1" applyAlignment="1">
      <alignment horizontal="center" vertical="top" wrapText="1"/>
    </xf>
    <xf numFmtId="9" fontId="37" fillId="0" borderId="81" xfId="0" applyNumberFormat="1" applyFont="1" applyBorder="1" applyAlignment="1">
      <alignment vertical="top" shrinkToFit="1"/>
    </xf>
    <xf numFmtId="0" fontId="0" fillId="0" borderId="76" xfId="0" applyBorder="1" applyAlignment="1">
      <alignment horizontal="center" vertical="top" wrapText="1"/>
    </xf>
    <xf numFmtId="0" fontId="0" fillId="0" borderId="75" xfId="0" applyBorder="1" applyAlignment="1">
      <alignment horizontal="center" vertical="top" wrapText="1"/>
    </xf>
    <xf numFmtId="0" fontId="0" fillId="0" borderId="83" xfId="0" applyBorder="1" applyAlignment="1">
      <alignment horizontal="left" wrapText="1"/>
    </xf>
    <xf numFmtId="0" fontId="36" fillId="0" borderId="74" xfId="0" applyFont="1" applyBorder="1" applyAlignment="1">
      <alignment horizontal="left" vertical="top" wrapText="1"/>
    </xf>
    <xf numFmtId="173" fontId="37" fillId="0" borderId="74" xfId="0" applyNumberFormat="1" applyFont="1" applyBorder="1" applyAlignment="1">
      <alignment horizontal="center" vertical="top" shrinkToFit="1"/>
    </xf>
    <xf numFmtId="0" fontId="36" fillId="0" borderId="75" xfId="0" applyFont="1" applyBorder="1" applyAlignment="1">
      <alignment horizontal="left" vertical="top" wrapText="1"/>
    </xf>
    <xf numFmtId="0" fontId="36" fillId="0" borderId="77" xfId="0" applyFont="1" applyBorder="1" applyAlignment="1">
      <alignment horizontal="center" vertical="top" wrapText="1"/>
    </xf>
    <xf numFmtId="173" fontId="37" fillId="0" borderId="82" xfId="0" applyNumberFormat="1" applyFont="1" applyBorder="1" applyAlignment="1">
      <alignment horizontal="center" vertical="top" shrinkToFit="1"/>
    </xf>
    <xf numFmtId="164" fontId="0" fillId="0" borderId="24" xfId="0" applyNumberFormat="1" applyBorder="1" applyAlignment="1">
      <alignment horizontal="center"/>
    </xf>
    <xf numFmtId="0" fontId="0" fillId="6" borderId="85" xfId="0" applyFill="1" applyBorder="1" applyAlignment="1">
      <alignment horizontal="left" vertical="top" wrapText="1"/>
    </xf>
    <xf numFmtId="0" fontId="0" fillId="6" borderId="22" xfId="0" applyFill="1" applyBorder="1" applyAlignment="1">
      <alignment wrapText="1"/>
    </xf>
    <xf numFmtId="44" fontId="0" fillId="6" borderId="22" xfId="1" applyFont="1" applyFill="1" applyBorder="1" applyAlignment="1">
      <alignment wrapText="1"/>
    </xf>
    <xf numFmtId="3" fontId="37" fillId="0" borderId="74" xfId="0" applyNumberFormat="1" applyFont="1" applyBorder="1" applyAlignment="1">
      <alignment horizontal="center" vertical="top" shrinkToFit="1"/>
    </xf>
    <xf numFmtId="0" fontId="0" fillId="0" borderId="74" xfId="0" applyBorder="1" applyAlignment="1">
      <alignment horizontal="center" vertical="top" wrapText="1"/>
    </xf>
    <xf numFmtId="0" fontId="10" fillId="0" borderId="7" xfId="0" applyFont="1" applyBorder="1" applyAlignment="1">
      <alignment vertical="center"/>
    </xf>
    <xf numFmtId="164" fontId="0" fillId="0" borderId="29" xfId="0" applyNumberFormat="1" applyBorder="1"/>
    <xf numFmtId="0" fontId="35" fillId="0" borderId="86" xfId="0" applyFont="1" applyBorder="1" applyAlignment="1">
      <alignment horizontal="left" vertical="top" wrapText="1"/>
    </xf>
    <xf numFmtId="0" fontId="0" fillId="0" borderId="26" xfId="0" quotePrefix="1" applyBorder="1" applyAlignment="1">
      <alignment horizontal="left" vertical="top" wrapText="1"/>
    </xf>
    <xf numFmtId="164" fontId="0" fillId="0" borderId="21" xfId="0" applyNumberFormat="1" applyBorder="1" applyAlignment="1">
      <alignment horizontal="center"/>
    </xf>
    <xf numFmtId="0" fontId="35" fillId="0" borderId="87" xfId="0" applyFont="1" applyBorder="1" applyAlignment="1">
      <alignment horizontal="left" vertical="top" wrapText="1"/>
    </xf>
    <xf numFmtId="164" fontId="0" fillId="0" borderId="46" xfId="0" applyNumberFormat="1" applyBorder="1" applyAlignment="1">
      <alignment horizontal="center"/>
    </xf>
    <xf numFmtId="164" fontId="0" fillId="0" borderId="88" xfId="0" applyNumberFormat="1" applyBorder="1" applyAlignment="1">
      <alignment horizontal="center"/>
    </xf>
    <xf numFmtId="164" fontId="0" fillId="0" borderId="28" xfId="0" applyNumberFormat="1" applyBorder="1" applyAlignment="1">
      <alignment horizontal="center"/>
    </xf>
    <xf numFmtId="164" fontId="0" fillId="0" borderId="17" xfId="0" applyNumberFormat="1" applyBorder="1" applyAlignment="1">
      <alignment horizontal="center"/>
    </xf>
    <xf numFmtId="0" fontId="0" fillId="0" borderId="22" xfId="0" applyBorder="1"/>
    <xf numFmtId="0" fontId="0" fillId="0" borderId="80" xfId="0" quotePrefix="1" applyBorder="1" applyAlignment="1">
      <alignment horizontal="left" vertical="top" wrapText="1"/>
    </xf>
    <xf numFmtId="0" fontId="0" fillId="0" borderId="16" xfId="0" applyBorder="1" applyAlignment="1">
      <alignment horizontal="center"/>
    </xf>
    <xf numFmtId="1" fontId="0" fillId="0" borderId="19" xfId="0" applyNumberFormat="1" applyBorder="1" applyAlignment="1">
      <alignment horizontal="center"/>
    </xf>
    <xf numFmtId="1" fontId="0" fillId="0" borderId="20" xfId="0" applyNumberFormat="1" applyBorder="1" applyAlignment="1">
      <alignment horizontal="center"/>
    </xf>
    <xf numFmtId="0" fontId="10" fillId="0" borderId="22" xfId="1" applyNumberFormat="1" applyFont="1" applyFill="1" applyBorder="1" applyAlignment="1">
      <alignment horizontal="center"/>
    </xf>
    <xf numFmtId="0" fontId="10" fillId="0" borderId="24" xfId="1" applyNumberFormat="1" applyFont="1" applyFill="1" applyBorder="1" applyAlignment="1">
      <alignment horizontal="center"/>
    </xf>
    <xf numFmtId="0" fontId="10" fillId="0" borderId="25" xfId="1" applyNumberFormat="1" applyFont="1" applyFill="1" applyBorder="1" applyAlignment="1">
      <alignment horizontal="center"/>
    </xf>
    <xf numFmtId="165" fontId="10" fillId="0" borderId="26" xfId="1" applyNumberFormat="1" applyFont="1" applyFill="1" applyBorder="1" applyAlignment="1">
      <alignment horizontal="center"/>
    </xf>
    <xf numFmtId="0" fontId="8" fillId="0" borderId="35" xfId="0" applyFont="1" applyBorder="1" applyAlignment="1">
      <alignment horizontal="left"/>
    </xf>
    <xf numFmtId="165" fontId="9" fillId="0" borderId="58" xfId="1" applyNumberFormat="1" applyFont="1" applyFill="1" applyBorder="1" applyAlignment="1" applyProtection="1">
      <alignment vertical="center"/>
    </xf>
    <xf numFmtId="0" fontId="10" fillId="0" borderId="53" xfId="0" applyFont="1" applyBorder="1" applyAlignment="1">
      <alignment vertical="center"/>
    </xf>
    <xf numFmtId="2" fontId="10" fillId="0" borderId="22" xfId="0" applyNumberFormat="1" applyFont="1" applyBorder="1" applyAlignment="1">
      <alignment horizontal="center"/>
    </xf>
    <xf numFmtId="2" fontId="10" fillId="0" borderId="24" xfId="0" applyNumberFormat="1" applyFont="1" applyBorder="1" applyAlignment="1">
      <alignment horizontal="center"/>
    </xf>
    <xf numFmtId="2" fontId="10" fillId="0" borderId="25" xfId="0" applyNumberFormat="1" applyFont="1" applyBorder="1" applyAlignment="1">
      <alignment horizontal="center"/>
    </xf>
    <xf numFmtId="6" fontId="0" fillId="0" borderId="0" xfId="0" applyNumberFormat="1" applyAlignment="1">
      <alignment vertical="top" wrapText="1"/>
    </xf>
    <xf numFmtId="0" fontId="25" fillId="0" borderId="0" xfId="138" applyFill="1" applyBorder="1"/>
    <xf numFmtId="0" fontId="5" fillId="0" borderId="59" xfId="0" applyFont="1" applyBorder="1" applyAlignment="1">
      <alignment horizontal="center"/>
    </xf>
    <xf numFmtId="0" fontId="5" fillId="0" borderId="65" xfId="0" applyFont="1" applyBorder="1"/>
    <xf numFmtId="0" fontId="5" fillId="0" borderId="28" xfId="0" applyFont="1" applyBorder="1"/>
    <xf numFmtId="0" fontId="0" fillId="0" borderId="59" xfId="0" applyBorder="1"/>
    <xf numFmtId="6" fontId="0" fillId="0" borderId="21" xfId="0" applyNumberFormat="1" applyBorder="1"/>
    <xf numFmtId="6" fontId="0" fillId="0" borderId="46" xfId="0" applyNumberFormat="1" applyBorder="1"/>
    <xf numFmtId="0" fontId="5" fillId="0" borderId="66" xfId="0" applyFont="1" applyBorder="1"/>
    <xf numFmtId="0" fontId="0" fillId="0" borderId="65" xfId="0" applyBorder="1" applyAlignment="1">
      <alignment vertical="top"/>
    </xf>
    <xf numFmtId="0" fontId="0" fillId="0" borderId="28" xfId="0" applyBorder="1" applyAlignment="1">
      <alignment horizontal="center" vertical="top"/>
    </xf>
    <xf numFmtId="0" fontId="0" fillId="0" borderId="59" xfId="0" applyBorder="1" applyAlignment="1">
      <alignment vertical="top"/>
    </xf>
    <xf numFmtId="3" fontId="0" fillId="0" borderId="21" xfId="0" applyNumberFormat="1" applyBorder="1" applyAlignment="1">
      <alignment horizontal="center" vertical="top"/>
    </xf>
    <xf numFmtId="0" fontId="0" fillId="0" borderId="66" xfId="0" applyBorder="1" applyAlignment="1">
      <alignment vertical="top"/>
    </xf>
    <xf numFmtId="3" fontId="0" fillId="0" borderId="46" xfId="0" applyNumberFormat="1" applyBorder="1" applyAlignment="1">
      <alignment horizontal="center" vertical="top"/>
    </xf>
    <xf numFmtId="3" fontId="2" fillId="0" borderId="0" xfId="0" applyNumberFormat="1" applyFont="1"/>
    <xf numFmtId="174" fontId="2" fillId="0" borderId="0" xfId="0" applyNumberFormat="1" applyFont="1"/>
    <xf numFmtId="0" fontId="5" fillId="0" borderId="8" xfId="0" applyFont="1" applyBorder="1" applyAlignment="1">
      <alignment horizontal="center"/>
    </xf>
    <xf numFmtId="2" fontId="0" fillId="0" borderId="23" xfId="0" applyNumberFormat="1" applyBorder="1"/>
    <xf numFmtId="2" fontId="0" fillId="0" borderId="0" xfId="0" applyNumberFormat="1"/>
    <xf numFmtId="2" fontId="0" fillId="0" borderId="72" xfId="0" applyNumberFormat="1" applyBorder="1"/>
    <xf numFmtId="0" fontId="0" fillId="0" borderId="65" xfId="0" applyBorder="1" applyAlignment="1">
      <alignment wrapText="1"/>
    </xf>
    <xf numFmtId="0" fontId="0" fillId="0" borderId="25" xfId="0" applyBorder="1" applyAlignment="1">
      <alignment horizontal="center" wrapText="1"/>
    </xf>
    <xf numFmtId="1" fontId="0" fillId="0" borderId="26" xfId="0" applyNumberFormat="1" applyBorder="1"/>
    <xf numFmtId="175" fontId="0" fillId="0" borderId="22" xfId="0" applyNumberFormat="1" applyBorder="1"/>
    <xf numFmtId="0" fontId="41" fillId="0" borderId="0" xfId="0" applyFont="1" applyAlignment="1">
      <alignment horizontal="center" vertical="center" wrapText="1"/>
    </xf>
    <xf numFmtId="164" fontId="42" fillId="0" borderId="0" xfId="0" applyNumberFormat="1" applyFont="1" applyAlignment="1">
      <alignment horizontal="right" vertical="center" wrapText="1"/>
    </xf>
    <xf numFmtId="44" fontId="0" fillId="0" borderId="0" xfId="1" applyFont="1"/>
    <xf numFmtId="37" fontId="2" fillId="0" borderId="6" xfId="136" applyNumberFormat="1" applyFont="1" applyFill="1" applyBorder="1" applyAlignment="1">
      <alignment horizontal="center"/>
    </xf>
    <xf numFmtId="37" fontId="2" fillId="0" borderId="8" xfId="136" applyNumberFormat="1" applyFont="1" applyFill="1" applyBorder="1" applyAlignment="1">
      <alignment horizontal="center"/>
    </xf>
    <xf numFmtId="37" fontId="2" fillId="0" borderId="10" xfId="136" applyNumberFormat="1" applyFont="1" applyFill="1" applyBorder="1" applyAlignment="1">
      <alignment horizontal="center"/>
    </xf>
    <xf numFmtId="1" fontId="0" fillId="0" borderId="22" xfId="0" applyNumberFormat="1" applyBorder="1"/>
    <xf numFmtId="37" fontId="0" fillId="0" borderId="26" xfId="136" applyNumberFormat="1" applyFont="1" applyFill="1" applyBorder="1" applyAlignment="1">
      <alignment horizontal="center"/>
    </xf>
    <xf numFmtId="0" fontId="0" fillId="0" borderId="28" xfId="0" applyBorder="1" applyAlignment="1">
      <alignment horizontal="center"/>
    </xf>
    <xf numFmtId="6" fontId="2" fillId="0" borderId="89" xfId="0" applyNumberFormat="1" applyFont="1" applyBorder="1" applyAlignment="1">
      <alignment horizontal="right"/>
    </xf>
    <xf numFmtId="6" fontId="2" fillId="0" borderId="90" xfId="0" applyNumberFormat="1" applyFont="1" applyBorder="1" applyAlignment="1">
      <alignment horizontal="right"/>
    </xf>
    <xf numFmtId="6" fontId="2" fillId="0" borderId="91" xfId="0" applyNumberFormat="1" applyFont="1" applyBorder="1" applyAlignment="1">
      <alignment horizontal="right"/>
    </xf>
    <xf numFmtId="6" fontId="2" fillId="0" borderId="92" xfId="0" applyNumberFormat="1" applyFont="1" applyBorder="1" applyAlignment="1">
      <alignment horizontal="right"/>
    </xf>
    <xf numFmtId="0" fontId="43" fillId="0" borderId="0" xfId="141"/>
    <xf numFmtId="0" fontId="7" fillId="0" borderId="102" xfId="141" applyFont="1" applyBorder="1" applyAlignment="1">
      <alignment horizontal="center"/>
    </xf>
    <xf numFmtId="0" fontId="7" fillId="0" borderId="103" xfId="141" applyFont="1" applyBorder="1" applyAlignment="1">
      <alignment horizontal="center"/>
    </xf>
    <xf numFmtId="0" fontId="7" fillId="0" borderId="104" xfId="141" applyFont="1" applyBorder="1" applyAlignment="1">
      <alignment horizontal="left"/>
    </xf>
    <xf numFmtId="0" fontId="7" fillId="0" borderId="0" xfId="141" applyFont="1" applyAlignment="1">
      <alignment horizontal="center"/>
    </xf>
    <xf numFmtId="0" fontId="7" fillId="0" borderId="105" xfId="141" applyFont="1" applyBorder="1" applyAlignment="1">
      <alignment horizontal="center"/>
    </xf>
    <xf numFmtId="0" fontId="7" fillId="0" borderId="0" xfId="141" applyFont="1"/>
    <xf numFmtId="0" fontId="7" fillId="0" borderId="0" xfId="141" applyFont="1" applyAlignment="1">
      <alignment horizontal="left"/>
    </xf>
    <xf numFmtId="0" fontId="7" fillId="0" borderId="102" xfId="0" applyFont="1" applyBorder="1" applyAlignment="1">
      <alignment horizontal="center"/>
    </xf>
    <xf numFmtId="0" fontId="7" fillId="0" borderId="103" xfId="0" applyFont="1" applyBorder="1" applyAlignment="1">
      <alignment horizontal="center"/>
    </xf>
    <xf numFmtId="0" fontId="7" fillId="0" borderId="104" xfId="0" applyFont="1" applyBorder="1" applyAlignment="1">
      <alignment horizontal="left"/>
    </xf>
    <xf numFmtId="0" fontId="7" fillId="0" borderId="0" xfId="0" applyFont="1" applyAlignment="1">
      <alignment horizontal="center"/>
    </xf>
    <xf numFmtId="0" fontId="7" fillId="0" borderId="105" xfId="0" applyFont="1" applyBorder="1" applyAlignment="1">
      <alignment horizontal="center"/>
    </xf>
    <xf numFmtId="0" fontId="6" fillId="0" borderId="0" xfId="0" applyFont="1" applyAlignment="1">
      <alignment horizontal="left" vertical="top" wrapText="1"/>
    </xf>
    <xf numFmtId="0" fontId="6" fillId="0" borderId="0" xfId="2" applyFont="1" applyAlignment="1">
      <alignment horizontal="left" vertical="top" wrapText="1"/>
    </xf>
    <xf numFmtId="0" fontId="3" fillId="0" borderId="39" xfId="0" applyFont="1" applyBorder="1" applyAlignment="1">
      <alignment horizontal="center" wrapText="1"/>
    </xf>
    <xf numFmtId="0" fontId="3" fillId="0" borderId="29" xfId="0" applyFont="1" applyBorder="1" applyAlignment="1">
      <alignment horizont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3" fillId="0" borderId="50" xfId="0" applyFont="1" applyBorder="1" applyAlignment="1">
      <alignment horizontal="center" wrapText="1"/>
    </xf>
    <xf numFmtId="0" fontId="2" fillId="2" borderId="33"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31" xfId="0"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5" fillId="0" borderId="0" xfId="0" applyFont="1" applyAlignment="1">
      <alignment horizontal="left"/>
    </xf>
    <xf numFmtId="0" fontId="5" fillId="0" borderId="21" xfId="0" applyFont="1" applyBorder="1" applyAlignment="1">
      <alignment horizontal="center" vertical="top" wrapText="1"/>
    </xf>
    <xf numFmtId="0" fontId="5" fillId="0" borderId="59" xfId="0" applyFont="1" applyBorder="1" applyAlignment="1">
      <alignment horizontal="center" vertical="top"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8" xfId="0" applyFont="1" applyBorder="1" applyAlignment="1">
      <alignment horizontal="center" vertical="center"/>
    </xf>
    <xf numFmtId="0" fontId="2" fillId="0" borderId="36" xfId="0" applyFont="1" applyBorder="1" applyAlignment="1">
      <alignment horizontal="center" vertical="center"/>
    </xf>
    <xf numFmtId="9" fontId="0" fillId="0" borderId="46" xfId="137" applyFont="1" applyFill="1" applyBorder="1" applyAlignment="1">
      <alignment horizontal="center" vertical="center"/>
    </xf>
    <xf numFmtId="9" fontId="0" fillId="0" borderId="23" xfId="137" applyFont="1" applyFill="1" applyBorder="1" applyAlignment="1">
      <alignment horizontal="center" vertical="center"/>
    </xf>
    <xf numFmtId="0" fontId="0" fillId="0" borderId="0" xfId="0" applyAlignment="1">
      <alignment horizont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5" fillId="0" borderId="59" xfId="0" applyFont="1" applyBorder="1" applyAlignment="1">
      <alignment horizontal="center" vertical="center"/>
    </xf>
    <xf numFmtId="0" fontId="5" fillId="0" borderId="26" xfId="0" applyFont="1" applyBorder="1" applyAlignment="1">
      <alignment horizontal="center" vertical="center"/>
    </xf>
    <xf numFmtId="0" fontId="5" fillId="0" borderId="21" xfId="0" applyFont="1" applyBorder="1" applyAlignment="1">
      <alignment horizontal="center"/>
    </xf>
    <xf numFmtId="0" fontId="5" fillId="0" borderId="59" xfId="0" applyFont="1" applyBorder="1" applyAlignment="1">
      <alignment horizont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5" fillId="0" borderId="1" xfId="0" applyFont="1" applyBorder="1" applyAlignment="1">
      <alignment horizontal="center"/>
    </xf>
    <xf numFmtId="0" fontId="5" fillId="0" borderId="33" xfId="0" applyFont="1" applyBorder="1" applyAlignment="1">
      <alignment horizontal="center"/>
    </xf>
    <xf numFmtId="0" fontId="5" fillId="0" borderId="39" xfId="0" applyFont="1" applyBorder="1" applyAlignment="1">
      <alignment horizontal="center"/>
    </xf>
    <xf numFmtId="0" fontId="5" fillId="0" borderId="50" xfId="0" applyFont="1" applyBorder="1" applyAlignment="1">
      <alignment horizontal="center"/>
    </xf>
    <xf numFmtId="0" fontId="2" fillId="0" borderId="32"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49" fontId="2" fillId="0" borderId="16"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0" fontId="5" fillId="0" borderId="39" xfId="0" applyFont="1" applyBorder="1" applyAlignment="1">
      <alignment horizontal="center" vertical="center"/>
    </xf>
    <xf numFmtId="0" fontId="5" fillId="0" borderId="50" xfId="0" applyFont="1" applyBorder="1" applyAlignment="1">
      <alignment horizontal="center" vertical="center"/>
    </xf>
    <xf numFmtId="0" fontId="5" fillId="0" borderId="29" xfId="0" applyFont="1" applyBorder="1" applyAlignment="1">
      <alignment horizontal="center" vertical="center"/>
    </xf>
    <xf numFmtId="0" fontId="2" fillId="0" borderId="24"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18" xfId="0" applyFont="1" applyBorder="1" applyAlignment="1">
      <alignment horizontal="center" vertical="center"/>
    </xf>
    <xf numFmtId="0" fontId="2" fillId="0" borderId="64" xfId="0" applyFont="1" applyBorder="1" applyAlignment="1">
      <alignment horizontal="center" vertical="center"/>
    </xf>
    <xf numFmtId="0" fontId="35" fillId="0" borderId="68" xfId="0" applyFont="1" applyBorder="1" applyAlignment="1">
      <alignment horizontal="left" vertical="top" wrapText="1"/>
    </xf>
    <xf numFmtId="0" fontId="0" fillId="0" borderId="70" xfId="0" applyBorder="1" applyAlignment="1">
      <alignment horizontal="left" vertical="top" wrapText="1"/>
    </xf>
    <xf numFmtId="0" fontId="0" fillId="0" borderId="68" xfId="0" applyBorder="1" applyAlignment="1">
      <alignment horizontal="right" vertical="top" wrapText="1"/>
    </xf>
    <xf numFmtId="0" fontId="0" fillId="0" borderId="84" xfId="0" applyBorder="1" applyAlignment="1">
      <alignment horizontal="right" vertical="top" wrapText="1"/>
    </xf>
    <xf numFmtId="0" fontId="0" fillId="0" borderId="82" xfId="0" applyBorder="1" applyAlignment="1">
      <alignment horizontal="right" vertical="top" wrapText="1"/>
    </xf>
    <xf numFmtId="0" fontId="0" fillId="7" borderId="26" xfId="0" applyFill="1" applyBorder="1" applyAlignment="1">
      <alignment horizontal="left" vertical="top" wrapText="1" indent="33"/>
    </xf>
    <xf numFmtId="0" fontId="0" fillId="7" borderId="24" xfId="0" applyFill="1" applyBorder="1" applyAlignment="1">
      <alignment horizontal="left" vertical="top" wrapText="1" indent="33"/>
    </xf>
    <xf numFmtId="9" fontId="37" fillId="0" borderId="77" xfId="0" applyNumberFormat="1" applyFont="1" applyBorder="1" applyAlignment="1">
      <alignment horizontal="center" vertical="top" shrinkToFit="1"/>
    </xf>
    <xf numFmtId="9" fontId="37" fillId="0" borderId="82" xfId="0" applyNumberFormat="1" applyFont="1" applyBorder="1" applyAlignment="1">
      <alignment horizontal="center" vertical="top" shrinkToFit="1"/>
    </xf>
    <xf numFmtId="0" fontId="0" fillId="0" borderId="68" xfId="0" applyBorder="1" applyAlignment="1">
      <alignment horizontal="left" wrapText="1"/>
    </xf>
    <xf numFmtId="0" fontId="0" fillId="0" borderId="82" xfId="0" applyBorder="1" applyAlignment="1">
      <alignment horizontal="left" wrapText="1"/>
    </xf>
    <xf numFmtId="0" fontId="0" fillId="5" borderId="0" xfId="0" applyFill="1" applyAlignment="1">
      <alignment horizontal="left" wrapText="1"/>
    </xf>
    <xf numFmtId="0" fontId="0" fillId="6" borderId="68" xfId="0" applyFill="1" applyBorder="1" applyAlignment="1">
      <alignment horizontal="left" wrapText="1"/>
    </xf>
    <xf numFmtId="0" fontId="0" fillId="6" borderId="69" xfId="0" applyFill="1" applyBorder="1" applyAlignment="1">
      <alignment horizontal="left" wrapText="1"/>
    </xf>
    <xf numFmtId="0" fontId="0" fillId="6" borderId="70" xfId="0" applyFill="1" applyBorder="1" applyAlignment="1">
      <alignment horizontal="left" wrapText="1"/>
    </xf>
    <xf numFmtId="0" fontId="35" fillId="6" borderId="68" xfId="0" applyFont="1" applyFill="1" applyBorder="1" applyAlignment="1">
      <alignment horizontal="center" vertical="top" wrapText="1"/>
    </xf>
    <xf numFmtId="0" fontId="35" fillId="6" borderId="70" xfId="0" applyFont="1" applyFill="1" applyBorder="1" applyAlignment="1">
      <alignment horizontal="center" vertical="top" wrapText="1"/>
    </xf>
    <xf numFmtId="0" fontId="5" fillId="0" borderId="48" xfId="0" applyFont="1" applyBorder="1" applyAlignment="1">
      <alignment horizontal="center"/>
    </xf>
    <xf numFmtId="0" fontId="5" fillId="0" borderId="57" xfId="0" applyFont="1" applyBorder="1" applyAlignment="1">
      <alignment horizont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7" fillId="0" borderId="96" xfId="0" applyFont="1" applyBorder="1" applyAlignment="1">
      <alignment horizontal="left"/>
    </xf>
    <xf numFmtId="0" fontId="7" fillId="0" borderId="101" xfId="0" applyFont="1" applyBorder="1"/>
    <xf numFmtId="0" fontId="7" fillId="0" borderId="97" xfId="0" applyFont="1" applyBorder="1" applyAlignment="1">
      <alignment horizontal="center"/>
    </xf>
    <xf numFmtId="0" fontId="7" fillId="0" borderId="98" xfId="0" applyFont="1" applyBorder="1"/>
    <xf numFmtId="0" fontId="7" fillId="0" borderId="99" xfId="0" applyFont="1" applyBorder="1"/>
    <xf numFmtId="0" fontId="7" fillId="0" borderId="100" xfId="0" applyFont="1" applyBorder="1"/>
    <xf numFmtId="0" fontId="7" fillId="0" borderId="106" xfId="0" applyFont="1" applyBorder="1" applyAlignment="1">
      <alignment horizontal="left"/>
    </xf>
    <xf numFmtId="0" fontId="7" fillId="0" borderId="107" xfId="0" applyFont="1" applyBorder="1"/>
    <xf numFmtId="0" fontId="7" fillId="0" borderId="108" xfId="0" applyFont="1" applyBorder="1"/>
    <xf numFmtId="0" fontId="44" fillId="0" borderId="93" xfId="141" applyFont="1" applyBorder="1" applyAlignment="1">
      <alignment horizontal="left"/>
    </xf>
    <xf numFmtId="0" fontId="7" fillId="0" borderId="94" xfId="141" applyFont="1" applyBorder="1"/>
    <xf numFmtId="0" fontId="7" fillId="0" borderId="95" xfId="141" applyFont="1" applyBorder="1"/>
    <xf numFmtId="0" fontId="7" fillId="0" borderId="96" xfId="141" applyFont="1" applyBorder="1" applyAlignment="1">
      <alignment horizontal="left"/>
    </xf>
    <xf numFmtId="0" fontId="7" fillId="0" borderId="101" xfId="141" applyFont="1" applyBorder="1"/>
    <xf numFmtId="0" fontId="7" fillId="0" borderId="97" xfId="141" applyFont="1" applyBorder="1" applyAlignment="1">
      <alignment horizontal="center"/>
    </xf>
    <xf numFmtId="0" fontId="7" fillId="0" borderId="98" xfId="141" applyFont="1" applyBorder="1"/>
    <xf numFmtId="0" fontId="7" fillId="0" borderId="99" xfId="141" applyFont="1" applyBorder="1"/>
    <xf numFmtId="0" fontId="7" fillId="0" borderId="100" xfId="141" applyFont="1" applyBorder="1"/>
    <xf numFmtId="0" fontId="7" fillId="0" borderId="106" xfId="141" applyFont="1" applyBorder="1" applyAlignment="1">
      <alignment horizontal="left"/>
    </xf>
    <xf numFmtId="0" fontId="7" fillId="0" borderId="107" xfId="141" applyFont="1" applyBorder="1"/>
    <xf numFmtId="0" fontId="7" fillId="0" borderId="108" xfId="141" applyFont="1" applyBorder="1"/>
    <xf numFmtId="0" fontId="44" fillId="0" borderId="93" xfId="0" applyFont="1" applyBorder="1" applyAlignment="1">
      <alignment horizontal="left"/>
    </xf>
    <xf numFmtId="0" fontId="7" fillId="0" borderId="94" xfId="0" applyFont="1" applyBorder="1"/>
    <xf numFmtId="0" fontId="7" fillId="0" borderId="95" xfId="0" applyFont="1" applyBorder="1"/>
    <xf numFmtId="0" fontId="6" fillId="0" borderId="59" xfId="138" applyFont="1" applyFill="1" applyBorder="1"/>
    <xf numFmtId="0" fontId="6" fillId="0" borderId="0" xfId="0" applyFont="1" applyFill="1" applyAlignment="1">
      <alignment horizontal="left" vertical="top" wrapText="1"/>
    </xf>
    <xf numFmtId="3" fontId="0" fillId="0" borderId="26" xfId="0" applyNumberFormat="1" applyFill="1" applyBorder="1" applyAlignment="1">
      <alignment horizontal="center"/>
    </xf>
    <xf numFmtId="0" fontId="0" fillId="8" borderId="0" xfId="0" applyFill="1"/>
    <xf numFmtId="1" fontId="0" fillId="8" borderId="0" xfId="0" applyNumberFormat="1" applyFill="1"/>
    <xf numFmtId="0" fontId="0" fillId="0" borderId="0" xfId="0" applyAlignment="1"/>
    <xf numFmtId="0" fontId="5" fillId="0" borderId="0" xfId="0" applyFont="1" applyFill="1"/>
    <xf numFmtId="0" fontId="5" fillId="0" borderId="0" xfId="0" applyFont="1" applyAlignment="1">
      <alignment horizontal="left" vertical="center"/>
    </xf>
    <xf numFmtId="9" fontId="5" fillId="0" borderId="26" xfId="137" applyFont="1" applyBorder="1" applyAlignment="1">
      <alignment horizontal="center"/>
    </xf>
    <xf numFmtId="9" fontId="0" fillId="0" borderId="26" xfId="137" applyFont="1" applyBorder="1" applyAlignment="1">
      <alignment horizontal="center"/>
    </xf>
    <xf numFmtId="0" fontId="5" fillId="0" borderId="26" xfId="0" applyFont="1" applyBorder="1" applyAlignment="1">
      <alignment horizontal="left" vertical="center"/>
    </xf>
    <xf numFmtId="164" fontId="5" fillId="0" borderId="26" xfId="0" applyNumberFormat="1" applyFont="1" applyBorder="1"/>
    <xf numFmtId="0" fontId="0" fillId="0" borderId="0" xfId="0" applyBorder="1"/>
    <xf numFmtId="0" fontId="5" fillId="0" borderId="0" xfId="0" applyFont="1" applyBorder="1" applyAlignment="1">
      <alignment horizontal="center"/>
    </xf>
    <xf numFmtId="164" fontId="0" fillId="0" borderId="0" xfId="0" applyNumberFormat="1" applyBorder="1"/>
    <xf numFmtId="164" fontId="5" fillId="0" borderId="0" xfId="0" applyNumberFormat="1" applyFont="1" applyBorder="1"/>
    <xf numFmtId="0" fontId="5" fillId="0" borderId="27" xfId="0" applyFont="1" applyBorder="1" applyAlignment="1">
      <alignment horizontal="left" vertical="center"/>
    </xf>
    <xf numFmtId="0" fontId="0" fillId="0" borderId="0" xfId="0" applyFill="1" applyAlignment="1">
      <alignment horizontal="left" vertical="top" wrapText="1"/>
    </xf>
    <xf numFmtId="0" fontId="5" fillId="0" borderId="0" xfId="0" applyFont="1" applyBorder="1"/>
    <xf numFmtId="0" fontId="6" fillId="0" borderId="0" xfId="2" applyFont="1" applyAlignment="1">
      <alignment vertical="top"/>
    </xf>
    <xf numFmtId="0" fontId="6" fillId="0" borderId="0" xfId="2" applyFont="1" applyAlignment="1">
      <alignment horizontal="center" vertical="top"/>
    </xf>
  </cellXfs>
  <cellStyles count="142">
    <cellStyle name="Comma" xfId="136" builtinId="3"/>
    <cellStyle name="Comma 2" xfId="7" xr:uid="{00000000-0005-0000-0000-000001000000}"/>
    <cellStyle name="Comma 47 2" xfId="17" xr:uid="{00000000-0005-0000-0000-000002000000}"/>
    <cellStyle name="Comma 47 3" xfId="18" xr:uid="{00000000-0005-0000-0000-000003000000}"/>
    <cellStyle name="Comma 47 4" xfId="19" xr:uid="{00000000-0005-0000-0000-000004000000}"/>
    <cellStyle name="Comma0" xfId="8" xr:uid="{00000000-0005-0000-0000-000005000000}"/>
    <cellStyle name="Currency" xfId="1" builtinId="4"/>
    <cellStyle name="Currency 2" xfId="16" xr:uid="{00000000-0005-0000-0000-000007000000}"/>
    <cellStyle name="Currency0" xfId="9" xr:uid="{00000000-0005-0000-0000-000008000000}"/>
    <cellStyle name="Date" xfId="10" xr:uid="{00000000-0005-0000-0000-000009000000}"/>
    <cellStyle name="Fixed" xfId="11" xr:uid="{00000000-0005-0000-0000-00000A000000}"/>
    <cellStyle name="Hyperlink" xfId="138" builtinId="8"/>
    <cellStyle name="Hyperlink 2" xfId="140" xr:uid="{827561D3-238C-480C-8B92-C974DC89A392}"/>
    <cellStyle name="Normal" xfId="0" builtinId="0"/>
    <cellStyle name="Normal 11" xfId="20" xr:uid="{00000000-0005-0000-0000-00000D000000}"/>
    <cellStyle name="Normal 11 2" xfId="21" xr:uid="{00000000-0005-0000-0000-00000E000000}"/>
    <cellStyle name="Normal 11 3" xfId="22" xr:uid="{00000000-0005-0000-0000-00000F000000}"/>
    <cellStyle name="Normal 11 4" xfId="23" xr:uid="{00000000-0005-0000-0000-000010000000}"/>
    <cellStyle name="Normal 11 5" xfId="24" xr:uid="{00000000-0005-0000-0000-000011000000}"/>
    <cellStyle name="Normal 12" xfId="25" xr:uid="{00000000-0005-0000-0000-000012000000}"/>
    <cellStyle name="Normal 12 2" xfId="26" xr:uid="{00000000-0005-0000-0000-000013000000}"/>
    <cellStyle name="Normal 12 3" xfId="27" xr:uid="{00000000-0005-0000-0000-000014000000}"/>
    <cellStyle name="Normal 12 4" xfId="28" xr:uid="{00000000-0005-0000-0000-000015000000}"/>
    <cellStyle name="Normal 12 5" xfId="29" xr:uid="{00000000-0005-0000-0000-000016000000}"/>
    <cellStyle name="Normal 13" xfId="30" xr:uid="{00000000-0005-0000-0000-000017000000}"/>
    <cellStyle name="Normal 13 2" xfId="31" xr:uid="{00000000-0005-0000-0000-000018000000}"/>
    <cellStyle name="Normal 13 3" xfId="32" xr:uid="{00000000-0005-0000-0000-000019000000}"/>
    <cellStyle name="Normal 13 4" xfId="33" xr:uid="{00000000-0005-0000-0000-00001A000000}"/>
    <cellStyle name="Normal 13 5" xfId="34" xr:uid="{00000000-0005-0000-0000-00001B000000}"/>
    <cellStyle name="Normal 14" xfId="35" xr:uid="{00000000-0005-0000-0000-00001C000000}"/>
    <cellStyle name="Normal 14 2" xfId="36" xr:uid="{00000000-0005-0000-0000-00001D000000}"/>
    <cellStyle name="Normal 14 3" xfId="37" xr:uid="{00000000-0005-0000-0000-00001E000000}"/>
    <cellStyle name="Normal 14 4" xfId="38" xr:uid="{00000000-0005-0000-0000-00001F000000}"/>
    <cellStyle name="Normal 14 5" xfId="39" xr:uid="{00000000-0005-0000-0000-000020000000}"/>
    <cellStyle name="Normal 15" xfId="40" xr:uid="{00000000-0005-0000-0000-000021000000}"/>
    <cellStyle name="Normal 15 2" xfId="41" xr:uid="{00000000-0005-0000-0000-000022000000}"/>
    <cellStyle name="Normal 15 3" xfId="42" xr:uid="{00000000-0005-0000-0000-000023000000}"/>
    <cellStyle name="Normal 15 4" xfId="43" xr:uid="{00000000-0005-0000-0000-000024000000}"/>
    <cellStyle name="Normal 15 5" xfId="44" xr:uid="{00000000-0005-0000-0000-000025000000}"/>
    <cellStyle name="Normal 16" xfId="2" xr:uid="{00000000-0005-0000-0000-000026000000}"/>
    <cellStyle name="Normal 16 2" xfId="45" xr:uid="{00000000-0005-0000-0000-000027000000}"/>
    <cellStyle name="Normal 16 3" xfId="46" xr:uid="{00000000-0005-0000-0000-000028000000}"/>
    <cellStyle name="Normal 16 4" xfId="47" xr:uid="{00000000-0005-0000-0000-000029000000}"/>
    <cellStyle name="Normal 16 5" xfId="48" xr:uid="{00000000-0005-0000-0000-00002A000000}"/>
    <cellStyle name="Normal 17" xfId="4" xr:uid="{00000000-0005-0000-0000-00002B000000}"/>
    <cellStyle name="Normal 17 2" xfId="49" xr:uid="{00000000-0005-0000-0000-00002C000000}"/>
    <cellStyle name="Normal 17 3" xfId="50" xr:uid="{00000000-0005-0000-0000-00002D000000}"/>
    <cellStyle name="Normal 17 4" xfId="51" xr:uid="{00000000-0005-0000-0000-00002E000000}"/>
    <cellStyle name="Normal 17 5" xfId="52" xr:uid="{00000000-0005-0000-0000-00002F000000}"/>
    <cellStyle name="Normal 18" xfId="3" xr:uid="{00000000-0005-0000-0000-000030000000}"/>
    <cellStyle name="Normal 18 2" xfId="53" xr:uid="{00000000-0005-0000-0000-000031000000}"/>
    <cellStyle name="Normal 18 3" xfId="54" xr:uid="{00000000-0005-0000-0000-000032000000}"/>
    <cellStyle name="Normal 18 4" xfId="55" xr:uid="{00000000-0005-0000-0000-000033000000}"/>
    <cellStyle name="Normal 18 5" xfId="56" xr:uid="{00000000-0005-0000-0000-000034000000}"/>
    <cellStyle name="Normal 19" xfId="5" xr:uid="{00000000-0005-0000-0000-000035000000}"/>
    <cellStyle name="Normal 19 2" xfId="57" xr:uid="{00000000-0005-0000-0000-000036000000}"/>
    <cellStyle name="Normal 19 3" xfId="58" xr:uid="{00000000-0005-0000-0000-000037000000}"/>
    <cellStyle name="Normal 19 4" xfId="59" xr:uid="{00000000-0005-0000-0000-000038000000}"/>
    <cellStyle name="Normal 19 5" xfId="60" xr:uid="{00000000-0005-0000-0000-000039000000}"/>
    <cellStyle name="Normal 2" xfId="6" xr:uid="{00000000-0005-0000-0000-00003A000000}"/>
    <cellStyle name="Normal 2 2" xfId="61" xr:uid="{00000000-0005-0000-0000-00003B000000}"/>
    <cellStyle name="Normal 2 3" xfId="62" xr:uid="{00000000-0005-0000-0000-00003C000000}"/>
    <cellStyle name="Normal 2 4" xfId="63" xr:uid="{00000000-0005-0000-0000-00003D000000}"/>
    <cellStyle name="Normal 2 5" xfId="64" xr:uid="{00000000-0005-0000-0000-00003E000000}"/>
    <cellStyle name="Normal 20" xfId="65" xr:uid="{00000000-0005-0000-0000-00003F000000}"/>
    <cellStyle name="Normal 20 2" xfId="66" xr:uid="{00000000-0005-0000-0000-000040000000}"/>
    <cellStyle name="Normal 20 3" xfId="67" xr:uid="{00000000-0005-0000-0000-000041000000}"/>
    <cellStyle name="Normal 20 4" xfId="68" xr:uid="{00000000-0005-0000-0000-000042000000}"/>
    <cellStyle name="Normal 20 5" xfId="69" xr:uid="{00000000-0005-0000-0000-000043000000}"/>
    <cellStyle name="Normal 21" xfId="70" xr:uid="{00000000-0005-0000-0000-000044000000}"/>
    <cellStyle name="Normal 21 2" xfId="71" xr:uid="{00000000-0005-0000-0000-000045000000}"/>
    <cellStyle name="Normal 21 3" xfId="72" xr:uid="{00000000-0005-0000-0000-000046000000}"/>
    <cellStyle name="Normal 21 4" xfId="73" xr:uid="{00000000-0005-0000-0000-000047000000}"/>
    <cellStyle name="Normal 21 5" xfId="74" xr:uid="{00000000-0005-0000-0000-000048000000}"/>
    <cellStyle name="Normal 23" xfId="75" xr:uid="{00000000-0005-0000-0000-000049000000}"/>
    <cellStyle name="Normal 23 2" xfId="76" xr:uid="{00000000-0005-0000-0000-00004A000000}"/>
    <cellStyle name="Normal 23 3" xfId="77" xr:uid="{00000000-0005-0000-0000-00004B000000}"/>
    <cellStyle name="Normal 23 4" xfId="78" xr:uid="{00000000-0005-0000-0000-00004C000000}"/>
    <cellStyle name="Normal 23 5" xfId="79" xr:uid="{00000000-0005-0000-0000-00004D000000}"/>
    <cellStyle name="Normal 24" xfId="80" xr:uid="{00000000-0005-0000-0000-00004E000000}"/>
    <cellStyle name="Normal 24 2" xfId="81" xr:uid="{00000000-0005-0000-0000-00004F000000}"/>
    <cellStyle name="Normal 24 3" xfId="82" xr:uid="{00000000-0005-0000-0000-000050000000}"/>
    <cellStyle name="Normal 24 4" xfId="83" xr:uid="{00000000-0005-0000-0000-000051000000}"/>
    <cellStyle name="Normal 24 5" xfId="84" xr:uid="{00000000-0005-0000-0000-000052000000}"/>
    <cellStyle name="Normal 25" xfId="85" xr:uid="{00000000-0005-0000-0000-000053000000}"/>
    <cellStyle name="Normal 25 2" xfId="86" xr:uid="{00000000-0005-0000-0000-000054000000}"/>
    <cellStyle name="Normal 25 3" xfId="87" xr:uid="{00000000-0005-0000-0000-000055000000}"/>
    <cellStyle name="Normal 25 4" xfId="88" xr:uid="{00000000-0005-0000-0000-000056000000}"/>
    <cellStyle name="Normal 25 5" xfId="89" xr:uid="{00000000-0005-0000-0000-000057000000}"/>
    <cellStyle name="Normal 26" xfId="90" xr:uid="{00000000-0005-0000-0000-000058000000}"/>
    <cellStyle name="Normal 26 2" xfId="91" xr:uid="{00000000-0005-0000-0000-000059000000}"/>
    <cellStyle name="Normal 26 3" xfId="92" xr:uid="{00000000-0005-0000-0000-00005A000000}"/>
    <cellStyle name="Normal 26 4" xfId="93" xr:uid="{00000000-0005-0000-0000-00005B000000}"/>
    <cellStyle name="Normal 26 5" xfId="94" xr:uid="{00000000-0005-0000-0000-00005C000000}"/>
    <cellStyle name="Normal 27" xfId="95" xr:uid="{00000000-0005-0000-0000-00005D000000}"/>
    <cellStyle name="Normal 27 2" xfId="96" xr:uid="{00000000-0005-0000-0000-00005E000000}"/>
    <cellStyle name="Normal 27 3" xfId="97" xr:uid="{00000000-0005-0000-0000-00005F000000}"/>
    <cellStyle name="Normal 27 4" xfId="98" xr:uid="{00000000-0005-0000-0000-000060000000}"/>
    <cellStyle name="Normal 27 5" xfId="99" xr:uid="{00000000-0005-0000-0000-000061000000}"/>
    <cellStyle name="Normal 28 2" xfId="100" xr:uid="{00000000-0005-0000-0000-000062000000}"/>
    <cellStyle name="Normal 28 3" xfId="101" xr:uid="{00000000-0005-0000-0000-000063000000}"/>
    <cellStyle name="Normal 28 4" xfId="102" xr:uid="{00000000-0005-0000-0000-000064000000}"/>
    <cellStyle name="Normal 29" xfId="103" xr:uid="{00000000-0005-0000-0000-000065000000}"/>
    <cellStyle name="Normal 3" xfId="12" xr:uid="{00000000-0005-0000-0000-000066000000}"/>
    <cellStyle name="Normal 3 2" xfId="104" xr:uid="{00000000-0005-0000-0000-000067000000}"/>
    <cellStyle name="Normal 3 3" xfId="105" xr:uid="{00000000-0005-0000-0000-000068000000}"/>
    <cellStyle name="Normal 3 4" xfId="106" xr:uid="{00000000-0005-0000-0000-000069000000}"/>
    <cellStyle name="Normal 3 5" xfId="107" xr:uid="{00000000-0005-0000-0000-00006A000000}"/>
    <cellStyle name="Normal 30" xfId="108" xr:uid="{00000000-0005-0000-0000-00006B000000}"/>
    <cellStyle name="Normal 32" xfId="109" xr:uid="{00000000-0005-0000-0000-00006C000000}"/>
    <cellStyle name="Normal 4" xfId="13" xr:uid="{00000000-0005-0000-0000-00006D000000}"/>
    <cellStyle name="Normal 4 2" xfId="110" xr:uid="{00000000-0005-0000-0000-00006E000000}"/>
    <cellStyle name="Normal 4 3" xfId="111" xr:uid="{00000000-0005-0000-0000-00006F000000}"/>
    <cellStyle name="Normal 4 4" xfId="112" xr:uid="{00000000-0005-0000-0000-000070000000}"/>
    <cellStyle name="Normal 4 5" xfId="113" xr:uid="{00000000-0005-0000-0000-000071000000}"/>
    <cellStyle name="Normal 5" xfId="139" xr:uid="{800F61AB-3829-4A8A-A3A9-0D3639B5EA4F}"/>
    <cellStyle name="Normal 5 2" xfId="114" xr:uid="{00000000-0005-0000-0000-000072000000}"/>
    <cellStyle name="Normal 5 3" xfId="115" xr:uid="{00000000-0005-0000-0000-000073000000}"/>
    <cellStyle name="Normal 5 4" xfId="116" xr:uid="{00000000-0005-0000-0000-000074000000}"/>
    <cellStyle name="Normal 5 5" xfId="117" xr:uid="{00000000-0005-0000-0000-000075000000}"/>
    <cellStyle name="Normal 6" xfId="118" xr:uid="{00000000-0005-0000-0000-000076000000}"/>
    <cellStyle name="Normal 6 2" xfId="119" xr:uid="{00000000-0005-0000-0000-000077000000}"/>
    <cellStyle name="Normal 6 3" xfId="120" xr:uid="{00000000-0005-0000-0000-000078000000}"/>
    <cellStyle name="Normal 6 4" xfId="121" xr:uid="{00000000-0005-0000-0000-000079000000}"/>
    <cellStyle name="Normal 6 5" xfId="122" xr:uid="{00000000-0005-0000-0000-00007A000000}"/>
    <cellStyle name="Normal 7" xfId="141" xr:uid="{42823735-C801-42E6-A427-047718344E12}"/>
    <cellStyle name="Normal 7 2" xfId="123" xr:uid="{00000000-0005-0000-0000-00007B000000}"/>
    <cellStyle name="Normal 7 3" xfId="124" xr:uid="{00000000-0005-0000-0000-00007C000000}"/>
    <cellStyle name="Normal 7 4" xfId="125" xr:uid="{00000000-0005-0000-0000-00007D000000}"/>
    <cellStyle name="Normal 7 5" xfId="126" xr:uid="{00000000-0005-0000-0000-00007E000000}"/>
    <cellStyle name="Normal 8 2" xfId="127" xr:uid="{00000000-0005-0000-0000-00007F000000}"/>
    <cellStyle name="Normal 8 3" xfId="128" xr:uid="{00000000-0005-0000-0000-000080000000}"/>
    <cellStyle name="Normal 8 4" xfId="129" xr:uid="{00000000-0005-0000-0000-000081000000}"/>
    <cellStyle name="Normal 8 5" xfId="130" xr:uid="{00000000-0005-0000-0000-000082000000}"/>
    <cellStyle name="Normal 9" xfId="131" xr:uid="{00000000-0005-0000-0000-000083000000}"/>
    <cellStyle name="Normal 9 2" xfId="132" xr:uid="{00000000-0005-0000-0000-000084000000}"/>
    <cellStyle name="Normal 9 3" xfId="133" xr:uid="{00000000-0005-0000-0000-000085000000}"/>
    <cellStyle name="Normal 9 4" xfId="134" xr:uid="{00000000-0005-0000-0000-000086000000}"/>
    <cellStyle name="Normal 9 5" xfId="135" xr:uid="{00000000-0005-0000-0000-000087000000}"/>
    <cellStyle name="Percent" xfId="137" builtinId="5"/>
    <cellStyle name="Percent 2" xfId="14" xr:uid="{00000000-0005-0000-0000-000089000000}"/>
    <cellStyle name="Percent 3" xfId="15" xr:uid="{00000000-0005-0000-0000-00008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33618</xdr:colOff>
      <xdr:row>4</xdr:row>
      <xdr:rowOff>22412</xdr:rowOff>
    </xdr:from>
    <xdr:to>
      <xdr:col>18</xdr:col>
      <xdr:colOff>304637</xdr:colOff>
      <xdr:row>33</xdr:row>
      <xdr:rowOff>102149</xdr:rowOff>
    </xdr:to>
    <xdr:pic>
      <xdr:nvPicPr>
        <xdr:cNvPr id="3" name="Picture 2">
          <a:extLst>
            <a:ext uri="{FF2B5EF4-FFF2-40B4-BE49-F238E27FC236}">
              <a16:creationId xmlns:a16="http://schemas.microsoft.com/office/drawing/2014/main" id="{52C811D6-5AB5-33D8-0904-07D98B979107}"/>
            </a:ext>
          </a:extLst>
        </xdr:cNvPr>
        <xdr:cNvPicPr>
          <a:picLocks noChangeAspect="1"/>
        </xdr:cNvPicPr>
      </xdr:nvPicPr>
      <xdr:blipFill>
        <a:blip xmlns:r="http://schemas.openxmlformats.org/officeDocument/2006/relationships" r:embed="rId1"/>
        <a:stretch>
          <a:fillRect/>
        </a:stretch>
      </xdr:blipFill>
      <xdr:spPr>
        <a:xfrm>
          <a:off x="8662147" y="784412"/>
          <a:ext cx="7745343" cy="56042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134471</xdr:colOff>
      <xdr:row>1</xdr:row>
      <xdr:rowOff>145677</xdr:rowOff>
    </xdr:from>
    <xdr:to>
      <xdr:col>30</xdr:col>
      <xdr:colOff>16629</xdr:colOff>
      <xdr:row>22</xdr:row>
      <xdr:rowOff>135735</xdr:rowOff>
    </xdr:to>
    <xdr:pic>
      <xdr:nvPicPr>
        <xdr:cNvPr id="4" name="Picture 3">
          <a:extLst>
            <a:ext uri="{FF2B5EF4-FFF2-40B4-BE49-F238E27FC236}">
              <a16:creationId xmlns:a16="http://schemas.microsoft.com/office/drawing/2014/main" id="{BDAC924F-09D5-6975-A9E2-B90E775F5801}"/>
            </a:ext>
          </a:extLst>
        </xdr:cNvPr>
        <xdr:cNvPicPr>
          <a:picLocks noChangeAspect="1"/>
        </xdr:cNvPicPr>
      </xdr:nvPicPr>
      <xdr:blipFill>
        <a:blip xmlns:r="http://schemas.openxmlformats.org/officeDocument/2006/relationships" r:embed="rId1"/>
        <a:stretch>
          <a:fillRect/>
        </a:stretch>
      </xdr:blipFill>
      <xdr:spPr>
        <a:xfrm>
          <a:off x="18769853" y="336177"/>
          <a:ext cx="7748688" cy="42370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156883</xdr:colOff>
      <xdr:row>1</xdr:row>
      <xdr:rowOff>78441</xdr:rowOff>
    </xdr:from>
    <xdr:to>
      <xdr:col>25</xdr:col>
      <xdr:colOff>422550</xdr:colOff>
      <xdr:row>20</xdr:row>
      <xdr:rowOff>36481</xdr:rowOff>
    </xdr:to>
    <xdr:pic>
      <xdr:nvPicPr>
        <xdr:cNvPr id="2" name="Picture 1">
          <a:extLst>
            <a:ext uri="{FF2B5EF4-FFF2-40B4-BE49-F238E27FC236}">
              <a16:creationId xmlns:a16="http://schemas.microsoft.com/office/drawing/2014/main" id="{F8DA64CD-C26A-0864-0F61-38ADB7550E0F}"/>
            </a:ext>
          </a:extLst>
        </xdr:cNvPr>
        <xdr:cNvPicPr>
          <a:picLocks noChangeAspect="1"/>
        </xdr:cNvPicPr>
      </xdr:nvPicPr>
      <xdr:blipFill>
        <a:blip xmlns:r="http://schemas.openxmlformats.org/officeDocument/2006/relationships" r:embed="rId1"/>
        <a:stretch>
          <a:fillRect/>
        </a:stretch>
      </xdr:blipFill>
      <xdr:spPr>
        <a:xfrm>
          <a:off x="20506765" y="268941"/>
          <a:ext cx="8266667" cy="3980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NTROLLER\Plan\Debt1\Debt\Other\UAM_2750%20FY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ONTROLLER\AcctFin%20Report\Internal%20Rptg\CBS\2009\4th%20Quarter\CBS%20-%20Q4%20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08"/>
      <sheetName val="February 08"/>
      <sheetName val="March 08"/>
      <sheetName val="April 08"/>
      <sheetName val="May 08"/>
      <sheetName val="June 08"/>
      <sheetName val="July 08"/>
      <sheetName val="August 08"/>
      <sheetName val="September 08"/>
      <sheetName val="October 08"/>
      <sheetName val="November 08"/>
      <sheetName val="YTD08"/>
      <sheetName val="December 08"/>
      <sheetName val="Journal Entry"/>
      <sheetName val="Non-Cash Entry"/>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CBS"/>
      <sheetName val="Signature-not used"/>
      <sheetName val="Q4 09 BS Leads"/>
      <sheetName val="Current"/>
      <sheetName val="PPE-Other Current 10-Q Recon"/>
      <sheetName val="Current 10-K Recon"/>
      <sheetName val="12.31.08"/>
      <sheetName val="12.31.08 10-K Recon"/>
      <sheetName val="12.31.08 PPE 10-K Recon"/>
      <sheetName val="Q3 09 Rail BS Leads"/>
      <sheetName val="Q2 09 Rail BS Leads"/>
      <sheetName val="PriorQ4"/>
      <sheetName val="PriorQ3"/>
      <sheetName val="Prior Q2"/>
      <sheetName val="PriorQ1"/>
      <sheetName val="PPE-Other Q3-09 10-Q Recon"/>
      <sheetName val="PPE-Other Q2-09 10-Q Recon"/>
      <sheetName val="PPE-Other Sep08 10-Q Recon"/>
      <sheetName val="Prior 10-Q Recon"/>
      <sheetName val="R-1 220"/>
      <sheetName val="R-1 220 revised 021710"/>
      <sheetName val="R-1 220 revised 022610"/>
      <sheetName val="220 Support"/>
      <sheetName val="R-1 230"/>
      <sheetName val="R-1 460"/>
      <sheetName val="Variance Analysis Q409 vs Q408"/>
      <sheetName val="Variance Analysis-old"/>
      <sheetName val="Q3.09 vs Q3.08 &amp; Q4.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transportation.anl.gov/pdfs/idling_worksheet.pdf" TargetMode="External"/><Relationship Id="rId1" Type="http://schemas.openxmlformats.org/officeDocument/2006/relationships/hyperlink" Target="http://energy.gov/eere/vehicles/fact-861-february-23-2015-idle-fuel-consumption-selected-gasoline-and-diesel-vehicle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tint="0.59999389629810485"/>
    <pageSetUpPr fitToPage="1"/>
  </sheetPr>
  <dimension ref="B2:S345"/>
  <sheetViews>
    <sheetView view="pageBreakPreview" zoomScale="85" zoomScaleNormal="85" zoomScaleSheetLayoutView="85" workbookViewId="0">
      <selection activeCell="C29" sqref="C29:G31"/>
    </sheetView>
  </sheetViews>
  <sheetFormatPr defaultColWidth="10.7109375" defaultRowHeight="15" customHeight="1" x14ac:dyDescent="0.2"/>
  <cols>
    <col min="1" max="1" width="10.7109375" style="41"/>
    <col min="2" max="2" width="5.7109375" style="41" customWidth="1"/>
    <col min="3" max="3" width="39.140625" style="41" bestFit="1" customWidth="1"/>
    <col min="4" max="5" width="15.7109375" style="41" customWidth="1"/>
    <col min="6" max="6" width="10.7109375" style="41"/>
    <col min="7" max="7" width="20.7109375" style="41" bestFit="1" customWidth="1"/>
    <col min="8" max="10" width="10.7109375" style="41"/>
    <col min="11" max="11" width="14.28515625" style="41" customWidth="1"/>
    <col min="12" max="12" width="11.7109375" style="43" bestFit="1" customWidth="1"/>
    <col min="13" max="18" width="10.7109375" style="43"/>
    <col min="19" max="16384" width="10.7109375" style="41"/>
  </cols>
  <sheetData>
    <row r="2" spans="2:19" ht="15" customHeight="1" x14ac:dyDescent="0.2">
      <c r="B2" s="54"/>
      <c r="L2" s="41"/>
      <c r="M2" s="41"/>
      <c r="N2" s="41"/>
      <c r="O2" s="41"/>
      <c r="P2" s="41"/>
      <c r="Q2" s="41"/>
      <c r="R2" s="41"/>
    </row>
    <row r="3" spans="2:19" ht="15" customHeight="1" x14ac:dyDescent="0.35">
      <c r="C3" s="5" t="s">
        <v>46</v>
      </c>
      <c r="F3" s="127"/>
      <c r="L3" s="41"/>
      <c r="M3" s="41"/>
      <c r="N3" s="41"/>
      <c r="O3" s="41"/>
      <c r="P3" s="41"/>
      <c r="Q3" s="41"/>
      <c r="R3" s="41"/>
    </row>
    <row r="4" spans="2:19" ht="15" customHeight="1" x14ac:dyDescent="0.35">
      <c r="C4" s="55" t="s">
        <v>97</v>
      </c>
      <c r="D4" s="321">
        <v>2020</v>
      </c>
      <c r="F4" s="127"/>
      <c r="I4" s="44" t="s">
        <v>133</v>
      </c>
      <c r="L4" s="41"/>
      <c r="M4" s="41"/>
      <c r="N4" s="41"/>
      <c r="O4" s="41"/>
      <c r="P4" s="41"/>
      <c r="Q4" s="41"/>
      <c r="R4" s="41"/>
    </row>
    <row r="5" spans="2:19" ht="15" customHeight="1" x14ac:dyDescent="0.2">
      <c r="B5" s="42"/>
      <c r="C5" s="55" t="s">
        <v>47</v>
      </c>
      <c r="D5" s="321">
        <v>2026</v>
      </c>
      <c r="E5" s="42" t="s">
        <v>334</v>
      </c>
      <c r="G5" s="54"/>
      <c r="H5" s="42"/>
      <c r="I5" s="42"/>
      <c r="J5" s="42"/>
      <c r="K5" s="42"/>
      <c r="L5" s="42"/>
      <c r="M5" s="42"/>
      <c r="N5" s="42"/>
      <c r="P5" s="42"/>
    </row>
    <row r="6" spans="2:19" ht="15" customHeight="1" x14ac:dyDescent="0.2">
      <c r="B6" s="42"/>
      <c r="C6" s="55" t="s">
        <v>48</v>
      </c>
      <c r="D6" s="321">
        <v>2</v>
      </c>
      <c r="E6" s="42" t="s">
        <v>334</v>
      </c>
      <c r="G6" s="54"/>
      <c r="H6" s="54"/>
      <c r="I6" s="54"/>
      <c r="J6" s="54"/>
      <c r="K6" s="54"/>
      <c r="L6" s="91"/>
      <c r="M6" s="54"/>
      <c r="N6" s="42"/>
      <c r="P6" s="42"/>
    </row>
    <row r="7" spans="2:19" ht="15" customHeight="1" x14ac:dyDescent="0.2">
      <c r="B7" s="42"/>
      <c r="C7" s="55" t="s">
        <v>71</v>
      </c>
      <c r="D7" s="321">
        <v>30</v>
      </c>
      <c r="E7" s="42"/>
      <c r="G7" s="54"/>
      <c r="H7" s="42"/>
      <c r="I7" s="42"/>
      <c r="J7" s="42"/>
      <c r="K7" s="54"/>
      <c r="L7" s="42"/>
      <c r="M7" s="42"/>
      <c r="N7" s="42"/>
      <c r="O7" s="42"/>
      <c r="P7" s="42"/>
      <c r="Q7" s="42"/>
    </row>
    <row r="8" spans="2:19" ht="15" customHeight="1" x14ac:dyDescent="0.2">
      <c r="B8" s="42"/>
      <c r="C8" s="55" t="s">
        <v>49</v>
      </c>
      <c r="D8" s="321">
        <f>D5+D6</f>
        <v>2028</v>
      </c>
      <c r="E8" s="42"/>
      <c r="G8" s="44"/>
      <c r="H8" s="42"/>
      <c r="L8" s="41"/>
      <c r="M8" s="42"/>
      <c r="N8" s="42"/>
      <c r="O8" s="42"/>
      <c r="P8" s="42"/>
      <c r="Q8" s="42"/>
      <c r="R8" s="41"/>
    </row>
    <row r="9" spans="2:19" ht="15" customHeight="1" x14ac:dyDescent="0.2">
      <c r="C9" s="55" t="s">
        <v>50</v>
      </c>
      <c r="D9" s="321">
        <f>D8+D7-1</f>
        <v>2057</v>
      </c>
      <c r="E9" s="42"/>
      <c r="G9" s="54"/>
      <c r="L9" s="41"/>
      <c r="M9" s="41"/>
      <c r="N9" s="41"/>
      <c r="O9" s="41"/>
      <c r="P9" s="41"/>
      <c r="Q9" s="41"/>
      <c r="R9" s="41"/>
    </row>
    <row r="10" spans="2:19" ht="15" customHeight="1" x14ac:dyDescent="0.2">
      <c r="C10" s="55" t="s">
        <v>87</v>
      </c>
      <c r="D10" s="321">
        <v>2045</v>
      </c>
      <c r="E10" s="42"/>
      <c r="G10" s="44"/>
      <c r="L10" s="41"/>
      <c r="M10" s="41"/>
      <c r="N10" s="41"/>
      <c r="O10" s="41"/>
      <c r="P10" s="41"/>
      <c r="Q10" s="41"/>
      <c r="R10" s="41"/>
    </row>
    <row r="11" spans="2:19" ht="15" customHeight="1" x14ac:dyDescent="0.2">
      <c r="D11" s="56"/>
      <c r="F11" s="42"/>
      <c r="L11" s="41"/>
      <c r="M11" s="41"/>
      <c r="N11" s="41"/>
      <c r="O11" s="41"/>
      <c r="P11" s="41"/>
      <c r="Q11" s="41"/>
      <c r="R11" s="41"/>
    </row>
    <row r="12" spans="2:19" ht="15" customHeight="1" x14ac:dyDescent="0.2">
      <c r="C12" s="5" t="s">
        <v>51</v>
      </c>
      <c r="E12" s="42"/>
      <c r="F12" s="42"/>
      <c r="L12" s="41"/>
      <c r="M12" s="41"/>
      <c r="N12" s="41"/>
      <c r="O12" s="41"/>
      <c r="P12" s="41"/>
      <c r="Q12" s="41"/>
      <c r="R12" s="41"/>
    </row>
    <row r="13" spans="2:19" ht="15" customHeight="1" x14ac:dyDescent="0.2">
      <c r="C13" s="55"/>
      <c r="D13" s="57" t="s">
        <v>43</v>
      </c>
      <c r="E13" s="57" t="s">
        <v>44</v>
      </c>
      <c r="F13" s="42"/>
      <c r="L13" s="41"/>
      <c r="M13" s="41"/>
      <c r="N13" s="41"/>
      <c r="O13" s="41"/>
      <c r="P13" s="41"/>
      <c r="Q13" s="41"/>
      <c r="R13" s="41"/>
    </row>
    <row r="14" spans="2:19" ht="15" customHeight="1" x14ac:dyDescent="0.2">
      <c r="C14" s="55" t="s">
        <v>88</v>
      </c>
      <c r="D14" s="322">
        <f>(15700+31500+24100+21900-(1300+800+870+1550))/(15700+31500+24100+21900)</f>
        <v>0.95150214592274673</v>
      </c>
      <c r="E14" s="322">
        <f>(15700+31500+24100+21900-(1300+800+870+1550))/(15700+31500+24100+21900)</f>
        <v>0.95150214592274673</v>
      </c>
      <c r="F14" s="42"/>
      <c r="J14" s="68"/>
      <c r="K14" s="68"/>
      <c r="L14" s="41"/>
      <c r="M14" s="41"/>
      <c r="N14" s="41"/>
      <c r="O14" s="41"/>
      <c r="P14" s="41"/>
      <c r="Q14" s="41"/>
      <c r="R14" s="41"/>
    </row>
    <row r="15" spans="2:19" ht="15" customHeight="1" x14ac:dyDescent="0.2">
      <c r="C15" s="55" t="s">
        <v>89</v>
      </c>
      <c r="D15" s="322">
        <f>1-D14</f>
        <v>4.8497854077253266E-2</v>
      </c>
      <c r="E15" s="322">
        <f>1-E14</f>
        <v>4.8497854077253266E-2</v>
      </c>
      <c r="L15" s="41"/>
      <c r="M15" s="41"/>
      <c r="N15" s="41"/>
      <c r="O15" s="41"/>
      <c r="P15" s="41"/>
      <c r="Q15" s="41"/>
      <c r="R15" s="41"/>
    </row>
    <row r="16" spans="2:19" ht="15" customHeight="1" x14ac:dyDescent="0.2">
      <c r="C16" s="55" t="s">
        <v>90</v>
      </c>
      <c r="D16" s="321">
        <v>1.67</v>
      </c>
      <c r="E16" s="321">
        <v>1.67</v>
      </c>
      <c r="L16" s="41"/>
      <c r="M16" s="41"/>
      <c r="N16" s="41"/>
      <c r="O16" s="41"/>
      <c r="P16" s="41"/>
      <c r="Q16" s="41"/>
      <c r="R16" s="41"/>
      <c r="S16" s="42"/>
    </row>
    <row r="17" spans="2:18" ht="15" customHeight="1" x14ac:dyDescent="0.2">
      <c r="C17" s="55" t="s">
        <v>91</v>
      </c>
      <c r="D17" s="323">
        <v>1</v>
      </c>
      <c r="E17" s="323">
        <v>1</v>
      </c>
      <c r="L17" s="41"/>
      <c r="M17" s="41"/>
      <c r="N17" s="41"/>
      <c r="O17" s="41"/>
      <c r="P17" s="41"/>
      <c r="Q17" s="41"/>
      <c r="R17" s="41"/>
    </row>
    <row r="18" spans="2:18" ht="15" customHeight="1" x14ac:dyDescent="0.2">
      <c r="C18" s="42"/>
      <c r="D18" s="42"/>
      <c r="E18" s="42"/>
      <c r="L18" s="41"/>
      <c r="M18" s="41"/>
      <c r="N18" s="41"/>
      <c r="O18" s="41"/>
      <c r="P18" s="41"/>
      <c r="Q18" s="41"/>
      <c r="R18" s="41"/>
    </row>
    <row r="19" spans="2:18" ht="15" customHeight="1" x14ac:dyDescent="0.2">
      <c r="C19" s="5" t="s">
        <v>52</v>
      </c>
      <c r="D19" s="56"/>
      <c r="F19" s="42"/>
      <c r="L19" s="41"/>
      <c r="M19" s="41"/>
      <c r="N19" s="41"/>
      <c r="O19" s="41"/>
      <c r="P19" s="41"/>
      <c r="Q19" s="41"/>
      <c r="R19" s="41"/>
    </row>
    <row r="20" spans="2:18" ht="15" customHeight="1" x14ac:dyDescent="0.2">
      <c r="C20" s="55" t="s">
        <v>92</v>
      </c>
      <c r="D20" s="55">
        <v>365</v>
      </c>
      <c r="F20" s="42"/>
      <c r="L20" s="41"/>
      <c r="M20" s="41"/>
      <c r="N20" s="41"/>
      <c r="O20" s="41"/>
      <c r="P20" s="41"/>
      <c r="Q20" s="41"/>
      <c r="R20" s="41"/>
    </row>
    <row r="21" spans="2:18" ht="15" customHeight="1" x14ac:dyDescent="0.2">
      <c r="C21" s="55" t="s">
        <v>95</v>
      </c>
      <c r="D21" s="324">
        <v>17.8</v>
      </c>
      <c r="L21" s="41"/>
      <c r="M21" s="41"/>
      <c r="N21" s="41"/>
      <c r="O21" s="41"/>
      <c r="P21" s="41"/>
      <c r="Q21" s="41"/>
      <c r="R21" s="41"/>
    </row>
    <row r="22" spans="2:18" ht="15" customHeight="1" x14ac:dyDescent="0.2">
      <c r="C22" s="55" t="s">
        <v>96</v>
      </c>
      <c r="D22" s="324">
        <v>32</v>
      </c>
      <c r="L22" s="41"/>
      <c r="M22" s="41"/>
      <c r="N22" s="41"/>
      <c r="O22" s="41"/>
      <c r="P22" s="41"/>
      <c r="Q22" s="41"/>
      <c r="R22" s="41"/>
    </row>
    <row r="23" spans="2:18" ht="15" customHeight="1" x14ac:dyDescent="0.2">
      <c r="C23" s="55" t="s">
        <v>70</v>
      </c>
      <c r="D23" s="324">
        <f>(D21*D14*D16+D22*D15*D17)</f>
        <v>29.836284120171676</v>
      </c>
      <c r="F23" s="42"/>
      <c r="L23" s="41"/>
      <c r="M23" s="41"/>
      <c r="N23" s="41"/>
      <c r="O23" s="41"/>
      <c r="P23" s="41"/>
      <c r="Q23" s="41"/>
      <c r="R23" s="41"/>
    </row>
    <row r="24" spans="2:18" ht="15" customHeight="1" x14ac:dyDescent="0.2">
      <c r="C24" s="55" t="s">
        <v>108</v>
      </c>
      <c r="D24" s="324">
        <v>0.45</v>
      </c>
      <c r="L24" s="41"/>
      <c r="M24" s="41"/>
      <c r="N24" s="41"/>
      <c r="O24" s="41"/>
      <c r="P24" s="41"/>
      <c r="Q24" s="41"/>
      <c r="R24" s="41"/>
    </row>
    <row r="25" spans="2:18" ht="15" customHeight="1" x14ac:dyDescent="0.2">
      <c r="C25" s="55" t="s">
        <v>109</v>
      </c>
      <c r="D25" s="324">
        <v>0.94</v>
      </c>
      <c r="L25" s="41"/>
      <c r="M25" s="41"/>
      <c r="N25" s="41"/>
      <c r="O25" s="41"/>
      <c r="P25" s="41"/>
      <c r="Q25" s="41"/>
      <c r="R25" s="41"/>
    </row>
    <row r="26" spans="2:18" ht="15" customHeight="1" x14ac:dyDescent="0.2">
      <c r="C26" s="42"/>
      <c r="D26" s="108"/>
      <c r="F26" s="42"/>
      <c r="L26" s="41"/>
      <c r="M26" s="41"/>
      <c r="N26" s="41"/>
      <c r="O26" s="41"/>
      <c r="P26" s="41"/>
      <c r="Q26" s="41"/>
      <c r="R26" s="41"/>
    </row>
    <row r="27" spans="2:18" ht="15" customHeight="1" x14ac:dyDescent="0.2">
      <c r="L27" s="41"/>
      <c r="M27" s="41"/>
      <c r="N27" s="41"/>
      <c r="O27" s="41"/>
      <c r="P27" s="41"/>
      <c r="Q27" s="41"/>
      <c r="R27" s="41"/>
    </row>
    <row r="28" spans="2:18" ht="15" customHeight="1" x14ac:dyDescent="0.2">
      <c r="B28" s="17" t="s">
        <v>3</v>
      </c>
      <c r="C28" s="17"/>
      <c r="D28" s="17"/>
      <c r="L28" s="41"/>
      <c r="M28" s="41"/>
      <c r="N28" s="41"/>
      <c r="O28" s="41"/>
      <c r="P28" s="41"/>
      <c r="Q28" s="41"/>
      <c r="R28" s="41"/>
    </row>
    <row r="29" spans="2:18" ht="15" customHeight="1" x14ac:dyDescent="0.25">
      <c r="B29" s="286" t="s">
        <v>53</v>
      </c>
      <c r="C29" s="574" t="s">
        <v>376</v>
      </c>
      <c r="D29" s="574"/>
      <c r="E29" s="574"/>
      <c r="F29" s="574"/>
      <c r="G29" s="574"/>
      <c r="L29" s="41"/>
      <c r="M29" s="41"/>
      <c r="N29" s="41"/>
      <c r="O29" s="41"/>
      <c r="P29" s="41"/>
      <c r="Q29" s="41"/>
      <c r="R29" s="41"/>
    </row>
    <row r="30" spans="2:18" ht="15" customHeight="1" x14ac:dyDescent="0.25">
      <c r="B30" s="287"/>
      <c r="C30" s="574"/>
      <c r="D30" s="574"/>
      <c r="E30" s="574"/>
      <c r="F30" s="574"/>
      <c r="G30" s="574"/>
      <c r="L30" s="41"/>
      <c r="M30" s="41"/>
      <c r="N30" s="41"/>
      <c r="O30" s="41"/>
      <c r="P30" s="41"/>
      <c r="Q30" s="41"/>
      <c r="R30" s="41"/>
    </row>
    <row r="31" spans="2:18" ht="15" customHeight="1" x14ac:dyDescent="0.25">
      <c r="B31" s="287"/>
      <c r="C31" s="574"/>
      <c r="D31" s="574"/>
      <c r="E31" s="574"/>
      <c r="F31" s="574"/>
      <c r="G31" s="574"/>
      <c r="L31" s="41"/>
      <c r="M31" s="41"/>
      <c r="N31" s="41"/>
      <c r="O31" s="41"/>
      <c r="P31" s="41"/>
      <c r="Q31" s="41"/>
      <c r="R31" s="41"/>
    </row>
    <row r="32" spans="2:18" ht="15" customHeight="1" x14ac:dyDescent="0.25">
      <c r="B32" s="287"/>
      <c r="C32" s="288"/>
      <c r="D32" s="288"/>
      <c r="E32" s="288"/>
      <c r="F32" s="288"/>
      <c r="G32" s="288"/>
      <c r="L32" s="41"/>
      <c r="M32" s="41"/>
      <c r="N32" s="41"/>
      <c r="O32" s="41"/>
      <c r="P32" s="41"/>
      <c r="Q32" s="41"/>
      <c r="R32" s="41"/>
    </row>
    <row r="33" spans="2:18" ht="15" customHeight="1" x14ac:dyDescent="0.25">
      <c r="B33" s="286" t="s">
        <v>66</v>
      </c>
      <c r="C33" s="461" t="s">
        <v>242</v>
      </c>
      <c r="D33" s="461"/>
      <c r="E33" s="461"/>
      <c r="F33" s="461"/>
      <c r="G33" s="461"/>
      <c r="L33" s="41"/>
      <c r="M33" s="41"/>
      <c r="N33" s="41"/>
      <c r="O33" s="41"/>
      <c r="P33" s="41"/>
      <c r="Q33" s="41"/>
      <c r="R33" s="41"/>
    </row>
    <row r="34" spans="2:18" ht="15" customHeight="1" x14ac:dyDescent="0.25">
      <c r="B34" s="286"/>
      <c r="C34" s="461"/>
      <c r="D34" s="461"/>
      <c r="E34" s="461"/>
      <c r="F34" s="461"/>
      <c r="G34" s="461"/>
      <c r="L34" s="41"/>
      <c r="M34" s="41"/>
      <c r="N34" s="41"/>
      <c r="O34" s="41"/>
      <c r="P34" s="41"/>
      <c r="Q34" s="41"/>
      <c r="R34" s="41"/>
    </row>
    <row r="35" spans="2:18" ht="15" customHeight="1" x14ac:dyDescent="0.25">
      <c r="B35" s="286"/>
      <c r="C35" s="461"/>
      <c r="D35" s="461"/>
      <c r="E35" s="461"/>
      <c r="F35" s="461"/>
      <c r="G35" s="461"/>
      <c r="L35" s="41"/>
      <c r="M35" s="41"/>
      <c r="N35" s="41"/>
      <c r="O35" s="41"/>
      <c r="P35" s="41"/>
      <c r="Q35" s="41"/>
      <c r="R35" s="41"/>
    </row>
    <row r="36" spans="2:18" ht="15" customHeight="1" x14ac:dyDescent="0.25">
      <c r="B36" s="286"/>
      <c r="C36" s="289"/>
      <c r="D36" s="289"/>
      <c r="E36" s="289"/>
      <c r="F36" s="289"/>
      <c r="G36" s="289"/>
      <c r="L36" s="41"/>
      <c r="M36" s="41"/>
      <c r="N36" s="41"/>
      <c r="O36" s="41"/>
      <c r="P36" s="41"/>
      <c r="Q36" s="41"/>
      <c r="R36" s="41"/>
    </row>
    <row r="37" spans="2:18" ht="15" customHeight="1" x14ac:dyDescent="0.25">
      <c r="B37" s="286" t="s">
        <v>67</v>
      </c>
      <c r="C37" s="461" t="s">
        <v>212</v>
      </c>
      <c r="D37" s="461"/>
      <c r="E37" s="461"/>
      <c r="F37" s="461"/>
      <c r="G37" s="461"/>
      <c r="L37" s="41"/>
      <c r="M37" s="41"/>
      <c r="N37" s="41"/>
      <c r="O37" s="41"/>
      <c r="P37" s="41"/>
      <c r="Q37" s="41"/>
      <c r="R37" s="41"/>
    </row>
    <row r="38" spans="2:18" ht="15" customHeight="1" x14ac:dyDescent="0.2">
      <c r="C38" s="461"/>
      <c r="D38" s="461"/>
      <c r="E38" s="461"/>
      <c r="F38" s="461"/>
      <c r="G38" s="461"/>
      <c r="L38" s="41"/>
      <c r="M38" s="41"/>
      <c r="N38" s="41"/>
      <c r="O38" s="41"/>
      <c r="P38" s="41"/>
      <c r="Q38" s="41"/>
      <c r="R38" s="41"/>
    </row>
    <row r="39" spans="2:18" ht="15" customHeight="1" x14ac:dyDescent="0.2">
      <c r="C39" s="461"/>
      <c r="D39" s="461"/>
      <c r="E39" s="461"/>
      <c r="F39" s="461"/>
      <c r="G39" s="461"/>
      <c r="L39" s="41"/>
      <c r="M39" s="41"/>
      <c r="N39" s="41"/>
      <c r="O39" s="41"/>
      <c r="P39" s="41"/>
      <c r="Q39" s="41"/>
      <c r="R39" s="41"/>
    </row>
    <row r="40" spans="2:18" ht="15" customHeight="1" x14ac:dyDescent="0.2">
      <c r="D40" s="64"/>
      <c r="E40" s="64"/>
      <c r="F40" s="64"/>
      <c r="G40" s="64"/>
      <c r="L40" s="41"/>
      <c r="M40" s="41"/>
      <c r="N40" s="41"/>
      <c r="O40" s="41"/>
      <c r="P40" s="41"/>
      <c r="Q40" s="41"/>
      <c r="R40" s="41"/>
    </row>
    <row r="41" spans="2:18" ht="15" customHeight="1" x14ac:dyDescent="0.25">
      <c r="B41" s="290" t="s">
        <v>68</v>
      </c>
      <c r="C41" s="462" t="s">
        <v>134</v>
      </c>
      <c r="D41" s="462"/>
      <c r="E41" s="462"/>
      <c r="F41" s="462"/>
      <c r="G41" s="462"/>
      <c r="L41" s="41"/>
      <c r="M41" s="41"/>
      <c r="N41" s="41"/>
      <c r="O41" s="41"/>
      <c r="P41" s="41"/>
      <c r="Q41" s="41"/>
      <c r="R41" s="41"/>
    </row>
    <row r="42" spans="2:18" ht="15" customHeight="1" x14ac:dyDescent="0.2">
      <c r="C42" s="462"/>
      <c r="D42" s="462"/>
      <c r="E42" s="462"/>
      <c r="F42" s="462"/>
      <c r="G42" s="462"/>
      <c r="L42" s="41"/>
      <c r="M42" s="41"/>
      <c r="N42" s="41"/>
      <c r="O42" s="41"/>
      <c r="P42" s="41"/>
      <c r="Q42" s="41"/>
      <c r="R42" s="41"/>
    </row>
    <row r="43" spans="2:18" x14ac:dyDescent="0.25">
      <c r="B43" s="290"/>
      <c r="C43" s="291"/>
      <c r="D43" s="292"/>
      <c r="E43" s="291"/>
      <c r="F43" s="291"/>
      <c r="G43" s="291"/>
      <c r="L43" s="41"/>
      <c r="M43" s="41"/>
      <c r="N43" s="41"/>
      <c r="O43" s="41"/>
      <c r="P43" s="41"/>
      <c r="Q43" s="41"/>
      <c r="R43" s="41"/>
    </row>
    <row r="44" spans="2:18" ht="15" customHeight="1" x14ac:dyDescent="0.25">
      <c r="B44" s="290" t="s">
        <v>69</v>
      </c>
      <c r="C44" s="462" t="s">
        <v>214</v>
      </c>
      <c r="D44" s="462"/>
      <c r="E44" s="462"/>
      <c r="F44" s="462"/>
      <c r="G44" s="462"/>
    </row>
    <row r="45" spans="2:18" ht="15" customHeight="1" x14ac:dyDescent="0.25">
      <c r="B45" s="290"/>
      <c r="C45" s="462"/>
      <c r="D45" s="462"/>
      <c r="E45" s="462"/>
      <c r="F45" s="462"/>
      <c r="G45" s="462"/>
    </row>
    <row r="46" spans="2:18" ht="15" customHeight="1" x14ac:dyDescent="0.25">
      <c r="B46" s="290"/>
      <c r="C46" s="462"/>
      <c r="D46" s="462"/>
      <c r="E46" s="462"/>
      <c r="F46" s="462"/>
      <c r="G46" s="462"/>
      <c r="L46" s="41"/>
      <c r="M46" s="41"/>
      <c r="N46" s="41"/>
      <c r="O46" s="41"/>
      <c r="P46" s="41"/>
      <c r="Q46" s="41"/>
      <c r="R46" s="41"/>
    </row>
    <row r="47" spans="2:18" ht="15" customHeight="1" x14ac:dyDescent="0.2">
      <c r="B47" s="63"/>
      <c r="C47" s="64"/>
      <c r="D47" s="64"/>
      <c r="E47" s="64"/>
      <c r="F47" s="64"/>
      <c r="G47" s="64"/>
      <c r="L47" s="41"/>
      <c r="M47" s="41"/>
      <c r="N47" s="41"/>
      <c r="O47" s="41"/>
      <c r="P47" s="41"/>
      <c r="Q47" s="41"/>
      <c r="R47" s="41"/>
    </row>
    <row r="48" spans="2:18" ht="15" customHeight="1" x14ac:dyDescent="0.25">
      <c r="B48" s="290" t="s">
        <v>107</v>
      </c>
      <c r="C48" s="462" t="s">
        <v>215</v>
      </c>
      <c r="D48" s="462"/>
      <c r="E48" s="462"/>
      <c r="F48" s="462"/>
      <c r="G48" s="462"/>
      <c r="L48" s="41"/>
      <c r="M48" s="41"/>
      <c r="N48" s="41"/>
      <c r="O48" s="41"/>
      <c r="P48" s="41"/>
      <c r="Q48" s="41"/>
      <c r="R48" s="41"/>
    </row>
    <row r="49" spans="2:19" ht="15" customHeight="1" x14ac:dyDescent="0.25">
      <c r="B49" s="290"/>
      <c r="C49" s="462"/>
      <c r="D49" s="462"/>
      <c r="E49" s="462"/>
      <c r="F49" s="462"/>
      <c r="G49" s="462"/>
      <c r="L49" s="41"/>
      <c r="M49" s="41"/>
      <c r="N49" s="41"/>
      <c r="O49" s="41"/>
      <c r="P49" s="41"/>
      <c r="Q49" s="41"/>
      <c r="R49" s="41"/>
    </row>
    <row r="50" spans="2:19" ht="15" customHeight="1" x14ac:dyDescent="0.25">
      <c r="B50" s="290"/>
      <c r="C50" s="462"/>
      <c r="D50" s="462"/>
      <c r="E50" s="462"/>
      <c r="F50" s="462"/>
      <c r="G50" s="462"/>
      <c r="L50" s="41"/>
      <c r="M50" s="41"/>
      <c r="N50" s="41"/>
      <c r="O50" s="41"/>
      <c r="P50" s="41"/>
      <c r="Q50" s="41"/>
      <c r="R50" s="41"/>
    </row>
    <row r="51" spans="2:19" ht="15" customHeight="1" x14ac:dyDescent="0.2">
      <c r="B51" s="63"/>
      <c r="C51" s="64"/>
      <c r="D51" s="64"/>
      <c r="E51" s="64"/>
      <c r="F51" s="64"/>
      <c r="G51" s="64"/>
      <c r="H51" s="65"/>
      <c r="I51" s="40"/>
      <c r="J51" s="40"/>
      <c r="L51" s="41"/>
      <c r="M51" s="41"/>
      <c r="N51" s="41"/>
      <c r="O51" s="41"/>
      <c r="P51" s="41"/>
      <c r="Q51" s="41"/>
      <c r="R51" s="41"/>
    </row>
    <row r="52" spans="2:19" ht="15" customHeight="1" x14ac:dyDescent="0.2">
      <c r="C52" s="592"/>
      <c r="D52" s="592"/>
      <c r="E52" s="592"/>
      <c r="F52" s="592"/>
      <c r="G52" s="592"/>
      <c r="H52" s="65"/>
      <c r="I52" s="40"/>
      <c r="J52" s="40"/>
      <c r="L52" s="41"/>
      <c r="M52" s="41"/>
      <c r="N52" s="41"/>
      <c r="O52" s="41"/>
      <c r="P52" s="41"/>
      <c r="Q52" s="41"/>
      <c r="R52" s="41"/>
    </row>
    <row r="53" spans="2:19" ht="15" customHeight="1" x14ac:dyDescent="0.2">
      <c r="B53" s="63"/>
      <c r="H53" s="40"/>
      <c r="L53" s="41"/>
      <c r="M53" s="41"/>
      <c r="N53" s="41"/>
      <c r="O53" s="41"/>
      <c r="P53" s="41"/>
      <c r="Q53" s="41"/>
      <c r="R53" s="41"/>
    </row>
    <row r="54" spans="2:19" ht="15" customHeight="1" x14ac:dyDescent="0.2">
      <c r="B54" s="63"/>
      <c r="H54" s="40"/>
      <c r="L54" s="41"/>
      <c r="M54" s="41"/>
      <c r="N54" s="41"/>
      <c r="O54" s="41"/>
      <c r="P54" s="41"/>
      <c r="Q54" s="41"/>
      <c r="R54" s="41"/>
    </row>
    <row r="55" spans="2:19" ht="15" customHeight="1" x14ac:dyDescent="0.2">
      <c r="B55" s="63"/>
      <c r="H55" s="40"/>
      <c r="L55" s="41"/>
      <c r="M55" s="41"/>
      <c r="N55" s="41"/>
      <c r="O55" s="41"/>
      <c r="P55" s="41"/>
      <c r="Q55" s="41"/>
      <c r="R55" s="41"/>
    </row>
    <row r="56" spans="2:19" ht="15" customHeight="1" x14ac:dyDescent="0.2">
      <c r="B56" s="63"/>
      <c r="C56" s="593"/>
      <c r="D56" s="593"/>
      <c r="E56" s="593"/>
      <c r="F56" s="593"/>
      <c r="G56" s="593"/>
      <c r="H56" s="40"/>
      <c r="L56" s="41"/>
      <c r="M56" s="41"/>
      <c r="N56" s="41"/>
      <c r="O56" s="41"/>
      <c r="P56" s="41"/>
      <c r="Q56" s="41"/>
      <c r="R56" s="41"/>
    </row>
    <row r="57" spans="2:19" ht="15" customHeight="1" x14ac:dyDescent="0.2">
      <c r="B57" s="63"/>
      <c r="C57" s="592"/>
      <c r="D57" s="592"/>
      <c r="E57" s="592"/>
      <c r="F57" s="592"/>
      <c r="G57" s="592"/>
      <c r="L57" s="41"/>
      <c r="M57" s="41"/>
      <c r="N57" s="41"/>
      <c r="O57" s="41"/>
      <c r="P57" s="40"/>
      <c r="Q57" s="40"/>
      <c r="R57" s="40"/>
      <c r="S57" s="40"/>
    </row>
    <row r="58" spans="2:19" ht="15" customHeight="1" x14ac:dyDescent="0.2">
      <c r="B58" s="63"/>
      <c r="C58" s="592"/>
      <c r="D58" s="592"/>
      <c r="E58" s="592"/>
      <c r="F58" s="592"/>
      <c r="G58" s="592"/>
      <c r="K58" s="40"/>
      <c r="L58" s="40"/>
      <c r="M58" s="40"/>
      <c r="N58" s="40"/>
      <c r="O58" s="40"/>
      <c r="P58" s="41"/>
      <c r="Q58" s="41"/>
      <c r="R58" s="41"/>
    </row>
    <row r="59" spans="2:19" ht="15" customHeight="1" x14ac:dyDescent="0.2">
      <c r="B59" s="63"/>
      <c r="C59" s="593"/>
      <c r="D59" s="593"/>
      <c r="E59" s="593"/>
      <c r="F59" s="593"/>
      <c r="G59" s="593"/>
      <c r="L59" s="41"/>
      <c r="M59" s="41"/>
      <c r="N59" s="41"/>
      <c r="O59" s="41"/>
      <c r="P59" s="41"/>
      <c r="Q59" s="41"/>
      <c r="R59" s="41"/>
    </row>
    <row r="60" spans="2:19" ht="15" customHeight="1" x14ac:dyDescent="0.2">
      <c r="B60" s="63"/>
      <c r="C60" s="592"/>
      <c r="D60" s="592"/>
      <c r="E60" s="592"/>
      <c r="F60" s="592"/>
      <c r="G60" s="592"/>
      <c r="H60" s="40"/>
      <c r="L60" s="40"/>
      <c r="O60" s="41"/>
      <c r="P60" s="41"/>
      <c r="Q60" s="41"/>
      <c r="R60" s="41"/>
    </row>
    <row r="61" spans="2:19" ht="15" customHeight="1" x14ac:dyDescent="0.2">
      <c r="B61" s="40"/>
      <c r="C61" s="592"/>
      <c r="D61" s="592"/>
      <c r="E61" s="592"/>
      <c r="F61" s="592"/>
      <c r="G61" s="592"/>
      <c r="L61" s="40"/>
      <c r="M61" s="41"/>
      <c r="N61" s="41"/>
      <c r="O61" s="41"/>
      <c r="P61" s="40"/>
      <c r="Q61" s="40"/>
      <c r="R61" s="40"/>
    </row>
    <row r="62" spans="2:19" ht="15" customHeight="1" x14ac:dyDescent="0.2">
      <c r="B62" s="40"/>
      <c r="C62" s="592"/>
      <c r="D62" s="592"/>
      <c r="E62" s="592"/>
      <c r="F62" s="592"/>
      <c r="G62" s="592"/>
      <c r="K62" s="40"/>
      <c r="L62" s="40"/>
      <c r="M62" s="40"/>
      <c r="N62" s="40"/>
      <c r="O62" s="40"/>
      <c r="P62" s="41"/>
      <c r="Q62" s="41"/>
      <c r="R62" s="41"/>
    </row>
    <row r="63" spans="2:19" ht="15" customHeight="1" x14ac:dyDescent="0.2">
      <c r="B63" s="40"/>
      <c r="C63" s="592"/>
      <c r="D63" s="592"/>
      <c r="E63" s="592"/>
      <c r="F63" s="592"/>
      <c r="G63" s="592"/>
      <c r="L63" s="40"/>
      <c r="M63" s="41"/>
      <c r="N63" s="41"/>
      <c r="O63" s="41"/>
      <c r="P63" s="41"/>
      <c r="Q63" s="41"/>
      <c r="R63" s="41"/>
    </row>
    <row r="64" spans="2:19" ht="15" customHeight="1" x14ac:dyDescent="0.2">
      <c r="B64" s="66"/>
      <c r="C64" s="592"/>
      <c r="D64" s="592"/>
      <c r="E64" s="592"/>
      <c r="F64" s="592"/>
      <c r="G64" s="592"/>
      <c r="L64" s="41"/>
      <c r="M64" s="41"/>
      <c r="N64" s="41"/>
      <c r="O64" s="41"/>
      <c r="P64" s="41"/>
      <c r="Q64" s="41"/>
      <c r="R64" s="41"/>
    </row>
    <row r="65" spans="2:18" ht="15" customHeight="1" x14ac:dyDescent="0.2">
      <c r="B65" s="40"/>
      <c r="L65" s="41"/>
      <c r="M65" s="41"/>
      <c r="N65" s="41"/>
      <c r="O65" s="41"/>
      <c r="P65" s="41"/>
      <c r="Q65" s="41"/>
      <c r="R65" s="41"/>
    </row>
    <row r="66" spans="2:18" ht="15" customHeight="1" x14ac:dyDescent="0.2">
      <c r="B66" s="40"/>
      <c r="E66" s="43"/>
      <c r="F66" s="43"/>
      <c r="G66" s="43"/>
      <c r="L66" s="41"/>
      <c r="M66" s="41"/>
      <c r="N66" s="41"/>
      <c r="O66" s="41"/>
      <c r="P66" s="41"/>
      <c r="Q66" s="41"/>
      <c r="R66" s="41"/>
    </row>
    <row r="67" spans="2:18" ht="15" customHeight="1" x14ac:dyDescent="0.2">
      <c r="B67" s="40"/>
      <c r="E67" s="43"/>
      <c r="F67" s="43"/>
      <c r="G67" s="43"/>
      <c r="L67" s="41"/>
      <c r="M67" s="41"/>
      <c r="N67" s="41"/>
      <c r="O67" s="41"/>
      <c r="P67" s="41"/>
      <c r="Q67" s="41"/>
      <c r="R67" s="41"/>
    </row>
    <row r="68" spans="2:18" ht="15" customHeight="1" x14ac:dyDescent="0.2">
      <c r="B68" s="40"/>
      <c r="L68" s="41"/>
      <c r="M68" s="41"/>
      <c r="N68" s="41"/>
      <c r="O68" s="41"/>
      <c r="P68" s="41"/>
      <c r="Q68" s="41"/>
      <c r="R68" s="41"/>
    </row>
    <row r="69" spans="2:18" ht="15" customHeight="1" x14ac:dyDescent="0.2">
      <c r="L69" s="41"/>
      <c r="M69" s="41"/>
      <c r="N69" s="41"/>
      <c r="O69" s="41"/>
      <c r="P69" s="41"/>
      <c r="Q69" s="41"/>
      <c r="R69" s="41"/>
    </row>
    <row r="70" spans="2:18" ht="15" customHeight="1" x14ac:dyDescent="0.2">
      <c r="L70" s="41"/>
      <c r="M70" s="41"/>
      <c r="N70" s="41"/>
      <c r="O70" s="41"/>
      <c r="P70" s="41"/>
      <c r="Q70" s="41"/>
      <c r="R70" s="41"/>
    </row>
    <row r="71" spans="2:18" ht="15" customHeight="1" x14ac:dyDescent="0.2">
      <c r="L71" s="41"/>
      <c r="M71" s="41"/>
      <c r="N71" s="41"/>
      <c r="O71" s="41"/>
      <c r="P71" s="41"/>
      <c r="Q71" s="41"/>
      <c r="R71" s="41"/>
    </row>
    <row r="72" spans="2:18" ht="15" customHeight="1" x14ac:dyDescent="0.2">
      <c r="L72" s="41"/>
      <c r="M72" s="41"/>
      <c r="N72" s="41"/>
      <c r="O72" s="41"/>
      <c r="P72" s="41"/>
      <c r="Q72" s="41"/>
      <c r="R72" s="41"/>
    </row>
    <row r="73" spans="2:18" ht="15" customHeight="1" x14ac:dyDescent="0.2">
      <c r="L73" s="41"/>
      <c r="M73" s="41"/>
      <c r="N73" s="41"/>
      <c r="O73" s="41"/>
      <c r="P73" s="41"/>
      <c r="Q73" s="41"/>
      <c r="R73" s="41"/>
    </row>
    <row r="74" spans="2:18" ht="15" customHeight="1" x14ac:dyDescent="0.2">
      <c r="L74" s="41"/>
      <c r="M74" s="41"/>
      <c r="N74" s="41"/>
      <c r="O74" s="41"/>
      <c r="P74" s="41"/>
      <c r="Q74" s="41"/>
      <c r="R74" s="41"/>
    </row>
    <row r="75" spans="2:18" ht="15" customHeight="1" x14ac:dyDescent="0.2">
      <c r="I75" s="44"/>
      <c r="L75" s="41"/>
      <c r="M75" s="41"/>
      <c r="N75" s="41"/>
      <c r="O75" s="41"/>
      <c r="P75" s="41"/>
      <c r="Q75" s="41"/>
      <c r="R75" s="41"/>
    </row>
    <row r="76" spans="2:18" ht="15" customHeight="1" x14ac:dyDescent="0.2">
      <c r="L76" s="41"/>
      <c r="M76" s="41"/>
      <c r="N76" s="41"/>
      <c r="O76" s="41"/>
      <c r="P76" s="41"/>
      <c r="Q76" s="41"/>
      <c r="R76" s="41"/>
    </row>
    <row r="77" spans="2:18" ht="15" customHeight="1" x14ac:dyDescent="0.2">
      <c r="I77" s="44"/>
      <c r="L77" s="41"/>
      <c r="M77" s="41"/>
      <c r="N77" s="41"/>
      <c r="O77" s="41"/>
      <c r="P77" s="41"/>
      <c r="Q77" s="41"/>
      <c r="R77" s="41"/>
    </row>
    <row r="78" spans="2:18" ht="15" customHeight="1" x14ac:dyDescent="0.2">
      <c r="I78" s="44"/>
      <c r="L78" s="41"/>
      <c r="M78" s="41"/>
      <c r="N78" s="41"/>
      <c r="O78" s="41"/>
      <c r="P78" s="41"/>
      <c r="Q78" s="41"/>
      <c r="R78" s="41"/>
    </row>
    <row r="79" spans="2:18" ht="15" customHeight="1" x14ac:dyDescent="0.2">
      <c r="H79" s="43"/>
      <c r="L79" s="41"/>
      <c r="M79" s="41"/>
      <c r="N79" s="41"/>
      <c r="O79" s="41"/>
      <c r="P79" s="41"/>
      <c r="Q79" s="41"/>
      <c r="R79" s="41"/>
    </row>
    <row r="80" spans="2:18" ht="15" customHeight="1" x14ac:dyDescent="0.2">
      <c r="H80" s="43"/>
      <c r="L80" s="41"/>
      <c r="M80" s="41"/>
      <c r="N80" s="41"/>
      <c r="O80" s="41"/>
      <c r="P80" s="41"/>
      <c r="Q80" s="41"/>
      <c r="R80" s="41"/>
    </row>
    <row r="81" spans="12:18" ht="15" customHeight="1" x14ac:dyDescent="0.2">
      <c r="L81" s="41"/>
      <c r="M81" s="41"/>
      <c r="N81" s="41"/>
      <c r="O81" s="41"/>
      <c r="P81" s="41"/>
      <c r="Q81" s="41"/>
      <c r="R81" s="41"/>
    </row>
    <row r="82" spans="12:18" ht="15" customHeight="1" x14ac:dyDescent="0.2">
      <c r="L82" s="41"/>
      <c r="M82" s="41"/>
      <c r="N82" s="41"/>
      <c r="O82" s="41"/>
      <c r="P82" s="41"/>
      <c r="Q82" s="41"/>
      <c r="R82" s="41"/>
    </row>
    <row r="83" spans="12:18" ht="15" customHeight="1" x14ac:dyDescent="0.2">
      <c r="L83" s="41"/>
      <c r="M83" s="41"/>
      <c r="N83" s="41"/>
      <c r="O83" s="41"/>
      <c r="P83" s="41"/>
      <c r="Q83" s="41"/>
      <c r="R83" s="41"/>
    </row>
    <row r="84" spans="12:18" ht="15" customHeight="1" x14ac:dyDescent="0.2">
      <c r="L84" s="41"/>
      <c r="M84" s="41"/>
      <c r="N84" s="41"/>
      <c r="O84" s="41"/>
      <c r="P84" s="41"/>
      <c r="Q84" s="41"/>
      <c r="R84" s="41"/>
    </row>
    <row r="85" spans="12:18" ht="15" customHeight="1" x14ac:dyDescent="0.2">
      <c r="L85" s="41"/>
      <c r="M85" s="41"/>
      <c r="N85" s="41"/>
      <c r="O85" s="41"/>
      <c r="P85" s="41"/>
      <c r="Q85" s="41"/>
      <c r="R85" s="41"/>
    </row>
    <row r="86" spans="12:18" ht="15" customHeight="1" x14ac:dyDescent="0.2">
      <c r="L86" s="41"/>
      <c r="M86" s="41"/>
      <c r="N86" s="41"/>
      <c r="O86" s="41"/>
      <c r="P86" s="41"/>
      <c r="Q86" s="41"/>
      <c r="R86" s="41"/>
    </row>
    <row r="87" spans="12:18" ht="15" customHeight="1" x14ac:dyDescent="0.2">
      <c r="L87" s="41"/>
      <c r="M87" s="40"/>
      <c r="N87" s="41"/>
      <c r="O87" s="41"/>
      <c r="R87" s="41"/>
    </row>
    <row r="88" spans="12:18" ht="15" customHeight="1" x14ac:dyDescent="0.2">
      <c r="L88" s="41"/>
      <c r="M88" s="41"/>
      <c r="N88" s="41"/>
      <c r="P88" s="41"/>
      <c r="Q88" s="41"/>
      <c r="R88" s="41"/>
    </row>
    <row r="89" spans="12:18" ht="15" customHeight="1" x14ac:dyDescent="0.2">
      <c r="L89" s="40"/>
      <c r="M89" s="41"/>
      <c r="N89" s="40"/>
      <c r="O89" s="41"/>
      <c r="P89" s="41"/>
      <c r="Q89" s="41"/>
      <c r="R89" s="44"/>
    </row>
    <row r="90" spans="12:18" ht="15" customHeight="1" x14ac:dyDescent="0.2">
      <c r="L90" s="40"/>
      <c r="M90" s="40"/>
      <c r="N90" s="41"/>
      <c r="O90" s="41"/>
      <c r="R90" s="44"/>
    </row>
    <row r="91" spans="12:18" ht="15" customHeight="1" x14ac:dyDescent="0.2">
      <c r="N91" s="41"/>
      <c r="P91" s="41"/>
      <c r="Q91" s="41"/>
    </row>
    <row r="92" spans="12:18" ht="15" customHeight="1" x14ac:dyDescent="0.2">
      <c r="N92" s="40"/>
      <c r="O92" s="41"/>
    </row>
    <row r="96" spans="12:18" ht="15" customHeight="1" x14ac:dyDescent="0.2">
      <c r="L96" s="41"/>
      <c r="M96" s="41"/>
      <c r="R96" s="41"/>
    </row>
    <row r="97" spans="12:18" ht="15" customHeight="1" x14ac:dyDescent="0.2">
      <c r="L97" s="40"/>
      <c r="M97" s="41"/>
      <c r="P97" s="41"/>
      <c r="Q97" s="41"/>
      <c r="R97" s="41"/>
    </row>
    <row r="98" spans="12:18" ht="15" customHeight="1" x14ac:dyDescent="0.2">
      <c r="L98" s="40"/>
      <c r="M98" s="40"/>
      <c r="N98" s="41"/>
      <c r="O98" s="41"/>
      <c r="P98" s="41"/>
      <c r="Q98" s="41"/>
      <c r="R98" s="41"/>
    </row>
    <row r="99" spans="12:18" ht="15" customHeight="1" x14ac:dyDescent="0.2">
      <c r="L99" s="40"/>
      <c r="M99" s="40"/>
      <c r="N99" s="41"/>
      <c r="O99" s="41"/>
      <c r="P99" s="41"/>
      <c r="Q99" s="41"/>
      <c r="R99" s="41"/>
    </row>
    <row r="100" spans="12:18" ht="15" customHeight="1" x14ac:dyDescent="0.2">
      <c r="L100" s="40"/>
      <c r="M100" s="41"/>
      <c r="N100" s="40"/>
      <c r="O100" s="41"/>
      <c r="P100" s="41"/>
      <c r="Q100" s="41"/>
      <c r="R100" s="41"/>
    </row>
    <row r="101" spans="12:18" ht="15" customHeight="1" x14ac:dyDescent="0.2">
      <c r="L101" s="40"/>
      <c r="M101" s="41"/>
      <c r="N101" s="40"/>
      <c r="O101" s="41"/>
      <c r="P101" s="41"/>
      <c r="Q101" s="41"/>
      <c r="R101" s="41"/>
    </row>
    <row r="102" spans="12:18" ht="15" customHeight="1" x14ac:dyDescent="0.2">
      <c r="N102" s="41"/>
      <c r="O102" s="41"/>
      <c r="P102" s="41"/>
      <c r="Q102" s="41"/>
      <c r="R102" s="41"/>
    </row>
    <row r="103" spans="12:18" ht="15" customHeight="1" x14ac:dyDescent="0.2">
      <c r="N103" s="41"/>
      <c r="O103" s="41"/>
      <c r="R103" s="41"/>
    </row>
    <row r="104" spans="12:18" ht="15" customHeight="1" x14ac:dyDescent="0.2">
      <c r="P104" s="41"/>
      <c r="Q104" s="41"/>
      <c r="R104" s="41"/>
    </row>
    <row r="105" spans="12:18" ht="15" customHeight="1" x14ac:dyDescent="0.2">
      <c r="L105" s="41"/>
      <c r="M105" s="41"/>
      <c r="O105" s="41"/>
      <c r="P105" s="41"/>
      <c r="Q105" s="41"/>
      <c r="R105" s="41"/>
    </row>
    <row r="106" spans="12:18" ht="15" customHeight="1" x14ac:dyDescent="0.2">
      <c r="L106" s="41"/>
      <c r="M106" s="41"/>
      <c r="O106" s="41"/>
      <c r="P106" s="41"/>
      <c r="Q106" s="41"/>
      <c r="R106" s="41"/>
    </row>
    <row r="107" spans="12:18" ht="15" customHeight="1" x14ac:dyDescent="0.2">
      <c r="L107" s="41"/>
      <c r="M107" s="41"/>
      <c r="N107" s="41"/>
      <c r="O107" s="41"/>
      <c r="P107" s="41"/>
      <c r="Q107" s="41"/>
      <c r="R107" s="41"/>
    </row>
    <row r="108" spans="12:18" ht="15" customHeight="1" x14ac:dyDescent="0.2">
      <c r="L108" s="40"/>
      <c r="N108" s="41"/>
      <c r="O108" s="41"/>
      <c r="P108" s="41"/>
      <c r="Q108" s="41"/>
      <c r="R108" s="41"/>
    </row>
    <row r="109" spans="12:18" ht="15" customHeight="1" x14ac:dyDescent="0.2">
      <c r="L109" s="40"/>
      <c r="N109" s="41"/>
      <c r="O109" s="41"/>
      <c r="R109" s="41"/>
    </row>
    <row r="110" spans="12:18" ht="15" customHeight="1" x14ac:dyDescent="0.2">
      <c r="R110" s="41"/>
    </row>
    <row r="111" spans="12:18" ht="15" customHeight="1" x14ac:dyDescent="0.2">
      <c r="L111" s="41"/>
      <c r="M111" s="41"/>
      <c r="R111" s="41"/>
    </row>
    <row r="112" spans="12:18" ht="15" customHeight="1" x14ac:dyDescent="0.2">
      <c r="L112" s="41"/>
      <c r="M112" s="41"/>
      <c r="P112" s="41"/>
      <c r="Q112" s="41"/>
      <c r="R112" s="41"/>
    </row>
    <row r="113" s="41" customFormat="1" ht="15" customHeight="1" x14ac:dyDescent="0.2"/>
    <row r="114" s="41" customFormat="1" ht="15" customHeight="1" x14ac:dyDescent="0.2"/>
    <row r="115" s="41" customFormat="1" ht="15" customHeight="1" x14ac:dyDescent="0.2"/>
    <row r="116" s="41" customFormat="1" ht="15" customHeight="1" x14ac:dyDescent="0.2"/>
    <row r="117" s="41" customFormat="1" ht="15" customHeight="1" x14ac:dyDescent="0.2"/>
    <row r="118" s="41" customFormat="1" ht="15" customHeight="1" x14ac:dyDescent="0.2"/>
    <row r="119" s="41" customFormat="1" ht="15" customHeight="1" x14ac:dyDescent="0.2"/>
    <row r="120" s="41" customFormat="1" ht="15" customHeight="1" x14ac:dyDescent="0.2"/>
    <row r="121" s="41" customFormat="1" ht="15" customHeight="1" x14ac:dyDescent="0.2"/>
    <row r="122" s="41" customFormat="1" ht="15" customHeight="1" x14ac:dyDescent="0.2"/>
    <row r="123" s="41" customFormat="1" ht="15" customHeight="1" x14ac:dyDescent="0.2"/>
    <row r="124" s="41" customFormat="1" ht="15" customHeight="1" x14ac:dyDescent="0.2"/>
    <row r="125" s="41" customFormat="1" ht="15" customHeight="1" x14ac:dyDescent="0.2"/>
    <row r="126" s="41" customFormat="1" ht="15" customHeight="1" x14ac:dyDescent="0.2"/>
    <row r="127" s="41" customFormat="1" ht="15" customHeight="1" x14ac:dyDescent="0.2"/>
    <row r="128" s="41" customFormat="1" ht="15" customHeight="1" x14ac:dyDescent="0.2"/>
    <row r="129" s="41" customFormat="1" ht="15" customHeight="1" x14ac:dyDescent="0.2"/>
    <row r="130" s="41" customFormat="1" ht="15" customHeight="1" x14ac:dyDescent="0.2"/>
    <row r="131" s="41" customFormat="1" ht="15" customHeight="1" x14ac:dyDescent="0.2"/>
    <row r="132" s="41" customFormat="1" ht="15" customHeight="1" x14ac:dyDescent="0.2"/>
    <row r="133" s="41" customFormat="1" ht="15" customHeight="1" x14ac:dyDescent="0.2"/>
    <row r="134" s="41" customFormat="1" ht="15" customHeight="1" x14ac:dyDescent="0.2"/>
    <row r="135" s="41" customFormat="1" ht="15" customHeight="1" x14ac:dyDescent="0.2"/>
    <row r="136" s="41" customFormat="1" ht="15" customHeight="1" x14ac:dyDescent="0.2"/>
    <row r="137" s="41" customFormat="1" ht="15" customHeight="1" x14ac:dyDescent="0.2"/>
    <row r="138" s="41" customFormat="1" ht="15" customHeight="1" x14ac:dyDescent="0.2"/>
    <row r="139" s="41" customFormat="1" ht="15" customHeight="1" x14ac:dyDescent="0.2"/>
    <row r="140" s="41" customFormat="1" ht="15" customHeight="1" x14ac:dyDescent="0.2"/>
    <row r="141" s="41" customFormat="1" ht="15" customHeight="1" x14ac:dyDescent="0.2"/>
    <row r="142" s="41" customFormat="1" ht="15" customHeight="1" x14ac:dyDescent="0.2"/>
    <row r="143" s="41" customFormat="1" ht="15" customHeight="1" x14ac:dyDescent="0.2"/>
    <row r="144" s="41" customFormat="1" ht="15" customHeight="1" x14ac:dyDescent="0.2"/>
    <row r="145" s="41" customFormat="1" ht="15" customHeight="1" x14ac:dyDescent="0.2"/>
    <row r="146" s="41" customFormat="1" ht="15" customHeight="1" x14ac:dyDescent="0.2"/>
    <row r="147" s="41" customFormat="1" ht="15" customHeight="1" x14ac:dyDescent="0.2"/>
    <row r="148" s="41" customFormat="1" ht="15" customHeight="1" x14ac:dyDescent="0.2"/>
    <row r="149" s="41" customFormat="1" ht="15" customHeight="1" x14ac:dyDescent="0.2"/>
    <row r="150" s="41" customFormat="1" ht="15" customHeight="1" x14ac:dyDescent="0.2"/>
    <row r="151" s="41" customFormat="1" ht="15" customHeight="1" x14ac:dyDescent="0.2"/>
    <row r="152" s="41" customFormat="1" ht="15" customHeight="1" x14ac:dyDescent="0.2"/>
    <row r="153" s="41" customFormat="1" ht="15" customHeight="1" x14ac:dyDescent="0.2"/>
    <row r="154" s="41" customFormat="1" ht="15" customHeight="1" x14ac:dyDescent="0.2"/>
    <row r="155" s="41" customFormat="1" ht="15" customHeight="1" x14ac:dyDescent="0.2"/>
    <row r="156" s="41" customFormat="1" ht="15" customHeight="1" x14ac:dyDescent="0.2"/>
    <row r="157" s="41" customFormat="1" ht="15" customHeight="1" x14ac:dyDescent="0.2"/>
    <row r="158" s="41" customFormat="1" ht="15" customHeight="1" x14ac:dyDescent="0.2"/>
    <row r="159" s="41" customFormat="1" ht="15" customHeight="1" x14ac:dyDescent="0.2"/>
    <row r="160" s="41" customFormat="1" ht="15" customHeight="1" x14ac:dyDescent="0.2"/>
    <row r="161" s="41" customFormat="1" ht="15" customHeight="1" x14ac:dyDescent="0.2"/>
    <row r="162" s="41" customFormat="1" ht="15" customHeight="1" x14ac:dyDescent="0.2"/>
    <row r="163" s="41" customFormat="1" ht="15" customHeight="1" x14ac:dyDescent="0.2"/>
    <row r="164" s="41" customFormat="1" ht="15" customHeight="1" x14ac:dyDescent="0.2"/>
    <row r="165" s="41" customFormat="1" ht="15" customHeight="1" x14ac:dyDescent="0.2"/>
    <row r="166" s="41" customFormat="1" ht="15" customHeight="1" x14ac:dyDescent="0.2"/>
    <row r="167" s="41" customFormat="1" ht="15" customHeight="1" x14ac:dyDescent="0.2"/>
    <row r="168" s="41" customFormat="1" ht="15" customHeight="1" x14ac:dyDescent="0.2"/>
    <row r="169" s="41" customFormat="1" ht="15" customHeight="1" x14ac:dyDescent="0.2"/>
    <row r="170" s="41" customFormat="1" ht="15" customHeight="1" x14ac:dyDescent="0.2"/>
    <row r="171" s="41" customFormat="1" ht="15" customHeight="1" x14ac:dyDescent="0.2"/>
    <row r="172" s="41" customFormat="1" ht="15" customHeight="1" x14ac:dyDescent="0.2"/>
    <row r="173" s="41" customFormat="1" ht="15" customHeight="1" x14ac:dyDescent="0.2"/>
    <row r="174" s="41" customFormat="1" ht="15" customHeight="1" x14ac:dyDescent="0.2"/>
    <row r="175" s="41" customFormat="1" ht="15" customHeight="1" x14ac:dyDescent="0.2"/>
    <row r="176" s="41" customFormat="1" ht="15" customHeight="1" x14ac:dyDescent="0.2"/>
    <row r="177" s="41" customFormat="1" ht="15" customHeight="1" x14ac:dyDescent="0.2"/>
    <row r="178" s="41" customFormat="1" ht="15" customHeight="1" x14ac:dyDescent="0.2"/>
    <row r="179" s="41" customFormat="1" ht="15" customHeight="1" x14ac:dyDescent="0.2"/>
    <row r="180" s="41" customFormat="1" ht="15" customHeight="1" x14ac:dyDescent="0.2"/>
    <row r="181" s="41" customFormat="1" ht="15" customHeight="1" x14ac:dyDescent="0.2"/>
    <row r="182" s="41" customFormat="1" ht="15" customHeight="1" x14ac:dyDescent="0.2"/>
    <row r="183" s="41" customFormat="1" ht="15" customHeight="1" x14ac:dyDescent="0.2"/>
    <row r="184" s="41" customFormat="1" ht="15" customHeight="1" x14ac:dyDescent="0.2"/>
    <row r="185" s="41" customFormat="1" ht="15" customHeight="1" x14ac:dyDescent="0.2"/>
    <row r="186" s="41" customFormat="1" ht="15" customHeight="1" x14ac:dyDescent="0.2"/>
    <row r="187" s="41" customFormat="1" ht="15" customHeight="1" x14ac:dyDescent="0.2"/>
    <row r="188" s="41" customFormat="1" ht="15" customHeight="1" x14ac:dyDescent="0.2"/>
    <row r="189" s="41" customFormat="1" ht="15" customHeight="1" x14ac:dyDescent="0.2"/>
    <row r="190" s="41" customFormat="1" ht="15" customHeight="1" x14ac:dyDescent="0.2"/>
    <row r="191" s="41" customFormat="1" ht="15" customHeight="1" x14ac:dyDescent="0.2"/>
    <row r="192" s="41" customFormat="1" ht="15" customHeight="1" x14ac:dyDescent="0.2"/>
    <row r="193" s="41" customFormat="1" ht="15" customHeight="1" x14ac:dyDescent="0.2"/>
    <row r="194" s="41" customFormat="1" ht="15" customHeight="1" x14ac:dyDescent="0.2"/>
    <row r="195" s="41" customFormat="1" ht="15" customHeight="1" x14ac:dyDescent="0.2"/>
    <row r="196" s="41" customFormat="1" ht="15" customHeight="1" x14ac:dyDescent="0.2"/>
    <row r="197" s="41" customFormat="1" ht="15" customHeight="1" x14ac:dyDescent="0.2"/>
    <row r="198" s="41" customFormat="1" ht="15" customHeight="1" x14ac:dyDescent="0.2"/>
    <row r="199" s="41" customFormat="1" ht="15" customHeight="1" x14ac:dyDescent="0.2"/>
    <row r="200" s="41" customFormat="1" ht="15" customHeight="1" x14ac:dyDescent="0.2"/>
    <row r="201" s="41" customFormat="1" ht="15" customHeight="1" x14ac:dyDescent="0.2"/>
    <row r="202" s="41" customFormat="1" ht="15" customHeight="1" x14ac:dyDescent="0.2"/>
    <row r="203" s="41" customFormat="1" ht="15" customHeight="1" x14ac:dyDescent="0.2"/>
    <row r="204" s="41" customFormat="1" ht="15" customHeight="1" x14ac:dyDescent="0.2"/>
    <row r="205" s="41" customFormat="1" ht="15" customHeight="1" x14ac:dyDescent="0.2"/>
    <row r="206" s="41" customFormat="1" ht="15" customHeight="1" x14ac:dyDescent="0.2"/>
    <row r="207" s="41" customFormat="1" ht="15" customHeight="1" x14ac:dyDescent="0.2"/>
    <row r="208" s="41" customFormat="1" ht="15" customHeight="1" x14ac:dyDescent="0.2"/>
    <row r="209" s="41" customFormat="1" ht="15" customHeight="1" x14ac:dyDescent="0.2"/>
    <row r="210" s="41" customFormat="1" ht="15" customHeight="1" x14ac:dyDescent="0.2"/>
    <row r="211" s="41" customFormat="1" ht="15" customHeight="1" x14ac:dyDescent="0.2"/>
    <row r="212" s="41" customFormat="1" ht="15" customHeight="1" x14ac:dyDescent="0.2"/>
    <row r="213" s="41" customFormat="1" ht="15" customHeight="1" x14ac:dyDescent="0.2"/>
    <row r="214" s="41" customFormat="1" ht="15" customHeight="1" x14ac:dyDescent="0.2"/>
    <row r="215" s="41" customFormat="1" ht="15" customHeight="1" x14ac:dyDescent="0.2"/>
    <row r="216" s="41" customFormat="1" ht="15" customHeight="1" x14ac:dyDescent="0.2"/>
    <row r="217" s="41" customFormat="1" ht="15" customHeight="1" x14ac:dyDescent="0.2"/>
    <row r="218" s="41" customFormat="1" ht="15" customHeight="1" x14ac:dyDescent="0.2"/>
    <row r="219" s="41" customFormat="1" ht="15" customHeight="1" x14ac:dyDescent="0.2"/>
    <row r="220" s="41" customFormat="1" ht="15" customHeight="1" x14ac:dyDescent="0.2"/>
    <row r="221" s="41" customFormat="1" ht="15" customHeight="1" x14ac:dyDescent="0.2"/>
    <row r="222" s="41" customFormat="1" ht="15" customHeight="1" x14ac:dyDescent="0.2"/>
    <row r="223" s="41" customFormat="1" ht="15" customHeight="1" x14ac:dyDescent="0.2"/>
    <row r="224" s="41" customFormat="1" ht="15" customHeight="1" x14ac:dyDescent="0.2"/>
    <row r="225" s="41" customFormat="1" ht="15" customHeight="1" x14ac:dyDescent="0.2"/>
    <row r="226" s="41" customFormat="1" ht="15" customHeight="1" x14ac:dyDescent="0.2"/>
    <row r="227" s="41" customFormat="1" ht="15" customHeight="1" x14ac:dyDescent="0.2"/>
    <row r="228" s="41" customFormat="1" ht="15" customHeight="1" x14ac:dyDescent="0.2"/>
    <row r="229" s="41" customFormat="1" ht="15" customHeight="1" x14ac:dyDescent="0.2"/>
    <row r="230" s="41" customFormat="1" ht="15" customHeight="1" x14ac:dyDescent="0.2"/>
    <row r="231" s="41" customFormat="1" ht="15" customHeight="1" x14ac:dyDescent="0.2"/>
    <row r="232" s="41" customFormat="1" ht="15" customHeight="1" x14ac:dyDescent="0.2"/>
    <row r="233" s="41" customFormat="1" ht="15" customHeight="1" x14ac:dyDescent="0.2"/>
    <row r="234" s="41" customFormat="1" ht="15" customHeight="1" x14ac:dyDescent="0.2"/>
    <row r="235" s="41" customFormat="1" ht="15" customHeight="1" x14ac:dyDescent="0.2"/>
    <row r="236" s="41" customFormat="1" ht="15" customHeight="1" x14ac:dyDescent="0.2"/>
    <row r="237" s="41" customFormat="1" ht="15" customHeight="1" x14ac:dyDescent="0.2"/>
    <row r="238" s="41" customFormat="1" ht="15" customHeight="1" x14ac:dyDescent="0.2"/>
    <row r="239" s="41" customFormat="1" ht="15" customHeight="1" x14ac:dyDescent="0.2"/>
    <row r="240" s="41" customFormat="1" ht="15" customHeight="1" x14ac:dyDescent="0.2"/>
    <row r="241" s="41" customFormat="1" ht="15" customHeight="1" x14ac:dyDescent="0.2"/>
    <row r="242" s="41" customFormat="1" ht="15" customHeight="1" x14ac:dyDescent="0.2"/>
    <row r="243" s="41" customFormat="1" ht="15" customHeight="1" x14ac:dyDescent="0.2"/>
    <row r="244" s="41" customFormat="1" ht="15" customHeight="1" x14ac:dyDescent="0.2"/>
    <row r="245" s="41" customFormat="1" ht="15" customHeight="1" x14ac:dyDescent="0.2"/>
    <row r="246" s="41" customFormat="1" ht="15" customHeight="1" x14ac:dyDescent="0.2"/>
    <row r="247" s="41" customFormat="1" ht="15" customHeight="1" x14ac:dyDescent="0.2"/>
    <row r="248" s="41" customFormat="1" ht="15" customHeight="1" x14ac:dyDescent="0.2"/>
    <row r="249" s="41" customFormat="1" ht="15" customHeight="1" x14ac:dyDescent="0.2"/>
    <row r="250" s="41" customFormat="1" ht="15" customHeight="1" x14ac:dyDescent="0.2"/>
    <row r="251" s="41" customFormat="1" ht="15" customHeight="1" x14ac:dyDescent="0.2"/>
    <row r="252" s="41" customFormat="1" ht="15" customHeight="1" x14ac:dyDescent="0.2"/>
    <row r="253" s="41" customFormat="1" ht="15" customHeight="1" x14ac:dyDescent="0.2"/>
    <row r="254" s="41" customFormat="1" ht="15" customHeight="1" x14ac:dyDescent="0.2"/>
    <row r="255" s="41" customFormat="1" ht="15" customHeight="1" x14ac:dyDescent="0.2"/>
    <row r="256" s="41" customFormat="1" ht="15" customHeight="1" x14ac:dyDescent="0.2"/>
    <row r="257" s="41" customFormat="1" ht="15" customHeight="1" x14ac:dyDescent="0.2"/>
    <row r="258" s="41" customFormat="1" ht="15" customHeight="1" x14ac:dyDescent="0.2"/>
    <row r="259" s="41" customFormat="1" ht="15" customHeight="1" x14ac:dyDescent="0.2"/>
    <row r="260" s="41" customFormat="1" ht="15" customHeight="1" x14ac:dyDescent="0.2"/>
    <row r="261" s="41" customFormat="1" ht="15" customHeight="1" x14ac:dyDescent="0.2"/>
    <row r="262" s="41" customFormat="1" ht="15" customHeight="1" x14ac:dyDescent="0.2"/>
    <row r="263" s="41" customFormat="1" ht="15" customHeight="1" x14ac:dyDescent="0.2"/>
    <row r="264" s="41" customFormat="1" ht="15" customHeight="1" x14ac:dyDescent="0.2"/>
    <row r="265" s="41" customFormat="1" ht="15" customHeight="1" x14ac:dyDescent="0.2"/>
    <row r="266" s="41" customFormat="1" ht="15" customHeight="1" x14ac:dyDescent="0.2"/>
    <row r="267" s="41" customFormat="1" ht="15" customHeight="1" x14ac:dyDescent="0.2"/>
    <row r="268" s="41" customFormat="1" ht="15" customHeight="1" x14ac:dyDescent="0.2"/>
    <row r="269" s="41" customFormat="1" ht="15" customHeight="1" x14ac:dyDescent="0.2"/>
    <row r="270" s="41" customFormat="1" ht="15" customHeight="1" x14ac:dyDescent="0.2"/>
    <row r="271" s="41" customFormat="1" ht="15" customHeight="1" x14ac:dyDescent="0.2"/>
    <row r="272" s="41" customFormat="1" ht="15" customHeight="1" x14ac:dyDescent="0.2"/>
    <row r="273" s="41" customFormat="1" ht="15" customHeight="1" x14ac:dyDescent="0.2"/>
    <row r="274" s="41" customFormat="1" ht="15" customHeight="1" x14ac:dyDescent="0.2"/>
    <row r="275" s="41" customFormat="1" ht="15" customHeight="1" x14ac:dyDescent="0.2"/>
    <row r="276" s="41" customFormat="1" ht="15" customHeight="1" x14ac:dyDescent="0.2"/>
    <row r="277" s="41" customFormat="1" ht="15" customHeight="1" x14ac:dyDescent="0.2"/>
    <row r="278" s="41" customFormat="1" ht="15" customHeight="1" x14ac:dyDescent="0.2"/>
    <row r="279" s="41" customFormat="1" ht="15" customHeight="1" x14ac:dyDescent="0.2"/>
    <row r="280" s="41" customFormat="1" ht="15" customHeight="1" x14ac:dyDescent="0.2"/>
    <row r="281" s="41" customFormat="1" ht="15" customHeight="1" x14ac:dyDescent="0.2"/>
    <row r="282" s="41" customFormat="1" ht="15" customHeight="1" x14ac:dyDescent="0.2"/>
    <row r="283" s="41" customFormat="1" ht="15" customHeight="1" x14ac:dyDescent="0.2"/>
    <row r="284" s="41" customFormat="1" ht="15" customHeight="1" x14ac:dyDescent="0.2"/>
    <row r="285" s="41" customFormat="1" ht="15" customHeight="1" x14ac:dyDescent="0.2"/>
    <row r="286" s="41" customFormat="1" ht="15" customHeight="1" x14ac:dyDescent="0.2"/>
    <row r="287" s="41" customFormat="1" ht="15" customHeight="1" x14ac:dyDescent="0.2"/>
    <row r="288" s="41" customFormat="1" ht="15" customHeight="1" x14ac:dyDescent="0.2"/>
    <row r="289" s="41" customFormat="1" ht="15" customHeight="1" x14ac:dyDescent="0.2"/>
    <row r="290" s="41" customFormat="1" ht="15" customHeight="1" x14ac:dyDescent="0.2"/>
    <row r="291" s="41" customFormat="1" ht="15" customHeight="1" x14ac:dyDescent="0.2"/>
    <row r="292" s="41" customFormat="1" ht="15" customHeight="1" x14ac:dyDescent="0.2"/>
    <row r="293" s="41" customFormat="1" ht="15" customHeight="1" x14ac:dyDescent="0.2"/>
    <row r="294" s="41" customFormat="1" ht="15" customHeight="1" x14ac:dyDescent="0.2"/>
    <row r="295" s="41" customFormat="1" ht="15" customHeight="1" x14ac:dyDescent="0.2"/>
    <row r="296" s="41" customFormat="1" ht="15" customHeight="1" x14ac:dyDescent="0.2"/>
    <row r="297" s="41" customFormat="1" ht="15" customHeight="1" x14ac:dyDescent="0.2"/>
    <row r="298" s="41" customFormat="1" ht="15" customHeight="1" x14ac:dyDescent="0.2"/>
    <row r="299" s="41" customFormat="1" ht="15" customHeight="1" x14ac:dyDescent="0.2"/>
    <row r="300" s="41" customFormat="1" ht="15" customHeight="1" x14ac:dyDescent="0.2"/>
    <row r="301" s="41" customFormat="1" ht="15" customHeight="1" x14ac:dyDescent="0.2"/>
    <row r="302" s="41" customFormat="1" ht="15" customHeight="1" x14ac:dyDescent="0.2"/>
    <row r="303" s="41" customFormat="1" ht="15" customHeight="1" x14ac:dyDescent="0.2"/>
    <row r="304" s="41" customFormat="1" ht="15" customHeight="1" x14ac:dyDescent="0.2"/>
    <row r="305" s="41" customFormat="1" ht="15" customHeight="1" x14ac:dyDescent="0.2"/>
    <row r="306" s="41" customFormat="1" ht="15" customHeight="1" x14ac:dyDescent="0.2"/>
    <row r="307" s="41" customFormat="1" ht="15" customHeight="1" x14ac:dyDescent="0.2"/>
    <row r="308" s="41" customFormat="1" ht="15" customHeight="1" x14ac:dyDescent="0.2"/>
    <row r="309" s="41" customFormat="1" ht="15" customHeight="1" x14ac:dyDescent="0.2"/>
    <row r="310" s="41" customFormat="1" ht="15" customHeight="1" x14ac:dyDescent="0.2"/>
    <row r="311" s="41" customFormat="1" ht="15" customHeight="1" x14ac:dyDescent="0.2"/>
    <row r="312" s="41" customFormat="1" ht="15" customHeight="1" x14ac:dyDescent="0.2"/>
    <row r="313" s="41" customFormat="1" ht="15" customHeight="1" x14ac:dyDescent="0.2"/>
    <row r="314" s="41" customFormat="1" ht="15" customHeight="1" x14ac:dyDescent="0.2"/>
    <row r="315" s="41" customFormat="1" ht="15" customHeight="1" x14ac:dyDescent="0.2"/>
    <row r="316" s="41" customFormat="1" ht="15" customHeight="1" x14ac:dyDescent="0.2"/>
    <row r="317" s="41" customFormat="1" ht="15" customHeight="1" x14ac:dyDescent="0.2"/>
    <row r="318" s="41" customFormat="1" ht="15" customHeight="1" x14ac:dyDescent="0.2"/>
    <row r="319" s="41" customFormat="1" ht="15" customHeight="1" x14ac:dyDescent="0.2"/>
    <row r="320" s="41" customFormat="1" ht="15" customHeight="1" x14ac:dyDescent="0.2"/>
    <row r="321" s="41" customFormat="1" ht="15" customHeight="1" x14ac:dyDescent="0.2"/>
    <row r="322" s="41" customFormat="1" ht="15" customHeight="1" x14ac:dyDescent="0.2"/>
    <row r="323" s="41" customFormat="1" ht="15" customHeight="1" x14ac:dyDescent="0.2"/>
    <row r="324" s="41" customFormat="1" ht="15" customHeight="1" x14ac:dyDescent="0.2"/>
    <row r="325" s="41" customFormat="1" ht="15" customHeight="1" x14ac:dyDescent="0.2"/>
    <row r="326" s="41" customFormat="1" ht="15" customHeight="1" x14ac:dyDescent="0.2"/>
    <row r="327" s="41" customFormat="1" ht="15" customHeight="1" x14ac:dyDescent="0.2"/>
    <row r="328" s="41" customFormat="1" ht="15" customHeight="1" x14ac:dyDescent="0.2"/>
    <row r="329" s="41" customFormat="1" ht="15" customHeight="1" x14ac:dyDescent="0.2"/>
    <row r="330" s="41" customFormat="1" ht="15" customHeight="1" x14ac:dyDescent="0.2"/>
    <row r="331" s="41" customFormat="1" ht="15" customHeight="1" x14ac:dyDescent="0.2"/>
    <row r="332" s="41" customFormat="1" ht="15" customHeight="1" x14ac:dyDescent="0.2"/>
    <row r="333" s="41" customFormat="1" ht="15" customHeight="1" x14ac:dyDescent="0.2"/>
    <row r="334" s="41" customFormat="1" ht="15" customHeight="1" x14ac:dyDescent="0.2"/>
    <row r="335" s="41" customFormat="1" ht="15" customHeight="1" x14ac:dyDescent="0.2"/>
    <row r="336" s="41" customFormat="1" ht="15" customHeight="1" x14ac:dyDescent="0.2"/>
    <row r="337" spans="12:18" ht="15" customHeight="1" x14ac:dyDescent="0.2">
      <c r="L337" s="41"/>
      <c r="M337" s="41"/>
      <c r="N337" s="41"/>
      <c r="O337" s="41"/>
      <c r="P337" s="41"/>
      <c r="Q337" s="41"/>
      <c r="R337" s="41"/>
    </row>
    <row r="338" spans="12:18" ht="15" customHeight="1" x14ac:dyDescent="0.2">
      <c r="N338" s="41"/>
      <c r="O338" s="41"/>
      <c r="P338" s="41"/>
      <c r="Q338" s="41"/>
      <c r="R338" s="41"/>
    </row>
    <row r="339" spans="12:18" ht="15" customHeight="1" x14ac:dyDescent="0.2">
      <c r="N339" s="41"/>
      <c r="O339" s="41"/>
    </row>
    <row r="342" spans="12:18" ht="15" customHeight="1" x14ac:dyDescent="0.2">
      <c r="L342" s="41"/>
      <c r="M342" s="41"/>
    </row>
    <row r="343" spans="12:18" ht="15" customHeight="1" x14ac:dyDescent="0.2">
      <c r="L343" s="41"/>
      <c r="M343" s="41"/>
      <c r="P343" s="41"/>
      <c r="Q343" s="41"/>
      <c r="R343" s="41"/>
    </row>
    <row r="344" spans="12:18" ht="15" customHeight="1" x14ac:dyDescent="0.2">
      <c r="N344" s="41"/>
      <c r="O344" s="41"/>
      <c r="P344" s="41"/>
      <c r="Q344" s="41"/>
      <c r="R344" s="41"/>
    </row>
    <row r="345" spans="12:18" ht="15" customHeight="1" x14ac:dyDescent="0.2">
      <c r="N345" s="41"/>
      <c r="O345" s="41"/>
    </row>
  </sheetData>
  <mergeCells count="6">
    <mergeCell ref="C29:G31"/>
    <mergeCell ref="C37:G39"/>
    <mergeCell ref="C41:G42"/>
    <mergeCell ref="C48:G50"/>
    <mergeCell ref="C33:G35"/>
    <mergeCell ref="C44:G46"/>
  </mergeCells>
  <printOptions horizontalCentered="1"/>
  <pageMargins left="0.25" right="0.25" top="0.75" bottom="0.75" header="0.3" footer="0.3"/>
  <pageSetup paperSize="3" scale="5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652C0-21B7-47D1-A47C-8593551B6954}">
  <sheetPr>
    <tabColor rgb="FF0070C0"/>
    <pageSetUpPr fitToPage="1"/>
  </sheetPr>
  <dimension ref="A1:Q89"/>
  <sheetViews>
    <sheetView tabSelected="1" view="pageBreakPreview" topLeftCell="A48" zoomScale="85" zoomScaleNormal="100" zoomScaleSheetLayoutView="85" workbookViewId="0">
      <selection activeCell="G81" sqref="G81"/>
    </sheetView>
  </sheetViews>
  <sheetFormatPr defaultRowHeight="15" x14ac:dyDescent="0.25"/>
  <cols>
    <col min="2" max="2" width="15.7109375" customWidth="1"/>
    <col min="3" max="7" width="17" customWidth="1"/>
    <col min="8" max="14" width="15.7109375" customWidth="1"/>
    <col min="15" max="15" width="23.7109375" customWidth="1"/>
    <col min="16" max="16" width="20.85546875" customWidth="1"/>
    <col min="17" max="17" width="15.7109375" customWidth="1"/>
  </cols>
  <sheetData>
    <row r="1" spans="2:17" ht="23.25" x14ac:dyDescent="0.35">
      <c r="B1" s="39" t="s">
        <v>236</v>
      </c>
      <c r="Q1" s="21"/>
    </row>
    <row r="2" spans="2:17" x14ac:dyDescent="0.25">
      <c r="J2" s="47"/>
      <c r="K2" s="47"/>
      <c r="L2" s="21"/>
    </row>
    <row r="3" spans="2:17" ht="16.5" thickBot="1" x14ac:dyDescent="0.3">
      <c r="B3" s="28" t="s">
        <v>30</v>
      </c>
      <c r="D3" s="47"/>
      <c r="E3" s="47"/>
      <c r="F3" s="47"/>
    </row>
    <row r="4" spans="2:17" ht="25.5" customHeight="1" thickBot="1" x14ac:dyDescent="0.3">
      <c r="B4" s="28"/>
      <c r="C4" s="463" t="s">
        <v>32</v>
      </c>
      <c r="D4" s="464"/>
      <c r="E4" s="463" t="s">
        <v>105</v>
      </c>
      <c r="F4" s="469"/>
      <c r="G4" s="86" t="s">
        <v>33</v>
      </c>
      <c r="H4" s="216"/>
    </row>
    <row r="5" spans="2:17" ht="35.1" customHeight="1" x14ac:dyDescent="0.25">
      <c r="B5" s="465" t="s">
        <v>0</v>
      </c>
      <c r="C5" s="465" t="s">
        <v>106</v>
      </c>
      <c r="D5" s="467" t="s">
        <v>65</v>
      </c>
      <c r="E5" s="467" t="s">
        <v>140</v>
      </c>
      <c r="F5" s="478" t="s">
        <v>141</v>
      </c>
      <c r="G5" s="465" t="s">
        <v>34</v>
      </c>
      <c r="H5" s="465" t="s">
        <v>120</v>
      </c>
      <c r="I5" s="476" t="s">
        <v>84</v>
      </c>
      <c r="J5" s="470" t="s">
        <v>38</v>
      </c>
    </row>
    <row r="6" spans="2:17" ht="35.1" customHeight="1" thickBot="1" x14ac:dyDescent="0.3">
      <c r="B6" s="466"/>
      <c r="C6" s="466"/>
      <c r="D6" s="468"/>
      <c r="E6" s="468"/>
      <c r="F6" s="479"/>
      <c r="G6" s="466"/>
      <c r="H6" s="466"/>
      <c r="I6" s="477"/>
      <c r="J6" s="471"/>
      <c r="K6" s="62"/>
    </row>
    <row r="7" spans="2:17" ht="15" customHeight="1" x14ac:dyDescent="0.25">
      <c r="B7" s="222">
        <f t="shared" ref="B7" si="0">B8-1</f>
        <v>2026</v>
      </c>
      <c r="C7" s="223"/>
      <c r="D7" s="224"/>
      <c r="E7" s="225"/>
      <c r="F7" s="225"/>
      <c r="G7" s="232"/>
      <c r="H7" s="232"/>
      <c r="I7" s="118" t="s">
        <v>27</v>
      </c>
      <c r="J7" s="226"/>
      <c r="O7" s="130"/>
    </row>
    <row r="8" spans="2:17" ht="15" customHeight="1" thickBot="1" x14ac:dyDescent="0.3">
      <c r="B8" s="227">
        <f>B9-1</f>
        <v>2027</v>
      </c>
      <c r="C8" s="228"/>
      <c r="D8" s="229"/>
      <c r="E8" s="230"/>
      <c r="F8" s="230"/>
      <c r="G8" s="233"/>
      <c r="H8" s="233"/>
      <c r="I8" s="118" t="s">
        <v>27</v>
      </c>
      <c r="J8" s="231"/>
      <c r="L8" s="130"/>
      <c r="M8" s="130"/>
    </row>
    <row r="9" spans="2:17" ht="15" customHeight="1" x14ac:dyDescent="0.25">
      <c r="B9" s="1">
        <f>Assumptions!D8</f>
        <v>2028</v>
      </c>
      <c r="C9" s="135">
        <f>'Operation Benefits'!F6</f>
        <v>115636.67124718652</v>
      </c>
      <c r="D9" s="135">
        <f>'Travel Time Savings '!H6</f>
        <v>1005999.1935215071</v>
      </c>
      <c r="E9" s="135">
        <f>'Air Quality'!M5</f>
        <v>2838.1116959239353</v>
      </c>
      <c r="F9" s="135">
        <f>'Air Quality'!E5</f>
        <v>4184.0277522781071</v>
      </c>
      <c r="G9" s="135">
        <f>'Safety Benefits'!E6</f>
        <v>2491579.1913397289</v>
      </c>
      <c r="H9" s="135">
        <f>-'Operating and Maintenance Costs'!C5</f>
        <v>-21455</v>
      </c>
      <c r="I9" s="135" t="str">
        <f>'Capital Cost and RCV Calc'!E7</f>
        <v>N/A</v>
      </c>
      <c r="J9" s="128">
        <f>SUM(C9:E9,G9:I9)*(1+0.07)^-($B9-Assumptions!$D$4)+F9</f>
        <v>2096272.8886672135</v>
      </c>
      <c r="L9" s="130"/>
    </row>
    <row r="10" spans="2:17" ht="15" customHeight="1" x14ac:dyDescent="0.25">
      <c r="B10" s="2">
        <f t="shared" ref="B10:B38" si="1">+B9+1</f>
        <v>2029</v>
      </c>
      <c r="C10" s="118">
        <f>'Operation Benefits'!F7</f>
        <v>118457.28164810162</v>
      </c>
      <c r="D10" s="118">
        <f>'Travel Time Savings '!H7</f>
        <v>1035324.2798019126</v>
      </c>
      <c r="E10" s="118">
        <f>'Air Quality'!M6</f>
        <v>2955.568073960796</v>
      </c>
      <c r="F10" s="118">
        <f>'Air Quality'!E6</f>
        <v>4230.6012875387978</v>
      </c>
      <c r="G10" s="118">
        <f>'Safety Benefits'!E7</f>
        <v>2505095.7359639937</v>
      </c>
      <c r="H10" s="118">
        <f>-'Operating and Maintenance Costs'!C6</f>
        <v>-21455</v>
      </c>
      <c r="I10" s="118" t="str">
        <f>'Capital Cost and RCV Calc'!E8</f>
        <v>N/A</v>
      </c>
      <c r="J10" s="129">
        <f>SUM(C10:E10,G10:I10)*(1+0.07)^-($B10-Assumptions!$D$4)+F10</f>
        <v>1984354.958082902</v>
      </c>
    </row>
    <row r="11" spans="2:17" ht="15" customHeight="1" x14ac:dyDescent="0.25">
      <c r="B11" s="2">
        <f t="shared" si="1"/>
        <v>2030</v>
      </c>
      <c r="C11" s="118">
        <f>'Operation Benefits'!F8</f>
        <v>121277.89204903084</v>
      </c>
      <c r="D11" s="118">
        <f>'Travel Time Savings '!H8</f>
        <v>1064649.3660823219</v>
      </c>
      <c r="E11" s="118">
        <f>'Air Quality'!M7</f>
        <v>3083.8431286352748</v>
      </c>
      <c r="F11" s="118">
        <f>'Air Quality'!E7</f>
        <v>4274.1189503379283</v>
      </c>
      <c r="G11" s="118">
        <f>'Safety Benefits'!E8</f>
        <v>2518612.2805882548</v>
      </c>
      <c r="H11" s="118">
        <f>-'Operating and Maintenance Costs'!C7</f>
        <v>-21455</v>
      </c>
      <c r="I11" s="118" t="str">
        <f>'Capital Cost and RCV Calc'!E9</f>
        <v>N/A</v>
      </c>
      <c r="J11" s="129">
        <f>SUM(C11:E11,G11:I11)*(1+0.07)^-($B11-Assumptions!$D$4)+F11</f>
        <v>1878135.2065522703</v>
      </c>
    </row>
    <row r="12" spans="2:17" ht="15" customHeight="1" x14ac:dyDescent="0.25">
      <c r="B12" s="2">
        <f t="shared" si="1"/>
        <v>2031</v>
      </c>
      <c r="C12" s="118">
        <f>'Operation Benefits'!F9</f>
        <v>124098.50244994591</v>
      </c>
      <c r="D12" s="118">
        <f>'Travel Time Savings '!H9</f>
        <v>1093974.452362787</v>
      </c>
      <c r="E12" s="118">
        <f>'Air Quality'!M8</f>
        <v>3155.5653515108393</v>
      </c>
      <c r="F12" s="118">
        <f>'Air Quality'!E8</f>
        <v>4314.6258461836323</v>
      </c>
      <c r="G12" s="118">
        <f>'Safety Benefits'!E9</f>
        <v>2532128.8252125196</v>
      </c>
      <c r="H12" s="118">
        <f>-'Operating and Maintenance Costs'!C8</f>
        <v>-21455</v>
      </c>
      <c r="I12" s="118" t="str">
        <f>'Capital Cost and RCV Calc'!E10</f>
        <v>N/A</v>
      </c>
      <c r="J12" s="129">
        <f>SUM(C12:E12,G12:I12)*(1+0.07)^-($B12-Assumptions!$D$4)+F12</f>
        <v>1777314.5469566234</v>
      </c>
    </row>
    <row r="13" spans="2:17" ht="15" customHeight="1" x14ac:dyDescent="0.25">
      <c r="B13" s="2">
        <f t="shared" si="1"/>
        <v>2032</v>
      </c>
      <c r="C13" s="118">
        <f>'Operation Benefits'!F10</f>
        <v>126919.11285087514</v>
      </c>
      <c r="D13" s="118">
        <f>'Travel Time Savings '!H10</f>
        <v>1123299.5386431962</v>
      </c>
      <c r="E13" s="118">
        <f>'Air Quality'!M9</f>
        <v>3227.2875743867621</v>
      </c>
      <c r="F13" s="118">
        <f>'Air Quality'!E9</f>
        <v>4352.1697657734076</v>
      </c>
      <c r="G13" s="118">
        <f>'Safety Benefits'!E10</f>
        <v>2545645.369836784</v>
      </c>
      <c r="H13" s="118">
        <f>-'Operating and Maintenance Costs'!C9</f>
        <v>-21455</v>
      </c>
      <c r="I13" s="118" t="str">
        <f>'Capital Cost and RCV Calc'!E11</f>
        <v>N/A</v>
      </c>
      <c r="J13" s="129">
        <f>SUM(C13:E13,G13:I13)*(1+0.07)^-($B13-Assumptions!$D$4)+F13</f>
        <v>1681667.8685817295</v>
      </c>
    </row>
    <row r="14" spans="2:17" ht="15" customHeight="1" x14ac:dyDescent="0.25">
      <c r="B14" s="2">
        <f t="shared" si="1"/>
        <v>2033</v>
      </c>
      <c r="C14" s="118">
        <f>'Operation Benefits'!F11</f>
        <v>129739.72325179023</v>
      </c>
      <c r="D14" s="118">
        <f>'Travel Time Savings '!H11</f>
        <v>1152624.6249235496</v>
      </c>
      <c r="E14" s="118">
        <f>'Air Quality'!M10</f>
        <v>3299.0097972623262</v>
      </c>
      <c r="F14" s="118">
        <f>'Air Quality'!E10</f>
        <v>4386.8009110752355</v>
      </c>
      <c r="G14" s="118">
        <f>'Safety Benefits'!E11</f>
        <v>2559161.9144610493</v>
      </c>
      <c r="H14" s="118">
        <f>-'Operating and Maintenance Costs'!C10</f>
        <v>-21455</v>
      </c>
      <c r="I14" s="118" t="str">
        <f>'Capital Cost and RCV Calc'!E12</f>
        <v>N/A</v>
      </c>
      <c r="J14" s="129">
        <f>SUM(C14:E14,G14:I14)*(1+0.07)^-($B14-Assumptions!$D$4)+F14</f>
        <v>1590949.5350849531</v>
      </c>
    </row>
    <row r="15" spans="2:17" ht="15" customHeight="1" x14ac:dyDescent="0.25">
      <c r="B15" s="2">
        <f t="shared" si="1"/>
        <v>2034</v>
      </c>
      <c r="C15" s="118">
        <f>'Operation Benefits'!F12</f>
        <v>132560.3336527124</v>
      </c>
      <c r="D15" s="118">
        <f>'Travel Time Savings '!H12</f>
        <v>1181949.7112039588</v>
      </c>
      <c r="E15" s="118">
        <f>'Air Quality'!M11</f>
        <v>3370.7320201380699</v>
      </c>
      <c r="F15" s="118">
        <f>'Air Quality'!E11</f>
        <v>4418.5716374022995</v>
      </c>
      <c r="G15" s="118">
        <f>'Safety Benefits'!E12</f>
        <v>2572678.4590853099</v>
      </c>
      <c r="H15" s="118">
        <f>-'Operating and Maintenance Costs'!C11</f>
        <v>-21455</v>
      </c>
      <c r="I15" s="118" t="str">
        <f>'Capital Cost and RCV Calc'!E13</f>
        <v>N/A</v>
      </c>
      <c r="J15" s="129">
        <f>SUM(C15:E15,G15:I15)*(1+0.07)^-($B15-Assumptions!$D$4)+F15</f>
        <v>1504923.9016366762</v>
      </c>
    </row>
    <row r="16" spans="2:17" ht="15" customHeight="1" x14ac:dyDescent="0.25">
      <c r="B16" s="2">
        <f t="shared" si="1"/>
        <v>2035</v>
      </c>
      <c r="C16" s="118">
        <f>'Operation Benefits'!F13</f>
        <v>135380.94405363454</v>
      </c>
      <c r="D16" s="118">
        <f>'Travel Time Savings '!H13</f>
        <v>1211274.797484424</v>
      </c>
      <c r="E16" s="118">
        <f>'Air Quality'!M12</f>
        <v>3442.4542430138135</v>
      </c>
      <c r="F16" s="118">
        <f>'Air Quality'!E12</f>
        <v>4447.5362107012879</v>
      </c>
      <c r="G16" s="118">
        <f>'Safety Benefits'!E13</f>
        <v>2586195.0037095747</v>
      </c>
      <c r="H16" s="118">
        <f>-'Operating and Maintenance Costs'!C12</f>
        <v>-21455</v>
      </c>
      <c r="I16" s="118" t="str">
        <f>'Capital Cost and RCV Calc'!E14</f>
        <v>N/A</v>
      </c>
      <c r="J16" s="129">
        <f>SUM(C16:E16,G16:I16)*(1+0.07)^-($B16-Assumptions!$D$4)+F16</f>
        <v>1423365.0591599483</v>
      </c>
    </row>
    <row r="17" spans="2:15" ht="15" customHeight="1" x14ac:dyDescent="0.25">
      <c r="B17" s="2">
        <f t="shared" si="1"/>
        <v>2036</v>
      </c>
      <c r="C17" s="118">
        <f>'Operation Benefits'!F14</f>
        <v>138201.55445455672</v>
      </c>
      <c r="D17" s="118">
        <f>'Travel Time Savings '!H14</f>
        <v>1240599.8837648332</v>
      </c>
      <c r="E17" s="118">
        <f>'Air Quality'!M13</f>
        <v>3514.1764658895572</v>
      </c>
      <c r="F17" s="118">
        <f>'Air Quality'!E13</f>
        <v>4539.5410290275049</v>
      </c>
      <c r="G17" s="118">
        <f>'Safety Benefits'!E14</f>
        <v>2599711.5483338395</v>
      </c>
      <c r="H17" s="118">
        <f>-'Operating and Maintenance Costs'!C13</f>
        <v>-21455</v>
      </c>
      <c r="I17" s="118" t="str">
        <f>'Capital Cost and RCV Calc'!E15</f>
        <v>N/A</v>
      </c>
      <c r="J17" s="129">
        <f>SUM(C17:E17,G17:I17)*(1+0.07)^-($B17-Assumptions!$D$4)+F17</f>
        <v>1346122.3597137104</v>
      </c>
    </row>
    <row r="18" spans="2:15" ht="15" customHeight="1" x14ac:dyDescent="0.25">
      <c r="B18" s="2">
        <f t="shared" si="1"/>
        <v>2037</v>
      </c>
      <c r="C18" s="118">
        <f>'Operation Benefits'!F15</f>
        <v>141022.16485547886</v>
      </c>
      <c r="D18" s="118">
        <f>'Travel Time Savings '!H15</f>
        <v>1269924.9700452425</v>
      </c>
      <c r="E18" s="118">
        <f>'Air Quality'!M14</f>
        <v>3585.8986887653009</v>
      </c>
      <c r="F18" s="118">
        <f>'Air Quality'!E14</f>
        <v>4562.4500170136453</v>
      </c>
      <c r="G18" s="118">
        <f>'Safety Benefits'!E15</f>
        <v>2613228.0929581039</v>
      </c>
      <c r="H18" s="118">
        <f>-'Operating and Maintenance Costs'!C14</f>
        <v>-21455</v>
      </c>
      <c r="I18" s="118" t="str">
        <f>'Capital Cost and RCV Calc'!E16</f>
        <v>N/A</v>
      </c>
      <c r="J18" s="129">
        <f>SUM(C18:E18,G18:I18)*(1+0.07)^-($B18-Assumptions!$D$4)+F18</f>
        <v>1272856.3700414472</v>
      </c>
    </row>
    <row r="19" spans="2:15" ht="15" customHeight="1" x14ac:dyDescent="0.25">
      <c r="B19" s="2">
        <f t="shared" si="1"/>
        <v>2038</v>
      </c>
      <c r="C19" s="118">
        <f>'Operation Benefits'!F16</f>
        <v>143842.77525640102</v>
      </c>
      <c r="D19" s="118">
        <f>'Travel Time Savings '!H16</f>
        <v>1299250.0563256517</v>
      </c>
      <c r="E19" s="118">
        <f>'Air Quality'!M15</f>
        <v>3657.6209116410446</v>
      </c>
      <c r="F19" s="118">
        <f>'Air Quality'!E15</f>
        <v>4582.7047722155476</v>
      </c>
      <c r="G19" s="118">
        <f>'Safety Benefits'!E16</f>
        <v>2626744.6375823654</v>
      </c>
      <c r="H19" s="118">
        <f>-'Operating and Maintenance Costs'!C15</f>
        <v>-21455</v>
      </c>
      <c r="I19" s="118" t="str">
        <f>'Capital Cost and RCV Calc'!E17</f>
        <v>N/A</v>
      </c>
      <c r="J19" s="129">
        <f>SUM(C19:E19,G19:I19)*(1+0.07)^-($B19-Assumptions!$D$4)+F19</f>
        <v>1203435.1549142401</v>
      </c>
    </row>
    <row r="20" spans="2:15" ht="15" customHeight="1" x14ac:dyDescent="0.25">
      <c r="B20" s="2">
        <f t="shared" si="1"/>
        <v>2039</v>
      </c>
      <c r="C20" s="118">
        <f>'Operation Benefits'!F17</f>
        <v>146663.3856573161</v>
      </c>
      <c r="D20" s="118">
        <f>'Travel Time Savings '!H17</f>
        <v>1328575.1426060572</v>
      </c>
      <c r="E20" s="118">
        <f>'Air Quality'!M16</f>
        <v>3729.3431345166091</v>
      </c>
      <c r="F20" s="118">
        <f>'Air Quality'!E16</f>
        <v>4600.3667475824477</v>
      </c>
      <c r="G20" s="118">
        <f>'Safety Benefits'!E17</f>
        <v>2640261.1822066298</v>
      </c>
      <c r="H20" s="118">
        <f>-'Operating and Maintenance Costs'!C16</f>
        <v>-21455</v>
      </c>
      <c r="I20" s="118" t="str">
        <f>'Capital Cost and RCV Calc'!E18</f>
        <v>N/A</v>
      </c>
      <c r="J20" s="129">
        <f>SUM(C20:E20,G20:I20)*(1+0.07)^-($B20-Assumptions!$D$4)+F20</f>
        <v>1137669.0393648385</v>
      </c>
    </row>
    <row r="21" spans="2:15" ht="15" customHeight="1" x14ac:dyDescent="0.25">
      <c r="B21" s="2">
        <f t="shared" si="1"/>
        <v>2040</v>
      </c>
      <c r="C21" s="118">
        <f>'Operation Benefits'!F18</f>
        <v>149483.99605824534</v>
      </c>
      <c r="D21" s="118">
        <f>'Travel Time Savings '!H18</f>
        <v>1357900.2288864665</v>
      </c>
      <c r="E21" s="118">
        <f>'Air Quality'!M17</f>
        <v>3801.0653573925324</v>
      </c>
      <c r="F21" s="118">
        <f>'Air Quality'!E17</f>
        <v>4615.4982153812998</v>
      </c>
      <c r="G21" s="118">
        <f>'Safety Benefits'!E18</f>
        <v>2653777.7268308951</v>
      </c>
      <c r="H21" s="118">
        <f>-'Operating and Maintenance Costs'!C17</f>
        <v>-21455</v>
      </c>
      <c r="I21" s="118" t="str">
        <f>'Capital Cost and RCV Calc'!E19</f>
        <v>N/A</v>
      </c>
      <c r="J21" s="129">
        <f>SUM(C21:E21,G21:I21)*(1+0.07)^-($B21-Assumptions!$D$4)+F21</f>
        <v>1075376.7081541615</v>
      </c>
    </row>
    <row r="22" spans="2:15" ht="15" customHeight="1" x14ac:dyDescent="0.25">
      <c r="B22" s="2">
        <f t="shared" si="1"/>
        <v>2041</v>
      </c>
      <c r="C22" s="118">
        <f>'Operation Benefits'!F19</f>
        <v>152304.60645916039</v>
      </c>
      <c r="D22" s="118">
        <f>'Travel Time Savings '!H19</f>
        <v>1387225.3151668794</v>
      </c>
      <c r="E22" s="118">
        <f>'Air Quality'!M18</f>
        <v>3872.7875802680969</v>
      </c>
      <c r="F22" s="118">
        <f>'Air Quality'!E18</f>
        <v>4628.1621047882318</v>
      </c>
      <c r="G22" s="118">
        <f>'Safety Benefits'!E19</f>
        <v>2667294.2714551594</v>
      </c>
      <c r="H22" s="118">
        <f>-'Operating and Maintenance Costs'!C18</f>
        <v>-21455</v>
      </c>
      <c r="I22" s="118" t="str">
        <f>'Capital Cost and RCV Calc'!E20</f>
        <v>N/A</v>
      </c>
      <c r="J22" s="129">
        <f>SUM(C22:E22,G22:I22)*(1+0.07)^-($B22-Assumptions!$D$4)+F22</f>
        <v>1016384.9239632298</v>
      </c>
    </row>
    <row r="23" spans="2:15" ht="15" customHeight="1" x14ac:dyDescent="0.25">
      <c r="B23" s="2">
        <f t="shared" si="1"/>
        <v>2042</v>
      </c>
      <c r="C23" s="118">
        <f>'Operation Benefits'!F20</f>
        <v>155125.21686008963</v>
      </c>
      <c r="D23" s="118">
        <f>'Travel Time Savings '!H20</f>
        <v>1416550.401447285</v>
      </c>
      <c r="E23" s="118">
        <f>'Air Quality'!M19</f>
        <v>3944.5098031440202</v>
      </c>
      <c r="F23" s="118">
        <f>'Air Quality'!E19</f>
        <v>4638.4218500729257</v>
      </c>
      <c r="G23" s="118">
        <f>'Safety Benefits'!E20</f>
        <v>2680810.8160794205</v>
      </c>
      <c r="H23" s="118">
        <f>-'Operating and Maintenance Costs'!C19</f>
        <v>-21455</v>
      </c>
      <c r="I23" s="118" t="str">
        <f>'Capital Cost and RCV Calc'!E21</f>
        <v>N/A</v>
      </c>
      <c r="J23" s="129">
        <f>SUM(C23:E23,G23:I23)*(1+0.07)^-($B23-Assumptions!$D$4)+F23</f>
        <v>960528.24667170469</v>
      </c>
    </row>
    <row r="24" spans="2:15" ht="15" customHeight="1" x14ac:dyDescent="0.25">
      <c r="B24" s="2">
        <f t="shared" si="1"/>
        <v>2043</v>
      </c>
      <c r="C24" s="118">
        <f>'Operation Benefits'!F21</f>
        <v>157945.82726100471</v>
      </c>
      <c r="D24" s="118">
        <f>'Travel Time Savings '!H21</f>
        <v>1445875.4877277501</v>
      </c>
      <c r="E24" s="118">
        <f>'Air Quality'!M20</f>
        <v>4016.2320260195838</v>
      </c>
      <c r="F24" s="118">
        <f>'Air Quality'!E20</f>
        <v>4707.4773178950536</v>
      </c>
      <c r="G24" s="118">
        <f>'Safety Benefits'!E21</f>
        <v>2694327.3607036853</v>
      </c>
      <c r="H24" s="118">
        <f>-'Operating and Maintenance Costs'!C20</f>
        <v>-21455</v>
      </c>
      <c r="I24" s="118" t="str">
        <f>'Capital Cost and RCV Calc'!E22</f>
        <v>N/A</v>
      </c>
      <c r="J24" s="129">
        <f>SUM(C24:E24,G24:I24)*(1+0.07)^-($B24-Assumptions!$D$4)+F24</f>
        <v>907709.89085607452</v>
      </c>
    </row>
    <row r="25" spans="2:15" ht="15" customHeight="1" x14ac:dyDescent="0.25">
      <c r="B25" s="2">
        <f t="shared" si="1"/>
        <v>2044</v>
      </c>
      <c r="C25" s="118">
        <f>'Operation Benefits'!F22</f>
        <v>160766.4376619269</v>
      </c>
      <c r="D25" s="118">
        <f>'Travel Time Savings '!H22</f>
        <v>1475200.5740081593</v>
      </c>
      <c r="E25" s="118">
        <f>'Air Quality'!M21</f>
        <v>4087.954248895328</v>
      </c>
      <c r="F25" s="118">
        <f>'Air Quality'!E21</f>
        <v>4712.3997106788083</v>
      </c>
      <c r="G25" s="118">
        <f>'Safety Benefits'!E22</f>
        <v>2707843.9053279497</v>
      </c>
      <c r="H25" s="118">
        <f>-'Operating and Maintenance Costs'!C21</f>
        <v>-21455</v>
      </c>
      <c r="I25" s="118" t="str">
        <f>'Capital Cost and RCV Calc'!E23</f>
        <v>N/A</v>
      </c>
      <c r="J25" s="129">
        <f>SUM(C25:E25,G25:I25)*(1+0.07)^-($B25-Assumptions!$D$4)+F25</f>
        <v>857656.18532519683</v>
      </c>
    </row>
    <row r="26" spans="2:15" ht="15" customHeight="1" x14ac:dyDescent="0.25">
      <c r="B26" s="2">
        <f t="shared" si="1"/>
        <v>2045</v>
      </c>
      <c r="C26" s="118">
        <f>'Operation Benefits'!F23</f>
        <v>163587.04806284906</v>
      </c>
      <c r="D26" s="118">
        <f>'Travel Time Savings '!H23</f>
        <v>1504525.6602885127</v>
      </c>
      <c r="E26" s="118">
        <f>'Air Quality'!M22</f>
        <v>4159.6764717710721</v>
      </c>
      <c r="F26" s="118">
        <f>'Air Quality'!E22</f>
        <v>4715.1000401949204</v>
      </c>
      <c r="G26" s="118">
        <f>'Safety Benefits'!E23</f>
        <v>2721360.449952215</v>
      </c>
      <c r="H26" s="118">
        <f>-'Operating and Maintenance Costs'!C22</f>
        <v>-21455</v>
      </c>
      <c r="I26" s="118" t="str">
        <f>'Capital Cost and RCV Calc'!E24</f>
        <v>N/A</v>
      </c>
      <c r="J26" s="129">
        <f>SUM(C26:E26,G26:I26)*(1+0.07)^-($B26-Assumptions!$D$4)+F26</f>
        <v>810285.27007851889</v>
      </c>
    </row>
    <row r="27" spans="2:15" ht="15" customHeight="1" x14ac:dyDescent="0.25">
      <c r="B27" s="2">
        <f t="shared" si="1"/>
        <v>2046</v>
      </c>
      <c r="C27" s="118">
        <f>'Operation Benefits'!F24</f>
        <v>166407.65846377119</v>
      </c>
      <c r="D27" s="118">
        <f>'Travel Time Savings '!H24</f>
        <v>1533850.746568922</v>
      </c>
      <c r="E27" s="118">
        <f>'Air Quality'!M23</f>
        <v>4231.3986946468158</v>
      </c>
      <c r="F27" s="118">
        <f>'Air Quality'!E23</f>
        <v>4715.643623545413</v>
      </c>
      <c r="G27" s="118">
        <f>'Safety Benefits'!E24</f>
        <v>2734876.9945764756</v>
      </c>
      <c r="H27" s="118">
        <f>-'Operating and Maintenance Costs'!C23</f>
        <v>-21455</v>
      </c>
      <c r="I27" s="118" t="str">
        <f>'Capital Cost and RCV Calc'!E25</f>
        <v>N/A</v>
      </c>
      <c r="J27" s="129">
        <f>SUM(C27:E27,G27:I27)*(1+0.07)^-($B27-Assumptions!$D$4)+F27</f>
        <v>765460.14381352346</v>
      </c>
    </row>
    <row r="28" spans="2:15" ht="15" customHeight="1" x14ac:dyDescent="0.25">
      <c r="B28" s="2">
        <f t="shared" si="1"/>
        <v>2047</v>
      </c>
      <c r="C28" s="118">
        <f>'Operation Benefits'!F25</f>
        <v>169228.26886469335</v>
      </c>
      <c r="D28" s="118">
        <f>'Travel Time Savings '!H25</f>
        <v>1563175.8328493871</v>
      </c>
      <c r="E28" s="118">
        <f>'Air Quality'!M24</f>
        <v>4303.1209175225595</v>
      </c>
      <c r="F28" s="118">
        <f>'Air Quality'!E24</f>
        <v>4714.0956040570927</v>
      </c>
      <c r="G28" s="118">
        <f>'Safety Benefits'!E25</f>
        <v>2748393.5392007404</v>
      </c>
      <c r="H28" s="118">
        <f>-'Operating and Maintenance Costs'!C24</f>
        <v>-21455</v>
      </c>
      <c r="I28" s="118" t="str">
        <f>'Capital Cost and RCV Calc'!E26</f>
        <v>N/A</v>
      </c>
      <c r="J28" s="129">
        <f>SUM(C28:E28,G28:I28)*(1+0.07)^-($B28-Assumptions!$D$4)+F28</f>
        <v>723050.24755465507</v>
      </c>
    </row>
    <row r="29" spans="2:15" ht="15" customHeight="1" x14ac:dyDescent="0.25">
      <c r="B29" s="2">
        <f t="shared" si="1"/>
        <v>2048</v>
      </c>
      <c r="C29" s="118">
        <f>'Operation Benefits'!F26</f>
        <v>172048.87926561551</v>
      </c>
      <c r="D29" s="118">
        <f>'Travel Time Savings '!H26</f>
        <v>1592500.9191297963</v>
      </c>
      <c r="E29" s="118">
        <f>'Air Quality'!M25</f>
        <v>4374.8431403983031</v>
      </c>
      <c r="F29" s="118">
        <f>'Air Quality'!E25</f>
        <v>4710.5208551377445</v>
      </c>
      <c r="G29" s="118">
        <f>'Safety Benefits'!E26</f>
        <v>2761910.0838250052</v>
      </c>
      <c r="H29" s="118">
        <f>-'Operating and Maintenance Costs'!C25</f>
        <v>-21455</v>
      </c>
      <c r="I29" s="118" t="str">
        <f>'Capital Cost and RCV Calc'!E27</f>
        <v>N/A</v>
      </c>
      <c r="J29" s="129">
        <f>SUM(C29:E29,G29:I29)*(1+0.07)^-($B29-Assumptions!$D$4)+F29</f>
        <v>682931.20823769725</v>
      </c>
      <c r="O29" s="12"/>
    </row>
    <row r="30" spans="2:15" ht="15" customHeight="1" x14ac:dyDescent="0.25">
      <c r="B30" s="2">
        <f t="shared" si="1"/>
        <v>2049</v>
      </c>
      <c r="C30" s="118">
        <f>'Operation Benefits'!F27</f>
        <v>174869.48966653767</v>
      </c>
      <c r="D30" s="118">
        <f>'Travel Time Savings '!H27</f>
        <v>1621826.0054102018</v>
      </c>
      <c r="E30" s="118">
        <f>'Air Quality'!M26</f>
        <v>4446.5653632740468</v>
      </c>
      <c r="F30" s="118">
        <f>'Air Quality'!E26</f>
        <v>4704.9838913616049</v>
      </c>
      <c r="G30" s="118">
        <f>'Safety Benefits'!E27</f>
        <v>2775426.62844927</v>
      </c>
      <c r="H30" s="118">
        <f>-'Operating and Maintenance Costs'!C26</f>
        <v>-21455</v>
      </c>
      <c r="I30" s="118" t="str">
        <f>'Capital Cost and RCV Calc'!E28</f>
        <v>N/A</v>
      </c>
      <c r="J30" s="129">
        <f>SUM(C30:E30,G30:I30)*(1+0.07)^-($B30-Assumptions!$D$4)+F30</f>
        <v>644984.58826561156</v>
      </c>
    </row>
    <row r="31" spans="2:15" ht="15" customHeight="1" x14ac:dyDescent="0.25">
      <c r="B31" s="2">
        <f t="shared" si="1"/>
        <v>2050</v>
      </c>
      <c r="C31" s="118">
        <f>'Operation Benefits'!F28</f>
        <v>177690.10006745983</v>
      </c>
      <c r="D31" s="118">
        <f>'Travel Time Savings '!H28</f>
        <v>1651151.0916906707</v>
      </c>
      <c r="E31" s="118">
        <f>'Air Quality'!M27</f>
        <v>4518.2875861497905</v>
      </c>
      <c r="F31" s="118">
        <f>'Air Quality'!E27</f>
        <v>4753.4719862395132</v>
      </c>
      <c r="G31" s="118">
        <f>'Safety Benefits'!E28</f>
        <v>2788943.1730735349</v>
      </c>
      <c r="H31" s="118">
        <f>-'Operating and Maintenance Costs'!C27</f>
        <v>-21455</v>
      </c>
      <c r="I31" s="118" t="str">
        <f>'Capital Cost and RCV Calc'!E29</f>
        <v>N/A</v>
      </c>
      <c r="J31" s="129">
        <f>SUM(C31:E31,G31:I31)*(1+0.07)^-($B31-Assumptions!$D$4)+F31</f>
        <v>609153.56455183018</v>
      </c>
    </row>
    <row r="32" spans="2:15" ht="15" customHeight="1" x14ac:dyDescent="0.25">
      <c r="B32" s="2">
        <f t="shared" si="1"/>
        <v>2051</v>
      </c>
      <c r="C32" s="118">
        <f>'Operation Benefits'!F29</f>
        <v>180510.71046838196</v>
      </c>
      <c r="D32" s="118">
        <f>'Travel Time Savings '!H29</f>
        <v>1680476.1779710799</v>
      </c>
      <c r="E32" s="118">
        <f>'Air Quality'!M28</f>
        <v>4536.7352455210148</v>
      </c>
      <c r="F32" s="118">
        <f>'Air Quality'!E28</f>
        <v>4633.122872765869</v>
      </c>
      <c r="G32" s="118">
        <f>'Safety Benefits'!E29</f>
        <v>2802459.7176977955</v>
      </c>
      <c r="H32" s="118">
        <f>-'Operating and Maintenance Costs'!C28</f>
        <v>-21455</v>
      </c>
      <c r="I32" s="118" t="str">
        <f>'Capital Cost and RCV Calc'!E30</f>
        <v>N/A</v>
      </c>
      <c r="J32" s="129">
        <f>SUM(C32:E32,G32:I32)*(1+0.07)^-($B32-Assumptions!$D$4)+F32</f>
        <v>575101.37799851643</v>
      </c>
    </row>
    <row r="33" spans="1:13" ht="15" customHeight="1" x14ac:dyDescent="0.25">
      <c r="B33" s="2">
        <f t="shared" si="1"/>
        <v>2052</v>
      </c>
      <c r="C33" s="118">
        <f>'Operation Benefits'!F30</f>
        <v>183331.32086930412</v>
      </c>
      <c r="D33" s="118">
        <f>'Travel Time Savings '!H30</f>
        <v>1709801.2642514296</v>
      </c>
      <c r="E33" s="118">
        <f>'Air Quality'!M29</f>
        <v>4607.6250148125046</v>
      </c>
      <c r="F33" s="118">
        <f>'Air Quality'!E29</f>
        <v>4568.4648237310703</v>
      </c>
      <c r="G33" s="118">
        <f>'Safety Benefits'!E30</f>
        <v>2815976.2623220608</v>
      </c>
      <c r="H33" s="118">
        <f>-'Operating and Maintenance Costs'!C29</f>
        <v>-21455</v>
      </c>
      <c r="I33" s="118" t="str">
        <f>'Capital Cost and RCV Calc'!E31</f>
        <v>N/A</v>
      </c>
      <c r="J33" s="129">
        <f>SUM(C33:E33,G33:I33)*(1+0.07)^-($B33-Assumptions!$D$4)+F33</f>
        <v>542963.83784522337</v>
      </c>
    </row>
    <row r="34" spans="1:13" ht="15" customHeight="1" x14ac:dyDescent="0.25">
      <c r="B34" s="2">
        <f t="shared" si="1"/>
        <v>2053</v>
      </c>
      <c r="C34" s="118">
        <f>'Operation Benefits'!F31</f>
        <v>186151.93127022628</v>
      </c>
      <c r="D34" s="118">
        <f>'Travel Time Savings '!H31</f>
        <v>1739126.3505318426</v>
      </c>
      <c r="E34" s="118">
        <f>'Air Quality'!M30</f>
        <v>4678.5147841039961</v>
      </c>
      <c r="F34" s="118">
        <f>'Air Quality'!E30</f>
        <v>4503.6428165898124</v>
      </c>
      <c r="G34" s="118">
        <f>'Safety Benefits'!E31</f>
        <v>2829492.8069463251</v>
      </c>
      <c r="H34" s="118">
        <f>-'Operating and Maintenance Costs'!C30</f>
        <v>-21455</v>
      </c>
      <c r="I34" s="118" t="str">
        <f>'Capital Cost and RCV Calc'!E32</f>
        <v>N/A</v>
      </c>
      <c r="J34" s="129">
        <f>SUM(C34:E34,G34:I34)*(1+0.07)^-($B34-Assumptions!$D$4)+F34</f>
        <v>512581.06716828019</v>
      </c>
    </row>
    <row r="35" spans="1:13" ht="15" customHeight="1" x14ac:dyDescent="0.25">
      <c r="B35" s="2">
        <f t="shared" si="1"/>
        <v>2054</v>
      </c>
      <c r="C35" s="118">
        <f>'Operation Benefits'!F32</f>
        <v>188972.5416711414</v>
      </c>
      <c r="D35" s="118">
        <f>'Travel Time Savings '!H32</f>
        <v>1768451.4368123077</v>
      </c>
      <c r="E35" s="118">
        <f>'Air Quality'!M31</f>
        <v>4749.4045533953094</v>
      </c>
      <c r="F35" s="118">
        <f>'Air Quality'!E31</f>
        <v>4438.7212540708542</v>
      </c>
      <c r="G35" s="118">
        <f>'Safety Benefits'!E32</f>
        <v>2843009.3515705899</v>
      </c>
      <c r="H35" s="118">
        <f>-'Operating and Maintenance Costs'!C31</f>
        <v>-21455</v>
      </c>
      <c r="I35" s="118" t="str">
        <f>'Capital Cost and RCV Calc'!E33</f>
        <v>N/A</v>
      </c>
      <c r="J35" s="129">
        <f>SUM(C35:E35,G35:I35)*(1+0.07)^-($B35-Assumptions!$D$4)+F35</f>
        <v>483860.78002875031</v>
      </c>
    </row>
    <row r="36" spans="1:13" ht="15" customHeight="1" x14ac:dyDescent="0.25">
      <c r="B36" s="2">
        <f t="shared" si="1"/>
        <v>2055</v>
      </c>
      <c r="C36" s="118">
        <f>'Operation Benefits'!F33</f>
        <v>191793.1520720706</v>
      </c>
      <c r="D36" s="118">
        <f>'Travel Time Savings '!H33</f>
        <v>1797776.5230927132</v>
      </c>
      <c r="E36" s="118">
        <f>'Air Quality'!M32</f>
        <v>4820.2943226869775</v>
      </c>
      <c r="F36" s="118">
        <f>'Air Quality'!E32</f>
        <v>4373.7609263799486</v>
      </c>
      <c r="G36" s="118">
        <f>'Safety Benefits'!E33</f>
        <v>2856525.896194851</v>
      </c>
      <c r="H36" s="118">
        <f>-'Operating and Maintenance Costs'!C32</f>
        <v>-21455</v>
      </c>
      <c r="I36" s="118" t="str">
        <f>'Capital Cost and RCV Calc'!E34</f>
        <v>N/A</v>
      </c>
      <c r="J36" s="129">
        <f>SUM(C36:E36,G36:I36)*(1+0.07)^-($B36-Assumptions!$D$4)+F36</f>
        <v>456715.25924598705</v>
      </c>
    </row>
    <row r="37" spans="1:13" ht="15" customHeight="1" x14ac:dyDescent="0.25">
      <c r="B37" s="2">
        <f t="shared" si="1"/>
        <v>2056</v>
      </c>
      <c r="C37" s="118">
        <f>'Operation Benefits'!F34</f>
        <v>194613.76247298566</v>
      </c>
      <c r="D37" s="118">
        <f>'Travel Time Savings '!H34</f>
        <v>1827101.6093731225</v>
      </c>
      <c r="E37" s="118">
        <f>'Air Quality'!M33</f>
        <v>4891.1840919782917</v>
      </c>
      <c r="F37" s="118">
        <f>'Air Quality'!E33</f>
        <v>4308.8191670011402</v>
      </c>
      <c r="G37" s="118">
        <f>'Safety Benefits'!E34</f>
        <v>2870042.4408191154</v>
      </c>
      <c r="H37" s="118">
        <f>-'Operating and Maintenance Costs'!C33</f>
        <v>-21455</v>
      </c>
      <c r="I37" s="118" t="str">
        <f>'Capital Cost and RCV Calc'!E35</f>
        <v>N/A</v>
      </c>
      <c r="J37" s="129">
        <f>SUM(C37:E37,G37:I37)*(1+0.07)^-($B37-Assumptions!$D$4)+F37</f>
        <v>431061.15354491991</v>
      </c>
    </row>
    <row r="38" spans="1:13" ht="15" customHeight="1" thickBot="1" x14ac:dyDescent="0.3">
      <c r="B38" s="3">
        <f t="shared" si="1"/>
        <v>2057</v>
      </c>
      <c r="C38" s="121">
        <f>'Operation Benefits'!F35</f>
        <v>197434.37287391489</v>
      </c>
      <c r="D38" s="121">
        <f>'Travel Time Savings '!H35</f>
        <v>1856426.6956535317</v>
      </c>
      <c r="E38" s="121">
        <f>'Air Quality'!M34</f>
        <v>4962.0738612699597</v>
      </c>
      <c r="F38" s="121">
        <f>'Air Quality'!E34</f>
        <v>4243.9500024910185</v>
      </c>
      <c r="G38" s="121">
        <f>'Safety Benefits'!E35</f>
        <v>2883558.9854433807</v>
      </c>
      <c r="H38" s="121">
        <f>-'Operating and Maintenance Costs'!C34</f>
        <v>-21455</v>
      </c>
      <c r="I38" s="121">
        <f>'Capital Cost and RCV Calc'!E36</f>
        <v>13693808.448359007</v>
      </c>
      <c r="J38" s="183">
        <f>SUM(C38:E38,G38:I38)*(1+0.07)^-($B38-Assumptions!$D$4)+F38</f>
        <v>1527093.8427550404</v>
      </c>
      <c r="L38" s="130"/>
    </row>
    <row r="39" spans="1:13" ht="15" customHeight="1" x14ac:dyDescent="0.25">
      <c r="B39" s="26"/>
      <c r="C39" s="27"/>
      <c r="E39" s="85"/>
      <c r="F39" s="85"/>
      <c r="G39" s="85"/>
      <c r="H39" s="85"/>
      <c r="I39" s="85" t="s">
        <v>2</v>
      </c>
      <c r="J39" s="6">
        <f>SUM(J7:J38)</f>
        <v>32479965.184815481</v>
      </c>
      <c r="K39" s="219">
        <f>'Travel Time Savings '!I36+'Operation Benefits'!G36+'Safety Benefits'!F36+'Air Quality'!P35-'Operating and Maintenance Costs'!D35+'Capital Cost and RCV Calc'!F37</f>
        <v>32479965.184815478</v>
      </c>
    </row>
    <row r="40" spans="1:13" ht="15" customHeight="1" x14ac:dyDescent="0.25">
      <c r="B40" s="26"/>
      <c r="C40" s="27"/>
      <c r="L40" s="248"/>
      <c r="M40" s="12"/>
    </row>
    <row r="41" spans="1:13" ht="15" customHeight="1" thickBot="1" x14ac:dyDescent="0.3">
      <c r="B41" s="28" t="s">
        <v>31</v>
      </c>
      <c r="C41" s="27"/>
      <c r="D41" s="6"/>
      <c r="E41" s="6"/>
      <c r="F41" s="6"/>
      <c r="G41" s="6"/>
      <c r="H41" s="29"/>
      <c r="I41" s="30"/>
      <c r="J41" s="30"/>
    </row>
    <row r="42" spans="1:13" x14ac:dyDescent="0.25">
      <c r="B42" s="472" t="s">
        <v>0</v>
      </c>
      <c r="C42" s="467" t="s">
        <v>115</v>
      </c>
      <c r="D42" s="474" t="s">
        <v>98</v>
      </c>
    </row>
    <row r="43" spans="1:13" ht="15" customHeight="1" thickBot="1" x14ac:dyDescent="0.3">
      <c r="B43" s="473"/>
      <c r="C43" s="468"/>
      <c r="D43" s="475"/>
    </row>
    <row r="44" spans="1:13" x14ac:dyDescent="0.25">
      <c r="A44" s="13"/>
      <c r="B44" s="107">
        <f>Assumptions!D5</f>
        <v>2026</v>
      </c>
      <c r="C44" s="131">
        <f>_xlfn.XLOOKUP($B44,'Capital Cost and RCV Calc'!$B$5:$B$36,'Capital Cost and RCV Calc'!$C$5:$C$36)</f>
        <v>16350378.148148147</v>
      </c>
      <c r="D44" s="131">
        <f>C44*(1+0.07)^-($B44-Assumptions!$D$4)</f>
        <v>10894947.335477948</v>
      </c>
    </row>
    <row r="45" spans="1:13" x14ac:dyDescent="0.25">
      <c r="B45" s="93">
        <f>+B44+1</f>
        <v>2027</v>
      </c>
      <c r="C45" s="136">
        <f>_xlfn.XLOOKUP($B45,'Capital Cost and RCV Calc'!$B$5:$B$36,'Capital Cost and RCV Calc'!$C$5:$C$36)</f>
        <v>16350378.148148147</v>
      </c>
      <c r="D45" s="136">
        <f>C45*(1+0.07)^-($B45-Assumptions!$D$4)</f>
        <v>10182193.771474717</v>
      </c>
    </row>
    <row r="46" spans="1:13" x14ac:dyDescent="0.25">
      <c r="B46" s="93">
        <f>+B45+1</f>
        <v>2028</v>
      </c>
      <c r="C46" s="132">
        <f>_xlfn.XLOOKUP($B46,'Capital Cost and RCV Calc'!$B$5:$B$36,'Capital Cost and RCV Calc'!$C$5:$C$36)</f>
        <v>0</v>
      </c>
      <c r="D46" s="132">
        <f>C46*(1+0.07)^-($B46-Assumptions!$D$4)</f>
        <v>0</v>
      </c>
    </row>
    <row r="47" spans="1:13" x14ac:dyDescent="0.25">
      <c r="B47" s="93">
        <f t="shared" ref="B47:B75" si="2">+B46+1</f>
        <v>2029</v>
      </c>
      <c r="C47" s="132">
        <f>_xlfn.XLOOKUP($B47,'Capital Cost and RCV Calc'!$B$5:$B$36,'Capital Cost and RCV Calc'!$C$5:$C$36)</f>
        <v>0</v>
      </c>
      <c r="D47" s="132">
        <f>C47*(1+0.07)^-($B47-Assumptions!$D$4)</f>
        <v>0</v>
      </c>
    </row>
    <row r="48" spans="1:13" x14ac:dyDescent="0.25">
      <c r="B48" s="93">
        <f t="shared" si="2"/>
        <v>2030</v>
      </c>
      <c r="C48" s="132">
        <f>_xlfn.XLOOKUP($B48,'Capital Cost and RCV Calc'!$B$5:$B$36,'Capital Cost and RCV Calc'!$C$5:$C$36)</f>
        <v>0</v>
      </c>
      <c r="D48" s="132">
        <f>C48*(1+0.07)^-($B48-Assumptions!$D$4)</f>
        <v>0</v>
      </c>
    </row>
    <row r="49" spans="1:4" x14ac:dyDescent="0.25">
      <c r="B49" s="93">
        <f t="shared" si="2"/>
        <v>2031</v>
      </c>
      <c r="C49" s="132">
        <f>_xlfn.XLOOKUP($B49,'Capital Cost and RCV Calc'!$B$5:$B$36,'Capital Cost and RCV Calc'!$C$5:$C$36)</f>
        <v>0</v>
      </c>
      <c r="D49" s="132">
        <f>C49*(1+0.07)^-($B49-Assumptions!$D$4)</f>
        <v>0</v>
      </c>
    </row>
    <row r="50" spans="1:4" x14ac:dyDescent="0.25">
      <c r="B50" s="93">
        <f t="shared" si="2"/>
        <v>2032</v>
      </c>
      <c r="C50" s="132">
        <f>_xlfn.XLOOKUP($B50,'Capital Cost and RCV Calc'!$B$5:$B$36,'Capital Cost and RCV Calc'!$C$5:$C$36)</f>
        <v>0</v>
      </c>
      <c r="D50" s="132">
        <f>C50*(1+0.07)^-($B50-Assumptions!$D$4)</f>
        <v>0</v>
      </c>
    </row>
    <row r="51" spans="1:4" x14ac:dyDescent="0.25">
      <c r="B51" s="93">
        <f t="shared" si="2"/>
        <v>2033</v>
      </c>
      <c r="C51" s="132">
        <f>_xlfn.XLOOKUP($B51,'Capital Cost and RCV Calc'!$B$5:$B$36,'Capital Cost and RCV Calc'!$C$5:$C$36)</f>
        <v>0</v>
      </c>
      <c r="D51" s="132">
        <f>C51*(1+0.07)^-($B51-Assumptions!$D$4)</f>
        <v>0</v>
      </c>
    </row>
    <row r="52" spans="1:4" x14ac:dyDescent="0.25">
      <c r="B52" s="93">
        <f t="shared" si="2"/>
        <v>2034</v>
      </c>
      <c r="C52" s="132">
        <f>_xlfn.XLOOKUP($B52,'Capital Cost and RCV Calc'!$B$5:$B$36,'Capital Cost and RCV Calc'!$C$5:$C$36)</f>
        <v>0</v>
      </c>
      <c r="D52" s="132">
        <f>C52*(1+0.07)^-($B52-Assumptions!$D$4)</f>
        <v>0</v>
      </c>
    </row>
    <row r="53" spans="1:4" x14ac:dyDescent="0.25">
      <c r="B53" s="93">
        <f t="shared" si="2"/>
        <v>2035</v>
      </c>
      <c r="C53" s="132">
        <f>_xlfn.XLOOKUP($B53,'Capital Cost and RCV Calc'!$B$5:$B$36,'Capital Cost and RCV Calc'!$C$5:$C$36)</f>
        <v>0</v>
      </c>
      <c r="D53" s="132">
        <f>C53*(1+0.07)^-($B53-Assumptions!$D$4)</f>
        <v>0</v>
      </c>
    </row>
    <row r="54" spans="1:4" x14ac:dyDescent="0.25">
      <c r="B54" s="93">
        <f t="shared" si="2"/>
        <v>2036</v>
      </c>
      <c r="C54" s="132">
        <f>_xlfn.XLOOKUP($B54,'Capital Cost and RCV Calc'!$B$5:$B$36,'Capital Cost and RCV Calc'!$C$5:$C$36)</f>
        <v>0</v>
      </c>
      <c r="D54" s="132">
        <f>C54*(1+0.07)^-($B54-Assumptions!$D$4)</f>
        <v>0</v>
      </c>
    </row>
    <row r="55" spans="1:4" x14ac:dyDescent="0.25">
      <c r="B55" s="93">
        <f t="shared" si="2"/>
        <v>2037</v>
      </c>
      <c r="C55" s="132">
        <f>_xlfn.XLOOKUP($B55,'Capital Cost and RCV Calc'!$B$5:$B$36,'Capital Cost and RCV Calc'!$C$5:$C$36)</f>
        <v>0</v>
      </c>
      <c r="D55" s="132">
        <f>C55*(1+0.07)^-($B55-Assumptions!$D$4)</f>
        <v>0</v>
      </c>
    </row>
    <row r="56" spans="1:4" x14ac:dyDescent="0.25">
      <c r="B56" s="93">
        <f t="shared" si="2"/>
        <v>2038</v>
      </c>
      <c r="C56" s="132">
        <f>_xlfn.XLOOKUP($B56,'Capital Cost and RCV Calc'!$B$5:$B$36,'Capital Cost and RCV Calc'!$C$5:$C$36)</f>
        <v>0</v>
      </c>
      <c r="D56" s="132">
        <f>C56*(1+0.07)^-($B56-Assumptions!$D$4)</f>
        <v>0</v>
      </c>
    </row>
    <row r="57" spans="1:4" x14ac:dyDescent="0.25">
      <c r="B57" s="93">
        <f t="shared" si="2"/>
        <v>2039</v>
      </c>
      <c r="C57" s="132">
        <f>_xlfn.XLOOKUP($B57,'Capital Cost and RCV Calc'!$B$5:$B$36,'Capital Cost and RCV Calc'!$C$5:$C$36)</f>
        <v>0</v>
      </c>
      <c r="D57" s="132">
        <f>C57*(1+0.07)^-($B57-Assumptions!$D$4)</f>
        <v>0</v>
      </c>
    </row>
    <row r="58" spans="1:4" x14ac:dyDescent="0.25">
      <c r="B58" s="93">
        <f t="shared" si="2"/>
        <v>2040</v>
      </c>
      <c r="C58" s="132">
        <f>_xlfn.XLOOKUP($B58,'Capital Cost and RCV Calc'!$B$5:$B$36,'Capital Cost and RCV Calc'!$C$5:$C$36)</f>
        <v>0</v>
      </c>
      <c r="D58" s="132">
        <f>C58*(1+0.07)^-($B58-Assumptions!$D$4)</f>
        <v>0</v>
      </c>
    </row>
    <row r="59" spans="1:4" x14ac:dyDescent="0.25">
      <c r="A59" s="13"/>
      <c r="B59" s="93">
        <f t="shared" si="2"/>
        <v>2041</v>
      </c>
      <c r="C59" s="132">
        <f>_xlfn.XLOOKUP($B59,'Capital Cost and RCV Calc'!$B$5:$B$36,'Capital Cost and RCV Calc'!$C$5:$C$36)</f>
        <v>0</v>
      </c>
      <c r="D59" s="132">
        <f>C59*(1+0.07)^-($B59-Assumptions!$D$4)</f>
        <v>0</v>
      </c>
    </row>
    <row r="60" spans="1:4" x14ac:dyDescent="0.25">
      <c r="B60" s="93">
        <f t="shared" si="2"/>
        <v>2042</v>
      </c>
      <c r="C60" s="132">
        <f>_xlfn.XLOOKUP($B60,'Capital Cost and RCV Calc'!$B$5:$B$36,'Capital Cost and RCV Calc'!$C$5:$C$36)</f>
        <v>0</v>
      </c>
      <c r="D60" s="132">
        <f>C60*(1+0.07)^-($B60-Assumptions!$D$4)</f>
        <v>0</v>
      </c>
    </row>
    <row r="61" spans="1:4" x14ac:dyDescent="0.25">
      <c r="B61" s="93">
        <f t="shared" si="2"/>
        <v>2043</v>
      </c>
      <c r="C61" s="132">
        <f>_xlfn.XLOOKUP($B61,'Capital Cost and RCV Calc'!$B$5:$B$36,'Capital Cost and RCV Calc'!$C$5:$C$36)</f>
        <v>0</v>
      </c>
      <c r="D61" s="132">
        <f>C61*(1+0.07)^-($B61-Assumptions!$D$4)</f>
        <v>0</v>
      </c>
    </row>
    <row r="62" spans="1:4" x14ac:dyDescent="0.25">
      <c r="B62" s="93">
        <f t="shared" si="2"/>
        <v>2044</v>
      </c>
      <c r="C62" s="132">
        <f>_xlfn.XLOOKUP($B62,'Capital Cost and RCV Calc'!$B$5:$B$36,'Capital Cost and RCV Calc'!$C$5:$C$36)</f>
        <v>0</v>
      </c>
      <c r="D62" s="132">
        <f>C62*(1+0.07)^-($B62-Assumptions!$D$4)</f>
        <v>0</v>
      </c>
    </row>
    <row r="63" spans="1:4" x14ac:dyDescent="0.25">
      <c r="B63" s="93">
        <f t="shared" si="2"/>
        <v>2045</v>
      </c>
      <c r="C63" s="132">
        <f>_xlfn.XLOOKUP($B63,'Capital Cost and RCV Calc'!$B$5:$B$36,'Capital Cost and RCV Calc'!$C$5:$C$36)</f>
        <v>0</v>
      </c>
      <c r="D63" s="132">
        <f>C63*(1+0.07)^-($B63-Assumptions!$D$4)</f>
        <v>0</v>
      </c>
    </row>
    <row r="64" spans="1:4" x14ac:dyDescent="0.25">
      <c r="B64" s="93">
        <f t="shared" si="2"/>
        <v>2046</v>
      </c>
      <c r="C64" s="132">
        <f>_xlfn.XLOOKUP($B64,'Capital Cost and RCV Calc'!$B$5:$B$36,'Capital Cost and RCV Calc'!$C$5:$C$36)</f>
        <v>0</v>
      </c>
      <c r="D64" s="132">
        <f>C64*(1+0.07)^-($B64-Assumptions!$D$4)</f>
        <v>0</v>
      </c>
    </row>
    <row r="65" spans="2:16" x14ac:dyDescent="0.25">
      <c r="B65" s="93">
        <f t="shared" si="2"/>
        <v>2047</v>
      </c>
      <c r="C65" s="132">
        <f>_xlfn.XLOOKUP($B65,'Capital Cost and RCV Calc'!$B$5:$B$36,'Capital Cost and RCV Calc'!$C$5:$C$36)</f>
        <v>0</v>
      </c>
      <c r="D65" s="132">
        <f>C65*(1+0.07)^-($B65-Assumptions!$D$4)</f>
        <v>0</v>
      </c>
    </row>
    <row r="66" spans="2:16" x14ac:dyDescent="0.25">
      <c r="B66" s="93">
        <f t="shared" si="2"/>
        <v>2048</v>
      </c>
      <c r="C66" s="132">
        <f>_xlfn.XLOOKUP($B66,'Capital Cost and RCV Calc'!$B$5:$B$36,'Capital Cost and RCV Calc'!$C$5:$C$36)</f>
        <v>0</v>
      </c>
      <c r="D66" s="132">
        <f>C66*(1+0.07)^-($B66-Assumptions!$D$4)</f>
        <v>0</v>
      </c>
      <c r="O66" s="413" t="s">
        <v>336</v>
      </c>
      <c r="P66" s="414" t="s">
        <v>337</v>
      </c>
    </row>
    <row r="67" spans="2:16" x14ac:dyDescent="0.25">
      <c r="B67" s="93">
        <f t="shared" si="2"/>
        <v>2049</v>
      </c>
      <c r="C67" s="132">
        <f>_xlfn.XLOOKUP($B67,'Capital Cost and RCV Calc'!$B$5:$B$36,'Capital Cost and RCV Calc'!$C$5:$C$36)</f>
        <v>0</v>
      </c>
      <c r="D67" s="132">
        <f>C67*(1+0.07)^-($B67-Assumptions!$D$4)</f>
        <v>0</v>
      </c>
      <c r="O67" s="415" t="s">
        <v>338</v>
      </c>
      <c r="P67" s="416">
        <f>'Travel Time Savings '!I36</f>
        <v>9983297.7459514514</v>
      </c>
    </row>
    <row r="68" spans="2:16" x14ac:dyDescent="0.25">
      <c r="B68" s="93">
        <f t="shared" si="2"/>
        <v>2050</v>
      </c>
      <c r="C68" s="132">
        <f>_xlfn.XLOOKUP($B68,'Capital Cost and RCV Calc'!$B$5:$B$36,'Capital Cost and RCV Calc'!$C$5:$C$36)</f>
        <v>0</v>
      </c>
      <c r="D68" s="132">
        <f>C68*(1+0.07)^-($B68-Assumptions!$D$4)</f>
        <v>0</v>
      </c>
      <c r="O68" s="415" t="s">
        <v>339</v>
      </c>
      <c r="P68" s="416">
        <f>'Operation Benefits'!G36</f>
        <v>1106099.8189301228</v>
      </c>
    </row>
    <row r="69" spans="2:16" x14ac:dyDescent="0.25">
      <c r="B69" s="93">
        <f t="shared" si="2"/>
        <v>2051</v>
      </c>
      <c r="C69" s="132">
        <f>_xlfn.XLOOKUP($B69,'Capital Cost and RCV Calc'!$B$5:$B$36,'Capital Cost and RCV Calc'!$C$5:$C$36)</f>
        <v>0</v>
      </c>
      <c r="D69" s="132">
        <f>C69*(1+0.07)^-($B69-Assumptions!$D$4)</f>
        <v>0</v>
      </c>
      <c r="O69" s="415" t="s">
        <v>33</v>
      </c>
      <c r="P69" s="416">
        <f>'Safety Benefits'!F36</f>
        <v>20272515.488170348</v>
      </c>
    </row>
    <row r="70" spans="2:16" x14ac:dyDescent="0.25">
      <c r="B70" s="93">
        <f t="shared" si="2"/>
        <v>2052</v>
      </c>
      <c r="C70" s="132">
        <f>_xlfn.XLOOKUP($B70,'Capital Cost and RCV Calc'!$B$5:$B$36,'Capital Cost and RCV Calc'!$C$5:$C$36)</f>
        <v>0</v>
      </c>
      <c r="D70" s="132">
        <f>C70*(1+0.07)^-($B70-Assumptions!$D$4)</f>
        <v>0</v>
      </c>
      <c r="O70" s="415" t="s">
        <v>340</v>
      </c>
      <c r="P70" s="416">
        <f>'Air Quality'!P35</f>
        <v>163575.95764724448</v>
      </c>
    </row>
    <row r="71" spans="2:16" x14ac:dyDescent="0.25">
      <c r="B71" s="93">
        <f t="shared" si="2"/>
        <v>2053</v>
      </c>
      <c r="C71" s="132">
        <f>_xlfn.XLOOKUP($B71,'Capital Cost and RCV Calc'!$B$5:$B$36,'Capital Cost and RCV Calc'!$C$5:$C$36)</f>
        <v>0</v>
      </c>
      <c r="D71" s="132">
        <f>C71*(1+0.07)^-($B71-Assumptions!$D$4)</f>
        <v>0</v>
      </c>
      <c r="O71" s="415" t="s">
        <v>341</v>
      </c>
      <c r="P71" s="416">
        <f>-'Operating and Maintenance Costs'!D35</f>
        <v>-165798.38694863318</v>
      </c>
    </row>
    <row r="72" spans="2:16" x14ac:dyDescent="0.25">
      <c r="B72" s="93">
        <f t="shared" si="2"/>
        <v>2054</v>
      </c>
      <c r="C72" s="132">
        <f>_xlfn.XLOOKUP($B72,'Capital Cost and RCV Calc'!$B$5:$B$36,'Capital Cost and RCV Calc'!$C$5:$C$36)</f>
        <v>0</v>
      </c>
      <c r="D72" s="132">
        <f>C72*(1+0.07)^-($B72-Assumptions!$D$4)</f>
        <v>0</v>
      </c>
      <c r="O72" s="217" t="s">
        <v>342</v>
      </c>
      <c r="P72" s="417">
        <f>'Capital Cost and RCV Calc'!F37</f>
        <v>1120274.561064943</v>
      </c>
    </row>
    <row r="73" spans="2:16" x14ac:dyDescent="0.25">
      <c r="B73" s="93">
        <f t="shared" si="2"/>
        <v>2055</v>
      </c>
      <c r="C73" s="132">
        <f>_xlfn.XLOOKUP($B73,'Capital Cost and RCV Calc'!$B$5:$B$36,'Capital Cost and RCV Calc'!$C$5:$C$36)</f>
        <v>0</v>
      </c>
      <c r="D73" s="132">
        <f>C73*(1+0.07)^-($B73-Assumptions!$D$4)</f>
        <v>0</v>
      </c>
      <c r="O73" s="418" t="s">
        <v>7</v>
      </c>
      <c r="P73" s="417">
        <f>SUM(P67:P72)</f>
        <v>32479965.184815478</v>
      </c>
    </row>
    <row r="74" spans="2:16" x14ac:dyDescent="0.25">
      <c r="B74" s="93">
        <f t="shared" si="2"/>
        <v>2056</v>
      </c>
      <c r="C74" s="132">
        <f>_xlfn.XLOOKUP($B74,'Capital Cost and RCV Calc'!$B$5:$B$36,'Capital Cost and RCV Calc'!$C$5:$C$36)</f>
        <v>0</v>
      </c>
      <c r="D74" s="132">
        <f>C74*(1+0.07)^-($B74-Assumptions!$D$4)</f>
        <v>0</v>
      </c>
    </row>
    <row r="75" spans="2:16" ht="15.75" thickBot="1" x14ac:dyDescent="0.3">
      <c r="B75" s="94">
        <f t="shared" si="2"/>
        <v>2057</v>
      </c>
      <c r="C75" s="133">
        <f>_xlfn.XLOOKUP($B75,'Capital Cost and RCV Calc'!$B$5:$B$36,'Capital Cost and RCV Calc'!$C$5:$C$36)</f>
        <v>0</v>
      </c>
      <c r="D75" s="133">
        <f>C75*(1+0.07)^-($B75-Assumptions!$D$4)</f>
        <v>0</v>
      </c>
    </row>
    <row r="76" spans="2:16" x14ac:dyDescent="0.25">
      <c r="D76" s="6">
        <f>SUM(D44:D75)</f>
        <v>21077141.106952667</v>
      </c>
      <c r="E76" s="219">
        <f>'Capital Cost and RCV Calc'!D37</f>
        <v>21077141.106952667</v>
      </c>
      <c r="O76" s="413" t="s">
        <v>336</v>
      </c>
      <c r="P76" s="414" t="s">
        <v>337</v>
      </c>
    </row>
    <row r="77" spans="2:16" x14ac:dyDescent="0.25">
      <c r="D77" s="130"/>
      <c r="O77" s="415" t="s">
        <v>338</v>
      </c>
      <c r="P77" s="416">
        <f>MROUND(P67,1000)</f>
        <v>9983000</v>
      </c>
    </row>
    <row r="78" spans="2:16" ht="16.5" thickBot="1" x14ac:dyDescent="0.3">
      <c r="B78" s="28" t="s">
        <v>42</v>
      </c>
      <c r="D78" s="130"/>
      <c r="O78" s="415" t="s">
        <v>339</v>
      </c>
      <c r="P78" s="416">
        <f t="shared" ref="P78:P82" si="3">MROUND(P68,1000)</f>
        <v>1106000</v>
      </c>
    </row>
    <row r="79" spans="2:16" ht="15.75" thickBot="1" x14ac:dyDescent="0.3">
      <c r="B79" s="31"/>
      <c r="C79" s="34" t="s">
        <v>358</v>
      </c>
      <c r="D79" s="130"/>
      <c r="O79" s="415" t="s">
        <v>33</v>
      </c>
      <c r="P79" s="416">
        <f t="shared" si="3"/>
        <v>20273000</v>
      </c>
    </row>
    <row r="80" spans="2:16" x14ac:dyDescent="0.25">
      <c r="B80" s="32" t="s">
        <v>35</v>
      </c>
      <c r="C80" s="89">
        <f>J39</f>
        <v>32479965.184815481</v>
      </c>
      <c r="D80" s="30"/>
      <c r="E80" s="30"/>
      <c r="F80" s="30"/>
      <c r="G80" s="30"/>
      <c r="O80" s="415" t="s">
        <v>340</v>
      </c>
      <c r="P80" s="416">
        <f t="shared" si="3"/>
        <v>164000</v>
      </c>
    </row>
    <row r="81" spans="2:16" ht="15.75" thickBot="1" x14ac:dyDescent="0.3">
      <c r="B81" s="33" t="s">
        <v>36</v>
      </c>
      <c r="C81" s="90">
        <f>+D76</f>
        <v>21077141.106952667</v>
      </c>
      <c r="F81" s="29"/>
      <c r="G81" s="29"/>
      <c r="H81" s="30"/>
      <c r="O81" s="415" t="s">
        <v>341</v>
      </c>
      <c r="P81" s="416">
        <f>MROUND(P71,-1000)</f>
        <v>-166000</v>
      </c>
    </row>
    <row r="82" spans="2:16" ht="15.75" thickTop="1" x14ac:dyDescent="0.25">
      <c r="B82" s="179" t="s">
        <v>37</v>
      </c>
      <c r="C82" s="181">
        <f>+C80/C81</f>
        <v>1.54100430509057</v>
      </c>
      <c r="E82" s="29"/>
      <c r="F82" s="30"/>
      <c r="G82" s="30"/>
      <c r="O82" s="217" t="s">
        <v>342</v>
      </c>
      <c r="P82" s="416">
        <f t="shared" si="3"/>
        <v>1120000</v>
      </c>
    </row>
    <row r="83" spans="2:16" ht="15.75" thickBot="1" x14ac:dyDescent="0.3">
      <c r="B83" s="180" t="s">
        <v>113</v>
      </c>
      <c r="C83" s="182">
        <f>C80-C81</f>
        <v>11402824.077862814</v>
      </c>
      <c r="E83" s="29"/>
      <c r="F83" s="30"/>
      <c r="G83" s="30"/>
      <c r="O83" s="418" t="s">
        <v>7</v>
      </c>
      <c r="P83" s="417">
        <f>SUM(P77:P82)</f>
        <v>32480000</v>
      </c>
    </row>
    <row r="84" spans="2:16" ht="15.75" thickBot="1" x14ac:dyDescent="0.3">
      <c r="E84" s="29"/>
      <c r="F84" s="30"/>
      <c r="G84" s="30"/>
    </row>
    <row r="85" spans="2:16" ht="15.75" thickBot="1" x14ac:dyDescent="0.3">
      <c r="B85" s="31"/>
      <c r="C85" s="34" t="s">
        <v>358</v>
      </c>
      <c r="E85" s="29"/>
      <c r="F85" s="30"/>
      <c r="G85" s="30"/>
    </row>
    <row r="86" spans="2:16" x14ac:dyDescent="0.25">
      <c r="B86" s="32" t="s">
        <v>35</v>
      </c>
      <c r="C86" s="234">
        <f>MROUND(C80,100000)/10^6</f>
        <v>32.5</v>
      </c>
    </row>
    <row r="87" spans="2:16" ht="15.75" thickBot="1" x14ac:dyDescent="0.3">
      <c r="B87" s="33" t="s">
        <v>36</v>
      </c>
      <c r="C87" s="237">
        <f>MROUND(C81,100000)/10^6</f>
        <v>21.1</v>
      </c>
    </row>
    <row r="88" spans="2:16" ht="15.75" thickTop="1" x14ac:dyDescent="0.25">
      <c r="B88" s="179" t="s">
        <v>37</v>
      </c>
      <c r="C88" s="236">
        <f>+C86/C87</f>
        <v>1.5402843601895733</v>
      </c>
    </row>
    <row r="89" spans="2:16" ht="15.75" thickBot="1" x14ac:dyDescent="0.3">
      <c r="B89" s="180" t="s">
        <v>113</v>
      </c>
      <c r="C89" s="235">
        <f>C86-C87</f>
        <v>11.399999999999999</v>
      </c>
    </row>
  </sheetData>
  <mergeCells count="14">
    <mergeCell ref="J5:J6"/>
    <mergeCell ref="B42:B43"/>
    <mergeCell ref="C42:C43"/>
    <mergeCell ref="D42:D43"/>
    <mergeCell ref="I5:I6"/>
    <mergeCell ref="G5:G6"/>
    <mergeCell ref="H5:H6"/>
    <mergeCell ref="F5:F6"/>
    <mergeCell ref="C4:D4"/>
    <mergeCell ref="B5:B6"/>
    <mergeCell ref="C5:C6"/>
    <mergeCell ref="D5:D6"/>
    <mergeCell ref="E5:E6"/>
    <mergeCell ref="E4:F4"/>
  </mergeCells>
  <pageMargins left="0.25" right="0.25" top="0.75" bottom="0.75" header="0.3" footer="0.3"/>
  <pageSetup paperSize="3" scale="4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F8A7A-4267-4D6C-B8E4-AF642CBEC677}">
  <sheetPr>
    <tabColor rgb="FF00B050"/>
    <pageSetUpPr fitToPage="1"/>
  </sheetPr>
  <dimension ref="A1:AT70"/>
  <sheetViews>
    <sheetView view="pageBreakPreview" zoomScale="85" zoomScaleNormal="85" zoomScaleSheetLayoutView="85" workbookViewId="0">
      <selection activeCell="I30" sqref="I30"/>
    </sheetView>
  </sheetViews>
  <sheetFormatPr defaultRowHeight="15" x14ac:dyDescent="0.25"/>
  <cols>
    <col min="1" max="1" width="3.7109375" customWidth="1"/>
    <col min="2" max="9" width="20.7109375" customWidth="1"/>
    <col min="10" max="11" width="5.7109375" customWidth="1"/>
    <col min="12" max="12" width="28.140625" customWidth="1"/>
    <col min="13" max="16" width="16.28515625" customWidth="1"/>
    <col min="17" max="17" width="5.7109375" customWidth="1"/>
  </cols>
  <sheetData>
    <row r="1" spans="2:18" x14ac:dyDescent="0.25">
      <c r="B1" s="21">
        <v>1</v>
      </c>
      <c r="C1" s="21">
        <v>2</v>
      </c>
      <c r="D1" s="21">
        <v>3</v>
      </c>
      <c r="E1" s="21"/>
      <c r="F1" s="21">
        <v>4</v>
      </c>
      <c r="G1" s="21">
        <v>5</v>
      </c>
      <c r="H1" s="21">
        <v>6</v>
      </c>
      <c r="I1" s="21">
        <v>7</v>
      </c>
    </row>
    <row r="2" spans="2:18" x14ac:dyDescent="0.25">
      <c r="B2" s="12" t="s">
        <v>114</v>
      </c>
    </row>
    <row r="3" spans="2:18" ht="15.75" thickBot="1" x14ac:dyDescent="0.3">
      <c r="C3" s="21"/>
      <c r="D3" s="21"/>
      <c r="E3" s="21"/>
      <c r="L3" s="72"/>
    </row>
    <row r="4" spans="2:18" ht="35.1" customHeight="1" x14ac:dyDescent="0.25">
      <c r="B4" s="481" t="s">
        <v>0</v>
      </c>
      <c r="C4" s="483" t="s">
        <v>82</v>
      </c>
      <c r="D4" s="485" t="s">
        <v>81</v>
      </c>
      <c r="E4" s="485" t="s">
        <v>380</v>
      </c>
      <c r="F4" s="483" t="s">
        <v>80</v>
      </c>
      <c r="G4" s="487" t="s">
        <v>79</v>
      </c>
      <c r="H4" s="487" t="s">
        <v>78</v>
      </c>
      <c r="I4" s="489" t="s">
        <v>1</v>
      </c>
      <c r="L4" s="72"/>
    </row>
    <row r="5" spans="2:18" ht="15.75" thickBot="1" x14ac:dyDescent="0.3">
      <c r="B5" s="482"/>
      <c r="C5" s="484"/>
      <c r="D5" s="486"/>
      <c r="E5" s="486"/>
      <c r="F5" s="484"/>
      <c r="G5" s="488"/>
      <c r="H5" s="488"/>
      <c r="I5" s="490"/>
      <c r="L5" s="491" t="s">
        <v>195</v>
      </c>
      <c r="M5" s="491"/>
      <c r="N5" s="170"/>
    </row>
    <row r="6" spans="2:18" x14ac:dyDescent="0.25">
      <c r="B6" s="92">
        <f>Assumptions!$D$8</f>
        <v>2028</v>
      </c>
      <c r="C6" s="215" cm="1">
        <f t="array" ref="C6">TREND($M$22:$N$22,$M$21:$N$21,$B6)</f>
        <v>892623.22338197939</v>
      </c>
      <c r="D6" s="144" cm="1">
        <f t="array" ref="D6">TREND($O$22:$P$22,$O$21:$P$21,$B6)</f>
        <v>858905.91497086361</v>
      </c>
      <c r="E6" s="438">
        <f>C6-D6</f>
        <v>33717.30841111578</v>
      </c>
      <c r="F6" s="145">
        <f t="shared" ref="F6:G8" si="0">C6*$M$18</f>
        <v>26632560.105088208</v>
      </c>
      <c r="G6" s="146">
        <f t="shared" si="0"/>
        <v>25626560.911566701</v>
      </c>
      <c r="H6" s="146">
        <f>(F6-G6)</f>
        <v>1005999.1935215071</v>
      </c>
      <c r="I6" s="124">
        <f>H6*(1+0.07)^-(B6-Assumptions!$D$4)</f>
        <v>585500.68981460307</v>
      </c>
      <c r="L6" s="67" t="s">
        <v>93</v>
      </c>
      <c r="M6" s="294">
        <f>Assumptions!D21</f>
        <v>17.8</v>
      </c>
    </row>
    <row r="7" spans="2:18" x14ac:dyDescent="0.25">
      <c r="B7" s="93">
        <f t="shared" ref="B7:B35" si="1">B6+1</f>
        <v>2029</v>
      </c>
      <c r="C7" s="140" cm="1">
        <f t="array" ref="C7">TREND($M$22:$N$22,$M$21:$N$21,$B7)</f>
        <v>899519.21781896986</v>
      </c>
      <c r="D7" s="141" cm="1">
        <f t="array" ref="D7">TREND($O$22:$P$22,$O$21:$P$21,$B7)</f>
        <v>864819.04283632338</v>
      </c>
      <c r="E7" s="439">
        <f t="shared" ref="E7:E35" si="2">C7-D7</f>
        <v>34700.17498264648</v>
      </c>
      <c r="F7" s="147">
        <f t="shared" si="0"/>
        <v>26838310.954401378</v>
      </c>
      <c r="G7" s="139">
        <f t="shared" si="0"/>
        <v>25802986.674599465</v>
      </c>
      <c r="H7" s="139">
        <f t="shared" ref="H7:H35" si="3">(F7-G7)</f>
        <v>1035324.2798019126</v>
      </c>
      <c r="I7" s="125">
        <f>H7*(1+0.07)^-(B7-Assumptions!$D$4)</f>
        <v>563147.81030089199</v>
      </c>
      <c r="L7" s="67" t="s">
        <v>77</v>
      </c>
      <c r="M7" s="294">
        <f>Assumptions!D22</f>
        <v>32</v>
      </c>
      <c r="N7" s="21"/>
      <c r="O7" s="81"/>
      <c r="Q7" s="80"/>
      <c r="R7" s="80"/>
    </row>
    <row r="8" spans="2:18" x14ac:dyDescent="0.25">
      <c r="B8" s="93">
        <f t="shared" si="1"/>
        <v>2030</v>
      </c>
      <c r="C8" s="140" cm="1">
        <f t="array" ref="C8">TREND($M$22:$N$22,$M$21:$N$21,$B8)</f>
        <v>906415.21225596033</v>
      </c>
      <c r="D8" s="141" cm="1">
        <f t="array" ref="D8">TREND($O$22:$P$22,$O$21:$P$21,$B8)</f>
        <v>870732.17070178315</v>
      </c>
      <c r="E8" s="439">
        <f t="shared" si="2"/>
        <v>35683.04155417718</v>
      </c>
      <c r="F8" s="147">
        <f t="shared" si="0"/>
        <v>27044061.803714547</v>
      </c>
      <c r="G8" s="139">
        <f t="shared" si="0"/>
        <v>25979412.437632225</v>
      </c>
      <c r="H8" s="139">
        <f t="shared" si="3"/>
        <v>1064649.3660823219</v>
      </c>
      <c r="I8" s="125">
        <f>H8*(1+0.07)^-(B8-Assumptions!$D$4)</f>
        <v>541213.75161962432</v>
      </c>
      <c r="K8" s="37"/>
      <c r="L8" s="72"/>
      <c r="M8" s="82"/>
      <c r="N8" s="21"/>
      <c r="O8" s="81"/>
      <c r="Q8" s="80"/>
      <c r="R8" s="80"/>
    </row>
    <row r="9" spans="2:18" ht="14.25" customHeight="1" x14ac:dyDescent="0.25">
      <c r="B9" s="93">
        <f t="shared" si="1"/>
        <v>2031</v>
      </c>
      <c r="C9" s="140" cm="1">
        <f t="array" ref="C9">TREND($M$22:$N$22,$M$21:$N$21,$B9)</f>
        <v>913311.20669295266</v>
      </c>
      <c r="D9" s="141" cm="1">
        <f t="array" ref="D9">TREND($O$22:$P$22,$O$21:$P$21,$B9)</f>
        <v>876645.29856724292</v>
      </c>
      <c r="E9" s="439">
        <f t="shared" si="2"/>
        <v>36665.908125709742</v>
      </c>
      <c r="F9" s="147">
        <f t="shared" ref="F9:F23" si="4">C9*$M$18</f>
        <v>27249812.653027777</v>
      </c>
      <c r="G9" s="139">
        <f t="shared" ref="G9:G23" si="5">D9*$M$18</f>
        <v>26155838.20066499</v>
      </c>
      <c r="H9" s="139">
        <f t="shared" ref="H9:H23" si="6">(F9-G9)</f>
        <v>1093974.452362787</v>
      </c>
      <c r="I9" s="125">
        <f>H9*(1+0.07)^-(B9-Assumptions!$D$4)</f>
        <v>519739.38174961519</v>
      </c>
      <c r="L9" s="491" t="s">
        <v>196</v>
      </c>
      <c r="M9" s="491"/>
    </row>
    <row r="10" spans="2:18" x14ac:dyDescent="0.25">
      <c r="B10" s="93">
        <f t="shared" si="1"/>
        <v>2032</v>
      </c>
      <c r="C10" s="140" cm="1">
        <f t="array" ref="C10">TREND($M$22:$N$22,$M$21:$N$21,$B10)</f>
        <v>920207.20112994313</v>
      </c>
      <c r="D10" s="141" cm="1">
        <f t="array" ref="D10">TREND($O$22:$P$22,$O$21:$P$21,$B10)</f>
        <v>882558.42643270269</v>
      </c>
      <c r="E10" s="439">
        <f t="shared" si="2"/>
        <v>37648.774697240442</v>
      </c>
      <c r="F10" s="147">
        <f t="shared" si="4"/>
        <v>27455563.502340946</v>
      </c>
      <c r="G10" s="139">
        <f t="shared" si="5"/>
        <v>26332263.96369775</v>
      </c>
      <c r="H10" s="139">
        <f t="shared" si="6"/>
        <v>1123299.5386431962</v>
      </c>
      <c r="I10" s="125">
        <f>H10*(1+0.07)^-(B10-Assumptions!$D$4)</f>
        <v>498758.42896717956</v>
      </c>
      <c r="L10" s="67" t="s">
        <v>76</v>
      </c>
      <c r="M10" s="123">
        <f>Assumptions!D14</f>
        <v>0.95150214592274673</v>
      </c>
    </row>
    <row r="11" spans="2:18" x14ac:dyDescent="0.25">
      <c r="B11" s="93">
        <f t="shared" si="1"/>
        <v>2033</v>
      </c>
      <c r="C11" s="140" cm="1">
        <f t="array" ref="C11">TREND($M$22:$N$22,$M$21:$N$21,$B11)</f>
        <v>927103.1955669336</v>
      </c>
      <c r="D11" s="141" cm="1">
        <f t="array" ref="D11">TREND($O$22:$P$22,$O$21:$P$21,$B11)</f>
        <v>888471.55429816432</v>
      </c>
      <c r="E11" s="439">
        <f t="shared" si="2"/>
        <v>38631.641268769279</v>
      </c>
      <c r="F11" s="147">
        <f t="shared" si="4"/>
        <v>27661314.351654116</v>
      </c>
      <c r="G11" s="139">
        <f t="shared" si="5"/>
        <v>26508689.726730566</v>
      </c>
      <c r="H11" s="139">
        <f t="shared" si="6"/>
        <v>1152624.6249235496</v>
      </c>
      <c r="I11" s="125">
        <f>H11*(1+0.07)^-(B11-Assumptions!$D$4)</f>
        <v>478298.24110413349</v>
      </c>
      <c r="L11" s="67" t="s">
        <v>75</v>
      </c>
      <c r="M11" s="123">
        <f>Assumptions!D15</f>
        <v>4.8497854077253266E-2</v>
      </c>
      <c r="N11" s="72"/>
      <c r="O11" s="72"/>
      <c r="P11" s="72"/>
      <c r="Q11" s="171"/>
    </row>
    <row r="12" spans="2:18" x14ac:dyDescent="0.25">
      <c r="B12" s="93">
        <f t="shared" si="1"/>
        <v>2034</v>
      </c>
      <c r="C12" s="140" cm="1">
        <f t="array" ref="C12">TREND($M$22:$N$22,$M$21:$N$21,$B12)</f>
        <v>933999.19000392407</v>
      </c>
      <c r="D12" s="141" cm="1">
        <f t="array" ref="D12">TREND($O$22:$P$22,$O$21:$P$21,$B12)</f>
        <v>894384.68216362409</v>
      </c>
      <c r="E12" s="439">
        <f t="shared" si="2"/>
        <v>39614.507840299979</v>
      </c>
      <c r="F12" s="147">
        <f t="shared" si="4"/>
        <v>27867065.20096729</v>
      </c>
      <c r="G12" s="139">
        <f t="shared" si="5"/>
        <v>26685115.489763331</v>
      </c>
      <c r="H12" s="139">
        <f t="shared" si="6"/>
        <v>1181949.7112039588</v>
      </c>
      <c r="I12" s="125">
        <f>H12*(1+0.07)^-(B12-Assumptions!$D$4)</f>
        <v>458380.47602034325</v>
      </c>
      <c r="L12" s="72"/>
      <c r="M12" s="76"/>
    </row>
    <row r="13" spans="2:18" ht="15" customHeight="1" x14ac:dyDescent="0.25">
      <c r="B13" s="93">
        <f t="shared" si="1"/>
        <v>2035</v>
      </c>
      <c r="C13" s="140" cm="1">
        <f t="array" ref="C13">TREND($M$22:$N$22,$M$21:$N$21,$B13)</f>
        <v>940895.1844409164</v>
      </c>
      <c r="D13" s="141" cm="1">
        <f t="array" ref="D13">TREND($O$22:$P$22,$O$21:$P$21,$B13)</f>
        <v>900297.81002908386</v>
      </c>
      <c r="E13" s="439">
        <f t="shared" si="2"/>
        <v>40597.374411832541</v>
      </c>
      <c r="F13" s="147">
        <f t="shared" si="4"/>
        <v>28072816.050280515</v>
      </c>
      <c r="G13" s="139">
        <f t="shared" si="5"/>
        <v>26861541.252796091</v>
      </c>
      <c r="H13" s="139">
        <f t="shared" si="6"/>
        <v>1211274.797484424</v>
      </c>
      <c r="I13" s="125">
        <f>H13*(1+0.07)^-(B13-Assumptions!$D$4)</f>
        <v>439021.72904133477</v>
      </c>
      <c r="L13" s="491" t="s">
        <v>112</v>
      </c>
      <c r="M13" s="491"/>
    </row>
    <row r="14" spans="2:18" x14ac:dyDescent="0.25">
      <c r="B14" s="93">
        <f t="shared" si="1"/>
        <v>2036</v>
      </c>
      <c r="C14" s="140" cm="1">
        <f t="array" ref="C14">TREND($M$22:$N$22,$M$21:$N$21,$B14)</f>
        <v>947791.17887790687</v>
      </c>
      <c r="D14" s="141" cm="1">
        <f t="array" ref="D14">TREND($O$22:$P$22,$O$21:$P$21,$B14)</f>
        <v>906210.93789454363</v>
      </c>
      <c r="E14" s="439">
        <f t="shared" si="2"/>
        <v>41580.240983363241</v>
      </c>
      <c r="F14" s="147">
        <f t="shared" si="4"/>
        <v>28278566.899593685</v>
      </c>
      <c r="G14" s="139">
        <f t="shared" si="5"/>
        <v>27037967.015828852</v>
      </c>
      <c r="H14" s="139">
        <f t="shared" si="6"/>
        <v>1240599.8837648332</v>
      </c>
      <c r="I14" s="125">
        <f>H14*(1+0.07)^-(B14-Assumptions!$D$4)</f>
        <v>420234.10265358683</v>
      </c>
      <c r="L14" s="67" t="s">
        <v>94</v>
      </c>
      <c r="M14" s="172">
        <f>Assumptions!D16</f>
        <v>1.67</v>
      </c>
      <c r="P14" s="21"/>
    </row>
    <row r="15" spans="2:18" x14ac:dyDescent="0.25">
      <c r="B15" s="93">
        <f t="shared" si="1"/>
        <v>2037</v>
      </c>
      <c r="C15" s="140" cm="1">
        <f t="array" ref="C15">TREND($M$22:$N$22,$M$21:$N$21,$B15)</f>
        <v>954687.17331489734</v>
      </c>
      <c r="D15" s="141" cm="1">
        <f t="array" ref="D15">TREND($O$22:$P$22,$O$21:$P$21,$B15)</f>
        <v>912124.0657600034</v>
      </c>
      <c r="E15" s="439">
        <f t="shared" si="2"/>
        <v>42563.107554893941</v>
      </c>
      <c r="F15" s="147">
        <f t="shared" si="4"/>
        <v>28484317.748906858</v>
      </c>
      <c r="G15" s="139">
        <f t="shared" si="5"/>
        <v>27214392.778861616</v>
      </c>
      <c r="H15" s="139">
        <f t="shared" si="6"/>
        <v>1269924.9700452425</v>
      </c>
      <c r="I15" s="125">
        <f>H15*(1+0.07)^-(B15-Assumptions!$D$4)</f>
        <v>402025.72332722601</v>
      </c>
      <c r="L15" s="67" t="s">
        <v>74</v>
      </c>
      <c r="M15" s="172">
        <f>Assumptions!D17</f>
        <v>1</v>
      </c>
      <c r="P15" s="21"/>
    </row>
    <row r="16" spans="2:18" x14ac:dyDescent="0.25">
      <c r="B16" s="93">
        <f t="shared" si="1"/>
        <v>2038</v>
      </c>
      <c r="C16" s="140" cm="1">
        <f t="array" ref="C16">TREND($M$22:$N$22,$M$21:$N$21,$B16)</f>
        <v>961583.16775188781</v>
      </c>
      <c r="D16" s="141" cm="1">
        <f t="array" ref="D16">TREND($O$22:$P$22,$O$21:$P$21,$B16)</f>
        <v>918037.19362546317</v>
      </c>
      <c r="E16" s="439">
        <f t="shared" si="2"/>
        <v>43545.97412642464</v>
      </c>
      <c r="F16" s="147">
        <f t="shared" si="4"/>
        <v>28690068.598220028</v>
      </c>
      <c r="G16" s="139">
        <f t="shared" si="5"/>
        <v>27390818.541894376</v>
      </c>
      <c r="H16" s="139">
        <f t="shared" si="6"/>
        <v>1299250.0563256517</v>
      </c>
      <c r="I16" s="125">
        <f>H16*(1+0.07)^-(B16-Assumptions!$D$4)</f>
        <v>384401.20994556445</v>
      </c>
      <c r="L16" s="72"/>
      <c r="M16" s="76"/>
      <c r="N16" s="21"/>
      <c r="O16" s="21"/>
      <c r="P16" s="21"/>
    </row>
    <row r="17" spans="2:44" x14ac:dyDescent="0.25">
      <c r="B17" s="93">
        <f t="shared" si="1"/>
        <v>2039</v>
      </c>
      <c r="C17" s="140" cm="1">
        <f t="array" ref="C17">TREND($M$22:$N$22,$M$21:$N$21,$B17)</f>
        <v>968479.16218888015</v>
      </c>
      <c r="D17" s="141" cm="1">
        <f t="array" ref="D17">TREND($O$22:$P$22,$O$21:$P$21,$B17)</f>
        <v>923950.32149092481</v>
      </c>
      <c r="E17" s="439">
        <f t="shared" si="2"/>
        <v>44528.84069795534</v>
      </c>
      <c r="F17" s="147">
        <f t="shared" si="4"/>
        <v>28895819.447533254</v>
      </c>
      <c r="G17" s="139">
        <f t="shared" si="5"/>
        <v>27567244.304927196</v>
      </c>
      <c r="H17" s="139">
        <f t="shared" si="6"/>
        <v>1328575.1426060572</v>
      </c>
      <c r="I17" s="125">
        <f>H17*(1+0.07)^-(B17-Assumptions!$D$4)</f>
        <v>367362.09796163923</v>
      </c>
      <c r="L17" s="70" t="s">
        <v>73</v>
      </c>
      <c r="M17" s="21"/>
      <c r="N17" s="21"/>
      <c r="O17" s="21"/>
      <c r="P17" s="21"/>
    </row>
    <row r="18" spans="2:44" x14ac:dyDescent="0.25">
      <c r="B18" s="93">
        <f t="shared" si="1"/>
        <v>2040</v>
      </c>
      <c r="C18" s="140" cm="1">
        <f t="array" ref="C18">TREND($M$22:$N$22,$M$21:$N$21,$B18)</f>
        <v>975375.15662587062</v>
      </c>
      <c r="D18" s="141" cm="1">
        <f t="array" ref="D18">TREND($O$22:$P$22,$O$21:$P$21,$B18)</f>
        <v>929863.44935638458</v>
      </c>
      <c r="E18" s="439">
        <f t="shared" si="2"/>
        <v>45511.70726948604</v>
      </c>
      <c r="F18" s="147">
        <f t="shared" si="4"/>
        <v>29101570.296846423</v>
      </c>
      <c r="G18" s="139">
        <f t="shared" si="5"/>
        <v>27743670.067959957</v>
      </c>
      <c r="H18" s="139">
        <f t="shared" si="6"/>
        <v>1357900.2288864665</v>
      </c>
      <c r="I18" s="125">
        <f>H18*(1+0.07)^-(B18-Assumptions!$D$4)</f>
        <v>350907.22306956473</v>
      </c>
      <c r="L18" s="79" t="s">
        <v>72</v>
      </c>
      <c r="M18" s="173">
        <f>M10*M6*M14+M11*M7*M15</f>
        <v>29.836284120171676</v>
      </c>
      <c r="N18" s="78"/>
      <c r="O18" s="21"/>
      <c r="P18" s="77"/>
    </row>
    <row r="19" spans="2:44" x14ac:dyDescent="0.25">
      <c r="B19" s="93">
        <f t="shared" si="1"/>
        <v>2041</v>
      </c>
      <c r="C19" s="140" cm="1">
        <f t="array" ref="C19">TREND($M$22:$N$22,$M$21:$N$21,$B19)</f>
        <v>982271.15106286108</v>
      </c>
      <c r="D19" s="141" cm="1">
        <f t="array" ref="D19">TREND($O$22:$P$22,$O$21:$P$21,$B19)</f>
        <v>935776.57722184435</v>
      </c>
      <c r="E19" s="439">
        <f t="shared" si="2"/>
        <v>46494.57384101674</v>
      </c>
      <c r="F19" s="147">
        <f t="shared" si="4"/>
        <v>29307321.146159597</v>
      </c>
      <c r="G19" s="139">
        <f t="shared" si="5"/>
        <v>27920095.830992717</v>
      </c>
      <c r="H19" s="139">
        <f t="shared" si="6"/>
        <v>1387225.3151668794</v>
      </c>
      <c r="I19" s="125">
        <f>H19*(1+0.07)^-(B19-Assumptions!$D$4)</f>
        <v>335033.06787250441</v>
      </c>
      <c r="L19" s="72"/>
      <c r="M19" s="76"/>
      <c r="N19" s="75"/>
      <c r="O19" s="74"/>
      <c r="P19" s="74"/>
    </row>
    <row r="20" spans="2:44" ht="14.25" customHeight="1" x14ac:dyDescent="0.25">
      <c r="B20" s="93">
        <f t="shared" si="1"/>
        <v>2042</v>
      </c>
      <c r="C20" s="140" cm="1">
        <f t="array" ref="C20">TREND($M$22:$N$22,$M$21:$N$21,$B20)</f>
        <v>989167.14549985155</v>
      </c>
      <c r="D20" s="141" cm="1">
        <f t="array" ref="D20">TREND($O$22:$P$22,$O$21:$P$21,$B20)</f>
        <v>941689.70508730412</v>
      </c>
      <c r="E20" s="439">
        <f t="shared" si="2"/>
        <v>47477.440412547439</v>
      </c>
      <c r="F20" s="147">
        <f t="shared" si="4"/>
        <v>29513071.995472766</v>
      </c>
      <c r="G20" s="139">
        <f t="shared" si="5"/>
        <v>28096521.594025481</v>
      </c>
      <c r="H20" s="139">
        <f t="shared" si="6"/>
        <v>1416550.401447285</v>
      </c>
      <c r="I20" s="125">
        <f>H20*(1+0.07)^-(B20-Assumptions!$D$4)</f>
        <v>319734.07474678382</v>
      </c>
      <c r="L20" s="12" t="s">
        <v>381</v>
      </c>
      <c r="M20" s="492" t="s">
        <v>43</v>
      </c>
      <c r="N20" s="493"/>
      <c r="O20" s="492" t="s">
        <v>44</v>
      </c>
      <c r="P20" s="493"/>
    </row>
    <row r="21" spans="2:44" x14ac:dyDescent="0.25">
      <c r="B21" s="93">
        <f t="shared" si="1"/>
        <v>2043</v>
      </c>
      <c r="C21" s="140" cm="1">
        <f t="array" ref="C21">TREND($M$22:$N$22,$M$21:$N$21,$B21)</f>
        <v>996063.13993684389</v>
      </c>
      <c r="D21" s="141" cm="1">
        <f t="array" ref="D21">TREND($O$22:$P$22,$O$21:$P$21,$B21)</f>
        <v>947602.83295276389</v>
      </c>
      <c r="E21" s="439">
        <f t="shared" si="2"/>
        <v>48460.306984080002</v>
      </c>
      <c r="F21" s="147">
        <f t="shared" si="4"/>
        <v>29718822.844785992</v>
      </c>
      <c r="G21" s="139">
        <f t="shared" si="5"/>
        <v>28272947.357058242</v>
      </c>
      <c r="H21" s="139">
        <f t="shared" si="6"/>
        <v>1445875.4877277501</v>
      </c>
      <c r="I21" s="125">
        <f>H21*(1+0.07)^-(B21-Assumptions!$D$4)</f>
        <v>305002.92784140736</v>
      </c>
      <c r="J21" s="21"/>
      <c r="L21" s="35" t="s">
        <v>83</v>
      </c>
      <c r="M21" s="58">
        <v>2022</v>
      </c>
      <c r="N21" s="58">
        <v>2045</v>
      </c>
      <c r="O21" s="58">
        <v>2022</v>
      </c>
      <c r="P21" s="58">
        <v>2045</v>
      </c>
    </row>
    <row r="22" spans="2:44" x14ac:dyDescent="0.25">
      <c r="B22" s="93">
        <f t="shared" si="1"/>
        <v>2044</v>
      </c>
      <c r="C22" s="140" cm="1">
        <f t="array" ref="C22">TREND($M$22:$N$22,$M$21:$N$21,$B22)</f>
        <v>1002959.1343738344</v>
      </c>
      <c r="D22" s="141" cm="1">
        <f t="array" ref="D22">TREND($O$22:$P$22,$O$21:$P$21,$B22)</f>
        <v>953515.96081822366</v>
      </c>
      <c r="E22" s="439">
        <f t="shared" si="2"/>
        <v>49443.173555610701</v>
      </c>
      <c r="F22" s="147">
        <f t="shared" si="4"/>
        <v>29924573.694099165</v>
      </c>
      <c r="G22" s="139">
        <f t="shared" si="5"/>
        <v>28449373.120091006</v>
      </c>
      <c r="H22" s="139">
        <f t="shared" si="6"/>
        <v>1475200.5740081593</v>
      </c>
      <c r="I22" s="125">
        <f>H22*(1+0.07)^-(B22-Assumptions!$D$4)</f>
        <v>290830.80691223283</v>
      </c>
      <c r="L22" s="134" t="s">
        <v>111</v>
      </c>
      <c r="M22" s="575">
        <f>AI39</f>
        <v>851247.25676003273</v>
      </c>
      <c r="N22" s="575">
        <f>AI54</f>
        <v>1009855.1288108247</v>
      </c>
      <c r="O22" s="442">
        <f>AS39</f>
        <v>823427.14777810406</v>
      </c>
      <c r="P22" s="442">
        <f>AS54</f>
        <v>959429.08868368552</v>
      </c>
    </row>
    <row r="23" spans="2:44" x14ac:dyDescent="0.25">
      <c r="B23" s="93">
        <f t="shared" si="1"/>
        <v>2045</v>
      </c>
      <c r="C23" s="140" cm="1">
        <f t="array" ref="C23">TREND($M$22:$N$22,$M$21:$N$21,$B23)</f>
        <v>1009855.1288108248</v>
      </c>
      <c r="D23" s="141" cm="1">
        <f t="array" ref="D23">TREND($O$22:$P$22,$O$21:$P$21,$B23)</f>
        <v>959429.08868368529</v>
      </c>
      <c r="E23" s="439">
        <f t="shared" si="2"/>
        <v>50426.040127139539</v>
      </c>
      <c r="F23" s="147">
        <f t="shared" si="4"/>
        <v>30130324.543412335</v>
      </c>
      <c r="G23" s="139">
        <f t="shared" si="5"/>
        <v>28625798.883123823</v>
      </c>
      <c r="H23" s="139">
        <f t="shared" si="6"/>
        <v>1504525.6602885127</v>
      </c>
      <c r="I23" s="125">
        <f>H23*(1+0.07)^-(B23-Assumptions!$D$4)</f>
        <v>277207.61546926288</v>
      </c>
      <c r="L23" s="36"/>
      <c r="N23" s="71"/>
      <c r="O23" s="71"/>
    </row>
    <row r="24" spans="2:44" x14ac:dyDescent="0.25">
      <c r="B24" s="93">
        <f t="shared" si="1"/>
        <v>2046</v>
      </c>
      <c r="C24" s="140" cm="1">
        <f t="array" ref="C24">TREND($M$22:$N$22,$M$21:$N$21,$B24)</f>
        <v>1016751.1232478153</v>
      </c>
      <c r="D24" s="141" cm="1">
        <f t="array" ref="D24">TREND($O$22:$P$22,$O$21:$P$21,$B24)</f>
        <v>965342.21654914506</v>
      </c>
      <c r="E24" s="439">
        <f t="shared" si="2"/>
        <v>51408.906698670238</v>
      </c>
      <c r="F24" s="147">
        <f t="shared" ref="F24:F35" si="7">C24*$M$18</f>
        <v>30336075.392725505</v>
      </c>
      <c r="G24" s="139">
        <f t="shared" ref="G24:G35" si="8">D24*$M$18</f>
        <v>28802224.646156583</v>
      </c>
      <c r="H24" s="139">
        <f t="shared" si="3"/>
        <v>1533850.746568922</v>
      </c>
      <c r="I24" s="125">
        <f>H24*(1+0.07)^-(B24-Assumptions!$D$4)</f>
        <v>264122.18551139912</v>
      </c>
      <c r="J24" s="36"/>
      <c r="L24" s="36"/>
      <c r="N24" s="71"/>
      <c r="O24" s="71"/>
    </row>
    <row r="25" spans="2:44" ht="15" customHeight="1" x14ac:dyDescent="0.25">
      <c r="B25" s="93">
        <f t="shared" si="1"/>
        <v>2047</v>
      </c>
      <c r="C25" s="140" cm="1">
        <f t="array" ref="C25">TREND($M$22:$N$22,$M$21:$N$21,$B25)</f>
        <v>1023647.1176848076</v>
      </c>
      <c r="D25" s="141" cm="1">
        <f t="array" ref="D25">TREND($O$22:$P$22,$O$21:$P$21,$B25)</f>
        <v>971255.34441460483</v>
      </c>
      <c r="E25" s="439">
        <f t="shared" si="2"/>
        <v>52391.773270202801</v>
      </c>
      <c r="F25" s="147">
        <f t="shared" si="7"/>
        <v>30541826.242038734</v>
      </c>
      <c r="G25" s="139">
        <f t="shared" si="8"/>
        <v>28978650.409189347</v>
      </c>
      <c r="H25" s="139">
        <f t="shared" si="3"/>
        <v>1563175.8328493871</v>
      </c>
      <c r="I25" s="125">
        <f>H25*(1+0.07)^-(B25-Assumptions!$D$4)</f>
        <v>251562.46093557638</v>
      </c>
      <c r="J25" s="36"/>
      <c r="L25" s="36"/>
      <c r="N25" s="71"/>
      <c r="O25" s="71"/>
      <c r="S25" t="s">
        <v>392</v>
      </c>
      <c r="AB25" t="s">
        <v>393</v>
      </c>
      <c r="AL25" t="s">
        <v>394</v>
      </c>
    </row>
    <row r="26" spans="2:44" ht="15" customHeight="1" x14ac:dyDescent="0.25">
      <c r="B26" s="93">
        <f t="shared" si="1"/>
        <v>2048</v>
      </c>
      <c r="C26" s="140" cm="1">
        <f t="array" ref="C26">TREND($M$22:$N$22,$M$21:$N$21,$B26)</f>
        <v>1030543.1121217981</v>
      </c>
      <c r="D26" s="141" cm="1">
        <f t="array" ref="D26">TREND($O$22:$P$22,$O$21:$P$21,$B26)</f>
        <v>977168.4722800646</v>
      </c>
      <c r="E26" s="439">
        <f t="shared" si="2"/>
        <v>53374.6398417335</v>
      </c>
      <c r="F26" s="147">
        <f t="shared" si="7"/>
        <v>30747577.091351904</v>
      </c>
      <c r="G26" s="139">
        <f t="shared" si="8"/>
        <v>29155076.172222108</v>
      </c>
      <c r="H26" s="139">
        <f t="shared" si="3"/>
        <v>1592500.9191297963</v>
      </c>
      <c r="I26" s="125">
        <f>H26*(1+0.07)^-(B26-Assumptions!$D$4)</f>
        <v>239515.66153439149</v>
      </c>
      <c r="J26" s="36"/>
      <c r="L26" s="36"/>
      <c r="N26" s="71"/>
      <c r="O26" s="71"/>
      <c r="S26" s="12" t="s">
        <v>382</v>
      </c>
      <c r="T26" s="12" t="s">
        <v>383</v>
      </c>
      <c r="U26" s="12" t="s">
        <v>384</v>
      </c>
      <c r="V26" s="12" t="s">
        <v>385</v>
      </c>
      <c r="W26" s="12" t="s">
        <v>386</v>
      </c>
      <c r="X26" s="12" t="s">
        <v>387</v>
      </c>
      <c r="Y26" s="12" t="s">
        <v>388</v>
      </c>
      <c r="AB26" s="12" t="s">
        <v>382</v>
      </c>
      <c r="AC26" s="12" t="s">
        <v>383</v>
      </c>
      <c r="AD26" s="12" t="s">
        <v>384</v>
      </c>
      <c r="AE26" s="12" t="s">
        <v>385</v>
      </c>
      <c r="AF26" s="12" t="s">
        <v>386</v>
      </c>
      <c r="AG26" s="12" t="s">
        <v>387</v>
      </c>
      <c r="AH26" s="12" t="s">
        <v>388</v>
      </c>
      <c r="AL26" s="12" t="s">
        <v>382</v>
      </c>
      <c r="AM26" s="12" t="s">
        <v>383</v>
      </c>
      <c r="AN26" s="12" t="s">
        <v>384</v>
      </c>
      <c r="AO26" s="12" t="s">
        <v>385</v>
      </c>
      <c r="AP26" s="12" t="s">
        <v>386</v>
      </c>
      <c r="AQ26" s="12" t="s">
        <v>387</v>
      </c>
      <c r="AR26" s="12" t="s">
        <v>388</v>
      </c>
    </row>
    <row r="27" spans="2:44" x14ac:dyDescent="0.25">
      <c r="B27" s="93">
        <f t="shared" si="1"/>
        <v>2049</v>
      </c>
      <c r="C27" s="140" cm="1">
        <f t="array" ref="C27">TREND($M$22:$N$22,$M$21:$N$21,$B27)</f>
        <v>1037439.1065587886</v>
      </c>
      <c r="D27" s="141" cm="1">
        <f t="array" ref="D27">TREND($O$22:$P$22,$O$21:$P$21,$B27)</f>
        <v>983081.60014552437</v>
      </c>
      <c r="E27" s="439">
        <f t="shared" si="2"/>
        <v>54357.5064132642</v>
      </c>
      <c r="F27" s="147">
        <f t="shared" si="7"/>
        <v>30953327.940665074</v>
      </c>
      <c r="G27" s="139">
        <f t="shared" si="8"/>
        <v>29331501.935254872</v>
      </c>
      <c r="H27" s="139">
        <f t="shared" si="3"/>
        <v>1621826.0054102018</v>
      </c>
      <c r="I27" s="125">
        <f>H27*(1+0.07)^-(B27-Assumptions!$D$4)</f>
        <v>227968.42933707815</v>
      </c>
      <c r="J27" s="36"/>
      <c r="L27" s="36"/>
      <c r="N27" s="71"/>
      <c r="O27" s="71"/>
      <c r="R27" s="12" t="s">
        <v>123</v>
      </c>
      <c r="S27" s="429">
        <v>0.91612309668603387</v>
      </c>
      <c r="T27" s="429">
        <v>0.90118045409216374</v>
      </c>
      <c r="U27" s="429">
        <v>0.91421600266129077</v>
      </c>
      <c r="V27" s="429">
        <v>0.96104077006880817</v>
      </c>
      <c r="W27" s="429">
        <v>1.1129800728401107</v>
      </c>
      <c r="X27" s="429">
        <v>1.0225389432667022</v>
      </c>
      <c r="Y27" s="429">
        <v>0.93434145372240385</v>
      </c>
      <c r="AA27" s="12" t="s">
        <v>123</v>
      </c>
      <c r="AB27" s="37">
        <f>$AC$29*S27</f>
        <v>1993.9104038797298</v>
      </c>
      <c r="AC27" s="37">
        <f t="shared" ref="AC27:AC28" si="9">$AC$29*T27</f>
        <v>1961.3882563242851</v>
      </c>
      <c r="AD27" s="37">
        <f t="shared" ref="AD27:AD29" si="10">$AC$29*U27</f>
        <v>1989.7596793418729</v>
      </c>
      <c r="AE27" s="37">
        <f t="shared" ref="AE27:AE29" si="11">$AC$29*V27</f>
        <v>2091.6721747596089</v>
      </c>
      <c r="AF27" s="37">
        <f t="shared" ref="AF27:AF29" si="12">$AC$29*W27</f>
        <v>2422.3628402933455</v>
      </c>
      <c r="AG27" s="37">
        <f t="shared" ref="AG27:AG29" si="13">$AC$29*X27</f>
        <v>2225.52083309215</v>
      </c>
      <c r="AH27" s="37">
        <f t="shared" ref="AH27:AH29" si="14">$AC$29*Y27</f>
        <v>2033.5620312296107</v>
      </c>
      <c r="AK27" s="12" t="s">
        <v>123</v>
      </c>
      <c r="AL27" s="37">
        <f>$AM$29*S27</f>
        <v>1928.7462529287311</v>
      </c>
      <c r="AM27" s="37">
        <f t="shared" ref="AM27:AM28" si="15">$AM$29*T27</f>
        <v>1897.2869806802362</v>
      </c>
      <c r="AN27" s="37">
        <f t="shared" ref="AN27:AN29" si="16">$AM$29*U27</f>
        <v>1924.7311806447642</v>
      </c>
      <c r="AO27" s="37">
        <f t="shared" ref="AO27:AO29" si="17">$AM$29*V27</f>
        <v>2023.3130142522843</v>
      </c>
      <c r="AP27" s="37">
        <f t="shared" ref="AP27:AP29" si="18">$AM$29*W27</f>
        <v>2343.1961849231643</v>
      </c>
      <c r="AQ27" s="37">
        <f t="shared" ref="AQ27:AQ29" si="19">$AM$29*X27</f>
        <v>2152.7872863740913</v>
      </c>
      <c r="AR27" s="37">
        <f t="shared" ref="AR27:AR29" si="20">$AM$29*Y27</f>
        <v>1967.1020022767457</v>
      </c>
    </row>
    <row r="28" spans="2:44" x14ac:dyDescent="0.25">
      <c r="B28" s="93">
        <f t="shared" si="1"/>
        <v>2050</v>
      </c>
      <c r="C28" s="140" cm="1">
        <f t="array" ref="C28">TREND($M$22:$N$22,$M$21:$N$21,$B28)</f>
        <v>1044335.1009957809</v>
      </c>
      <c r="D28" s="141" cm="1">
        <f t="array" ref="D28">TREND($O$22:$P$22,$O$21:$P$21,$B28)</f>
        <v>988994.72801098414</v>
      </c>
      <c r="E28" s="439">
        <f t="shared" si="2"/>
        <v>55340.372984796762</v>
      </c>
      <c r="F28" s="147">
        <f t="shared" si="7"/>
        <v>31159078.789978303</v>
      </c>
      <c r="G28" s="139">
        <f t="shared" si="8"/>
        <v>29507927.698287632</v>
      </c>
      <c r="H28" s="139">
        <f t="shared" si="3"/>
        <v>1651151.0916906707</v>
      </c>
      <c r="I28" s="125">
        <f>H28*(1+0.07)^-(B28-Assumptions!$D$4)</f>
        <v>216906.9589020572</v>
      </c>
      <c r="J28" s="36"/>
      <c r="L28" s="36"/>
      <c r="N28" s="71"/>
      <c r="O28" s="71"/>
      <c r="R28" s="12" t="s">
        <v>124</v>
      </c>
      <c r="S28" s="429">
        <v>0.90327408006927812</v>
      </c>
      <c r="T28" s="429">
        <v>0.88854101440200384</v>
      </c>
      <c r="U28" s="429">
        <v>0.90139373385048194</v>
      </c>
      <c r="V28" s="429">
        <v>0.94756176395198521</v>
      </c>
      <c r="W28" s="429">
        <v>1.0973700532894939</v>
      </c>
      <c r="X28" s="429">
        <v>1.008197399078109</v>
      </c>
      <c r="Y28" s="429">
        <v>0.92123691688883769</v>
      </c>
      <c r="AA28" s="12" t="s">
        <v>124</v>
      </c>
      <c r="AB28" s="37">
        <f t="shared" ref="AB28:AB38" si="21">$AC$29*S28</f>
        <v>1965.9449612394892</v>
      </c>
      <c r="AC28" s="37">
        <f t="shared" si="9"/>
        <v>1933.8789506550086</v>
      </c>
      <c r="AD28" s="37">
        <f t="shared" si="10"/>
        <v>1961.8524523811097</v>
      </c>
      <c r="AE28" s="37">
        <f t="shared" si="11"/>
        <v>2062.3355816450894</v>
      </c>
      <c r="AF28" s="37">
        <f t="shared" si="12"/>
        <v>2388.3881697503457</v>
      </c>
      <c r="AG28" s="37">
        <f t="shared" si="13"/>
        <v>2194.3069555370716</v>
      </c>
      <c r="AH28" s="37">
        <f t="shared" si="14"/>
        <v>2005.0404576277747</v>
      </c>
      <c r="AK28" s="12" t="s">
        <v>124</v>
      </c>
      <c r="AL28" s="37">
        <f t="shared" ref="AL28:AL38" si="22">$AM$29*S28</f>
        <v>1901.6947652596239</v>
      </c>
      <c r="AM28" s="37">
        <f t="shared" si="15"/>
        <v>1870.676722703224</v>
      </c>
      <c r="AN28" s="37">
        <f t="shared" si="16"/>
        <v>1897.7360060744979</v>
      </c>
      <c r="AO28" s="37">
        <f t="shared" si="17"/>
        <v>1994.935187478711</v>
      </c>
      <c r="AP28" s="37">
        <f t="shared" si="18"/>
        <v>2310.3318604395795</v>
      </c>
      <c r="AQ28" s="37">
        <f t="shared" si="19"/>
        <v>2122.5935277896588</v>
      </c>
      <c r="AR28" s="37">
        <f t="shared" si="20"/>
        <v>1939.512558886946</v>
      </c>
    </row>
    <row r="29" spans="2:44" ht="15" customHeight="1" x14ac:dyDescent="0.25">
      <c r="B29" s="93">
        <f t="shared" si="1"/>
        <v>2051</v>
      </c>
      <c r="C29" s="140" cm="1">
        <f t="array" ref="C29">TREND($M$22:$N$22,$M$21:$N$21,$B29)</f>
        <v>1051231.0954327714</v>
      </c>
      <c r="D29" s="141" cm="1">
        <f t="array" ref="D29">TREND($O$22:$P$22,$O$21:$P$21,$B29)</f>
        <v>994907.85587644391</v>
      </c>
      <c r="E29" s="439">
        <f t="shared" si="2"/>
        <v>56323.239556327462</v>
      </c>
      <c r="F29" s="147">
        <f t="shared" si="7"/>
        <v>31364829.639291473</v>
      </c>
      <c r="G29" s="139">
        <f t="shared" si="8"/>
        <v>29684353.461320393</v>
      </c>
      <c r="H29" s="139">
        <f t="shared" si="3"/>
        <v>1680476.1779710799</v>
      </c>
      <c r="I29" s="125">
        <f>H29*(1+0.07)^-(B29-Assumptions!$D$4)</f>
        <v>206317.11303460199</v>
      </c>
      <c r="L29" s="36"/>
      <c r="N29" s="71"/>
      <c r="O29" s="71"/>
      <c r="R29" s="12" t="s">
        <v>125</v>
      </c>
      <c r="S29" s="429">
        <v>1.0165811880695117</v>
      </c>
      <c r="T29" s="576">
        <v>1</v>
      </c>
      <c r="U29" s="429">
        <v>1.0144649703729525</v>
      </c>
      <c r="V29" s="429">
        <v>1.0664243389931785</v>
      </c>
      <c r="W29" s="429">
        <v>1.2350246477119955</v>
      </c>
      <c r="X29" s="429">
        <v>1.1346661355375194</v>
      </c>
      <c r="Y29" s="429">
        <v>1.0367972912413486</v>
      </c>
      <c r="AA29" s="12" t="s">
        <v>125</v>
      </c>
      <c r="AB29" s="37">
        <f t="shared" si="21"/>
        <v>2212.5539838614968</v>
      </c>
      <c r="AC29" s="577">
        <v>2176.4655984468277</v>
      </c>
      <c r="AD29" s="37">
        <f t="shared" si="10"/>
        <v>2207.9481088461112</v>
      </c>
      <c r="AE29" s="37">
        <f t="shared" si="11"/>
        <v>2321.035887165051</v>
      </c>
      <c r="AF29" s="37">
        <f t="shared" si="12"/>
        <v>2687.9886589790708</v>
      </c>
      <c r="AG29" s="37">
        <f t="shared" si="13"/>
        <v>2469.5618097200163</v>
      </c>
      <c r="AH29" s="37">
        <f t="shared" si="14"/>
        <v>2256.5536369496517</v>
      </c>
      <c r="AK29" s="12" t="s">
        <v>125</v>
      </c>
      <c r="AL29" s="37">
        <f t="shared" si="22"/>
        <v>2140.2442143196754</v>
      </c>
      <c r="AM29" s="577">
        <v>2105.3352545151856</v>
      </c>
      <c r="AN29" s="37">
        <f t="shared" si="16"/>
        <v>2135.7888665968803</v>
      </c>
      <c r="AO29" s="37">
        <f t="shared" si="17"/>
        <v>2245.1807571553918</v>
      </c>
      <c r="AP29" s="37">
        <f t="shared" si="18"/>
        <v>2600.1409310232616</v>
      </c>
      <c r="AQ29" s="37">
        <f t="shared" si="19"/>
        <v>2388.8526172516454</v>
      </c>
      <c r="AR29" s="37">
        <f t="shared" si="20"/>
        <v>2182.8058890362595</v>
      </c>
    </row>
    <row r="30" spans="2:44" x14ac:dyDescent="0.25">
      <c r="B30" s="93">
        <f t="shared" si="1"/>
        <v>2052</v>
      </c>
      <c r="C30" s="140" cm="1">
        <f t="array" ref="C30">TREND($M$22:$N$22,$M$21:$N$21,$B30)</f>
        <v>1058127.0898697618</v>
      </c>
      <c r="D30" s="141" cm="1">
        <f t="array" ref="D30">TREND($O$22:$P$22,$O$21:$P$21,$B30)</f>
        <v>1000820.9837419055</v>
      </c>
      <c r="E30" s="439">
        <f t="shared" si="2"/>
        <v>57306.106127856299</v>
      </c>
      <c r="F30" s="147">
        <f t="shared" si="7"/>
        <v>31570580.488604642</v>
      </c>
      <c r="G30" s="139">
        <f t="shared" si="8"/>
        <v>29860779.224353213</v>
      </c>
      <c r="H30" s="139">
        <f t="shared" si="3"/>
        <v>1709801.2642514296</v>
      </c>
      <c r="I30" s="125">
        <f>H30*(1+0.07)^-(B30-Assumptions!$D$4)</f>
        <v>196184.52527904906</v>
      </c>
      <c r="L30" s="410"/>
      <c r="N30" s="71"/>
      <c r="O30" s="71"/>
      <c r="R30" s="12" t="s">
        <v>126</v>
      </c>
      <c r="S30" s="429">
        <v>1.0015867393204172</v>
      </c>
      <c r="T30" s="429">
        <v>0.98525012175607041</v>
      </c>
      <c r="U30" s="429">
        <v>0.99950173557721977</v>
      </c>
      <c r="V30" s="429">
        <v>1.0506947098366659</v>
      </c>
      <c r="W30" s="429">
        <v>1.2168081845299916</v>
      </c>
      <c r="X30" s="429">
        <v>1.1179299481908309</v>
      </c>
      <c r="Y30" s="429">
        <v>1.0215046574319027</v>
      </c>
      <c r="AA30" s="12" t="s">
        <v>126</v>
      </c>
      <c r="AB30" s="37">
        <f t="shared" si="21"/>
        <v>2179.9190819914188</v>
      </c>
      <c r="AC30" s="37">
        <f t="shared" ref="AC30:AC38" si="23">$AC$29*T30</f>
        <v>2144.3629958676356</v>
      </c>
      <c r="AD30" s="37">
        <f t="shared" ref="AD30:AD38" si="24">$AC$29*U30</f>
        <v>2175.3811430717165</v>
      </c>
      <c r="AE30" s="37">
        <f t="shared" ref="AE30:AE38" si="25">$AC$29*V30</f>
        <v>2286.8008904295752</v>
      </c>
      <c r="AF30" s="37">
        <f t="shared" ref="AF30:AF38" si="26">$AC$29*W30</f>
        <v>2648.341153538066</v>
      </c>
      <c r="AG30" s="37">
        <f t="shared" ref="AG30:AG38" si="27">$AC$29*X30</f>
        <v>2433.136073710788</v>
      </c>
      <c r="AH30" s="37">
        <f t="shared" ref="AH30:AH38" si="28">$AC$29*Y30</f>
        <v>2223.2697455537477</v>
      </c>
      <c r="AK30" s="12" t="s">
        <v>126</v>
      </c>
      <c r="AL30" s="37">
        <f t="shared" si="22"/>
        <v>2108.6758727461856</v>
      </c>
      <c r="AM30" s="37">
        <f t="shared" ref="AM30:AM38" si="29">$AM$29*T30</f>
        <v>2074.2818158484342</v>
      </c>
      <c r="AN30" s="37">
        <f t="shared" ref="AN30:AN38" si="30">$AM$29*U30</f>
        <v>2104.2862408598357</v>
      </c>
      <c r="AO30" s="37">
        <f t="shared" ref="AO30:AO38" si="31">$AM$29*V30</f>
        <v>2212.0646143517361</v>
      </c>
      <c r="AP30" s="37">
        <f t="shared" ref="AP30:AP38" si="32">$AM$29*W30</f>
        <v>2561.7891688736108</v>
      </c>
      <c r="AQ30" s="37">
        <f t="shared" ref="AQ30:AQ38" si="33">$AM$29*X30</f>
        <v>2353.6173320044913</v>
      </c>
      <c r="AR30" s="37">
        <f t="shared" ref="AR30:AR38" si="34">$AM$29*Y30</f>
        <v>2150.6097679428422</v>
      </c>
    </row>
    <row r="31" spans="2:44" x14ac:dyDescent="0.25">
      <c r="B31" s="93">
        <f t="shared" si="1"/>
        <v>2053</v>
      </c>
      <c r="C31" s="140" cm="1">
        <f t="array" ref="C31">TREND($M$22:$N$22,$M$21:$N$21,$B31)</f>
        <v>1065023.0843067523</v>
      </c>
      <c r="D31" s="141" cm="1">
        <f t="array" ref="D31">TREND($O$22:$P$22,$O$21:$P$21,$B31)</f>
        <v>1006734.1116073653</v>
      </c>
      <c r="E31" s="439">
        <f t="shared" si="2"/>
        <v>58288.972699386999</v>
      </c>
      <c r="F31" s="147">
        <f t="shared" si="7"/>
        <v>31776331.337917816</v>
      </c>
      <c r="G31" s="139">
        <f t="shared" si="8"/>
        <v>30037204.987385973</v>
      </c>
      <c r="H31" s="139">
        <f t="shared" si="3"/>
        <v>1739126.3505318426</v>
      </c>
      <c r="I31" s="125">
        <f>H31*(1+0.07)^-(B31-Assumptions!$D$4)</f>
        <v>186494.69042062259</v>
      </c>
      <c r="L31" s="36"/>
      <c r="N31" s="71"/>
      <c r="O31" s="71"/>
      <c r="R31" s="12" t="s">
        <v>127</v>
      </c>
      <c r="S31" s="429">
        <v>1.0628848002443887</v>
      </c>
      <c r="T31" s="429">
        <v>1.0455483661494933</v>
      </c>
      <c r="U31" s="429">
        <v>1.0606721922893345</v>
      </c>
      <c r="V31" s="429">
        <v>1.114998225256371</v>
      </c>
      <c r="W31" s="429">
        <v>1.2912780025696304</v>
      </c>
      <c r="X31" s="429">
        <v>1.186348324136413</v>
      </c>
      <c r="Y31" s="429">
        <v>1.0840217138856123</v>
      </c>
      <c r="AA31" s="12" t="s">
        <v>127</v>
      </c>
      <c r="AB31" s="37">
        <f t="shared" si="21"/>
        <v>2313.3322028439402</v>
      </c>
      <c r="AC31" s="37">
        <f t="shared" si="23"/>
        <v>2275.6000504366598</v>
      </c>
      <c r="AD31" s="37">
        <f t="shared" si="24"/>
        <v>2308.5165377469152</v>
      </c>
      <c r="AE31" s="37">
        <f t="shared" si="25"/>
        <v>2426.7552795997585</v>
      </c>
      <c r="AF31" s="37">
        <f t="shared" si="26"/>
        <v>2810.4221506239351</v>
      </c>
      <c r="AG31" s="37">
        <f t="shared" si="27"/>
        <v>2582.0463152579491</v>
      </c>
      <c r="AH31" s="37">
        <f t="shared" si="28"/>
        <v>2359.3359682414052</v>
      </c>
      <c r="AK31" s="12" t="s">
        <v>127</v>
      </c>
      <c r="AL31" s="37">
        <f t="shared" si="22"/>
        <v>2237.7288414428422</v>
      </c>
      <c r="AM31" s="37">
        <f t="shared" si="29"/>
        <v>2201.2298355552798</v>
      </c>
      <c r="AN31" s="37">
        <f t="shared" si="30"/>
        <v>2233.0705599106459</v>
      </c>
      <c r="AO31" s="37">
        <f t="shared" si="31"/>
        <v>2347.4450723541022</v>
      </c>
      <c r="AP31" s="37">
        <f t="shared" si="32"/>
        <v>2718.5731021897932</v>
      </c>
      <c r="AQ31" s="37">
        <f t="shared" si="33"/>
        <v>2497.6609509393988</v>
      </c>
      <c r="AR31" s="37">
        <f t="shared" si="34"/>
        <v>2282.2291309033535</v>
      </c>
    </row>
    <row r="32" spans="2:44" x14ac:dyDescent="0.25">
      <c r="B32" s="93">
        <f t="shared" si="1"/>
        <v>2054</v>
      </c>
      <c r="C32" s="140" cm="1">
        <f t="array" ref="C32">TREND($M$22:$N$22,$M$21:$N$21,$B32)</f>
        <v>1071919.0787437446</v>
      </c>
      <c r="D32" s="141" cm="1">
        <f t="array" ref="D32">TREND($O$22:$P$22,$O$21:$P$21,$B32)</f>
        <v>1012647.2394728251</v>
      </c>
      <c r="E32" s="439">
        <f t="shared" si="2"/>
        <v>59271.839270919561</v>
      </c>
      <c r="F32" s="147">
        <f t="shared" si="7"/>
        <v>31982082.187231041</v>
      </c>
      <c r="G32" s="139">
        <f t="shared" si="8"/>
        <v>30213630.750418734</v>
      </c>
      <c r="H32" s="139">
        <f t="shared" si="3"/>
        <v>1768451.4368123077</v>
      </c>
      <c r="I32" s="125">
        <f>H32*(1+0.07)^-(B32-Assumptions!$D$4)</f>
        <v>177233.04412707596</v>
      </c>
      <c r="R32" s="12" t="s">
        <v>389</v>
      </c>
      <c r="S32" s="429">
        <v>1.0840326312631587</v>
      </c>
      <c r="T32" s="429">
        <v>1.0663512604652241</v>
      </c>
      <c r="U32" s="429">
        <v>1.081775999855014</v>
      </c>
      <c r="V32" s="429">
        <v>1.1371829380761693</v>
      </c>
      <c r="W32" s="429">
        <v>1.3169700897933057</v>
      </c>
      <c r="X32" s="429">
        <v>1.2099526638376386</v>
      </c>
      <c r="Y32" s="429">
        <v>1.1055900983621421</v>
      </c>
      <c r="AA32" s="12" t="s">
        <v>389</v>
      </c>
      <c r="AB32" s="37">
        <f t="shared" si="21"/>
        <v>2359.35972953806</v>
      </c>
      <c r="AC32" s="37">
        <f t="shared" si="23"/>
        <v>2320.8768342629728</v>
      </c>
      <c r="AD32" s="37">
        <f t="shared" si="24"/>
        <v>2354.4482489098586</v>
      </c>
      <c r="AE32" s="37">
        <f t="shared" si="25"/>
        <v>2475.0395438634719</v>
      </c>
      <c r="AF32" s="37">
        <f t="shared" si="26"/>
        <v>2866.3400946185593</v>
      </c>
      <c r="AG32" s="37">
        <f t="shared" si="27"/>
        <v>2633.4203485917192</v>
      </c>
      <c r="AH32" s="37">
        <f t="shared" si="28"/>
        <v>2406.2788150686465</v>
      </c>
      <c r="AK32" s="12" t="s">
        <v>389</v>
      </c>
      <c r="AL32" s="37">
        <f t="shared" si="22"/>
        <v>2282.2521156431885</v>
      </c>
      <c r="AM32" s="37">
        <f t="shared" si="29"/>
        <v>2245.0269023541414</v>
      </c>
      <c r="AN32" s="37">
        <f t="shared" si="30"/>
        <v>2277.5011499831753</v>
      </c>
      <c r="AO32" s="37">
        <f t="shared" si="31"/>
        <v>2394.1513303649185</v>
      </c>
      <c r="AP32" s="37">
        <f t="shared" si="32"/>
        <v>2772.6635591838758</v>
      </c>
      <c r="AQ32" s="37">
        <f t="shared" si="33"/>
        <v>2547.3559994719417</v>
      </c>
      <c r="AR32" s="37">
        <f t="shared" si="34"/>
        <v>2327.6378111247295</v>
      </c>
    </row>
    <row r="33" spans="1:46" x14ac:dyDescent="0.25">
      <c r="B33" s="93">
        <f t="shared" si="1"/>
        <v>2055</v>
      </c>
      <c r="C33" s="140" cm="1">
        <f t="array" ref="C33">TREND($M$22:$N$22,$M$21:$N$21,$B33)</f>
        <v>1078815.0731807351</v>
      </c>
      <c r="D33" s="141" cm="1">
        <f t="array" ref="D33">TREND($O$22:$P$22,$O$21:$P$21,$B33)</f>
        <v>1018560.3673382849</v>
      </c>
      <c r="E33" s="439">
        <f t="shared" si="2"/>
        <v>60254.705842450261</v>
      </c>
      <c r="F33" s="147">
        <f t="shared" si="7"/>
        <v>32187833.036544211</v>
      </c>
      <c r="G33" s="139">
        <f t="shared" si="8"/>
        <v>30390056.513451498</v>
      </c>
      <c r="H33" s="139">
        <f t="shared" si="3"/>
        <v>1797776.5230927132</v>
      </c>
      <c r="I33" s="125">
        <f>H33*(1+0.07)^-(B33-Assumptions!$D$4)</f>
        <v>168385.03276383397</v>
      </c>
      <c r="R33" s="12" t="s">
        <v>390</v>
      </c>
      <c r="S33" s="429">
        <v>1.1117346395653385</v>
      </c>
      <c r="T33" s="429">
        <v>1.0936014286045597</v>
      </c>
      <c r="U33" s="429">
        <v>1.1094203408691432</v>
      </c>
      <c r="V33" s="429">
        <v>1.1662431806216131</v>
      </c>
      <c r="W33" s="429">
        <v>1.3506247190996814</v>
      </c>
      <c r="X33" s="429">
        <v>1.2408725068130462</v>
      </c>
      <c r="Y33" s="429">
        <v>1.1338429988748766</v>
      </c>
      <c r="AA33" s="12" t="s">
        <v>390</v>
      </c>
      <c r="AB33" s="37">
        <f t="shared" si="21"/>
        <v>2419.6521976156428</v>
      </c>
      <c r="AC33" s="37">
        <f t="shared" si="23"/>
        <v>2380.1858877701288</v>
      </c>
      <c r="AD33" s="37">
        <f t="shared" si="24"/>
        <v>2414.6152061188432</v>
      </c>
      <c r="AE33" s="37">
        <f t="shared" si="25"/>
        <v>2538.2881620461512</v>
      </c>
      <c r="AF33" s="37">
        <f t="shared" si="26"/>
        <v>2939.5882375323667</v>
      </c>
      <c r="AG33" s="37">
        <f t="shared" si="27"/>
        <v>2700.7163231370719</v>
      </c>
      <c r="AH33" s="37">
        <f t="shared" si="28"/>
        <v>2467.7702810909541</v>
      </c>
      <c r="AK33" s="12" t="s">
        <v>390</v>
      </c>
      <c r="AL33" s="37">
        <f t="shared" si="22"/>
        <v>2340.5741303426398</v>
      </c>
      <c r="AM33" s="37">
        <f t="shared" si="29"/>
        <v>2302.3976420293511</v>
      </c>
      <c r="AN33" s="37">
        <f t="shared" si="30"/>
        <v>2335.7017557080617</v>
      </c>
      <c r="AO33" s="37">
        <f t="shared" si="31"/>
        <v>2455.3328835006037</v>
      </c>
      <c r="AP33" s="37">
        <f t="shared" si="32"/>
        <v>2843.5178367402286</v>
      </c>
      <c r="AQ33" s="37">
        <f t="shared" si="33"/>
        <v>2612.4526349521411</v>
      </c>
      <c r="AR33" s="37">
        <f t="shared" si="34"/>
        <v>2387.1196386164997</v>
      </c>
    </row>
    <row r="34" spans="1:46" x14ac:dyDescent="0.25">
      <c r="B34" s="93">
        <f t="shared" si="1"/>
        <v>2056</v>
      </c>
      <c r="C34" s="140" cm="1">
        <f t="array" ref="C34">TREND($M$22:$N$22,$M$21:$N$21,$B34)</f>
        <v>1085711.0676177256</v>
      </c>
      <c r="D34" s="141" cm="1">
        <f t="array" ref="D34">TREND($O$22:$P$22,$O$21:$P$21,$B34)</f>
        <v>1024473.4952037446</v>
      </c>
      <c r="E34" s="439">
        <f t="shared" si="2"/>
        <v>61237.572413980961</v>
      </c>
      <c r="F34" s="147">
        <f t="shared" si="7"/>
        <v>32393583.885857381</v>
      </c>
      <c r="G34" s="139">
        <f t="shared" si="8"/>
        <v>30566482.276484258</v>
      </c>
      <c r="H34" s="139">
        <f t="shared" si="3"/>
        <v>1827101.6093731225</v>
      </c>
      <c r="I34" s="125">
        <f>H34*(1+0.07)^-(B34-Assumptions!$D$4)</f>
        <v>159936.17432747764</v>
      </c>
      <c r="R34" s="12" t="s">
        <v>128</v>
      </c>
      <c r="S34" s="429">
        <v>1.0888893237825199</v>
      </c>
      <c r="T34" s="429">
        <v>1.0711287367517801</v>
      </c>
      <c r="U34" s="429">
        <v>1.0866225821945126</v>
      </c>
      <c r="V34" s="429">
        <v>1.1422777550671153</v>
      </c>
      <c r="W34" s="429">
        <v>1.3228703907610619</v>
      </c>
      <c r="X34" s="429">
        <v>1.2153735043933271</v>
      </c>
      <c r="Y34" s="429">
        <v>1.1105433728350131</v>
      </c>
      <c r="AA34" s="12" t="s">
        <v>128</v>
      </c>
      <c r="AB34" s="37">
        <f t="shared" si="21"/>
        <v>2369.9301537286838</v>
      </c>
      <c r="AC34" s="37">
        <f t="shared" si="23"/>
        <v>2331.2748470480578</v>
      </c>
      <c r="AD34" s="37">
        <f t="shared" si="24"/>
        <v>2364.996668641817</v>
      </c>
      <c r="AE34" s="37">
        <f t="shared" si="25"/>
        <v>2486.1282377746479</v>
      </c>
      <c r="AF34" s="37">
        <f t="shared" si="26"/>
        <v>2879.1818966953633</v>
      </c>
      <c r="AG34" s="37">
        <f t="shared" si="27"/>
        <v>2645.2186215758411</v>
      </c>
      <c r="AH34" s="37">
        <f t="shared" si="28"/>
        <v>2417.0594465585154</v>
      </c>
      <c r="AK34" s="12" t="s">
        <v>128</v>
      </c>
      <c r="AL34" s="37">
        <f t="shared" si="22"/>
        <v>2292.47708162454</v>
      </c>
      <c r="AM34" s="37">
        <f t="shared" si="29"/>
        <v>2255.0850916078384</v>
      </c>
      <c r="AN34" s="37">
        <f t="shared" si="30"/>
        <v>2287.7048306464321</v>
      </c>
      <c r="AO34" s="37">
        <f t="shared" si="31"/>
        <v>2404.8776281912601</v>
      </c>
      <c r="AP34" s="37">
        <f t="shared" si="32"/>
        <v>2785.0856708235433</v>
      </c>
      <c r="AQ34" s="37">
        <f t="shared" si="33"/>
        <v>2558.7686862029386</v>
      </c>
      <c r="AR34" s="37">
        <f t="shared" si="34"/>
        <v>2338.0661144977553</v>
      </c>
    </row>
    <row r="35" spans="1:46" ht="15.75" thickBot="1" x14ac:dyDescent="0.3">
      <c r="B35" s="94">
        <f t="shared" si="1"/>
        <v>2057</v>
      </c>
      <c r="C35" s="142" cm="1">
        <f t="array" ref="C35">TREND($M$22:$N$22,$M$21:$N$21,$B35)</f>
        <v>1092607.0620547161</v>
      </c>
      <c r="D35" s="143" cm="1">
        <f t="array" ref="D35">TREND($O$22:$P$22,$O$21:$P$21,$B35)</f>
        <v>1030386.6230692044</v>
      </c>
      <c r="E35" s="440">
        <f t="shared" si="2"/>
        <v>62220.438985511661</v>
      </c>
      <c r="F35" s="148">
        <f t="shared" si="7"/>
        <v>32599334.735170554</v>
      </c>
      <c r="G35" s="149">
        <f t="shared" si="8"/>
        <v>30742908.039517023</v>
      </c>
      <c r="H35" s="149">
        <f t="shared" si="3"/>
        <v>1856426.6956535317</v>
      </c>
      <c r="I35" s="126">
        <f>H35*(1+0.07)^-(B35-Assumptions!$D$4)</f>
        <v>151872.11136078974</v>
      </c>
      <c r="R35" s="12" t="s">
        <v>391</v>
      </c>
      <c r="S35" s="429">
        <v>1.0622246672805922</v>
      </c>
      <c r="T35" s="429">
        <v>1.0448990004406411</v>
      </c>
      <c r="U35" s="429">
        <v>1.0600134335247426</v>
      </c>
      <c r="V35" s="429">
        <v>1.1143057258595435</v>
      </c>
      <c r="W35" s="429">
        <v>1.290476019913819</v>
      </c>
      <c r="X35" s="429">
        <v>1.1856115108569989</v>
      </c>
      <c r="Y35" s="429">
        <v>1.0833484532776494</v>
      </c>
      <c r="AA35" s="12" t="s">
        <v>391</v>
      </c>
      <c r="AB35" s="37">
        <f t="shared" si="21"/>
        <v>2311.8954461578364</v>
      </c>
      <c r="AC35" s="37">
        <f t="shared" si="23"/>
        <v>2274.1867283105321</v>
      </c>
      <c r="AD35" s="37">
        <f t="shared" si="24"/>
        <v>2307.0827719581057</v>
      </c>
      <c r="AE35" s="37">
        <f t="shared" si="25"/>
        <v>2425.248078485618</v>
      </c>
      <c r="AF35" s="37">
        <f t="shared" si="26"/>
        <v>2808.6766629630106</v>
      </c>
      <c r="AG35" s="37">
        <f t="shared" si="27"/>
        <v>2580.4426665028254</v>
      </c>
      <c r="AH35" s="37">
        <f t="shared" si="28"/>
        <v>2357.8706396893845</v>
      </c>
      <c r="AK35" s="12" t="s">
        <v>391</v>
      </c>
      <c r="AL35" s="37">
        <f t="shared" si="22"/>
        <v>2236.3390402414939</v>
      </c>
      <c r="AM35" s="37">
        <f t="shared" si="29"/>
        <v>2199.86270303536</v>
      </c>
      <c r="AN35" s="37">
        <f t="shared" si="30"/>
        <v>2231.68365185933</v>
      </c>
      <c r="AO35" s="37">
        <f t="shared" si="31"/>
        <v>2345.9871289602306</v>
      </c>
      <c r="AP35" s="37">
        <f t="shared" si="32"/>
        <v>2716.8846598310038</v>
      </c>
      <c r="AQ35" s="37">
        <f t="shared" si="33"/>
        <v>2496.1097119662536</v>
      </c>
      <c r="AR35" s="37">
        <f t="shared" si="34"/>
        <v>2280.8116916099325</v>
      </c>
    </row>
    <row r="36" spans="1:46" ht="15" customHeight="1" thickBot="1" x14ac:dyDescent="0.3">
      <c r="B36" s="4"/>
      <c r="C36" s="73"/>
      <c r="D36" s="73"/>
      <c r="E36" s="73"/>
      <c r="F36" s="73"/>
      <c r="G36" s="73"/>
      <c r="H36" s="88" t="s">
        <v>2</v>
      </c>
      <c r="I36" s="122">
        <f>SUM(I6:I35)</f>
        <v>9983297.7459514514</v>
      </c>
      <c r="R36" s="12" t="s">
        <v>129</v>
      </c>
      <c r="S36" s="429">
        <v>1.0282513958223449</v>
      </c>
      <c r="T36" s="429">
        <v>1.0114798580672095</v>
      </c>
      <c r="U36" s="429">
        <v>1.0261108842469899</v>
      </c>
      <c r="V36" s="429">
        <v>1.0786667390442379</v>
      </c>
      <c r="W36" s="429">
        <v>1.2492025553772346</v>
      </c>
      <c r="X36" s="429">
        <v>1.1476919417271592</v>
      </c>
      <c r="Y36" s="429">
        <v>1.0486995769892666</v>
      </c>
      <c r="AA36" s="12" t="s">
        <v>129</v>
      </c>
      <c r="AB36" s="37">
        <f t="shared" si="21"/>
        <v>2237.9537895622657</v>
      </c>
      <c r="AC36" s="37">
        <f t="shared" si="23"/>
        <v>2201.4511146051614</v>
      </c>
      <c r="AD36" s="37">
        <f t="shared" si="24"/>
        <v>2233.2950397554287</v>
      </c>
      <c r="AE36" s="37">
        <f t="shared" si="25"/>
        <v>2347.6810497186052</v>
      </c>
      <c r="AF36" s="37">
        <f t="shared" si="26"/>
        <v>2718.8463872704192</v>
      </c>
      <c r="AG36" s="37">
        <f t="shared" si="27"/>
        <v>2497.9120287838032</v>
      </c>
      <c r="AH36" s="37">
        <f t="shared" si="28"/>
        <v>2282.4585524228792</v>
      </c>
      <c r="AK36" s="12" t="s">
        <v>129</v>
      </c>
      <c r="AL36" s="37">
        <f t="shared" si="22"/>
        <v>2164.8139141292313</v>
      </c>
      <c r="AM36" s="37">
        <f t="shared" si="29"/>
        <v>2129.5042044209122</v>
      </c>
      <c r="AN36" s="37">
        <f t="shared" si="30"/>
        <v>2160.3074196469388</v>
      </c>
      <c r="AO36" s="37">
        <f t="shared" si="31"/>
        <v>2270.955113582766</v>
      </c>
      <c r="AP36" s="37">
        <f t="shared" si="32"/>
        <v>2629.9901798661504</v>
      </c>
      <c r="AQ36" s="37">
        <f t="shared" si="33"/>
        <v>2416.2763062411764</v>
      </c>
      <c r="AR36" s="37">
        <f t="shared" si="34"/>
        <v>2207.8641908306654</v>
      </c>
    </row>
    <row r="37" spans="1:46" ht="15" customHeight="1" x14ac:dyDescent="0.25">
      <c r="H37" s="21"/>
      <c r="I37" s="21"/>
      <c r="R37" s="12" t="s">
        <v>130</v>
      </c>
      <c r="S37" s="429">
        <v>0.98564924348018457</v>
      </c>
      <c r="T37" s="429">
        <v>0.96957257821378051</v>
      </c>
      <c r="U37" s="429">
        <v>0.98359741683207003</v>
      </c>
      <c r="V37" s="429">
        <v>1.0339757958275426</v>
      </c>
      <c r="W37" s="429">
        <v>1.1974460318396856</v>
      </c>
      <c r="X37" s="429">
        <v>1.1001411704449795</v>
      </c>
      <c r="Y37" s="429">
        <v>1.0052502227539382</v>
      </c>
      <c r="AA37" s="12" t="s">
        <v>130</v>
      </c>
      <c r="AB37" s="37">
        <f t="shared" si="21"/>
        <v>2145.2316705697631</v>
      </c>
      <c r="AC37" s="37">
        <f t="shared" si="23"/>
        <v>2110.2413616796894</v>
      </c>
      <c r="AD37" s="37">
        <f t="shared" si="24"/>
        <v>2140.765940456165</v>
      </c>
      <c r="AE37" s="37">
        <f t="shared" si="25"/>
        <v>2250.4127492453276</v>
      </c>
      <c r="AF37" s="37">
        <f t="shared" si="26"/>
        <v>2606.2000942957402</v>
      </c>
      <c r="AG37" s="37">
        <f t="shared" si="27"/>
        <v>2394.4194109085256</v>
      </c>
      <c r="AH37" s="37">
        <f t="shared" si="28"/>
        <v>2187.8925276549567</v>
      </c>
      <c r="AK37" s="12" t="s">
        <v>130</v>
      </c>
      <c r="AL37" s="37">
        <f t="shared" si="22"/>
        <v>2075.1221008850544</v>
      </c>
      <c r="AM37" s="37">
        <f t="shared" si="29"/>
        <v>2041.2753307246544</v>
      </c>
      <c r="AN37" s="37">
        <f t="shared" si="30"/>
        <v>2070.8023179066254</v>
      </c>
      <c r="AO37" s="37">
        <f t="shared" si="31"/>
        <v>2176.8656952711212</v>
      </c>
      <c r="AP37" s="37">
        <f t="shared" si="32"/>
        <v>2521.0253462114033</v>
      </c>
      <c r="AQ37" s="37">
        <f t="shared" si="33"/>
        <v>2316.1659910814151</v>
      </c>
      <c r="AR37" s="37">
        <f t="shared" si="34"/>
        <v>2116.3887335731092</v>
      </c>
    </row>
    <row r="38" spans="1:46" ht="15" customHeight="1" x14ac:dyDescent="0.25">
      <c r="B38" s="12" t="s">
        <v>3</v>
      </c>
      <c r="R38" s="12" t="s">
        <v>131</v>
      </c>
      <c r="S38" s="429">
        <v>0.9326499969582277</v>
      </c>
      <c r="T38" s="429">
        <v>0.91743778844592883</v>
      </c>
      <c r="U38" s="429">
        <v>0.93070849887482621</v>
      </c>
      <c r="V38" s="429">
        <v>0.97837798711081314</v>
      </c>
      <c r="W38" s="429">
        <v>1.1330582814731054</v>
      </c>
      <c r="X38" s="429">
        <v>1.0409855900120304</v>
      </c>
      <c r="Y38" s="429">
        <v>0.95119701394319245</v>
      </c>
      <c r="AA38" s="12" t="s">
        <v>131</v>
      </c>
      <c r="AB38" s="37">
        <f t="shared" si="21"/>
        <v>2029.880633771121</v>
      </c>
      <c r="AC38" s="37">
        <f t="shared" si="23"/>
        <v>1996.7717852677026</v>
      </c>
      <c r="AD38" s="37">
        <f t="shared" si="24"/>
        <v>2025.6550299831472</v>
      </c>
      <c r="AE38" s="37">
        <f t="shared" si="25"/>
        <v>2129.4060312243387</v>
      </c>
      <c r="AF38" s="37">
        <f t="shared" si="26"/>
        <v>2466.0623706614965</v>
      </c>
      <c r="AG38" s="37">
        <f t="shared" si="27"/>
        <v>2265.6693251400579</v>
      </c>
      <c r="AH38" s="37">
        <f t="shared" si="28"/>
        <v>2070.247578192706</v>
      </c>
      <c r="AK38" s="12" t="s">
        <v>131</v>
      </c>
      <c r="AL38" s="37">
        <f t="shared" si="22"/>
        <v>1963.5409187196374</v>
      </c>
      <c r="AM38" s="37">
        <f t="shared" si="29"/>
        <v>1931.5141198396586</v>
      </c>
      <c r="AN38" s="37">
        <f t="shared" si="30"/>
        <v>1959.4534143580786</v>
      </c>
      <c r="AO38" s="37">
        <f t="shared" si="31"/>
        <v>2059.813668505999</v>
      </c>
      <c r="AP38" s="37">
        <f t="shared" si="32"/>
        <v>2385.4675454057192</v>
      </c>
      <c r="AQ38" s="37">
        <f t="shared" si="33"/>
        <v>2191.6236620946188</v>
      </c>
      <c r="AR38" s="37">
        <f t="shared" si="34"/>
        <v>2002.5886074441758</v>
      </c>
    </row>
    <row r="39" spans="1:46" ht="15" customHeight="1" x14ac:dyDescent="0.25">
      <c r="A39" s="13" t="s">
        <v>53</v>
      </c>
      <c r="B39" s="480" t="str">
        <f>Assumptions!C44</f>
        <v>User travel time benefits were valued in accordance with the Benefit-Cost Analysis Guidance for Discretionary Grant Programs - March 2022 (Revised). The recommended values for travel time were provided in year 2020 dollars.</v>
      </c>
      <c r="C39" s="480"/>
      <c r="D39" s="480"/>
      <c r="E39" s="480"/>
      <c r="F39" s="480"/>
      <c r="G39" s="480"/>
      <c r="H39" s="480"/>
      <c r="I39" s="480"/>
      <c r="AH39" s="120">
        <f>SUM(AB27:AH38)</f>
        <v>195903.47826806235</v>
      </c>
      <c r="AI39" s="120">
        <f>AH39*365/COUNT(AB27:AH38)</f>
        <v>851247.25676003273</v>
      </c>
      <c r="AR39" s="120">
        <f>SUM(AL27:AR38)</f>
        <v>189501.0422283856</v>
      </c>
      <c r="AS39" s="120">
        <f>AR39*365/COUNT(AL27:AR38)</f>
        <v>823427.14777810406</v>
      </c>
      <c r="AT39" s="120">
        <f>AI39-AS39</f>
        <v>27820.108981928672</v>
      </c>
    </row>
    <row r="40" spans="1:46" x14ac:dyDescent="0.25">
      <c r="B40" s="480"/>
      <c r="C40" s="480"/>
      <c r="D40" s="480"/>
      <c r="E40" s="480"/>
      <c r="F40" s="480"/>
      <c r="G40" s="480"/>
      <c r="H40" s="480"/>
      <c r="I40" s="480"/>
      <c r="AB40" t="s">
        <v>396</v>
      </c>
      <c r="AL40" t="s">
        <v>395</v>
      </c>
    </row>
    <row r="41" spans="1:46" ht="15" customHeight="1" x14ac:dyDescent="0.25">
      <c r="B41" s="480"/>
      <c r="C41" s="480"/>
      <c r="D41" s="480"/>
      <c r="E41" s="480"/>
      <c r="F41" s="480"/>
      <c r="G41" s="480"/>
      <c r="H41" s="480"/>
      <c r="I41" s="480"/>
      <c r="AB41" s="12" t="s">
        <v>382</v>
      </c>
      <c r="AC41" s="12" t="s">
        <v>383</v>
      </c>
      <c r="AD41" s="12" t="s">
        <v>384</v>
      </c>
      <c r="AE41" s="12" t="s">
        <v>385</v>
      </c>
      <c r="AF41" s="12" t="s">
        <v>386</v>
      </c>
      <c r="AG41" s="12" t="s">
        <v>387</v>
      </c>
      <c r="AH41" s="12" t="s">
        <v>388</v>
      </c>
      <c r="AL41" s="12" t="s">
        <v>382</v>
      </c>
      <c r="AM41" s="12" t="s">
        <v>383</v>
      </c>
      <c r="AN41" s="12" t="s">
        <v>384</v>
      </c>
      <c r="AO41" s="12" t="s">
        <v>385</v>
      </c>
      <c r="AP41" s="12" t="s">
        <v>386</v>
      </c>
      <c r="AQ41" s="12" t="s">
        <v>387</v>
      </c>
      <c r="AR41" s="12" t="s">
        <v>388</v>
      </c>
    </row>
    <row r="42" spans="1:46" x14ac:dyDescent="0.25">
      <c r="B42" s="87"/>
      <c r="C42" s="87"/>
      <c r="D42" s="87"/>
      <c r="E42" s="87"/>
      <c r="F42" s="87"/>
      <c r="G42" s="87"/>
      <c r="H42" s="87"/>
      <c r="I42" s="87"/>
      <c r="AA42" s="12" t="s">
        <v>123</v>
      </c>
      <c r="AB42" s="37">
        <f>$AC$44*S27</f>
        <v>2365.4239491015883</v>
      </c>
      <c r="AC42" s="37">
        <f t="shared" ref="AC42:AH42" si="35">$AC$44*T27</f>
        <v>2326.8421419380479</v>
      </c>
      <c r="AD42" s="37">
        <f t="shared" si="35"/>
        <v>2360.4998445837196</v>
      </c>
      <c r="AE42" s="37">
        <f t="shared" si="35"/>
        <v>2481.4010931577545</v>
      </c>
      <c r="AF42" s="37">
        <f t="shared" si="35"/>
        <v>2873.7073966284629</v>
      </c>
      <c r="AG42" s="37">
        <f t="shared" si="35"/>
        <v>2640.1889811986889</v>
      </c>
      <c r="AH42" s="37">
        <f t="shared" si="35"/>
        <v>2412.463629907586</v>
      </c>
      <c r="AK42" s="12" t="s">
        <v>123</v>
      </c>
      <c r="AL42" s="37">
        <f>$AM$44*S27</f>
        <v>2247.3090239285557</v>
      </c>
      <c r="AM42" s="37">
        <f t="shared" ref="AM42:AR42" si="36">$AM$44*T27</f>
        <v>2210.6537582071501</v>
      </c>
      <c r="AN42" s="37">
        <f t="shared" si="36"/>
        <v>2242.6307993244727</v>
      </c>
      <c r="AO42" s="37">
        <f t="shared" si="36"/>
        <v>2357.494972838846</v>
      </c>
      <c r="AP42" s="37">
        <f t="shared" si="36"/>
        <v>2730.2118789429846</v>
      </c>
      <c r="AQ42" s="37">
        <f t="shared" si="36"/>
        <v>2508.3539568364008</v>
      </c>
      <c r="AR42" s="37">
        <f t="shared" si="36"/>
        <v>2291.9998283816803</v>
      </c>
    </row>
    <row r="43" spans="1:46" ht="15" customHeight="1" x14ac:dyDescent="0.25">
      <c r="A43" s="13" t="s">
        <v>66</v>
      </c>
      <c r="B43" s="480" t="str">
        <f>Assumptions!C33</f>
        <v>Truck percentage in the project area is estimated based on year 2019 AADT and HCAADT counts performed by MnDOT (https://mndot.maps.arcgis.com/apps/webappviewer/index.html?id=7b3be07daed84e7fa170a91059ce63bb).</v>
      </c>
      <c r="C43" s="480"/>
      <c r="D43" s="480"/>
      <c r="E43" s="480"/>
      <c r="F43" s="480"/>
      <c r="G43" s="480"/>
      <c r="H43" s="480"/>
      <c r="I43" s="480"/>
      <c r="AA43" s="12" t="s">
        <v>124</v>
      </c>
      <c r="AB43" s="37">
        <f t="shared" ref="AB43:AB53" si="37">$AC$44*S28</f>
        <v>2332.24787075838</v>
      </c>
      <c r="AC43" s="37">
        <f t="shared" ref="AC43:AH43" si="38">$AC$44*T28</f>
        <v>2294.2071898726754</v>
      </c>
      <c r="AD43" s="37">
        <f t="shared" si="38"/>
        <v>2327.3928289035985</v>
      </c>
      <c r="AE43" s="37">
        <f t="shared" si="38"/>
        <v>2446.5983859733656</v>
      </c>
      <c r="AF43" s="37">
        <f t="shared" si="38"/>
        <v>2833.4024264508284</v>
      </c>
      <c r="AG43" s="37">
        <f t="shared" si="38"/>
        <v>2603.1592062552209</v>
      </c>
      <c r="AH43" s="37">
        <f t="shared" si="38"/>
        <v>2378.6278000064162</v>
      </c>
      <c r="AK43" s="12" t="s">
        <v>124</v>
      </c>
      <c r="AL43" s="37">
        <f t="shared" ref="AL43:AL53" si="39">$AM$44*S28</f>
        <v>2215.7895577171944</v>
      </c>
      <c r="AM43" s="37">
        <f t="shared" ref="AL43:AR43" si="40">$AM$44*T28</f>
        <v>2179.6483977093658</v>
      </c>
      <c r="AN43" s="37">
        <f t="shared" si="40"/>
        <v>2211.1769472056849</v>
      </c>
      <c r="AO43" s="37">
        <f t="shared" si="40"/>
        <v>2324.4301017647508</v>
      </c>
      <c r="AP43" s="37">
        <f t="shared" si="40"/>
        <v>2691.9194945170248</v>
      </c>
      <c r="AQ43" s="37">
        <f t="shared" si="40"/>
        <v>2473.1732242594321</v>
      </c>
      <c r="AR43" s="37">
        <f t="shared" si="40"/>
        <v>2259.853554603616</v>
      </c>
    </row>
    <row r="44" spans="1:46" x14ac:dyDescent="0.25">
      <c r="B44" s="480"/>
      <c r="C44" s="480"/>
      <c r="D44" s="480"/>
      <c r="E44" s="480"/>
      <c r="F44" s="480"/>
      <c r="G44" s="480"/>
      <c r="H44" s="480"/>
      <c r="I44" s="480"/>
      <c r="AA44" s="12" t="s">
        <v>125</v>
      </c>
      <c r="AB44" s="37">
        <f t="shared" si="37"/>
        <v>2624.8060955610522</v>
      </c>
      <c r="AC44" s="577">
        <v>2581.9935745078665</v>
      </c>
      <c r="AD44" s="37">
        <f t="shared" ref="AD44:AH44" si="41">$AC$44*U29</f>
        <v>2619.3420350662764</v>
      </c>
      <c r="AE44" s="37">
        <f t="shared" si="41"/>
        <v>2753.5007909791857</v>
      </c>
      <c r="AF44" s="37">
        <f t="shared" si="41"/>
        <v>3188.8257047512138</v>
      </c>
      <c r="AG44" s="37">
        <f t="shared" si="41"/>
        <v>2929.7006711695471</v>
      </c>
      <c r="AH44" s="37">
        <f t="shared" si="41"/>
        <v>2677.0039440523233</v>
      </c>
      <c r="AK44" s="12" t="s">
        <v>125</v>
      </c>
      <c r="AL44" s="37">
        <f t="shared" si="39"/>
        <v>2493.7391992067369</v>
      </c>
      <c r="AM44" s="577">
        <v>2453.0644757870732</v>
      </c>
      <c r="AN44" s="37">
        <f t="shared" ref="AN44:AR44" si="42">$AM$44*U29</f>
        <v>2488.5479807522752</v>
      </c>
      <c r="AO44" s="37">
        <f t="shared" si="42"/>
        <v>2616.0076620988775</v>
      </c>
      <c r="AP44" s="37">
        <f t="shared" si="42"/>
        <v>3029.5950900237408</v>
      </c>
      <c r="AQ44" s="37">
        <f t="shared" si="42"/>
        <v>2783.4091889656893</v>
      </c>
      <c r="AR44" s="37">
        <f t="shared" si="42"/>
        <v>2543.3306037364164</v>
      </c>
    </row>
    <row r="45" spans="1:46" x14ac:dyDescent="0.25">
      <c r="B45" s="36"/>
      <c r="C45" s="36"/>
      <c r="D45" s="36"/>
      <c r="E45" s="36"/>
      <c r="F45" s="36"/>
      <c r="G45" s="36"/>
      <c r="AA45" s="12" t="s">
        <v>126</v>
      </c>
      <c r="AB45" s="37">
        <f t="shared" si="37"/>
        <v>2586.0905252376028</v>
      </c>
      <c r="AC45" s="37">
        <f t="shared" ref="AC45:AH45" si="43">$AC$44*T30</f>
        <v>2543.9094836572667</v>
      </c>
      <c r="AD45" s="37">
        <f t="shared" si="43"/>
        <v>2580.7070589698419</v>
      </c>
      <c r="AE45" s="37">
        <f t="shared" si="43"/>
        <v>2712.8869895676785</v>
      </c>
      <c r="AF45" s="37">
        <f t="shared" si="43"/>
        <v>3141.7909138650207</v>
      </c>
      <c r="AG45" s="37">
        <f t="shared" si="43"/>
        <v>2886.4879429786374</v>
      </c>
      <c r="AH45" s="37">
        <f t="shared" si="43"/>
        <v>2637.5184618190319</v>
      </c>
      <c r="AK45" s="12" t="s">
        <v>126</v>
      </c>
      <c r="AL45" s="37">
        <f t="shared" si="39"/>
        <v>2456.956849646323</v>
      </c>
      <c r="AM45" s="37">
        <f t="shared" ref="AM45:AR45" si="44">$AM$44*T30</f>
        <v>2416.8820734447049</v>
      </c>
      <c r="AN45" s="37">
        <f t="shared" si="44"/>
        <v>2451.8422010320023</v>
      </c>
      <c r="AO45" s="37">
        <f t="shared" si="44"/>
        <v>2577.4218675977318</v>
      </c>
      <c r="AP45" s="37">
        <f t="shared" si="44"/>
        <v>2984.9089313174841</v>
      </c>
      <c r="AQ45" s="37">
        <f t="shared" si="44"/>
        <v>2742.3542423254107</v>
      </c>
      <c r="AR45" s="37">
        <f t="shared" si="44"/>
        <v>2505.816786997244</v>
      </c>
    </row>
    <row r="46" spans="1:46" ht="15" customHeight="1" x14ac:dyDescent="0.25">
      <c r="A46" s="13" t="s">
        <v>67</v>
      </c>
      <c r="B46" s="480" t="s">
        <v>377</v>
      </c>
      <c r="C46" s="480"/>
      <c r="D46" s="480"/>
      <c r="E46" s="480"/>
      <c r="F46" s="480"/>
      <c r="G46" s="480"/>
      <c r="H46" s="480"/>
      <c r="I46" s="480"/>
      <c r="AA46" s="12" t="s">
        <v>127</v>
      </c>
      <c r="AB46" s="37">
        <f t="shared" si="37"/>
        <v>2744.3617246730887</v>
      </c>
      <c r="AC46" s="37">
        <f t="shared" ref="AC46:AH46" si="45">$AC$44*T31</f>
        <v>2699.5991632351897</v>
      </c>
      <c r="AD46" s="37">
        <f t="shared" si="45"/>
        <v>2738.6487851502338</v>
      </c>
      <c r="AE46" s="37">
        <f t="shared" si="45"/>
        <v>2878.9182531996248</v>
      </c>
      <c r="AF46" s="37">
        <f t="shared" si="45"/>
        <v>3334.0715055381379</v>
      </c>
      <c r="AG46" s="37">
        <f t="shared" si="45"/>
        <v>3063.1437500483939</v>
      </c>
      <c r="AH46" s="37">
        <f t="shared" si="45"/>
        <v>2798.9370998796558</v>
      </c>
      <c r="AK46" s="12" t="s">
        <v>127</v>
      </c>
      <c r="AL46" s="37">
        <f t="shared" si="39"/>
        <v>2607.3249453335493</v>
      </c>
      <c r="AM46" s="37">
        <f t="shared" ref="AM46:AR46" si="46">$AM$44*T31</f>
        <v>2564.7975547185379</v>
      </c>
      <c r="AN46" s="37">
        <f t="shared" si="46"/>
        <v>2601.897275360162</v>
      </c>
      <c r="AO46" s="37">
        <f t="shared" si="46"/>
        <v>2735.1625369420367</v>
      </c>
      <c r="AP46" s="37">
        <f t="shared" si="46"/>
        <v>3167.5881964688497</v>
      </c>
      <c r="AQ46" s="37">
        <f t="shared" si="46"/>
        <v>2910.1889298485626</v>
      </c>
      <c r="AR46" s="37">
        <f t="shared" si="46"/>
        <v>2659.1751573146144</v>
      </c>
    </row>
    <row r="47" spans="1:46" x14ac:dyDescent="0.25">
      <c r="A47" s="13"/>
      <c r="B47" s="480"/>
      <c r="C47" s="480"/>
      <c r="D47" s="480"/>
      <c r="E47" s="480"/>
      <c r="F47" s="480"/>
      <c r="G47" s="480"/>
      <c r="H47" s="480"/>
      <c r="I47" s="480"/>
      <c r="AA47" s="12" t="s">
        <v>389</v>
      </c>
      <c r="AB47" s="37">
        <f t="shared" si="37"/>
        <v>2798.9652884783313</v>
      </c>
      <c r="AC47" s="37">
        <f t="shared" ref="AC47:AH47" si="47">$AC$44*T32</f>
        <v>2753.3121026895728</v>
      </c>
      <c r="AD47" s="37">
        <f t="shared" si="47"/>
        <v>2793.1386806824689</v>
      </c>
      <c r="AE47" s="37">
        <f t="shared" si="47"/>
        <v>2936.199039152646</v>
      </c>
      <c r="AF47" s="37">
        <f t="shared" si="47"/>
        <v>3400.408309665363</v>
      </c>
      <c r="AG47" s="37">
        <f t="shared" si="47"/>
        <v>3124.0900034874594</v>
      </c>
      <c r="AH47" s="37">
        <f t="shared" si="47"/>
        <v>2854.6265300105711</v>
      </c>
      <c r="AK47" s="12" t="s">
        <v>389</v>
      </c>
      <c r="AL47" s="37">
        <f t="shared" si="39"/>
        <v>2659.2019383456422</v>
      </c>
      <c r="AM47" s="37">
        <f t="shared" ref="AM47:AR47" si="48">$AM$44*T32</f>
        <v>2615.8283957580097</v>
      </c>
      <c r="AN47" s="37">
        <f t="shared" si="48"/>
        <v>2653.6662760033769</v>
      </c>
      <c r="AO47" s="37">
        <f t="shared" si="48"/>
        <v>2789.5830678658222</v>
      </c>
      <c r="AP47" s="37">
        <f t="shared" si="48"/>
        <v>3230.6125429460699</v>
      </c>
      <c r="AQ47" s="37">
        <f t="shared" si="48"/>
        <v>2968.0918970440498</v>
      </c>
      <c r="AR47" s="37">
        <f t="shared" si="48"/>
        <v>2712.0837950741065</v>
      </c>
    </row>
    <row r="48" spans="1:46" x14ac:dyDescent="0.25">
      <c r="A48" s="13"/>
      <c r="B48" s="480"/>
      <c r="C48" s="480"/>
      <c r="D48" s="480"/>
      <c r="E48" s="480"/>
      <c r="F48" s="480"/>
      <c r="G48" s="480"/>
      <c r="H48" s="480"/>
      <c r="I48" s="480"/>
      <c r="AA48" s="12" t="s">
        <v>390</v>
      </c>
      <c r="AB48" s="37">
        <f t="shared" si="37"/>
        <v>2870.491695915523</v>
      </c>
      <c r="AC48" s="37">
        <f t="shared" ref="AC48:AH48" si="49">$AC$44*T33</f>
        <v>2823.6718617295965</v>
      </c>
      <c r="AD48" s="37">
        <f t="shared" si="49"/>
        <v>2864.5161915524545</v>
      </c>
      <c r="AE48" s="37">
        <f t="shared" si="49"/>
        <v>3011.2323986786223</v>
      </c>
      <c r="AF48" s="37">
        <f t="shared" si="49"/>
        <v>3487.3043462868695</v>
      </c>
      <c r="AG48" s="37">
        <f t="shared" si="49"/>
        <v>3203.9248393747539</v>
      </c>
      <c r="AH48" s="37">
        <f t="shared" si="49"/>
        <v>2927.5753375956615</v>
      </c>
      <c r="AK48" s="12" t="s">
        <v>390</v>
      </c>
      <c r="AL48" s="37">
        <f t="shared" si="39"/>
        <v>2727.1567508196777</v>
      </c>
      <c r="AM48" s="37">
        <f t="shared" ref="AM48:AR48" si="50">$AM$44*T33</f>
        <v>2682.6748151798383</v>
      </c>
      <c r="AN48" s="37">
        <f t="shared" si="50"/>
        <v>2721.4796269016811</v>
      </c>
      <c r="AO48" s="37">
        <f t="shared" si="50"/>
        <v>2860.8697165118065</v>
      </c>
      <c r="AP48" s="37">
        <f t="shared" si="50"/>
        <v>3313.1695185433227</v>
      </c>
      <c r="AQ48" s="37">
        <f t="shared" si="50"/>
        <v>3043.9402654439364</v>
      </c>
      <c r="AR48" s="37">
        <f t="shared" si="50"/>
        <v>2781.3899816598423</v>
      </c>
    </row>
    <row r="49" spans="1:46" x14ac:dyDescent="0.25">
      <c r="A49" s="13"/>
      <c r="B49" s="480"/>
      <c r="C49" s="480"/>
      <c r="D49" s="480"/>
      <c r="E49" s="480"/>
      <c r="F49" s="480"/>
      <c r="G49" s="480"/>
      <c r="H49" s="480"/>
      <c r="I49" s="480"/>
      <c r="AA49" s="12" t="s">
        <v>128</v>
      </c>
      <c r="AB49" s="37">
        <f t="shared" si="37"/>
        <v>2811.5052373566823</v>
      </c>
      <c r="AC49" s="37">
        <f t="shared" ref="AC49:AH49" si="51">$AC$44*T34</f>
        <v>2765.6475157638242</v>
      </c>
      <c r="AD49" s="37">
        <f t="shared" si="51"/>
        <v>2805.6525251413773</v>
      </c>
      <c r="AE49" s="37">
        <f t="shared" si="51"/>
        <v>2949.3538238865622</v>
      </c>
      <c r="AF49" s="37">
        <f t="shared" si="51"/>
        <v>3415.6428488517722</v>
      </c>
      <c r="AG49" s="37">
        <f t="shared" si="51"/>
        <v>3138.0865789706791</v>
      </c>
      <c r="AH49" s="37">
        <f t="shared" si="51"/>
        <v>2867.4158528722978</v>
      </c>
      <c r="AK49" s="12" t="s">
        <v>128</v>
      </c>
      <c r="AL49" s="37">
        <f t="shared" si="39"/>
        <v>2671.1157182347079</v>
      </c>
      <c r="AM49" s="37">
        <f t="shared" ref="AM49:AR49" si="52">$AM$44*T34</f>
        <v>2627.5478531204753</v>
      </c>
      <c r="AN49" s="37">
        <f t="shared" si="52"/>
        <v>2665.555254969378</v>
      </c>
      <c r="AO49" s="37">
        <f t="shared" si="52"/>
        <v>2802.080982436948</v>
      </c>
      <c r="AP49" s="37">
        <f t="shared" si="52"/>
        <v>3245.0863616465249</v>
      </c>
      <c r="AQ49" s="37">
        <f t="shared" si="52"/>
        <v>2981.389568440115</v>
      </c>
      <c r="AR49" s="37">
        <f t="shared" si="52"/>
        <v>2724.2344967223298</v>
      </c>
    </row>
    <row r="50" spans="1:46" x14ac:dyDescent="0.25">
      <c r="A50" s="13"/>
      <c r="B50" s="87"/>
      <c r="C50" s="87"/>
      <c r="D50" s="87"/>
      <c r="E50" s="87"/>
      <c r="F50" s="87"/>
      <c r="G50" s="87"/>
      <c r="H50" s="87"/>
      <c r="AA50" s="12" t="s">
        <v>391</v>
      </c>
      <c r="AB50" s="37">
        <f t="shared" si="37"/>
        <v>2742.6572656022454</v>
      </c>
      <c r="AC50" s="37">
        <f t="shared" ref="AC50:AH50" si="53">$AC$44*T35</f>
        <v>2697.9225051474277</v>
      </c>
      <c r="AD50" s="37">
        <f t="shared" si="53"/>
        <v>2736.9478742529068</v>
      </c>
      <c r="AE50" s="37">
        <f t="shared" si="53"/>
        <v>2877.1302242066654</v>
      </c>
      <c r="AF50" s="37">
        <f t="shared" si="53"/>
        <v>3332.0007914739663</v>
      </c>
      <c r="AG50" s="37">
        <f t="shared" si="53"/>
        <v>3061.2413028953347</v>
      </c>
      <c r="AH50" s="37">
        <f t="shared" si="53"/>
        <v>2797.1987453159263</v>
      </c>
      <c r="AK50" s="12" t="s">
        <v>391</v>
      </c>
      <c r="AL50" s="37">
        <f t="shared" si="39"/>
        <v>2605.7055966107641</v>
      </c>
      <c r="AM50" s="37">
        <f t="shared" ref="AM50:AR50" si="54">$AM$44*T35</f>
        <v>2563.2046187663582</v>
      </c>
      <c r="AN50" s="37">
        <f t="shared" si="54"/>
        <v>2600.2812976366286</v>
      </c>
      <c r="AO50" s="37">
        <f t="shared" si="54"/>
        <v>2733.4637912721751</v>
      </c>
      <c r="AP50" s="37">
        <f t="shared" si="54"/>
        <v>3165.620881305681</v>
      </c>
      <c r="AQ50" s="37">
        <f t="shared" si="54"/>
        <v>2908.3814793675438</v>
      </c>
      <c r="AR50" s="37">
        <f t="shared" si="54"/>
        <v>2657.5236056342737</v>
      </c>
    </row>
    <row r="51" spans="1:46" ht="15" customHeight="1" x14ac:dyDescent="0.25">
      <c r="A51" s="13" t="s">
        <v>68</v>
      </c>
      <c r="B51" s="480" t="s">
        <v>378</v>
      </c>
      <c r="C51" s="480"/>
      <c r="D51" s="480"/>
      <c r="E51" s="480"/>
      <c r="F51" s="480"/>
      <c r="G51" s="480"/>
      <c r="H51" s="480"/>
      <c r="I51" s="480"/>
      <c r="AA51" s="12" t="s">
        <v>129</v>
      </c>
      <c r="AB51" s="37">
        <f t="shared" si="37"/>
        <v>2654.9384969920393</v>
      </c>
      <c r="AC51" s="37">
        <f t="shared" ref="AC51:AH51" si="55">$AC$44*T36</f>
        <v>2611.6344942736637</v>
      </c>
      <c r="AD51" s="37">
        <f t="shared" si="55"/>
        <v>2649.4117098583133</v>
      </c>
      <c r="AE51" s="37">
        <f t="shared" si="55"/>
        <v>2785.1105892475757</v>
      </c>
      <c r="AF51" s="37">
        <f t="shared" si="55"/>
        <v>3225.4329712428271</v>
      </c>
      <c r="AG51" s="37">
        <f t="shared" si="55"/>
        <v>2963.3332190539818</v>
      </c>
      <c r="AH51" s="37">
        <f t="shared" si="55"/>
        <v>2707.7355693754039</v>
      </c>
      <c r="AK51" s="12" t="s">
        <v>129</v>
      </c>
      <c r="AL51" s="37">
        <f t="shared" si="39"/>
        <v>2522.3669712702667</v>
      </c>
      <c r="AM51" s="37">
        <f t="shared" ref="AM51:AR51" si="56">$AM$44*T36</f>
        <v>2481.2253077988225</v>
      </c>
      <c r="AN51" s="37">
        <f t="shared" si="56"/>
        <v>2517.1161583647527</v>
      </c>
      <c r="AO51" s="37">
        <f t="shared" si="56"/>
        <v>2646.0390587625052</v>
      </c>
      <c r="AP51" s="37">
        <f t="shared" si="56"/>
        <v>3064.3744116583284</v>
      </c>
      <c r="AQ51" s="37">
        <f t="shared" si="56"/>
        <v>2815.362331397982</v>
      </c>
      <c r="AR51" s="37">
        <f t="shared" si="56"/>
        <v>2572.527678085301</v>
      </c>
    </row>
    <row r="52" spans="1:46" x14ac:dyDescent="0.25">
      <c r="B52" s="480"/>
      <c r="C52" s="480"/>
      <c r="D52" s="480"/>
      <c r="E52" s="480"/>
      <c r="F52" s="480"/>
      <c r="G52" s="480"/>
      <c r="H52" s="480"/>
      <c r="I52" s="480"/>
      <c r="AA52" s="12" t="s">
        <v>130</v>
      </c>
      <c r="AB52" s="37">
        <f t="shared" si="37"/>
        <v>2544.940013384376</v>
      </c>
      <c r="AC52" s="37">
        <f t="shared" ref="AC52:AH52" si="57">$AC$44*T37</f>
        <v>2503.4301669670072</v>
      </c>
      <c r="AD52" s="37">
        <f t="shared" si="57"/>
        <v>2539.6422101629405</v>
      </c>
      <c r="AE52" s="37">
        <f t="shared" si="57"/>
        <v>2669.7188610233725</v>
      </c>
      <c r="AF52" s="37">
        <f t="shared" si="57"/>
        <v>3091.79796003001</v>
      </c>
      <c r="AG52" s="37">
        <f t="shared" si="57"/>
        <v>2840.5574331405005</v>
      </c>
      <c r="AH52" s="37">
        <f t="shared" si="57"/>
        <v>2595.5496159232698</v>
      </c>
      <c r="AK52" s="12" t="s">
        <v>130</v>
      </c>
      <c r="AL52" s="37">
        <f t="shared" si="39"/>
        <v>2417.8611447676444</v>
      </c>
      <c r="AM52" s="37">
        <f t="shared" ref="AM52:AR52" si="58">$AM$44*T37</f>
        <v>2378.4240483135086</v>
      </c>
      <c r="AN52" s="37">
        <f t="shared" si="58"/>
        <v>2412.8278817066812</v>
      </c>
      <c r="AO52" s="37">
        <f t="shared" si="58"/>
        <v>2536.4092935682129</v>
      </c>
      <c r="AP52" s="37">
        <f t="shared" si="58"/>
        <v>2937.4123223781294</v>
      </c>
      <c r="AQ52" s="37">
        <f t="shared" si="58"/>
        <v>2698.7172235693906</v>
      </c>
      <c r="AR52" s="37">
        <f t="shared" si="58"/>
        <v>2465.943610714728</v>
      </c>
    </row>
    <row r="53" spans="1:46" x14ac:dyDescent="0.25">
      <c r="B53" s="480"/>
      <c r="C53" s="480"/>
      <c r="D53" s="480"/>
      <c r="E53" s="480"/>
      <c r="F53" s="480"/>
      <c r="G53" s="480"/>
      <c r="H53" s="480"/>
      <c r="I53" s="480"/>
      <c r="AA53" s="12" t="s">
        <v>131</v>
      </c>
      <c r="AB53" s="37">
        <f t="shared" si="37"/>
        <v>2408.096299410925</v>
      </c>
      <c r="AC53" s="37">
        <f t="shared" ref="AC53:AH53" si="59">$AC$44*T38</f>
        <v>2368.8184747780956</v>
      </c>
      <c r="AD53" s="37">
        <f t="shared" si="59"/>
        <v>2403.083363834663</v>
      </c>
      <c r="AE53" s="37">
        <f t="shared" si="59"/>
        <v>2526.1656761600598</v>
      </c>
      <c r="AF53" s="37">
        <f t="shared" si="59"/>
        <v>2925.5492023064835</v>
      </c>
      <c r="AG53" s="37">
        <f t="shared" si="59"/>
        <v>2687.8181045663428</v>
      </c>
      <c r="AH53" s="37">
        <f t="shared" si="59"/>
        <v>2455.9845780923924</v>
      </c>
      <c r="AK53" s="12" t="s">
        <v>131</v>
      </c>
      <c r="AL53" s="37">
        <f t="shared" si="39"/>
        <v>2287.8505758811502</v>
      </c>
      <c r="AM53" s="37">
        <f t="shared" ref="AM53:AR53" si="60">$AM$44*T38</f>
        <v>2250.5340475813641</v>
      </c>
      <c r="AN53" s="37">
        <f t="shared" si="60"/>
        <v>2283.0879559029495</v>
      </c>
      <c r="AO53" s="37">
        <f t="shared" si="60"/>
        <v>2400.0242840735987</v>
      </c>
      <c r="AP53" s="37">
        <f t="shared" si="60"/>
        <v>2779.4650192780255</v>
      </c>
      <c r="AQ53" s="37">
        <f t="shared" si="60"/>
        <v>2553.6047706647582</v>
      </c>
      <c r="AR53" s="37">
        <f t="shared" si="60"/>
        <v>2333.3476043787869</v>
      </c>
    </row>
    <row r="54" spans="1:46" x14ac:dyDescent="0.25">
      <c r="B54" s="480"/>
      <c r="C54" s="480"/>
      <c r="D54" s="480"/>
      <c r="E54" s="480"/>
      <c r="F54" s="480"/>
      <c r="G54" s="480"/>
      <c r="H54" s="480"/>
      <c r="I54" s="480"/>
      <c r="AH54" s="120">
        <f>SUM(AB42:AH53)</f>
        <v>232405.01594550489</v>
      </c>
      <c r="AI54" s="120">
        <f>AH54*365/COUNT(AB42:AH53)</f>
        <v>1009855.1288108247</v>
      </c>
      <c r="AR54" s="120">
        <f>SUM(AL42:AR53)</f>
        <v>220800.11903953311</v>
      </c>
      <c r="AS54" s="120">
        <f>AR54*365/COUNT(AL42:AR53)</f>
        <v>959429.08868368552</v>
      </c>
      <c r="AT54" s="120">
        <f>AI54-AS54</f>
        <v>50426.040127139189</v>
      </c>
    </row>
    <row r="55" spans="1:46" x14ac:dyDescent="0.25">
      <c r="B55" s="480"/>
      <c r="C55" s="480"/>
      <c r="D55" s="480"/>
      <c r="E55" s="480"/>
      <c r="F55" s="480"/>
      <c r="G55" s="480"/>
      <c r="H55" s="480"/>
      <c r="I55" s="480"/>
    </row>
    <row r="56" spans="1:46" ht="15" customHeight="1" x14ac:dyDescent="0.25">
      <c r="B56" s="480"/>
      <c r="C56" s="480"/>
      <c r="D56" s="480"/>
      <c r="E56" s="480"/>
      <c r="F56" s="480"/>
      <c r="G56" s="480"/>
      <c r="H56" s="480"/>
      <c r="I56" s="480"/>
    </row>
    <row r="57" spans="1:46" x14ac:dyDescent="0.25">
      <c r="B57" s="480"/>
      <c r="C57" s="480"/>
      <c r="D57" s="480"/>
      <c r="E57" s="480"/>
      <c r="F57" s="480"/>
      <c r="G57" s="480"/>
      <c r="H57" s="480"/>
      <c r="I57" s="480"/>
    </row>
    <row r="58" spans="1:46" x14ac:dyDescent="0.25">
      <c r="B58" s="480"/>
      <c r="C58" s="480"/>
      <c r="D58" s="480"/>
      <c r="E58" s="480"/>
      <c r="F58" s="480"/>
      <c r="G58" s="480"/>
      <c r="H58" s="480"/>
      <c r="I58" s="480"/>
    </row>
    <row r="59" spans="1:46" x14ac:dyDescent="0.25">
      <c r="B59" s="36"/>
      <c r="C59" s="36"/>
      <c r="D59" s="36"/>
      <c r="E59" s="36"/>
      <c r="F59" s="36"/>
      <c r="G59" s="36"/>
      <c r="H59" s="36"/>
      <c r="I59" s="36"/>
    </row>
    <row r="60" spans="1:46" ht="15" customHeight="1" x14ac:dyDescent="0.25">
      <c r="A60" s="13" t="s">
        <v>69</v>
      </c>
      <c r="B60" s="480" t="s">
        <v>379</v>
      </c>
      <c r="C60" s="480"/>
      <c r="D60" s="480"/>
      <c r="E60" s="480"/>
      <c r="F60" s="480"/>
      <c r="G60" s="480"/>
      <c r="H60" s="480"/>
      <c r="I60" s="480"/>
    </row>
    <row r="61" spans="1:46" ht="15" customHeight="1" x14ac:dyDescent="0.25">
      <c r="A61" s="13"/>
      <c r="B61" s="480"/>
      <c r="C61" s="480"/>
      <c r="D61" s="480"/>
      <c r="E61" s="480"/>
      <c r="F61" s="480"/>
      <c r="G61" s="480"/>
      <c r="H61" s="480"/>
      <c r="I61" s="480"/>
    </row>
    <row r="62" spans="1:46" x14ac:dyDescent="0.25">
      <c r="B62" s="480"/>
      <c r="C62" s="480"/>
      <c r="D62" s="480"/>
      <c r="E62" s="480"/>
      <c r="F62" s="480"/>
      <c r="G62" s="480"/>
      <c r="H62" s="480"/>
      <c r="I62" s="480"/>
    </row>
    <row r="63" spans="1:46" x14ac:dyDescent="0.25">
      <c r="B63" s="36"/>
      <c r="C63" s="36"/>
      <c r="D63" s="36"/>
      <c r="E63" s="36"/>
      <c r="F63" s="36"/>
      <c r="G63" s="36"/>
      <c r="H63" s="36"/>
      <c r="I63" s="36"/>
    </row>
    <row r="64" spans="1:46" x14ac:dyDescent="0.25">
      <c r="B64" s="36"/>
      <c r="C64" s="36"/>
      <c r="D64" s="36"/>
      <c r="E64" s="36"/>
      <c r="F64" s="36"/>
      <c r="G64" s="36"/>
      <c r="H64" s="36"/>
      <c r="I64" s="36"/>
    </row>
    <row r="65" spans="2:9" x14ac:dyDescent="0.25">
      <c r="B65" s="36"/>
      <c r="C65" s="36"/>
      <c r="D65" s="36"/>
      <c r="E65" s="36"/>
      <c r="F65" s="36"/>
      <c r="G65" s="36"/>
      <c r="H65" s="36"/>
      <c r="I65" s="36"/>
    </row>
    <row r="66" spans="2:9" x14ac:dyDescent="0.25">
      <c r="B66" s="36"/>
      <c r="C66" s="36"/>
      <c r="D66" s="36"/>
      <c r="E66" s="36"/>
      <c r="F66" s="36"/>
      <c r="G66" s="36"/>
      <c r="H66" s="36"/>
      <c r="I66" s="36"/>
    </row>
    <row r="67" spans="2:9" x14ac:dyDescent="0.25">
      <c r="B67" s="36"/>
      <c r="C67" s="36"/>
      <c r="D67" s="36"/>
      <c r="E67" s="36"/>
      <c r="F67" s="36"/>
      <c r="G67" s="36"/>
      <c r="H67" s="36"/>
    </row>
    <row r="68" spans="2:9" x14ac:dyDescent="0.25">
      <c r="B68" s="36"/>
      <c r="C68" s="36"/>
      <c r="D68" s="36"/>
      <c r="E68" s="36"/>
      <c r="F68" s="36"/>
      <c r="G68" s="36"/>
      <c r="H68" s="36"/>
    </row>
    <row r="69" spans="2:9" x14ac:dyDescent="0.25">
      <c r="B69" s="36"/>
      <c r="C69" s="36"/>
      <c r="D69" s="36"/>
      <c r="E69" s="36"/>
      <c r="F69" s="36"/>
      <c r="G69" s="36"/>
      <c r="H69" s="36"/>
    </row>
    <row r="70" spans="2:9" x14ac:dyDescent="0.25">
      <c r="B70" s="36"/>
      <c r="C70" s="36"/>
      <c r="D70" s="36"/>
      <c r="E70" s="36"/>
      <c r="F70" s="36"/>
      <c r="G70" s="36"/>
      <c r="H70" s="36"/>
    </row>
  </sheetData>
  <mergeCells count="18">
    <mergeCell ref="E4:E5"/>
    <mergeCell ref="M20:N20"/>
    <mergeCell ref="O20:P20"/>
    <mergeCell ref="B39:I41"/>
    <mergeCell ref="B43:I44"/>
    <mergeCell ref="B60:I62"/>
    <mergeCell ref="B46:I49"/>
    <mergeCell ref="B51:I58"/>
    <mergeCell ref="B4:B5"/>
    <mergeCell ref="C4:C5"/>
    <mergeCell ref="D4:D5"/>
    <mergeCell ref="F4:F5"/>
    <mergeCell ref="G4:G5"/>
    <mergeCell ref="H4:H5"/>
    <mergeCell ref="I4:I5"/>
    <mergeCell ref="L5:M5"/>
    <mergeCell ref="L9:M9"/>
    <mergeCell ref="L13:M13"/>
  </mergeCells>
  <conditionalFormatting sqref="S27:Y38">
    <cfRule type="colorScale" priority="1">
      <colorScale>
        <cfvo type="min"/>
        <cfvo type="num" val="1"/>
        <cfvo type="max"/>
        <color rgb="FF63BE7B"/>
        <color rgb="FFFCFCFF"/>
        <color rgb="FFF8696B"/>
      </colorScale>
    </cfRule>
  </conditionalFormatting>
  <pageMargins left="0.25" right="0.25" top="0.75" bottom="0.75" header="0.3" footer="0.3"/>
  <pageSetup scale="2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C101A-3A0A-4F5F-B629-2EDE05E711A5}">
  <sheetPr>
    <tabColor rgb="FF00B050"/>
    <pageSetUpPr fitToPage="1"/>
  </sheetPr>
  <dimension ref="A1:H78"/>
  <sheetViews>
    <sheetView view="pageBreakPreview" topLeftCell="A19" zoomScale="85" zoomScaleNormal="100" zoomScaleSheetLayoutView="85" workbookViewId="0">
      <selection activeCell="B56" sqref="B56"/>
    </sheetView>
  </sheetViews>
  <sheetFormatPr defaultRowHeight="15" x14ac:dyDescent="0.25"/>
  <cols>
    <col min="2" max="8" width="15.7109375" customWidth="1"/>
    <col min="9" max="11" width="18.85546875" customWidth="1"/>
    <col min="12" max="12" width="19.42578125" customWidth="1"/>
    <col min="13" max="17" width="10.28515625" customWidth="1"/>
  </cols>
  <sheetData>
    <row r="1" spans="2:8" x14ac:dyDescent="0.25">
      <c r="B1" s="21">
        <v>1</v>
      </c>
      <c r="C1" s="21">
        <v>2</v>
      </c>
      <c r="D1" s="21">
        <v>3</v>
      </c>
      <c r="E1" s="21">
        <v>4</v>
      </c>
      <c r="F1" s="21">
        <v>5</v>
      </c>
      <c r="G1" s="21">
        <v>6</v>
      </c>
      <c r="H1" s="21"/>
    </row>
    <row r="2" spans="2:8" x14ac:dyDescent="0.25">
      <c r="B2" s="12" t="s">
        <v>103</v>
      </c>
      <c r="C2" s="12"/>
      <c r="D2" s="12"/>
      <c r="E2" s="12"/>
    </row>
    <row r="3" spans="2:8" ht="15.75" thickBot="1" x14ac:dyDescent="0.3"/>
    <row r="4" spans="2:8" ht="35.1" customHeight="1" x14ac:dyDescent="0.25">
      <c r="B4" s="494" t="s">
        <v>0</v>
      </c>
      <c r="C4" s="494" t="s">
        <v>213</v>
      </c>
      <c r="D4" s="494" t="s">
        <v>197</v>
      </c>
      <c r="E4" s="494" t="s">
        <v>198</v>
      </c>
      <c r="F4" s="496" t="s">
        <v>104</v>
      </c>
      <c r="G4" s="489" t="s">
        <v>1</v>
      </c>
      <c r="H4" s="137"/>
    </row>
    <row r="5" spans="2:8" ht="35.1" customHeight="1" thickBot="1" x14ac:dyDescent="0.3">
      <c r="B5" s="495"/>
      <c r="C5" s="495"/>
      <c r="D5" s="495"/>
      <c r="E5" s="495"/>
      <c r="F5" s="497"/>
      <c r="G5" s="490"/>
      <c r="H5" s="137"/>
    </row>
    <row r="6" spans="2:8" ht="16.5" customHeight="1" x14ac:dyDescent="0.25">
      <c r="B6" s="1">
        <f>Assumptions!D8</f>
        <v>2028</v>
      </c>
      <c r="C6" s="138">
        <f>'Air Quality'!F5</f>
        <v>244080.77400957048</v>
      </c>
      <c r="D6" s="135">
        <f>1*C6*Assumptions!$D$24*Assumptions!$D$14</f>
        <v>104509.5211118661</v>
      </c>
      <c r="E6" s="135">
        <f>1*C6*Assumptions!$D$25*Assumptions!$D$15</f>
        <v>11127.150135320429</v>
      </c>
      <c r="F6" s="135">
        <f>SUM(D6:E6)</f>
        <v>115636.67124718652</v>
      </c>
      <c r="G6" s="150">
        <f>F6*(1+0.07)^-(B6-Assumptions!$D$4)</f>
        <v>67301.595487456754</v>
      </c>
      <c r="H6" s="46"/>
    </row>
    <row r="7" spans="2:8" x14ac:dyDescent="0.25">
      <c r="B7" s="2">
        <f t="shared" ref="B7:B35" si="0">+B6+1</f>
        <v>2029</v>
      </c>
      <c r="C7" s="138">
        <f>'Air Quality'!F6</f>
        <v>250034.39376020432</v>
      </c>
      <c r="D7" s="118">
        <f>1*C7*Assumptions!$D$24*Assumptions!$D$14</f>
        <v>107058.71799779736</v>
      </c>
      <c r="E7" s="118">
        <f>1*C7*Assumptions!$D$25*Assumptions!$D$15</f>
        <v>11398.563650304261</v>
      </c>
      <c r="F7" s="118">
        <f t="shared" ref="F7:F35" si="1">SUM(D7:E7)</f>
        <v>118457.28164810162</v>
      </c>
      <c r="G7" s="119">
        <f>F7*(1+0.07)^-(B7-Assumptions!$D$4)</f>
        <v>64432.912543196435</v>
      </c>
      <c r="H7" s="46"/>
    </row>
    <row r="8" spans="2:8" x14ac:dyDescent="0.25">
      <c r="B8" s="2">
        <f t="shared" si="0"/>
        <v>2030</v>
      </c>
      <c r="C8" s="138">
        <f>'Air Quality'!F7</f>
        <v>255988.01351086795</v>
      </c>
      <c r="D8" s="118">
        <f>1*C8*Assumptions!$D$24*Assumptions!$D$14</f>
        <v>109607.91488374138</v>
      </c>
      <c r="E8" s="118">
        <f>1*C8*Assumptions!$D$25*Assumptions!$D$15</f>
        <v>11669.977165289451</v>
      </c>
      <c r="F8" s="118">
        <f t="shared" si="1"/>
        <v>121277.89204903084</v>
      </c>
      <c r="G8" s="119">
        <f>F8*(1+0.07)^-(B8-Assumptions!$D$4)</f>
        <v>61651.530574715543</v>
      </c>
      <c r="H8" s="46"/>
    </row>
    <row r="9" spans="2:8" x14ac:dyDescent="0.25">
      <c r="B9" s="2">
        <f t="shared" si="0"/>
        <v>2031</v>
      </c>
      <c r="C9" s="138">
        <f>'Air Quality'!F8</f>
        <v>261941.63326150179</v>
      </c>
      <c r="D9" s="118">
        <f>1*C9*Assumptions!$D$24*Assumptions!$D$14</f>
        <v>112157.11176967263</v>
      </c>
      <c r="E9" s="118">
        <f>1*C9*Assumptions!$D$25*Assumptions!$D$15</f>
        <v>11941.390680273282</v>
      </c>
      <c r="F9" s="118">
        <f t="shared" si="1"/>
        <v>124098.50244994591</v>
      </c>
      <c r="G9" s="119">
        <f>F9*(1+0.07)^-(B9-Assumptions!$D$4)</f>
        <v>58958.304556456576</v>
      </c>
      <c r="H9" s="46"/>
    </row>
    <row r="10" spans="2:8" ht="15" customHeight="1" x14ac:dyDescent="0.25">
      <c r="B10" s="2">
        <f t="shared" si="0"/>
        <v>2032</v>
      </c>
      <c r="C10" s="138">
        <f>'Air Quality'!F9</f>
        <v>267895.25301216543</v>
      </c>
      <c r="D10" s="118">
        <f>1*C10*Assumptions!$D$24*Assumptions!$D$14</f>
        <v>114706.30865561667</v>
      </c>
      <c r="E10" s="118">
        <f>1*C10*Assumptions!$D$25*Assumptions!$D$15</f>
        <v>12212.80419525847</v>
      </c>
      <c r="F10" s="118">
        <f t="shared" si="1"/>
        <v>126919.11285087514</v>
      </c>
      <c r="G10" s="119">
        <f>F10*(1+0.07)^-(B10-Assumptions!$D$4)</f>
        <v>56353.603962013054</v>
      </c>
      <c r="H10" s="46"/>
    </row>
    <row r="11" spans="2:8" x14ac:dyDescent="0.25">
      <c r="B11" s="2">
        <f t="shared" si="0"/>
        <v>2033</v>
      </c>
      <c r="C11" s="138">
        <f>'Air Quality'!F10</f>
        <v>273848.87276279926</v>
      </c>
      <c r="D11" s="118">
        <f>1*C11*Assumptions!$D$24*Assumptions!$D$14</f>
        <v>117255.50554154793</v>
      </c>
      <c r="E11" s="118">
        <f>1*C11*Assumptions!$D$25*Assumptions!$D$15</f>
        <v>12484.217710242301</v>
      </c>
      <c r="F11" s="118">
        <f t="shared" ref="F11:F26" si="2">SUM(D11:E11)</f>
        <v>129739.72325179023</v>
      </c>
      <c r="G11" s="119">
        <f>F11*(1+0.07)^-(B11-Assumptions!$D$4)</f>
        <v>53837.372628390796</v>
      </c>
      <c r="H11" s="46"/>
    </row>
    <row r="12" spans="2:8" x14ac:dyDescent="0.25">
      <c r="B12" s="2">
        <f t="shared" si="0"/>
        <v>2034</v>
      </c>
      <c r="C12" s="138">
        <f>'Air Quality'!F11</f>
        <v>279802.492513448</v>
      </c>
      <c r="D12" s="118">
        <f>1*C12*Assumptions!$D$24*Assumptions!$D$14</f>
        <v>119804.70242748558</v>
      </c>
      <c r="E12" s="118">
        <f>1*C12*Assumptions!$D$25*Assumptions!$D$15</f>
        <v>12755.631225226813</v>
      </c>
      <c r="F12" s="118">
        <f t="shared" si="2"/>
        <v>132560.3336527124</v>
      </c>
      <c r="G12" s="119">
        <f>F12*(1+0.07)^-(B12-Assumptions!$D$4)</f>
        <v>51409.182865530973</v>
      </c>
      <c r="H12" s="46"/>
    </row>
    <row r="13" spans="2:8" x14ac:dyDescent="0.25">
      <c r="B13" s="2">
        <f t="shared" si="0"/>
        <v>2035</v>
      </c>
      <c r="C13" s="138">
        <f>'Air Quality'!F12</f>
        <v>285756.11226409674</v>
      </c>
      <c r="D13" s="118">
        <f>1*C13*Assumptions!$D$24*Assumptions!$D$14</f>
        <v>122353.89931342322</v>
      </c>
      <c r="E13" s="118">
        <f>1*C13*Assumptions!$D$25*Assumptions!$D$15</f>
        <v>13027.044740211324</v>
      </c>
      <c r="F13" s="118">
        <f t="shared" si="2"/>
        <v>135380.94405363454</v>
      </c>
      <c r="G13" s="119">
        <f>F13*(1+0.07)^-(B13-Assumptions!$D$4)</f>
        <v>49068.284307664821</v>
      </c>
      <c r="H13" s="46"/>
    </row>
    <row r="14" spans="2:8" ht="15" customHeight="1" x14ac:dyDescent="0.25">
      <c r="B14" s="2">
        <f t="shared" si="0"/>
        <v>2036</v>
      </c>
      <c r="C14" s="138">
        <f>'Air Quality'!F13</f>
        <v>291709.73201474547</v>
      </c>
      <c r="D14" s="118">
        <f>1*C14*Assumptions!$D$24*Assumptions!$D$14</f>
        <v>124903.09619936088</v>
      </c>
      <c r="E14" s="118">
        <f>1*C14*Assumptions!$D$25*Assumptions!$D$15</f>
        <v>13298.458255195834</v>
      </c>
      <c r="F14" s="118">
        <f t="shared" si="2"/>
        <v>138201.55445455672</v>
      </c>
      <c r="G14" s="119">
        <f>F14*(1+0.07)^-(B14-Assumptions!$D$4)</f>
        <v>46813.647963028889</v>
      </c>
      <c r="H14" s="46"/>
    </row>
    <row r="15" spans="2:8" x14ac:dyDescent="0.25">
      <c r="B15" s="2">
        <f t="shared" si="0"/>
        <v>2037</v>
      </c>
      <c r="C15" s="138">
        <f>'Air Quality'!F14</f>
        <v>297663.35176539421</v>
      </c>
      <c r="D15" s="118">
        <f>1*C15*Assumptions!$D$24*Assumptions!$D$14</f>
        <v>127452.2930852985</v>
      </c>
      <c r="E15" s="118">
        <f>1*C15*Assumptions!$D$25*Assumptions!$D$15</f>
        <v>13569.871770180345</v>
      </c>
      <c r="F15" s="118">
        <f t="shared" si="2"/>
        <v>141022.16485547886</v>
      </c>
      <c r="G15" s="119">
        <f>F15*(1+0.07)^-(B15-Assumptions!$D$4)</f>
        <v>44644.005881052479</v>
      </c>
      <c r="H15" s="46"/>
    </row>
    <row r="16" spans="2:8" x14ac:dyDescent="0.25">
      <c r="B16" s="2">
        <f t="shared" si="0"/>
        <v>2038</v>
      </c>
      <c r="C16" s="138">
        <f>'Air Quality'!F15</f>
        <v>303616.97151604295</v>
      </c>
      <c r="D16" s="118">
        <f>1*C16*Assumptions!$D$24*Assumptions!$D$14</f>
        <v>130001.48997123615</v>
      </c>
      <c r="E16" s="118">
        <f>1*C16*Assumptions!$D$25*Assumptions!$D$15</f>
        <v>13841.285285164853</v>
      </c>
      <c r="F16" s="118">
        <f t="shared" si="2"/>
        <v>143842.77525640102</v>
      </c>
      <c r="G16" s="119">
        <f>F16*(1+0.07)^-(B16-Assumptions!$D$4)</f>
        <v>42557.886821926295</v>
      </c>
      <c r="H16" s="46"/>
    </row>
    <row r="17" spans="2:8" x14ac:dyDescent="0.25">
      <c r="B17" s="2">
        <f t="shared" si="0"/>
        <v>2039</v>
      </c>
      <c r="C17" s="138">
        <f>'Air Quality'!F16</f>
        <v>309570.59126667678</v>
      </c>
      <c r="D17" s="118">
        <f>1*C17*Assumptions!$D$24*Assumptions!$D$14</f>
        <v>132550.68685716743</v>
      </c>
      <c r="E17" s="118">
        <f>1*C17*Assumptions!$D$25*Assumptions!$D$15</f>
        <v>14112.698800148684</v>
      </c>
      <c r="F17" s="118">
        <f t="shared" si="2"/>
        <v>146663.3856573161</v>
      </c>
      <c r="G17" s="119">
        <f>F17*(1+0.07)^-(B17-Assumptions!$D$4)</f>
        <v>40553.648281830341</v>
      </c>
      <c r="H17" s="46"/>
    </row>
    <row r="18" spans="2:8" x14ac:dyDescent="0.25">
      <c r="B18" s="2">
        <f t="shared" si="0"/>
        <v>2040</v>
      </c>
      <c r="C18" s="138">
        <f>'Air Quality'!F17</f>
        <v>315524.21101734042</v>
      </c>
      <c r="D18" s="118">
        <f>1*C18*Assumptions!$D$24*Assumptions!$D$14</f>
        <v>135099.88374311145</v>
      </c>
      <c r="E18" s="118">
        <f>1*C18*Assumptions!$D$25*Assumptions!$D$15</f>
        <v>14384.112315133878</v>
      </c>
      <c r="F18" s="118">
        <f t="shared" si="2"/>
        <v>149483.99605824534</v>
      </c>
      <c r="G18" s="119">
        <f>F18*(1+0.07)^-(B18-Assumptions!$D$4)</f>
        <v>38629.505198004037</v>
      </c>
      <c r="H18" s="46"/>
    </row>
    <row r="19" spans="2:8" x14ac:dyDescent="0.25">
      <c r="B19" s="2">
        <f t="shared" si="0"/>
        <v>2041</v>
      </c>
      <c r="C19" s="138">
        <f>'Air Quality'!F18</f>
        <v>321477.83076797426</v>
      </c>
      <c r="D19" s="118">
        <f>1*C19*Assumptions!$D$24*Assumptions!$D$14</f>
        <v>137649.0806290427</v>
      </c>
      <c r="E19" s="118">
        <f>1*C19*Assumptions!$D$25*Assumptions!$D$15</f>
        <v>14655.525830117705</v>
      </c>
      <c r="F19" s="118">
        <f t="shared" si="2"/>
        <v>152304.60645916039</v>
      </c>
      <c r="G19" s="119">
        <f>F19*(1+0.07)^-(B19-Assumptions!$D$4)</f>
        <v>36783.555630967232</v>
      </c>
      <c r="H19" s="46"/>
    </row>
    <row r="20" spans="2:8" x14ac:dyDescent="0.25">
      <c r="B20" s="2">
        <f t="shared" si="0"/>
        <v>2042</v>
      </c>
      <c r="C20" s="138">
        <f>'Air Quality'!F19</f>
        <v>327431.4505186379</v>
      </c>
      <c r="D20" s="118">
        <f>1*C20*Assumptions!$D$24*Assumptions!$D$14</f>
        <v>140198.27751498672</v>
      </c>
      <c r="E20" s="118">
        <f>1*C20*Assumptions!$D$25*Assumptions!$D$15</f>
        <v>14926.939345102897</v>
      </c>
      <c r="F20" s="118">
        <f t="shared" si="2"/>
        <v>155125.21686008963</v>
      </c>
      <c r="G20" s="119">
        <f>F20*(1+0.07)^-(B20-Assumptions!$D$4)</f>
        <v>35013.803696628085</v>
      </c>
      <c r="H20" s="46"/>
    </row>
    <row r="21" spans="2:8" x14ac:dyDescent="0.25">
      <c r="B21" s="2">
        <f t="shared" si="0"/>
        <v>2043</v>
      </c>
      <c r="C21" s="138">
        <f>'Air Quality'!F20</f>
        <v>333385.07026927173</v>
      </c>
      <c r="D21" s="118">
        <f>1*C21*Assumptions!$D$24*Assumptions!$D$14</f>
        <v>142747.474400918</v>
      </c>
      <c r="E21" s="118">
        <f>1*C21*Assumptions!$D$25*Assumptions!$D$15</f>
        <v>15198.352860086728</v>
      </c>
      <c r="F21" s="118">
        <f t="shared" si="2"/>
        <v>157945.82726100471</v>
      </c>
      <c r="G21" s="119">
        <f>F21*(1+0.07)^-(B21-Assumptions!$D$4)</f>
        <v>33318.179998090185</v>
      </c>
      <c r="H21" s="46"/>
    </row>
    <row r="22" spans="2:8" x14ac:dyDescent="0.25">
      <c r="B22" s="2">
        <f t="shared" si="0"/>
        <v>2044</v>
      </c>
      <c r="C22" s="138">
        <f>'Air Quality'!F21</f>
        <v>339338.69001992047</v>
      </c>
      <c r="D22" s="118">
        <f>1*C22*Assumptions!$D$24*Assumptions!$D$14</f>
        <v>145296.67128685565</v>
      </c>
      <c r="E22" s="118">
        <f>1*C22*Assumptions!$D$25*Assumptions!$D$15</f>
        <v>15469.766375071238</v>
      </c>
      <c r="F22" s="118">
        <f t="shared" si="2"/>
        <v>160766.4376619269</v>
      </c>
      <c r="G22" s="119">
        <f>F22*(1+0.07)^-(B22-Assumptions!$D$4)</f>
        <v>31694.559786257767</v>
      </c>
      <c r="H22" s="46"/>
    </row>
    <row r="23" spans="2:8" x14ac:dyDescent="0.25">
      <c r="B23" s="2">
        <f t="shared" si="0"/>
        <v>2045</v>
      </c>
      <c r="C23" s="138">
        <f>'Air Quality'!F22</f>
        <v>345292.30977056921</v>
      </c>
      <c r="D23" s="118">
        <f>1*C23*Assumptions!$D$24*Assumptions!$D$14</f>
        <v>147845.8681727933</v>
      </c>
      <c r="E23" s="118">
        <f>1*C23*Assumptions!$D$25*Assumptions!$D$15</f>
        <v>15741.17989005575</v>
      </c>
      <c r="F23" s="118">
        <f t="shared" si="2"/>
        <v>163587.04806284906</v>
      </c>
      <c r="G23" s="119">
        <f>F23*(1+0.07)^-(B23-Assumptions!$D$4)</f>
        <v>30140.779058871012</v>
      </c>
      <c r="H23" s="46"/>
    </row>
    <row r="24" spans="2:8" x14ac:dyDescent="0.25">
      <c r="B24" s="2">
        <f t="shared" si="0"/>
        <v>2046</v>
      </c>
      <c r="C24" s="138">
        <f>'Air Quality'!F23</f>
        <v>351245.92952121794</v>
      </c>
      <c r="D24" s="118">
        <f>1*C24*Assumptions!$D$24*Assumptions!$D$14</f>
        <v>150395.06505873092</v>
      </c>
      <c r="E24" s="118">
        <f>1*C24*Assumptions!$D$25*Assumptions!$D$15</f>
        <v>16012.593405040259</v>
      </c>
      <c r="F24" s="118">
        <f t="shared" si="2"/>
        <v>166407.65846377119</v>
      </c>
      <c r="G24" s="119">
        <f>F24*(1+0.07)^-(B24-Assumptions!$D$4)</f>
        <v>28654.648790048221</v>
      </c>
      <c r="H24" s="46"/>
    </row>
    <row r="25" spans="2:8" x14ac:dyDescent="0.25">
      <c r="B25" s="2">
        <f t="shared" si="0"/>
        <v>2047</v>
      </c>
      <c r="C25" s="138">
        <f>'Air Quality'!F24</f>
        <v>357199.54927186668</v>
      </c>
      <c r="D25" s="118">
        <f>1*C25*Assumptions!$D$24*Assumptions!$D$14</f>
        <v>152944.26194466857</v>
      </c>
      <c r="E25" s="118">
        <f>1*C25*Assumptions!$D$25*Assumptions!$D$15</f>
        <v>16284.006920024771</v>
      </c>
      <c r="F25" s="118">
        <f t="shared" si="2"/>
        <v>169228.26886469335</v>
      </c>
      <c r="G25" s="119">
        <f>F25*(1+0.07)^-(B25-Assumptions!$D$4)</f>
        <v>27233.96746600766</v>
      </c>
      <c r="H25" s="46"/>
    </row>
    <row r="26" spans="2:8" x14ac:dyDescent="0.25">
      <c r="B26" s="2">
        <f t="shared" si="0"/>
        <v>2048</v>
      </c>
      <c r="C26" s="138">
        <f>'Air Quality'!F25</f>
        <v>363153.16902251542</v>
      </c>
      <c r="D26" s="118">
        <f>1*C26*Assumptions!$D$24*Assumptions!$D$14</f>
        <v>155493.45883060622</v>
      </c>
      <c r="E26" s="118">
        <f>1*C26*Assumptions!$D$25*Assumptions!$D$15</f>
        <v>16555.42043500928</v>
      </c>
      <c r="F26" s="118">
        <f t="shared" si="2"/>
        <v>172048.87926561551</v>
      </c>
      <c r="G26" s="119">
        <f>F26*(1+0.07)^-(B26-Assumptions!$D$4)</f>
        <v>25876.532087700398</v>
      </c>
    </row>
    <row r="27" spans="2:8" x14ac:dyDescent="0.25">
      <c r="B27" s="2">
        <f t="shared" si="0"/>
        <v>2049</v>
      </c>
      <c r="C27" s="138">
        <f>'Air Quality'!F26</f>
        <v>369106.78877316415</v>
      </c>
      <c r="D27" s="118">
        <f>1*C27*Assumptions!$D$24*Assumptions!$D$14</f>
        <v>158042.65571654387</v>
      </c>
      <c r="E27" s="118">
        <f>1*C27*Assumptions!$D$25*Assumptions!$D$15</f>
        <v>16826.83394999379</v>
      </c>
      <c r="F27" s="118">
        <f t="shared" si="1"/>
        <v>174869.48966653767</v>
      </c>
      <c r="G27" s="119">
        <f>F27*(1+0.07)^-(B27-Assumptions!$D$4)</f>
        <v>24580.147787292502</v>
      </c>
    </row>
    <row r="28" spans="2:8" x14ac:dyDescent="0.25">
      <c r="B28" s="2">
        <f t="shared" si="0"/>
        <v>2050</v>
      </c>
      <c r="C28" s="138">
        <f>'Air Quality'!F27</f>
        <v>375060.40852381289</v>
      </c>
      <c r="D28" s="118">
        <f>1*C28*Assumptions!$D$24*Assumptions!$D$14</f>
        <v>160591.85260248152</v>
      </c>
      <c r="E28" s="118">
        <f>1*C28*Assumptions!$D$25*Assumptions!$D$15</f>
        <v>17098.2474649783</v>
      </c>
      <c r="F28" s="118">
        <f t="shared" si="1"/>
        <v>177690.10006745983</v>
      </c>
      <c r="G28" s="119">
        <f>F28*(1+0.07)^-(B28-Assumptions!$D$4)</f>
        <v>23342.636192772785</v>
      </c>
      <c r="H28" s="87"/>
    </row>
    <row r="29" spans="2:8" ht="15" customHeight="1" x14ac:dyDescent="0.25">
      <c r="B29" s="2">
        <f t="shared" si="0"/>
        <v>2051</v>
      </c>
      <c r="C29" s="138">
        <f>'Air Quality'!F28</f>
        <v>381014.02827446163</v>
      </c>
      <c r="D29" s="118">
        <f>1*C29*Assumptions!$D$24*Assumptions!$D$14</f>
        <v>163141.04948841914</v>
      </c>
      <c r="E29" s="118">
        <f>1*C29*Assumptions!$D$25*Assumptions!$D$15</f>
        <v>17369.660979962813</v>
      </c>
      <c r="F29" s="118">
        <f t="shared" si="1"/>
        <v>180510.71046838196</v>
      </c>
      <c r="G29" s="119">
        <f>F29*(1+0.07)^-(B29-Assumptions!$D$4)</f>
        <v>22161.842663325391</v>
      </c>
      <c r="H29" s="87"/>
    </row>
    <row r="30" spans="2:8" ht="15" customHeight="1" x14ac:dyDescent="0.25">
      <c r="B30" s="2">
        <f t="shared" si="0"/>
        <v>2052</v>
      </c>
      <c r="C30" s="138">
        <f>'Air Quality'!F29</f>
        <v>386967.64802511036</v>
      </c>
      <c r="D30" s="118">
        <f>1*C30*Assumptions!$D$24*Assumptions!$D$14</f>
        <v>165690.24637435679</v>
      </c>
      <c r="E30" s="118">
        <f>1*C30*Assumptions!$D$25*Assumptions!$D$15</f>
        <v>17641.074494947323</v>
      </c>
      <c r="F30" s="118">
        <f t="shared" si="1"/>
        <v>183331.32086930412</v>
      </c>
      <c r="G30" s="119">
        <f>F30*(1+0.07)^-(B30-Assumptions!$D$4)</f>
        <v>21035.642507418612</v>
      </c>
      <c r="H30" s="87"/>
    </row>
    <row r="31" spans="2:8" ht="15" customHeight="1" x14ac:dyDescent="0.25">
      <c r="B31" s="2">
        <f t="shared" si="0"/>
        <v>2053</v>
      </c>
      <c r="C31" s="138">
        <f>'Air Quality'!F30</f>
        <v>392921.2677757591</v>
      </c>
      <c r="D31" s="118">
        <f>1*C31*Assumptions!$D$24*Assumptions!$D$14</f>
        <v>168239.44326029444</v>
      </c>
      <c r="E31" s="118">
        <f>1*C31*Assumptions!$D$25*Assumptions!$D$15</f>
        <v>17912.488009931832</v>
      </c>
      <c r="F31" s="118">
        <f t="shared" si="1"/>
        <v>186151.93127022628</v>
      </c>
      <c r="G31" s="119">
        <f>F31*(1+0.07)^-(B31-Assumptions!$D$4)</f>
        <v>19961.94628574586</v>
      </c>
    </row>
    <row r="32" spans="2:8" x14ac:dyDescent="0.25">
      <c r="B32" s="2">
        <f t="shared" si="0"/>
        <v>2054</v>
      </c>
      <c r="C32" s="138">
        <f>'Air Quality'!F31</f>
        <v>398874.88752639294</v>
      </c>
      <c r="D32" s="118">
        <f>1*C32*Assumptions!$D$24*Assumptions!$D$14</f>
        <v>170788.64014622572</v>
      </c>
      <c r="E32" s="118">
        <f>1*C32*Assumptions!$D$25*Assumptions!$D$15</f>
        <v>18183.901524915666</v>
      </c>
      <c r="F32" s="118">
        <f t="shared" si="1"/>
        <v>188972.5416711414</v>
      </c>
      <c r="G32" s="119">
        <f>F32*(1+0.07)^-(B32-Assumptions!$D$4)</f>
        <v>18938.704292144921</v>
      </c>
      <c r="H32" s="46"/>
    </row>
    <row r="33" spans="1:8" x14ac:dyDescent="0.25">
      <c r="B33" s="2">
        <f t="shared" si="0"/>
        <v>2055</v>
      </c>
      <c r="C33" s="138">
        <f>'Air Quality'!F32</f>
        <v>404828.50727705657</v>
      </c>
      <c r="D33" s="118">
        <f>1*C33*Assumptions!$D$24*Assumptions!$D$14</f>
        <v>173337.83703216974</v>
      </c>
      <c r="E33" s="118">
        <f>1*C33*Assumptions!$D$25*Assumptions!$D$15</f>
        <v>18455.315039900852</v>
      </c>
      <c r="F33" s="118">
        <f t="shared" si="1"/>
        <v>191793.1520720706</v>
      </c>
      <c r="G33" s="119">
        <f>F33*(1+0.07)^-(B33-Assumptions!$D$4)</f>
        <v>17963.910297358525</v>
      </c>
      <c r="H33" s="46"/>
    </row>
    <row r="34" spans="1:8" ht="15" customHeight="1" x14ac:dyDescent="0.25">
      <c r="B34" s="2">
        <f t="shared" si="0"/>
        <v>2056</v>
      </c>
      <c r="C34" s="138">
        <f>'Air Quality'!F33</f>
        <v>410782.12702769041</v>
      </c>
      <c r="D34" s="118">
        <f>1*C34*Assumptions!$D$24*Assumptions!$D$14</f>
        <v>175887.03391810099</v>
      </c>
      <c r="E34" s="118">
        <f>1*C34*Assumptions!$D$25*Assumptions!$D$15</f>
        <v>18726.728554884685</v>
      </c>
      <c r="F34" s="118">
        <f t="shared" si="1"/>
        <v>194613.76247298566</v>
      </c>
      <c r="G34" s="119">
        <f>F34*(1+0.07)^-(B34-Assumptions!$D$4)</f>
        <v>17035.604632894501</v>
      </c>
      <c r="H34" s="87"/>
    </row>
    <row r="35" spans="1:8" ht="15.75" thickBot="1" x14ac:dyDescent="0.3">
      <c r="B35" s="3">
        <f t="shared" si="0"/>
        <v>2057</v>
      </c>
      <c r="C35" s="214">
        <f>'Air Quality'!F34</f>
        <v>416735.74677835405</v>
      </c>
      <c r="D35" s="121">
        <f>1*C35*Assumptions!$D$24*Assumptions!$D$14</f>
        <v>178436.23080404502</v>
      </c>
      <c r="E35" s="121">
        <f>1*C35*Assumptions!$D$25*Assumptions!$D$15</f>
        <v>18998.142069869875</v>
      </c>
      <c r="F35" s="121">
        <f t="shared" si="1"/>
        <v>197434.37287391489</v>
      </c>
      <c r="G35" s="151">
        <f>F35*(1+0.07)^-(B35-Assumptions!$D$4)</f>
        <v>16151.876685332369</v>
      </c>
      <c r="H35" s="87"/>
    </row>
    <row r="36" spans="1:8" ht="15.75" thickBot="1" x14ac:dyDescent="0.3">
      <c r="B36" s="4"/>
      <c r="C36" s="4"/>
      <c r="D36" s="115" t="s">
        <v>2</v>
      </c>
      <c r="E36" s="115"/>
      <c r="F36" s="46"/>
      <c r="G36" s="84">
        <f>SUM(G6:G35)</f>
        <v>1106099.8189301228</v>
      </c>
      <c r="H36" s="87"/>
    </row>
    <row r="37" spans="1:8" x14ac:dyDescent="0.25">
      <c r="H37" s="87"/>
    </row>
    <row r="38" spans="1:8" x14ac:dyDescent="0.25">
      <c r="B38" s="12" t="s">
        <v>3</v>
      </c>
      <c r="C38" s="12"/>
      <c r="D38" s="12"/>
      <c r="E38" s="12"/>
      <c r="H38" s="87"/>
    </row>
    <row r="39" spans="1:8" ht="15" customHeight="1" x14ac:dyDescent="0.25">
      <c r="A39" s="13" t="s">
        <v>53</v>
      </c>
      <c r="B39" s="480" t="str">
        <f>Assumptions!C48</f>
        <v>Vehicle operational costs  were valued in accordance with the Benefit-Cost Analysis Guidance for Discretionary Grant Programs - March 2022 (Revised). The recommended values for travel time were provided in year 2020 dollars.</v>
      </c>
      <c r="C39" s="480"/>
      <c r="D39" s="480"/>
      <c r="E39" s="480"/>
      <c r="F39" s="480"/>
      <c r="G39" s="480"/>
      <c r="H39" s="87"/>
    </row>
    <row r="40" spans="1:8" x14ac:dyDescent="0.25">
      <c r="B40" s="480"/>
      <c r="C40" s="480"/>
      <c r="D40" s="480"/>
      <c r="E40" s="480"/>
      <c r="F40" s="480"/>
      <c r="G40" s="480"/>
      <c r="H40" s="60"/>
    </row>
    <row r="41" spans="1:8" x14ac:dyDescent="0.25">
      <c r="B41" s="480"/>
      <c r="C41" s="480"/>
      <c r="D41" s="480"/>
      <c r="E41" s="480"/>
      <c r="F41" s="480"/>
      <c r="G41" s="480"/>
      <c r="H41" s="59"/>
    </row>
    <row r="42" spans="1:8" x14ac:dyDescent="0.25">
      <c r="B42" s="480"/>
      <c r="C42" s="480"/>
      <c r="D42" s="480"/>
      <c r="E42" s="480"/>
      <c r="F42" s="480"/>
      <c r="G42" s="480"/>
      <c r="H42" s="59"/>
    </row>
    <row r="43" spans="1:8" x14ac:dyDescent="0.25">
      <c r="B43" s="87"/>
      <c r="C43" s="87"/>
      <c r="D43" s="87"/>
      <c r="E43" s="87"/>
      <c r="F43" s="87"/>
      <c r="G43" s="87"/>
      <c r="H43" s="59"/>
    </row>
    <row r="44" spans="1:8" ht="15" customHeight="1" x14ac:dyDescent="0.25">
      <c r="A44" s="13" t="s">
        <v>66</v>
      </c>
      <c r="B44" s="480" t="str">
        <f>Assumptions!C33</f>
        <v>Truck percentage in the project area is estimated based on year 2019 AADT and HCAADT counts performed by MnDOT (https://mndot.maps.arcgis.com/apps/webappviewer/index.html?id=7b3be07daed84e7fa170a91059ce63bb).</v>
      </c>
      <c r="C44" s="480"/>
      <c r="D44" s="480"/>
      <c r="E44" s="480"/>
      <c r="F44" s="480"/>
      <c r="G44" s="480"/>
      <c r="H44" s="59"/>
    </row>
    <row r="45" spans="1:8" x14ac:dyDescent="0.25">
      <c r="B45" s="480"/>
      <c r="C45" s="480"/>
      <c r="D45" s="480"/>
      <c r="E45" s="480"/>
      <c r="F45" s="480"/>
      <c r="G45" s="480"/>
      <c r="H45" s="59"/>
    </row>
    <row r="46" spans="1:8" x14ac:dyDescent="0.25">
      <c r="B46" s="480"/>
      <c r="C46" s="480"/>
      <c r="D46" s="480"/>
      <c r="E46" s="480"/>
      <c r="F46" s="480"/>
      <c r="G46" s="480"/>
      <c r="H46" s="59"/>
    </row>
    <row r="47" spans="1:8" x14ac:dyDescent="0.25">
      <c r="B47" s="87"/>
      <c r="C47" s="87"/>
      <c r="D47" s="87"/>
      <c r="E47" s="87"/>
      <c r="F47" s="87"/>
      <c r="G47" s="87"/>
      <c r="H47" s="59"/>
    </row>
    <row r="48" spans="1:8" ht="15" customHeight="1" x14ac:dyDescent="0.25">
      <c r="A48" s="13" t="s">
        <v>67</v>
      </c>
      <c r="B48" s="480" t="s">
        <v>397</v>
      </c>
      <c r="C48" s="480"/>
      <c r="D48" s="480"/>
      <c r="E48" s="480"/>
      <c r="F48" s="480"/>
      <c r="G48" s="480"/>
      <c r="H48" s="59"/>
    </row>
    <row r="49" spans="1:7" x14ac:dyDescent="0.25">
      <c r="B49" s="480"/>
      <c r="C49" s="480"/>
      <c r="D49" s="480"/>
      <c r="E49" s="480"/>
      <c r="F49" s="480"/>
      <c r="G49" s="480"/>
    </row>
    <row r="50" spans="1:7" x14ac:dyDescent="0.25">
      <c r="B50" s="480"/>
      <c r="C50" s="480"/>
      <c r="D50" s="480"/>
      <c r="E50" s="480"/>
      <c r="F50" s="480"/>
      <c r="G50" s="480"/>
    </row>
    <row r="51" spans="1:7" x14ac:dyDescent="0.25">
      <c r="B51" s="480"/>
      <c r="C51" s="480"/>
      <c r="D51" s="480"/>
      <c r="E51" s="480"/>
      <c r="F51" s="480"/>
      <c r="G51" s="480"/>
    </row>
    <row r="52" spans="1:7" x14ac:dyDescent="0.25">
      <c r="B52" s="480"/>
      <c r="C52" s="480"/>
      <c r="D52" s="480"/>
      <c r="E52" s="480"/>
      <c r="F52" s="480"/>
      <c r="G52" s="480"/>
    </row>
    <row r="53" spans="1:7" x14ac:dyDescent="0.25">
      <c r="B53" s="480"/>
      <c r="C53" s="480"/>
      <c r="D53" s="480"/>
      <c r="E53" s="480"/>
      <c r="F53" s="480"/>
      <c r="G53" s="480"/>
    </row>
    <row r="54" spans="1:7" x14ac:dyDescent="0.25">
      <c r="B54" s="480"/>
      <c r="C54" s="480"/>
      <c r="D54" s="480"/>
      <c r="E54" s="480"/>
      <c r="F54" s="480"/>
      <c r="G54" s="480"/>
    </row>
    <row r="55" spans="1:7" x14ac:dyDescent="0.25">
      <c r="B55" s="480"/>
      <c r="C55" s="480"/>
      <c r="D55" s="480"/>
      <c r="E55" s="480"/>
      <c r="F55" s="480"/>
      <c r="G55" s="480"/>
    </row>
    <row r="56" spans="1:7" x14ac:dyDescent="0.25">
      <c r="B56" s="36"/>
      <c r="C56" s="36"/>
      <c r="D56" s="36"/>
      <c r="E56" s="36"/>
      <c r="F56" s="36"/>
      <c r="G56" s="36"/>
    </row>
    <row r="57" spans="1:7" x14ac:dyDescent="0.25">
      <c r="B57" s="36"/>
      <c r="C57" s="36"/>
      <c r="D57" s="36"/>
      <c r="E57" s="36"/>
    </row>
    <row r="58" spans="1:7" x14ac:dyDescent="0.25">
      <c r="B58" s="36"/>
      <c r="C58" s="36"/>
      <c r="D58" s="36"/>
      <c r="E58" s="36"/>
    </row>
    <row r="59" spans="1:7" x14ac:dyDescent="0.25">
      <c r="B59" s="36"/>
      <c r="C59" s="36"/>
      <c r="D59" s="36"/>
      <c r="E59" s="36"/>
    </row>
    <row r="60" spans="1:7" x14ac:dyDescent="0.25">
      <c r="A60" s="13"/>
      <c r="B60" s="36"/>
      <c r="C60" s="36"/>
      <c r="D60" s="36"/>
      <c r="E60" s="36"/>
    </row>
    <row r="62" spans="1:7" x14ac:dyDescent="0.25">
      <c r="B62" s="36"/>
      <c r="C62" s="36"/>
      <c r="D62" s="36"/>
      <c r="E62" s="36"/>
    </row>
    <row r="63" spans="1:7" x14ac:dyDescent="0.25">
      <c r="A63" s="13"/>
      <c r="B63" s="36"/>
      <c r="C63" s="36"/>
      <c r="D63" s="36"/>
      <c r="E63" s="36"/>
    </row>
    <row r="64" spans="1:7" x14ac:dyDescent="0.25">
      <c r="B64" s="36"/>
      <c r="C64" s="36"/>
      <c r="D64" s="36"/>
      <c r="E64" s="36"/>
    </row>
    <row r="68" spans="1:1" x14ac:dyDescent="0.25">
      <c r="A68" s="13"/>
    </row>
    <row r="72" spans="1:1" x14ac:dyDescent="0.25">
      <c r="A72" s="13"/>
    </row>
    <row r="74" spans="1:1" x14ac:dyDescent="0.25">
      <c r="A74" s="13"/>
    </row>
    <row r="78" spans="1:1" x14ac:dyDescent="0.25">
      <c r="A78" s="13"/>
    </row>
  </sheetData>
  <mergeCells count="9">
    <mergeCell ref="B44:G46"/>
    <mergeCell ref="B48:G55"/>
    <mergeCell ref="B39:G42"/>
    <mergeCell ref="G4:G5"/>
    <mergeCell ref="E4:E5"/>
    <mergeCell ref="B4:B5"/>
    <mergeCell ref="C4:C5"/>
    <mergeCell ref="D4:D5"/>
    <mergeCell ref="F4:F5"/>
  </mergeCells>
  <pageMargins left="0.25" right="0.25" top="0.75" bottom="0.75" header="0.3" footer="0.3"/>
  <pageSetup paperSize="4"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6E333-3C7D-42CD-91CB-2AB4E8C69892}">
  <sheetPr>
    <tabColor rgb="FF00B050"/>
    <pageSetUpPr fitToPage="1"/>
  </sheetPr>
  <dimension ref="A2:AX121"/>
  <sheetViews>
    <sheetView view="pageBreakPreview" topLeftCell="A28" zoomScale="85" zoomScaleNormal="85" zoomScaleSheetLayoutView="85" workbookViewId="0">
      <selection activeCell="H43" sqref="H43"/>
    </sheetView>
  </sheetViews>
  <sheetFormatPr defaultRowHeight="15" x14ac:dyDescent="0.25"/>
  <cols>
    <col min="1" max="1" width="5.42578125" customWidth="1"/>
    <col min="2" max="6" width="15.85546875" customWidth="1"/>
    <col min="7" max="7" width="10.85546875" customWidth="1"/>
    <col min="8" max="8" width="11.140625" customWidth="1"/>
    <col min="9" max="9" width="45.5703125" customWidth="1"/>
    <col min="10" max="14" width="18.28515625" customWidth="1"/>
    <col min="15" max="15" width="23.85546875" customWidth="1"/>
    <col min="16" max="16" width="19.7109375" customWidth="1"/>
    <col min="20" max="20" width="15.28515625" bestFit="1" customWidth="1"/>
    <col min="21" max="21" width="49.28515625" bestFit="1" customWidth="1"/>
    <col min="22" max="23" width="12.7109375" bestFit="1" customWidth="1"/>
    <col min="24" max="25" width="10.42578125" bestFit="1" customWidth="1"/>
    <col min="26" max="26" width="24.7109375" customWidth="1"/>
    <col min="27" max="27" width="9" customWidth="1"/>
    <col min="48" max="48" width="18.42578125" bestFit="1" customWidth="1"/>
    <col min="49" max="49" width="16.28515625" bestFit="1" customWidth="1"/>
  </cols>
  <sheetData>
    <row r="2" spans="2:49" x14ac:dyDescent="0.25">
      <c r="B2" s="12" t="s">
        <v>227</v>
      </c>
      <c r="AB2" s="500" t="s">
        <v>43</v>
      </c>
      <c r="AC2" s="500"/>
      <c r="AD2" s="500"/>
      <c r="AE2" s="500"/>
      <c r="AF2" s="500"/>
      <c r="AG2" s="500"/>
      <c r="AH2" s="500"/>
      <c r="AI2" s="500"/>
      <c r="AJ2" s="500"/>
      <c r="AK2" s="500"/>
      <c r="AL2" s="500" t="s">
        <v>44</v>
      </c>
      <c r="AM2" s="500"/>
      <c r="AN2" s="500"/>
      <c r="AO2" s="500"/>
      <c r="AP2" s="500"/>
      <c r="AQ2" s="500"/>
      <c r="AR2" s="500"/>
      <c r="AS2" s="500"/>
      <c r="AT2" s="500"/>
      <c r="AU2" s="500"/>
    </row>
    <row r="3" spans="2:49" ht="15.75" thickBot="1" x14ac:dyDescent="0.3">
      <c r="AB3" t="s">
        <v>354</v>
      </c>
      <c r="AG3" t="s">
        <v>355</v>
      </c>
      <c r="AL3" t="s">
        <v>354</v>
      </c>
      <c r="AQ3" t="s">
        <v>355</v>
      </c>
    </row>
    <row r="4" spans="2:49" ht="29.25" customHeight="1" x14ac:dyDescent="0.25">
      <c r="B4" s="494" t="s">
        <v>0</v>
      </c>
      <c r="C4" s="494" t="s">
        <v>366</v>
      </c>
      <c r="D4" s="494" t="s">
        <v>367</v>
      </c>
      <c r="E4" s="494" t="s">
        <v>118</v>
      </c>
      <c r="F4" s="501" t="s">
        <v>1</v>
      </c>
      <c r="AB4" s="253" t="s">
        <v>54</v>
      </c>
      <c r="AC4" s="427" t="s">
        <v>55</v>
      </c>
      <c r="AD4" s="427" t="s">
        <v>56</v>
      </c>
      <c r="AE4" s="427" t="s">
        <v>57</v>
      </c>
      <c r="AF4" s="412" t="s">
        <v>58</v>
      </c>
      <c r="AG4" s="253" t="s">
        <v>54</v>
      </c>
      <c r="AH4" s="427" t="s">
        <v>55</v>
      </c>
      <c r="AI4" s="427" t="s">
        <v>56</v>
      </c>
      <c r="AJ4" s="427" t="s">
        <v>57</v>
      </c>
      <c r="AK4" s="412" t="s">
        <v>58</v>
      </c>
      <c r="AL4" s="253" t="s">
        <v>54</v>
      </c>
      <c r="AM4" s="427" t="s">
        <v>55</v>
      </c>
      <c r="AN4" s="427" t="s">
        <v>56</v>
      </c>
      <c r="AO4" s="427" t="s">
        <v>57</v>
      </c>
      <c r="AP4" s="412" t="s">
        <v>58</v>
      </c>
      <c r="AQ4" s="253" t="s">
        <v>54</v>
      </c>
      <c r="AR4" s="427" t="s">
        <v>55</v>
      </c>
      <c r="AS4" s="427" t="s">
        <v>56</v>
      </c>
      <c r="AT4" s="427" t="s">
        <v>57</v>
      </c>
      <c r="AU4" s="412" t="s">
        <v>58</v>
      </c>
      <c r="AV4" s="61" t="s">
        <v>356</v>
      </c>
      <c r="AW4" s="61" t="s">
        <v>357</v>
      </c>
    </row>
    <row r="5" spans="2:49" ht="29.25" customHeight="1" thickBot="1" x14ac:dyDescent="0.3">
      <c r="B5" s="495"/>
      <c r="C5" s="495"/>
      <c r="D5" s="495"/>
      <c r="E5" s="495"/>
      <c r="F5" s="502"/>
      <c r="I5" s="70" t="s">
        <v>228</v>
      </c>
      <c r="J5" s="69"/>
      <c r="AA5">
        <v>2020</v>
      </c>
      <c r="AB5" s="428">
        <f>J16/3</f>
        <v>0.33333333333333331</v>
      </c>
      <c r="AC5" s="428">
        <f>K16/3</f>
        <v>0</v>
      </c>
      <c r="AD5" s="428">
        <f>L16/3</f>
        <v>2.3333333333333335</v>
      </c>
      <c r="AE5" s="428">
        <f>M16/3</f>
        <v>6</v>
      </c>
      <c r="AF5" s="428">
        <f>N16/3</f>
        <v>28.666666666666668</v>
      </c>
      <c r="AG5" s="428">
        <f>J17/3</f>
        <v>0</v>
      </c>
      <c r="AH5" s="428">
        <f>K17/3</f>
        <v>0</v>
      </c>
      <c r="AI5" s="428">
        <f>L17/3</f>
        <v>0</v>
      </c>
      <c r="AJ5" s="428">
        <f>M17/3</f>
        <v>1.6666666666666667</v>
      </c>
      <c r="AK5" s="428">
        <f>N17/3</f>
        <v>10</v>
      </c>
      <c r="AL5" s="428">
        <f>AB5*J21</f>
        <v>0.1933333333333333</v>
      </c>
      <c r="AM5" s="428">
        <f>AC5*K21</f>
        <v>0</v>
      </c>
      <c r="AN5" s="428">
        <f>AD5*L21</f>
        <v>1.3533333333333333</v>
      </c>
      <c r="AO5" s="428">
        <f>AE5*M21</f>
        <v>3.4799999999999995</v>
      </c>
      <c r="AP5" s="428">
        <f>AF5*N21</f>
        <v>16.626666666666665</v>
      </c>
      <c r="AQ5" s="428">
        <f>AG5*J21</f>
        <v>0</v>
      </c>
      <c r="AR5" s="428">
        <f>AH5*K21</f>
        <v>0</v>
      </c>
      <c r="AS5" s="428">
        <f>AI5*L21</f>
        <v>0</v>
      </c>
      <c r="AT5" s="428">
        <f>AJ5*M21</f>
        <v>0.96666666666666667</v>
      </c>
      <c r="AU5" s="428">
        <f>AK5*N21</f>
        <v>5.8</v>
      </c>
      <c r="AV5" s="428">
        <f>SUMPRODUCT(AB5:AF5,$J$7:$N$7)+SUMPRODUCT(AG5:AK5,$J$7:$N$7)</f>
        <v>5401433.333333334</v>
      </c>
      <c r="AW5" s="428">
        <f>SUMPRODUCT(AL5:AP5,$J$7:$N$7)+SUMPRODUCT(AQ5:AU5,$J$7:$N$7)</f>
        <v>3132831.3333333326</v>
      </c>
    </row>
    <row r="6" spans="2:49" x14ac:dyDescent="0.25">
      <c r="B6" s="295">
        <f>Assumptions!D8</f>
        <v>2028</v>
      </c>
      <c r="C6" s="128">
        <f>TREND($J$31:$K$31,$J$25:$K$25,$B6)</f>
        <v>2371494.5962714218</v>
      </c>
      <c r="D6" s="128">
        <f>TREND($K$39:$L$39,$K$36:$L$36,$B6)</f>
        <v>120084.59506830713</v>
      </c>
      <c r="E6" s="444">
        <f>SUM(C6:D6)</f>
        <v>2491579.1913397289</v>
      </c>
      <c r="F6" s="296">
        <f>E6*(1+0.07)^-($B6-Assumptions!$D$4)</f>
        <v>1450121.7741045181</v>
      </c>
      <c r="G6" s="297"/>
      <c r="I6" s="298" t="s">
        <v>229</v>
      </c>
      <c r="J6" s="299" t="s">
        <v>54</v>
      </c>
      <c r="K6" s="299" t="s">
        <v>55</v>
      </c>
      <c r="L6" s="299" t="s">
        <v>56</v>
      </c>
      <c r="M6" s="58" t="s">
        <v>57</v>
      </c>
      <c r="N6" s="58" t="s">
        <v>58</v>
      </c>
      <c r="O6" s="299" t="s">
        <v>365</v>
      </c>
      <c r="AA6">
        <v>2045</v>
      </c>
      <c r="AB6" s="428">
        <f>AB5*(1+$L$11)^($AA$6-$AA$5)</f>
        <v>0.38057819505113455</v>
      </c>
      <c r="AC6" s="428">
        <f>AC5*(1+$L$11)^($AA$6-$AA$5)</f>
        <v>0</v>
      </c>
      <c r="AD6" s="428">
        <f>AD5*(1+$L$11)^($AA$6-$AA$5)</f>
        <v>2.6640473653579422</v>
      </c>
      <c r="AE6" s="428">
        <f>AE5*(1+$L$11)^($AA$6-$AA$5)</f>
        <v>6.850407510920423</v>
      </c>
      <c r="AF6" s="428">
        <f>AF5*(1+$L$11)^($AA$6-$AA$5)</f>
        <v>32.729724774397575</v>
      </c>
      <c r="AG6" s="428">
        <f>AG5*(1+$L$11)^($AA$6-$AA$5)</f>
        <v>0</v>
      </c>
      <c r="AH6" s="428">
        <f>AH5*(1+$L$11)^($AA$6-$AA$5)</f>
        <v>0</v>
      </c>
      <c r="AI6" s="428">
        <f>AI5*(1+$L$11)^($AA$6-$AA$5)</f>
        <v>0</v>
      </c>
      <c r="AJ6" s="428">
        <f>AJ5*(1+$L$11)^($AA$6-$AA$5)</f>
        <v>1.9028909752556731</v>
      </c>
      <c r="AK6" s="428">
        <f>AK5*(1+$L$11)^($AA$6-$AA$5)</f>
        <v>11.417345851534037</v>
      </c>
      <c r="AL6" s="428">
        <f>AB6*$J$21</f>
        <v>0.22073535312965803</v>
      </c>
      <c r="AM6" s="428">
        <f>AC6*$K$21</f>
        <v>0</v>
      </c>
      <c r="AN6" s="428">
        <f>AD6*$L$21</f>
        <v>1.5451474719076064</v>
      </c>
      <c r="AO6" s="428">
        <f>AE6*$M$21</f>
        <v>3.9732363563338451</v>
      </c>
      <c r="AP6" s="428">
        <f>AF6*$N$21</f>
        <v>18.983240369150593</v>
      </c>
      <c r="AQ6" s="428">
        <f>AG6*$J$21</f>
        <v>0</v>
      </c>
      <c r="AR6" s="428">
        <f>AH6*$K$21</f>
        <v>0</v>
      </c>
      <c r="AS6" s="428">
        <f>AI6*$L$21</f>
        <v>0</v>
      </c>
      <c r="AT6" s="428">
        <f>AJ6*$M$21</f>
        <v>1.1036767656482902</v>
      </c>
      <c r="AU6" s="428">
        <f>AK6*$N$21</f>
        <v>6.6220605938897412</v>
      </c>
      <c r="AV6" s="428">
        <f t="shared" ref="AV6:AV36" si="0">SUMPRODUCT(AB6:AF6,$J$7:$N$7)+SUMPRODUCT(AG6:AK6,$J$7:$N$7)</f>
        <v>6167003.2460670993</v>
      </c>
      <c r="AW6" s="428">
        <f t="shared" ref="AW6:AW36" si="1">SUMPRODUCT(AL6:AP6,$J$7:$N$7)+SUMPRODUCT(AQ6:AU6,$J$7:$N$7)</f>
        <v>3576861.8827189179</v>
      </c>
    </row>
    <row r="7" spans="2:49" x14ac:dyDescent="0.25">
      <c r="B7" s="300">
        <f>B6+1</f>
        <v>2029</v>
      </c>
      <c r="C7" s="226">
        <f>TREND($J$31:$K$31,$J$25:$K$25,$B7)</f>
        <v>2384356.1708053499</v>
      </c>
      <c r="D7" s="445">
        <f>TREND($K$39:$L$39,$K$36:$L$36,$B7)</f>
        <v>120739.56515864376</v>
      </c>
      <c r="E7" s="445">
        <f t="shared" ref="E7:E35" si="2">SUM(C7:D7)</f>
        <v>2505095.7359639937</v>
      </c>
      <c r="F7" s="301">
        <f>E7*(1+0.07)^-($B7-Assumptions!$D$4)</f>
        <v>1362606.0991944859</v>
      </c>
      <c r="I7" s="67" t="s">
        <v>230</v>
      </c>
      <c r="J7" s="293">
        <v>12837400</v>
      </c>
      <c r="K7" s="293">
        <v>554800</v>
      </c>
      <c r="L7" s="293">
        <v>151100</v>
      </c>
      <c r="M7" s="293">
        <v>77200</v>
      </c>
      <c r="N7" s="293">
        <v>4600</v>
      </c>
      <c r="O7" s="293">
        <v>302600</v>
      </c>
      <c r="AA7">
        <f>B6</f>
        <v>2028</v>
      </c>
      <c r="AB7" s="428" cm="1">
        <f t="array" ref="AB7">TREND(AB$5:AB$6,$AA$5:$AA$6,$AA7)</f>
        <v>0.34845168908303004</v>
      </c>
      <c r="AC7" s="429" cm="1">
        <f t="array" ref="AC7">TREND(AC$5:AC$6,$AA$5:$AA$6,$AA7)</f>
        <v>0</v>
      </c>
      <c r="AD7" s="429" cm="1">
        <f t="array" ref="AD7">TREND(AD$5:AD$6,$AA$5:$AA$6,$AA7)</f>
        <v>2.4391618235812089</v>
      </c>
      <c r="AE7" s="429" cm="1">
        <f t="array" ref="AE7">TREND(AE$5:AE$6,$AA$5:$AA$6,$AA7)</f>
        <v>6.272130403494522</v>
      </c>
      <c r="AF7" s="430" cm="1">
        <f t="array" ref="AF7">TREND(AF$5:AF$6,$AA$5:$AA$6,$AA7)</f>
        <v>29.96684526114052</v>
      </c>
      <c r="AG7" s="428" cm="1">
        <f t="array" ref="AG7">TREND(AG$5:AG$6,$AA$5:$AA$6,$AA7)</f>
        <v>0</v>
      </c>
      <c r="AH7" s="429" cm="1">
        <f t="array" ref="AH7">TREND(AH$5:AH$6,$AA$5:$AA$6,$AA7)</f>
        <v>0</v>
      </c>
      <c r="AI7" s="429" cm="1">
        <f t="array" ref="AI7">TREND(AI$5:AI$6,$AA$5:$AA$6,$AA7)</f>
        <v>0</v>
      </c>
      <c r="AJ7" s="429" cm="1">
        <f t="array" ref="AJ7">TREND(AJ$5:AJ$6,$AA$5:$AA$6,$AA7)</f>
        <v>1.7422584454151462</v>
      </c>
      <c r="AK7" s="430" cm="1">
        <f t="array" ref="AK7">TREND(AK$5:AK$6,$AA$5:$AA$6,$AA7)</f>
        <v>10.453550672490891</v>
      </c>
      <c r="AL7" s="428">
        <f>AB7*$J$21</f>
        <v>0.20210197966815741</v>
      </c>
      <c r="AM7" s="428">
        <f>AC7*$K$21</f>
        <v>0</v>
      </c>
      <c r="AN7" s="428">
        <f t="shared" ref="AN7:AN36" si="3">AD7*$L$21</f>
        <v>1.414713857677101</v>
      </c>
      <c r="AO7" s="428">
        <f t="shared" ref="AO7:AO36" si="4">AE7*$M$21</f>
        <v>3.6378356340268225</v>
      </c>
      <c r="AP7" s="428">
        <f t="shared" ref="AP7:AP36" si="5">AF7*$N$21</f>
        <v>17.380770251461499</v>
      </c>
      <c r="AQ7" s="428">
        <f t="shared" ref="AQ7:AQ36" si="6">AG7*$J$21</f>
        <v>0</v>
      </c>
      <c r="AR7" s="428">
        <f t="shared" ref="AR7:AR36" si="7">AH7*$K$21</f>
        <v>0</v>
      </c>
      <c r="AS7" s="428">
        <f t="shared" ref="AS7:AS36" si="8">AI7*$L$21</f>
        <v>0</v>
      </c>
      <c r="AT7" s="428">
        <f t="shared" ref="AT7:AT36" si="9">AJ7*$M$21</f>
        <v>1.0105098983407848</v>
      </c>
      <c r="AU7" s="428">
        <f t="shared" ref="AU7:AU36" si="10">AK7*$N$21</f>
        <v>6.0630593900447165</v>
      </c>
      <c r="AV7" s="428">
        <f t="shared" si="0"/>
        <v>5646415.7054081419</v>
      </c>
      <c r="AW7" s="428">
        <f t="shared" si="1"/>
        <v>3274921.1091367221</v>
      </c>
    </row>
    <row r="8" spans="2:49" x14ac:dyDescent="0.25">
      <c r="B8" s="300">
        <f t="shared" ref="B8:B35" si="11">B7+1</f>
        <v>2030</v>
      </c>
      <c r="C8" s="226">
        <f>TREND($J$31:$K$31,$J$25:$K$25,$B8)</f>
        <v>2397217.7453392744</v>
      </c>
      <c r="D8" s="445">
        <f>TREND($K$39:$L$39,$K$36:$L$36,$B8)</f>
        <v>121394.53524898039</v>
      </c>
      <c r="E8" s="445">
        <f t="shared" si="2"/>
        <v>2518612.2805882548</v>
      </c>
      <c r="F8" s="301">
        <f>E8*(1+0.07)^-($B8-Assumptions!$D$4)</f>
        <v>1280334.7699988466</v>
      </c>
      <c r="AA8">
        <f>AA7+1</f>
        <v>2029</v>
      </c>
      <c r="AB8" s="428" cm="1">
        <f t="array" ref="AB8">TREND(AB$5:AB$6,$AA$5:$AA$6,$AA8)</f>
        <v>0.35034148355174199</v>
      </c>
      <c r="AC8" s="429" cm="1">
        <f t="array" ref="AC8">TREND(AC$5:AC$6,$AA$5:$AA$6,$AA8)</f>
        <v>0</v>
      </c>
      <c r="AD8" s="429" cm="1">
        <f t="array" ref="AD8">TREND(AD$5:AD$6,$AA$5:$AA$6,$AA8)</f>
        <v>2.4523903848621913</v>
      </c>
      <c r="AE8" s="429" cm="1">
        <f t="array" ref="AE8">TREND(AE$5:AE$6,$AA$5:$AA$6,$AA8)</f>
        <v>6.3061467039313399</v>
      </c>
      <c r="AF8" s="430" cm="1">
        <f t="array" ref="AF8">TREND(AF$5:AF$6,$AA$5:$AA$6,$AA8)</f>
        <v>30.129367585449756</v>
      </c>
      <c r="AG8" s="428" cm="1">
        <f t="array" ref="AG8">TREND(AG$5:AG$6,$AA$5:$AA$6,$AA8)</f>
        <v>0</v>
      </c>
      <c r="AH8" s="429" cm="1">
        <f t="array" ref="AH8">TREND(AH$5:AH$6,$AA$5:$AA$6,$AA8)</f>
        <v>0</v>
      </c>
      <c r="AI8" s="429" cm="1">
        <f t="array" ref="AI8">TREND(AI$5:AI$6,$AA$5:$AA$6,$AA8)</f>
        <v>0</v>
      </c>
      <c r="AJ8" s="429" cm="1">
        <f t="array" ref="AJ8">TREND(AJ$5:AJ$6,$AA$5:$AA$6,$AA8)</f>
        <v>1.7517074177587055</v>
      </c>
      <c r="AK8" s="430" cm="1">
        <f t="array" ref="AK8">TREND(AK$5:AK$6,$AA$5:$AA$6,$AA8)</f>
        <v>10.510244506552255</v>
      </c>
      <c r="AL8" s="428">
        <f t="shared" ref="AL8:AL36" si="12">AB8*$J$21</f>
        <v>0.20319806046001035</v>
      </c>
      <c r="AM8" s="428">
        <f t="shared" ref="AM8:AM36" si="13">AC8*$K$21</f>
        <v>0</v>
      </c>
      <c r="AN8" s="428">
        <f t="shared" si="3"/>
        <v>1.4223864232200709</v>
      </c>
      <c r="AO8" s="428">
        <f t="shared" si="4"/>
        <v>3.6575650882801769</v>
      </c>
      <c r="AP8" s="428">
        <f t="shared" si="5"/>
        <v>17.475033199560858</v>
      </c>
      <c r="AQ8" s="428">
        <f t="shared" si="6"/>
        <v>0</v>
      </c>
      <c r="AR8" s="428">
        <f t="shared" si="7"/>
        <v>0</v>
      </c>
      <c r="AS8" s="428">
        <f t="shared" si="8"/>
        <v>0</v>
      </c>
      <c r="AT8" s="428">
        <f t="shared" si="9"/>
        <v>1.0159903023000492</v>
      </c>
      <c r="AU8" s="428">
        <f t="shared" si="10"/>
        <v>6.095941813800307</v>
      </c>
      <c r="AV8" s="428">
        <f t="shared" si="0"/>
        <v>5677038.5019174907</v>
      </c>
      <c r="AW8" s="428">
        <f t="shared" si="1"/>
        <v>3292682.3311121445</v>
      </c>
    </row>
    <row r="9" spans="2:49" x14ac:dyDescent="0.25">
      <c r="B9" s="300">
        <f t="shared" si="11"/>
        <v>2031</v>
      </c>
      <c r="C9" s="226">
        <f>TREND($J$31:$K$31,$J$25:$K$25,$B9)</f>
        <v>2410079.3198732026</v>
      </c>
      <c r="D9" s="445">
        <f>TREND($K$39:$L$39,$K$36:$L$36,$B9)</f>
        <v>122049.50533931679</v>
      </c>
      <c r="E9" s="445">
        <f t="shared" si="2"/>
        <v>2532128.8252125196</v>
      </c>
      <c r="F9" s="301">
        <f>E9*(1+0.07)^-($B9-Assumptions!$D$4)</f>
        <v>1202996.1643838305</v>
      </c>
      <c r="I9" s="12" t="s">
        <v>361</v>
      </c>
      <c r="AA9">
        <f t="shared" ref="AA9:AA36" si="14">AA8+1</f>
        <v>2030</v>
      </c>
      <c r="AB9" s="428" cm="1">
        <f t="array" ref="AB9">TREND(AB$5:AB$6,$AA$5:$AA$6,$AA9)</f>
        <v>0.35223127802045395</v>
      </c>
      <c r="AC9" s="429" cm="1">
        <f t="array" ref="AC9">TREND(AC$5:AC$6,$AA$5:$AA$6,$AA9)</f>
        <v>0</v>
      </c>
      <c r="AD9" s="429" cm="1">
        <f t="array" ref="AD9">TREND(AD$5:AD$6,$AA$5:$AA$6,$AA9)</f>
        <v>2.4656189461431772</v>
      </c>
      <c r="AE9" s="429" cm="1">
        <f t="array" ref="AE9">TREND(AE$5:AE$6,$AA$5:$AA$6,$AA9)</f>
        <v>6.3401630043681578</v>
      </c>
      <c r="AF9" s="430" cm="1">
        <f t="array" ref="AF9">TREND(AF$5:AF$6,$AA$5:$AA$6,$AA9)</f>
        <v>30.291889909758993</v>
      </c>
      <c r="AG9" s="428" cm="1">
        <f t="array" ref="AG9">TREND(AG$5:AG$6,$AA$5:$AA$6,$AA9)</f>
        <v>0</v>
      </c>
      <c r="AH9" s="429" cm="1">
        <f t="array" ref="AH9">TREND(AH$5:AH$6,$AA$5:$AA$6,$AA9)</f>
        <v>0</v>
      </c>
      <c r="AI9" s="429" cm="1">
        <f t="array" ref="AI9">TREND(AI$5:AI$6,$AA$5:$AA$6,$AA9)</f>
        <v>0</v>
      </c>
      <c r="AJ9" s="429" cm="1">
        <f t="array" ref="AJ9">TREND(AJ$5:AJ$6,$AA$5:$AA$6,$AA9)</f>
        <v>1.7611563901022649</v>
      </c>
      <c r="AK9" s="430" cm="1">
        <f t="array" ref="AK9">TREND(AK$5:AK$6,$AA$5:$AA$6,$AA9)</f>
        <v>10.566938340613618</v>
      </c>
      <c r="AL9" s="428">
        <f t="shared" si="12"/>
        <v>0.20429414125186326</v>
      </c>
      <c r="AM9" s="428">
        <f t="shared" si="13"/>
        <v>0</v>
      </c>
      <c r="AN9" s="428">
        <f t="shared" si="3"/>
        <v>1.4300589887630426</v>
      </c>
      <c r="AO9" s="428">
        <f t="shared" si="4"/>
        <v>3.6772945425335313</v>
      </c>
      <c r="AP9" s="428">
        <f t="shared" si="5"/>
        <v>17.569296147660214</v>
      </c>
      <c r="AQ9" s="428">
        <f t="shared" si="6"/>
        <v>0</v>
      </c>
      <c r="AR9" s="428">
        <f t="shared" si="7"/>
        <v>0</v>
      </c>
      <c r="AS9" s="428">
        <f t="shared" si="8"/>
        <v>0</v>
      </c>
      <c r="AT9" s="428">
        <f t="shared" si="9"/>
        <v>1.0214707062593136</v>
      </c>
      <c r="AU9" s="428">
        <f t="shared" si="10"/>
        <v>6.1288242375558974</v>
      </c>
      <c r="AV9" s="428">
        <f t="shared" si="0"/>
        <v>5707661.2984268405</v>
      </c>
      <c r="AW9" s="428">
        <f t="shared" si="1"/>
        <v>3310443.5530875674</v>
      </c>
    </row>
    <row r="10" spans="2:49" ht="15" customHeight="1" x14ac:dyDescent="0.25">
      <c r="B10" s="300">
        <f t="shared" si="11"/>
        <v>2032</v>
      </c>
      <c r="C10" s="226">
        <f>TREND($J$31:$K$31,$J$25:$K$25,$B10)</f>
        <v>2422940.8944071308</v>
      </c>
      <c r="D10" s="445">
        <f>TREND($K$39:$L$39,$K$36:$L$36,$B10)</f>
        <v>122704.47542965342</v>
      </c>
      <c r="E10" s="445">
        <f t="shared" si="2"/>
        <v>2545645.369836784</v>
      </c>
      <c r="F10" s="301">
        <f>E10*(1+0.07)^-($B10-Assumptions!$D$4)</f>
        <v>1130296.9881933366</v>
      </c>
      <c r="I10" s="35" t="s">
        <v>0</v>
      </c>
      <c r="J10" s="58" t="s">
        <v>328</v>
      </c>
      <c r="K10" s="364" t="s">
        <v>335</v>
      </c>
      <c r="L10" s="61"/>
      <c r="M10" s="12"/>
      <c r="N10" s="12"/>
      <c r="AA10">
        <f t="shared" si="14"/>
        <v>2031</v>
      </c>
      <c r="AB10" s="428" cm="1">
        <f t="array" ref="AB10">TREND(AB$5:AB$6,$AA$5:$AA$6,$AA10)</f>
        <v>0.35412107248916591</v>
      </c>
      <c r="AC10" s="429" cm="1">
        <f t="array" ref="AC10">TREND(AC$5:AC$6,$AA$5:$AA$6,$AA10)</f>
        <v>0</v>
      </c>
      <c r="AD10" s="429" cm="1">
        <f t="array" ref="AD10">TREND(AD$5:AD$6,$AA$5:$AA$6,$AA10)</f>
        <v>2.4788475074241632</v>
      </c>
      <c r="AE10" s="429" cm="1">
        <f t="array" ref="AE10">TREND(AE$5:AE$6,$AA$5:$AA$6,$AA10)</f>
        <v>6.3741793048049757</v>
      </c>
      <c r="AF10" s="430" cm="1">
        <f t="array" ref="AF10">TREND(AF$5:AF$6,$AA$5:$AA$6,$AA10)</f>
        <v>30.454412234068229</v>
      </c>
      <c r="AG10" s="428" cm="1">
        <f t="array" ref="AG10">TREND(AG$5:AG$6,$AA$5:$AA$6,$AA10)</f>
        <v>0</v>
      </c>
      <c r="AH10" s="429" cm="1">
        <f t="array" ref="AH10">TREND(AH$5:AH$6,$AA$5:$AA$6,$AA10)</f>
        <v>0</v>
      </c>
      <c r="AI10" s="429" cm="1">
        <f t="array" ref="AI10">TREND(AI$5:AI$6,$AA$5:$AA$6,$AA10)</f>
        <v>0</v>
      </c>
      <c r="AJ10" s="429" cm="1">
        <f t="array" ref="AJ10">TREND(AJ$5:AJ$6,$AA$5:$AA$6,$AA10)</f>
        <v>1.7706053624458278</v>
      </c>
      <c r="AK10" s="430" cm="1">
        <f t="array" ref="AK10">TREND(AK$5:AK$6,$AA$5:$AA$6,$AA10)</f>
        <v>10.623632174674981</v>
      </c>
      <c r="AL10" s="428">
        <f t="shared" si="12"/>
        <v>0.20539022204371621</v>
      </c>
      <c r="AM10" s="428">
        <f t="shared" si="13"/>
        <v>0</v>
      </c>
      <c r="AN10" s="428">
        <f t="shared" si="3"/>
        <v>1.4377315543060145</v>
      </c>
      <c r="AO10" s="428">
        <f t="shared" si="4"/>
        <v>3.6970239967868856</v>
      </c>
      <c r="AP10" s="428">
        <f t="shared" si="5"/>
        <v>17.66355909575957</v>
      </c>
      <c r="AQ10" s="428">
        <f t="shared" si="6"/>
        <v>0</v>
      </c>
      <c r="AR10" s="428">
        <f t="shared" si="7"/>
        <v>0</v>
      </c>
      <c r="AS10" s="428">
        <f t="shared" si="8"/>
        <v>0</v>
      </c>
      <c r="AT10" s="428">
        <f t="shared" si="9"/>
        <v>1.02695111021858</v>
      </c>
      <c r="AU10" s="428">
        <f t="shared" si="10"/>
        <v>6.1617066613114888</v>
      </c>
      <c r="AV10" s="428">
        <f t="shared" si="0"/>
        <v>5738284.0949361911</v>
      </c>
      <c r="AW10" s="428">
        <f t="shared" si="1"/>
        <v>3328204.7750629904</v>
      </c>
    </row>
    <row r="11" spans="2:49" x14ac:dyDescent="0.25">
      <c r="B11" s="300">
        <f t="shared" si="11"/>
        <v>2033</v>
      </c>
      <c r="C11" s="226">
        <f>TREND($J$31:$K$31,$J$25:$K$25,$B11)</f>
        <v>2435802.468941059</v>
      </c>
      <c r="D11" s="445">
        <f>TREND($K$39:$L$39,$K$36:$L$36,$B11)</f>
        <v>123359.44551999005</v>
      </c>
      <c r="E11" s="445">
        <f t="shared" si="2"/>
        <v>2559161.9144610493</v>
      </c>
      <c r="F11" s="301">
        <f>E11*(1+0.07)^-($B11-Assumptions!$D$4)</f>
        <v>1061961.2108917022</v>
      </c>
      <c r="I11" s="134">
        <v>2022</v>
      </c>
      <c r="J11" s="442">
        <v>12229</v>
      </c>
      <c r="K11" s="302"/>
      <c r="L11" s="305">
        <f>(J12/J11)^(1/(I12-I11))-1</f>
        <v>5.3160270703660473E-3</v>
      </c>
      <c r="M11" s="61"/>
      <c r="N11" s="61"/>
      <c r="P11" s="304"/>
      <c r="AA11">
        <f t="shared" si="14"/>
        <v>2032</v>
      </c>
      <c r="AB11" s="428" cm="1">
        <f t="array" ref="AB11">TREND(AB$5:AB$6,$AA$5:$AA$6,$AA11)</f>
        <v>0.35601086695787831</v>
      </c>
      <c r="AC11" s="429" cm="1">
        <f t="array" ref="AC11">TREND(AC$5:AC$6,$AA$5:$AA$6,$AA11)</f>
        <v>0</v>
      </c>
      <c r="AD11" s="429" cm="1">
        <f t="array" ref="AD11">TREND(AD$5:AD$6,$AA$5:$AA$6,$AA11)</f>
        <v>2.4920760687051455</v>
      </c>
      <c r="AE11" s="429" cm="1">
        <f t="array" ref="AE11">TREND(AE$5:AE$6,$AA$5:$AA$6,$AA11)</f>
        <v>6.4081956052417937</v>
      </c>
      <c r="AF11" s="430" cm="1">
        <f t="array" ref="AF11">TREND(AF$5:AF$6,$AA$5:$AA$6,$AA11)</f>
        <v>30.616934558377466</v>
      </c>
      <c r="AG11" s="428" cm="1">
        <f t="array" ref="AG11">TREND(AG$5:AG$6,$AA$5:$AA$6,$AA11)</f>
        <v>0</v>
      </c>
      <c r="AH11" s="429" cm="1">
        <f t="array" ref="AH11">TREND(AH$5:AH$6,$AA$5:$AA$6,$AA11)</f>
        <v>0</v>
      </c>
      <c r="AI11" s="429" cm="1">
        <f t="array" ref="AI11">TREND(AI$5:AI$6,$AA$5:$AA$6,$AA11)</f>
        <v>0</v>
      </c>
      <c r="AJ11" s="429" cm="1">
        <f t="array" ref="AJ11">TREND(AJ$5:AJ$6,$AA$5:$AA$6,$AA11)</f>
        <v>1.7800543347893871</v>
      </c>
      <c r="AK11" s="430" cm="1">
        <f t="array" ref="AK11">TREND(AK$5:AK$6,$AA$5:$AA$6,$AA11)</f>
        <v>10.680326008736344</v>
      </c>
      <c r="AL11" s="428">
        <f t="shared" si="12"/>
        <v>0.2064863028355694</v>
      </c>
      <c r="AM11" s="428">
        <f t="shared" si="13"/>
        <v>0</v>
      </c>
      <c r="AN11" s="428">
        <f t="shared" si="3"/>
        <v>1.4454041198489842</v>
      </c>
      <c r="AO11" s="428">
        <f t="shared" si="4"/>
        <v>3.71675345104024</v>
      </c>
      <c r="AP11" s="428">
        <f t="shared" si="5"/>
        <v>17.75782204385893</v>
      </c>
      <c r="AQ11" s="428">
        <f t="shared" si="6"/>
        <v>0</v>
      </c>
      <c r="AR11" s="428">
        <f t="shared" si="7"/>
        <v>0</v>
      </c>
      <c r="AS11" s="428">
        <f t="shared" si="8"/>
        <v>0</v>
      </c>
      <c r="AT11" s="428">
        <f t="shared" si="9"/>
        <v>1.0324315141778444</v>
      </c>
      <c r="AU11" s="428">
        <f t="shared" si="10"/>
        <v>6.1945890850670793</v>
      </c>
      <c r="AV11" s="428">
        <f t="shared" si="0"/>
        <v>5768906.8914455464</v>
      </c>
      <c r="AW11" s="428">
        <f t="shared" si="1"/>
        <v>3345965.9970384161</v>
      </c>
    </row>
    <row r="12" spans="2:49" x14ac:dyDescent="0.25">
      <c r="B12" s="300">
        <f t="shared" si="11"/>
        <v>2034</v>
      </c>
      <c r="C12" s="226">
        <f>TREND($J$31:$K$31,$J$25:$K$25,$B12)</f>
        <v>2448664.0434749834</v>
      </c>
      <c r="D12" s="445">
        <f>TREND($K$39:$L$39,$K$36:$L$36,$B12)</f>
        <v>124014.41561032645</v>
      </c>
      <c r="E12" s="445">
        <f t="shared" si="2"/>
        <v>2572678.4590853099</v>
      </c>
      <c r="F12" s="301">
        <f>E12*(1+0.07)^-($B12-Assumptions!$D$4)</f>
        <v>997729.06202716765</v>
      </c>
      <c r="I12" s="134">
        <v>2045</v>
      </c>
      <c r="J12" s="442">
        <v>13815</v>
      </c>
      <c r="K12" s="302"/>
      <c r="L12" s="303"/>
      <c r="M12" s="305"/>
      <c r="N12" s="305"/>
      <c r="T12" s="306"/>
      <c r="AA12">
        <f t="shared" si="14"/>
        <v>2033</v>
      </c>
      <c r="AB12" s="428" cm="1">
        <f t="array" ref="AB12">TREND(AB$5:AB$6,$AA$5:$AA$6,$AA12)</f>
        <v>0.35790066142659027</v>
      </c>
      <c r="AC12" s="429" cm="1">
        <f t="array" ref="AC12">TREND(AC$5:AC$6,$AA$5:$AA$6,$AA12)</f>
        <v>0</v>
      </c>
      <c r="AD12" s="429" cm="1">
        <f t="array" ref="AD12">TREND(AD$5:AD$6,$AA$5:$AA$6,$AA12)</f>
        <v>2.5053046299861315</v>
      </c>
      <c r="AE12" s="429" cm="1">
        <f t="array" ref="AE12">TREND(AE$5:AE$6,$AA$5:$AA$6,$AA12)</f>
        <v>6.4422119056786116</v>
      </c>
      <c r="AF12" s="430" cm="1">
        <f t="array" ref="AF12">TREND(AF$5:AF$6,$AA$5:$AA$6,$AA12)</f>
        <v>30.779456882686702</v>
      </c>
      <c r="AG12" s="428" cm="1">
        <f t="array" ref="AG12">TREND(AG$5:AG$6,$AA$5:$AA$6,$AA12)</f>
        <v>0</v>
      </c>
      <c r="AH12" s="429" cm="1">
        <f t="array" ref="AH12">TREND(AH$5:AH$6,$AA$5:$AA$6,$AA12)</f>
        <v>0</v>
      </c>
      <c r="AI12" s="429" cm="1">
        <f t="array" ref="AI12">TREND(AI$5:AI$6,$AA$5:$AA$6,$AA12)</f>
        <v>0</v>
      </c>
      <c r="AJ12" s="429" cm="1">
        <f t="array" ref="AJ12">TREND(AJ$5:AJ$6,$AA$5:$AA$6,$AA12)</f>
        <v>1.7895033071329465</v>
      </c>
      <c r="AK12" s="430" cm="1">
        <f t="array" ref="AK12">TREND(AK$5:AK$6,$AA$5:$AA$6,$AA12)</f>
        <v>10.737019842797707</v>
      </c>
      <c r="AL12" s="428">
        <f t="shared" si="12"/>
        <v>0.20758238362742235</v>
      </c>
      <c r="AM12" s="428">
        <f t="shared" si="13"/>
        <v>0</v>
      </c>
      <c r="AN12" s="428">
        <f t="shared" si="3"/>
        <v>1.4530766853919561</v>
      </c>
      <c r="AO12" s="428">
        <f t="shared" si="4"/>
        <v>3.7364829052935944</v>
      </c>
      <c r="AP12" s="428">
        <f t="shared" si="5"/>
        <v>17.852084991958286</v>
      </c>
      <c r="AQ12" s="428">
        <f t="shared" si="6"/>
        <v>0</v>
      </c>
      <c r="AR12" s="428">
        <f t="shared" si="7"/>
        <v>0</v>
      </c>
      <c r="AS12" s="428">
        <f t="shared" si="8"/>
        <v>0</v>
      </c>
      <c r="AT12" s="428">
        <f t="shared" si="9"/>
        <v>1.0379119181371088</v>
      </c>
      <c r="AU12" s="428">
        <f t="shared" si="10"/>
        <v>6.2274715088226698</v>
      </c>
      <c r="AV12" s="428">
        <f t="shared" si="0"/>
        <v>5799529.6879548952</v>
      </c>
      <c r="AW12" s="428">
        <f t="shared" si="1"/>
        <v>3363727.219013839</v>
      </c>
    </row>
    <row r="13" spans="2:49" x14ac:dyDescent="0.25">
      <c r="B13" s="300">
        <f t="shared" si="11"/>
        <v>2035</v>
      </c>
      <c r="C13" s="226">
        <f>TREND($J$31:$K$31,$J$25:$K$25,$B13)</f>
        <v>2461525.6180089116</v>
      </c>
      <c r="D13" s="445">
        <f>TREND($K$39:$L$39,$K$36:$L$36,$B13)</f>
        <v>124669.38570066309</v>
      </c>
      <c r="E13" s="445">
        <f t="shared" si="2"/>
        <v>2586195.0037095747</v>
      </c>
      <c r="F13" s="301">
        <f>E13*(1+0.07)^-($B13-Assumptions!$D$4)</f>
        <v>937356.08511349291</v>
      </c>
      <c r="J13" s="307"/>
      <c r="K13" s="307"/>
      <c r="L13" s="307"/>
      <c r="M13" s="307"/>
      <c r="N13" s="307"/>
      <c r="T13" s="306"/>
      <c r="AA13">
        <f t="shared" si="14"/>
        <v>2034</v>
      </c>
      <c r="AB13" s="428" cm="1">
        <f t="array" ref="AB13">TREND(AB$5:AB$6,$AA$5:$AA$6,$AA13)</f>
        <v>0.35979045589530223</v>
      </c>
      <c r="AC13" s="429" cm="1">
        <f t="array" ref="AC13">TREND(AC$5:AC$6,$AA$5:$AA$6,$AA13)</f>
        <v>0</v>
      </c>
      <c r="AD13" s="429" cm="1">
        <f t="array" ref="AD13">TREND(AD$5:AD$6,$AA$5:$AA$6,$AA13)</f>
        <v>2.5185331912671138</v>
      </c>
      <c r="AE13" s="429" cm="1">
        <f t="array" ref="AE13">TREND(AE$5:AE$6,$AA$5:$AA$6,$AA13)</f>
        <v>6.4762282061154295</v>
      </c>
      <c r="AF13" s="430" cm="1">
        <f t="array" ref="AF13">TREND(AF$5:AF$6,$AA$5:$AA$6,$AA13)</f>
        <v>30.941979206995939</v>
      </c>
      <c r="AG13" s="428" cm="1">
        <f t="array" ref="AG13">TREND(AG$5:AG$6,$AA$5:$AA$6,$AA13)</f>
        <v>0</v>
      </c>
      <c r="AH13" s="429" cm="1">
        <f t="array" ref="AH13">TREND(AH$5:AH$6,$AA$5:$AA$6,$AA13)</f>
        <v>0</v>
      </c>
      <c r="AI13" s="429" cm="1">
        <f t="array" ref="AI13">TREND(AI$5:AI$6,$AA$5:$AA$6,$AA13)</f>
        <v>0</v>
      </c>
      <c r="AJ13" s="429" cm="1">
        <f t="array" ref="AJ13">TREND(AJ$5:AJ$6,$AA$5:$AA$6,$AA13)</f>
        <v>1.7989522794765058</v>
      </c>
      <c r="AK13" s="430" cm="1">
        <f t="array" ref="AK13">TREND(AK$5:AK$6,$AA$5:$AA$6,$AA13)</f>
        <v>10.79371367685907</v>
      </c>
      <c r="AL13" s="428">
        <f t="shared" si="12"/>
        <v>0.20867846441927529</v>
      </c>
      <c r="AM13" s="428">
        <f t="shared" si="13"/>
        <v>0</v>
      </c>
      <c r="AN13" s="428">
        <f t="shared" si="3"/>
        <v>1.460749250934926</v>
      </c>
      <c r="AO13" s="428">
        <f t="shared" si="4"/>
        <v>3.7562123595469488</v>
      </c>
      <c r="AP13" s="428">
        <f t="shared" si="5"/>
        <v>17.946347940057642</v>
      </c>
      <c r="AQ13" s="428">
        <f t="shared" si="6"/>
        <v>0</v>
      </c>
      <c r="AR13" s="428">
        <f t="shared" si="7"/>
        <v>0</v>
      </c>
      <c r="AS13" s="428">
        <f t="shared" si="8"/>
        <v>0</v>
      </c>
      <c r="AT13" s="428">
        <f t="shared" si="9"/>
        <v>1.0433923220963732</v>
      </c>
      <c r="AU13" s="428">
        <f t="shared" si="10"/>
        <v>6.2603539325782602</v>
      </c>
      <c r="AV13" s="428">
        <f t="shared" si="0"/>
        <v>5830152.4844642449</v>
      </c>
      <c r="AW13" s="428">
        <f t="shared" si="1"/>
        <v>3381488.440989261</v>
      </c>
    </row>
    <row r="14" spans="2:49" x14ac:dyDescent="0.25">
      <c r="B14" s="300">
        <f t="shared" si="11"/>
        <v>2036</v>
      </c>
      <c r="C14" s="226">
        <f>TREND($J$31:$K$31,$J$25:$K$25,$B14)</f>
        <v>2474387.1925428398</v>
      </c>
      <c r="D14" s="445">
        <f>TREND($K$39:$L$39,$K$36:$L$36,$B14)</f>
        <v>125324.35579099972</v>
      </c>
      <c r="E14" s="445">
        <f t="shared" si="2"/>
        <v>2599711.5483338395</v>
      </c>
      <c r="F14" s="301">
        <f>E14*(1+0.07)^-($B14-Assumptions!$D$4)</f>
        <v>880612.24571203382</v>
      </c>
      <c r="I14" s="70" t="s">
        <v>240</v>
      </c>
      <c r="O14" s="308"/>
      <c r="T14" s="306"/>
      <c r="AA14">
        <f t="shared" si="14"/>
        <v>2035</v>
      </c>
      <c r="AB14" s="428" cm="1">
        <f t="array" ref="AB14">TREND(AB$5:AB$6,$AA$5:$AA$6,$AA14)</f>
        <v>0.36168025036401419</v>
      </c>
      <c r="AC14" s="429" cm="1">
        <f t="array" ref="AC14">TREND(AC$5:AC$6,$AA$5:$AA$6,$AA14)</f>
        <v>0</v>
      </c>
      <c r="AD14" s="429" cm="1">
        <f t="array" ref="AD14">TREND(AD$5:AD$6,$AA$5:$AA$6,$AA14)</f>
        <v>2.5317617525480998</v>
      </c>
      <c r="AE14" s="429" cm="1">
        <f t="array" ref="AE14">TREND(AE$5:AE$6,$AA$5:$AA$6,$AA14)</f>
        <v>6.5102445065522474</v>
      </c>
      <c r="AF14" s="430" cm="1">
        <f t="array" ref="AF14">TREND(AF$5:AF$6,$AA$5:$AA$6,$AA14)</f>
        <v>31.104501531305175</v>
      </c>
      <c r="AG14" s="428" cm="1">
        <f t="array" ref="AG14">TREND(AG$5:AG$6,$AA$5:$AA$6,$AA14)</f>
        <v>0</v>
      </c>
      <c r="AH14" s="429" cm="1">
        <f t="array" ref="AH14">TREND(AH$5:AH$6,$AA$5:$AA$6,$AA14)</f>
        <v>0</v>
      </c>
      <c r="AI14" s="429" cm="1">
        <f t="array" ref="AI14">TREND(AI$5:AI$6,$AA$5:$AA$6,$AA14)</f>
        <v>0</v>
      </c>
      <c r="AJ14" s="429" cm="1">
        <f t="array" ref="AJ14">TREND(AJ$5:AJ$6,$AA$5:$AA$6,$AA14)</f>
        <v>1.8084012518200687</v>
      </c>
      <c r="AK14" s="430" cm="1">
        <f t="array" ref="AK14">TREND(AK$5:AK$6,$AA$5:$AA$6,$AA14)</f>
        <v>10.850407510920434</v>
      </c>
      <c r="AL14" s="428">
        <f t="shared" si="12"/>
        <v>0.2097745452111282</v>
      </c>
      <c r="AM14" s="428">
        <f t="shared" si="13"/>
        <v>0</v>
      </c>
      <c r="AN14" s="428">
        <f t="shared" si="3"/>
        <v>1.4684218164778977</v>
      </c>
      <c r="AO14" s="428">
        <f t="shared" si="4"/>
        <v>3.7759418138003031</v>
      </c>
      <c r="AP14" s="428">
        <f t="shared" si="5"/>
        <v>18.040610888157001</v>
      </c>
      <c r="AQ14" s="428">
        <f t="shared" si="6"/>
        <v>0</v>
      </c>
      <c r="AR14" s="428">
        <f t="shared" si="7"/>
        <v>0</v>
      </c>
      <c r="AS14" s="428">
        <f t="shared" si="8"/>
        <v>0</v>
      </c>
      <c r="AT14" s="428">
        <f t="shared" si="9"/>
        <v>1.0488727260556399</v>
      </c>
      <c r="AU14" s="428">
        <f t="shared" si="10"/>
        <v>6.2932363563338507</v>
      </c>
      <c r="AV14" s="428">
        <f t="shared" si="0"/>
        <v>5860775.2809735937</v>
      </c>
      <c r="AW14" s="428">
        <f t="shared" si="1"/>
        <v>3399249.662964684</v>
      </c>
    </row>
    <row r="15" spans="2:49" x14ac:dyDescent="0.25">
      <c r="B15" s="300">
        <f t="shared" si="11"/>
        <v>2037</v>
      </c>
      <c r="C15" s="226">
        <f>TREND($J$31:$K$31,$J$25:$K$25,$B15)</f>
        <v>2487248.767076768</v>
      </c>
      <c r="D15" s="445">
        <f>TREND($K$39:$L$39,$K$36:$L$36,$B15)</f>
        <v>125979.32588133612</v>
      </c>
      <c r="E15" s="445">
        <f t="shared" si="2"/>
        <v>2613228.0929581039</v>
      </c>
      <c r="F15" s="301">
        <f>E15*(1+0.07)^-($B15-Assumptions!$D$4)</f>
        <v>827281.09067190078</v>
      </c>
      <c r="I15" s="58" t="s">
        <v>231</v>
      </c>
      <c r="J15" s="58" t="s">
        <v>54</v>
      </c>
      <c r="K15" s="95" t="s">
        <v>55</v>
      </c>
      <c r="L15" s="95" t="s">
        <v>56</v>
      </c>
      <c r="M15" s="95" t="s">
        <v>57</v>
      </c>
      <c r="N15" s="95" t="s">
        <v>58</v>
      </c>
      <c r="O15" s="309"/>
      <c r="T15" s="306"/>
      <c r="AA15">
        <f t="shared" si="14"/>
        <v>2036</v>
      </c>
      <c r="AB15" s="428" cm="1">
        <f t="array" ref="AB15">TREND(AB$5:AB$6,$AA$5:$AA$6,$AA15)</f>
        <v>0.36357004483272659</v>
      </c>
      <c r="AC15" s="429" cm="1">
        <f t="array" ref="AC15">TREND(AC$5:AC$6,$AA$5:$AA$6,$AA15)</f>
        <v>0</v>
      </c>
      <c r="AD15" s="429" cm="1">
        <f t="array" ref="AD15">TREND(AD$5:AD$6,$AA$5:$AA$6,$AA15)</f>
        <v>2.5449903138290821</v>
      </c>
      <c r="AE15" s="429" cm="1">
        <f t="array" ref="AE15">TREND(AE$5:AE$6,$AA$5:$AA$6,$AA15)</f>
        <v>6.5442608069890653</v>
      </c>
      <c r="AF15" s="430" cm="1">
        <f t="array" ref="AF15">TREND(AF$5:AF$6,$AA$5:$AA$6,$AA15)</f>
        <v>31.267023855614411</v>
      </c>
      <c r="AG15" s="428" cm="1">
        <f t="array" ref="AG15">TREND(AG$5:AG$6,$AA$5:$AA$6,$AA15)</f>
        <v>0</v>
      </c>
      <c r="AH15" s="429" cm="1">
        <f t="array" ref="AH15">TREND(AH$5:AH$6,$AA$5:$AA$6,$AA15)</f>
        <v>0</v>
      </c>
      <c r="AI15" s="429" cm="1">
        <f t="array" ref="AI15">TREND(AI$5:AI$6,$AA$5:$AA$6,$AA15)</f>
        <v>0</v>
      </c>
      <c r="AJ15" s="429" cm="1">
        <f t="array" ref="AJ15">TREND(AJ$5:AJ$6,$AA$5:$AA$6,$AA15)</f>
        <v>1.8178502241636281</v>
      </c>
      <c r="AK15" s="430" cm="1">
        <f t="array" ref="AK15">TREND(AK$5:AK$6,$AA$5:$AA$6,$AA15)</f>
        <v>10.907101344981783</v>
      </c>
      <c r="AL15" s="428">
        <f t="shared" si="12"/>
        <v>0.2108706260029814</v>
      </c>
      <c r="AM15" s="428">
        <f t="shared" si="13"/>
        <v>0</v>
      </c>
      <c r="AN15" s="428">
        <f t="shared" si="3"/>
        <v>1.4760943820208676</v>
      </c>
      <c r="AO15" s="428">
        <f t="shared" si="4"/>
        <v>3.7956712680536575</v>
      </c>
      <c r="AP15" s="428">
        <f t="shared" si="5"/>
        <v>18.134873836256357</v>
      </c>
      <c r="AQ15" s="428">
        <f t="shared" si="6"/>
        <v>0</v>
      </c>
      <c r="AR15" s="428">
        <f t="shared" si="7"/>
        <v>0</v>
      </c>
      <c r="AS15" s="428">
        <f t="shared" si="8"/>
        <v>0</v>
      </c>
      <c r="AT15" s="428">
        <f t="shared" si="9"/>
        <v>1.0543531300149043</v>
      </c>
      <c r="AU15" s="428">
        <f t="shared" si="10"/>
        <v>6.3261187800894332</v>
      </c>
      <c r="AV15" s="428">
        <f t="shared" si="0"/>
        <v>5891398.0774829481</v>
      </c>
      <c r="AW15" s="428">
        <f t="shared" si="1"/>
        <v>3417010.8849401101</v>
      </c>
    </row>
    <row r="16" spans="2:49" x14ac:dyDescent="0.25">
      <c r="B16" s="300">
        <f t="shared" si="11"/>
        <v>2038</v>
      </c>
      <c r="C16" s="226">
        <f>TREND($J$31:$K$31,$J$25:$K$25,$B16)</f>
        <v>2500110.3416106924</v>
      </c>
      <c r="D16" s="445">
        <f>TREND($K$39:$L$39,$K$36:$L$36,$B16)</f>
        <v>126634.29597167275</v>
      </c>
      <c r="E16" s="445">
        <f t="shared" si="2"/>
        <v>2626744.6375823654</v>
      </c>
      <c r="F16" s="301">
        <f>E16*(1+0.07)^-($B16-Assumptions!$D$4)</f>
        <v>777158.95565187593</v>
      </c>
      <c r="I16" s="310" t="s">
        <v>237</v>
      </c>
      <c r="J16" s="134">
        <v>1</v>
      </c>
      <c r="K16" s="134">
        <v>0</v>
      </c>
      <c r="L16" s="134">
        <v>7</v>
      </c>
      <c r="M16" s="134">
        <v>18</v>
      </c>
      <c r="N16" s="134">
        <v>86</v>
      </c>
      <c r="O16" s="311"/>
      <c r="T16" s="306"/>
      <c r="AA16">
        <f t="shared" si="14"/>
        <v>2037</v>
      </c>
      <c r="AB16" s="428" cm="1">
        <f t="array" ref="AB16">TREND(AB$5:AB$6,$AA$5:$AA$6,$AA16)</f>
        <v>0.36545983930143855</v>
      </c>
      <c r="AC16" s="429" cm="1">
        <f t="array" ref="AC16">TREND(AC$5:AC$6,$AA$5:$AA$6,$AA16)</f>
        <v>0</v>
      </c>
      <c r="AD16" s="429" cm="1">
        <f t="array" ref="AD16">TREND(AD$5:AD$6,$AA$5:$AA$6,$AA16)</f>
        <v>2.5582188751100681</v>
      </c>
      <c r="AE16" s="429" cm="1">
        <f t="array" ref="AE16">TREND(AE$5:AE$6,$AA$5:$AA$6,$AA16)</f>
        <v>6.5782771074258832</v>
      </c>
      <c r="AF16" s="430" cm="1">
        <f t="array" ref="AF16">TREND(AF$5:AF$6,$AA$5:$AA$6,$AA16)</f>
        <v>31.429546179923648</v>
      </c>
      <c r="AG16" s="428" cm="1">
        <f t="array" ref="AG16">TREND(AG$5:AG$6,$AA$5:$AA$6,$AA16)</f>
        <v>0</v>
      </c>
      <c r="AH16" s="429" cm="1">
        <f t="array" ref="AH16">TREND(AH$5:AH$6,$AA$5:$AA$6,$AA16)</f>
        <v>0</v>
      </c>
      <c r="AI16" s="429" cm="1">
        <f t="array" ref="AI16">TREND(AI$5:AI$6,$AA$5:$AA$6,$AA16)</f>
        <v>0</v>
      </c>
      <c r="AJ16" s="429" cm="1">
        <f t="array" ref="AJ16">TREND(AJ$5:AJ$6,$AA$5:$AA$6,$AA16)</f>
        <v>1.8272991965071874</v>
      </c>
      <c r="AK16" s="430" cm="1">
        <f t="array" ref="AK16">TREND(AK$5:AK$6,$AA$5:$AA$6,$AA16)</f>
        <v>10.963795179043146</v>
      </c>
      <c r="AL16" s="428">
        <f t="shared" si="12"/>
        <v>0.21196670679483434</v>
      </c>
      <c r="AM16" s="428">
        <f t="shared" si="13"/>
        <v>0</v>
      </c>
      <c r="AN16" s="428">
        <f t="shared" si="3"/>
        <v>1.4837669475638393</v>
      </c>
      <c r="AO16" s="428">
        <f t="shared" si="4"/>
        <v>3.8154007223070119</v>
      </c>
      <c r="AP16" s="428">
        <f t="shared" si="5"/>
        <v>18.229136784355713</v>
      </c>
      <c r="AQ16" s="428">
        <f t="shared" si="6"/>
        <v>0</v>
      </c>
      <c r="AR16" s="428">
        <f t="shared" si="7"/>
        <v>0</v>
      </c>
      <c r="AS16" s="428">
        <f t="shared" si="8"/>
        <v>0</v>
      </c>
      <c r="AT16" s="428">
        <f t="shared" si="9"/>
        <v>1.0598335339741687</v>
      </c>
      <c r="AU16" s="428">
        <f t="shared" si="10"/>
        <v>6.3590012038450245</v>
      </c>
      <c r="AV16" s="428">
        <f t="shared" si="0"/>
        <v>5922020.8739922987</v>
      </c>
      <c r="AW16" s="428">
        <f t="shared" si="1"/>
        <v>3434772.1069155331</v>
      </c>
    </row>
    <row r="17" spans="2:49" x14ac:dyDescent="0.25">
      <c r="B17" s="300">
        <f t="shared" si="11"/>
        <v>2039</v>
      </c>
      <c r="C17" s="226">
        <f>TREND($J$31:$K$31,$J$25:$K$25,$B17)</f>
        <v>2512971.9161446206</v>
      </c>
      <c r="D17" s="445">
        <f>TREND($K$39:$L$39,$K$36:$L$36,$B17)</f>
        <v>127289.26606200938</v>
      </c>
      <c r="E17" s="445">
        <f t="shared" si="2"/>
        <v>2640261.1822066298</v>
      </c>
      <c r="F17" s="301">
        <f>E17*(1+0.07)^-($B17-Assumptions!$D$4)</f>
        <v>730054.21820518351</v>
      </c>
      <c r="I17" s="310" t="s">
        <v>238</v>
      </c>
      <c r="J17" s="134">
        <v>0</v>
      </c>
      <c r="K17" s="134">
        <v>0</v>
      </c>
      <c r="L17" s="134">
        <v>0</v>
      </c>
      <c r="M17" s="134">
        <v>5</v>
      </c>
      <c r="N17" s="134">
        <v>30</v>
      </c>
      <c r="O17" s="311"/>
      <c r="AA17">
        <f t="shared" si="14"/>
        <v>2038</v>
      </c>
      <c r="AB17" s="428" cm="1">
        <f t="array" ref="AB17">TREND(AB$5:AB$6,$AA$5:$AA$6,$AA17)</f>
        <v>0.36734963377015051</v>
      </c>
      <c r="AC17" s="429" cm="1">
        <f t="array" ref="AC17">TREND(AC$5:AC$6,$AA$5:$AA$6,$AA17)</f>
        <v>0</v>
      </c>
      <c r="AD17" s="429" cm="1">
        <f t="array" ref="AD17">TREND(AD$5:AD$6,$AA$5:$AA$6,$AA17)</f>
        <v>2.5714474363910504</v>
      </c>
      <c r="AE17" s="429" cm="1">
        <f t="array" ref="AE17">TREND(AE$5:AE$6,$AA$5:$AA$6,$AA17)</f>
        <v>6.6122934078627011</v>
      </c>
      <c r="AF17" s="430" cm="1">
        <f t="array" ref="AF17">TREND(AF$5:AF$6,$AA$5:$AA$6,$AA17)</f>
        <v>31.592068504232884</v>
      </c>
      <c r="AG17" s="428" cm="1">
        <f t="array" ref="AG17">TREND(AG$5:AG$6,$AA$5:$AA$6,$AA17)</f>
        <v>0</v>
      </c>
      <c r="AH17" s="429" cm="1">
        <f t="array" ref="AH17">TREND(AH$5:AH$6,$AA$5:$AA$6,$AA17)</f>
        <v>0</v>
      </c>
      <c r="AI17" s="429" cm="1">
        <f t="array" ref="AI17">TREND(AI$5:AI$6,$AA$5:$AA$6,$AA17)</f>
        <v>0</v>
      </c>
      <c r="AJ17" s="429" cm="1">
        <f t="array" ref="AJ17">TREND(AJ$5:AJ$6,$AA$5:$AA$6,$AA17)</f>
        <v>1.8367481688507468</v>
      </c>
      <c r="AK17" s="430" cm="1">
        <f t="array" ref="AK17">TREND(AK$5:AK$6,$AA$5:$AA$6,$AA17)</f>
        <v>11.020489013104509</v>
      </c>
      <c r="AL17" s="428">
        <f t="shared" si="12"/>
        <v>0.21306278758668729</v>
      </c>
      <c r="AM17" s="428">
        <f t="shared" si="13"/>
        <v>0</v>
      </c>
      <c r="AN17" s="428">
        <f t="shared" si="3"/>
        <v>1.4914395131068092</v>
      </c>
      <c r="AO17" s="428">
        <f t="shared" si="4"/>
        <v>3.8351301765603663</v>
      </c>
      <c r="AP17" s="428">
        <f t="shared" si="5"/>
        <v>18.323399732455073</v>
      </c>
      <c r="AQ17" s="428">
        <f t="shared" si="6"/>
        <v>0</v>
      </c>
      <c r="AR17" s="428">
        <f t="shared" si="7"/>
        <v>0</v>
      </c>
      <c r="AS17" s="428">
        <f t="shared" si="8"/>
        <v>0</v>
      </c>
      <c r="AT17" s="428">
        <f t="shared" si="9"/>
        <v>1.0653139379334331</v>
      </c>
      <c r="AU17" s="428">
        <f t="shared" si="10"/>
        <v>6.391883627600615</v>
      </c>
      <c r="AV17" s="428">
        <f t="shared" si="0"/>
        <v>5952643.6705016475</v>
      </c>
      <c r="AW17" s="428">
        <f t="shared" si="1"/>
        <v>3452533.328890956</v>
      </c>
    </row>
    <row r="18" spans="2:49" x14ac:dyDescent="0.25">
      <c r="B18" s="300">
        <f t="shared" si="11"/>
        <v>2040</v>
      </c>
      <c r="C18" s="226">
        <f>TREND($J$31:$K$31,$J$25:$K$25,$B18)</f>
        <v>2525833.4906785488</v>
      </c>
      <c r="D18" s="445">
        <f>TREND($K$39:$L$39,$K$36:$L$36,$B18)</f>
        <v>127944.23615234601</v>
      </c>
      <c r="E18" s="445">
        <f t="shared" si="2"/>
        <v>2653777.7268308951</v>
      </c>
      <c r="F18" s="301">
        <f>E18*(1+0.07)^-($B18-Assumptions!$D$4)</f>
        <v>685786.59385729511</v>
      </c>
      <c r="J18" s="239"/>
      <c r="K18" s="239"/>
      <c r="L18" s="239"/>
      <c r="M18" s="239"/>
      <c r="N18" s="239"/>
      <c r="O18" s="83"/>
      <c r="AA18">
        <f t="shared" si="14"/>
        <v>2039</v>
      </c>
      <c r="AB18" s="428" cm="1">
        <f t="array" ref="AB18">TREND(AB$5:AB$6,$AA$5:$AA$6,$AA18)</f>
        <v>0.36923942823886247</v>
      </c>
      <c r="AC18" s="429" cm="1">
        <f t="array" ref="AC18">TREND(AC$5:AC$6,$AA$5:$AA$6,$AA18)</f>
        <v>0</v>
      </c>
      <c r="AD18" s="429" cm="1">
        <f t="array" ref="AD18">TREND(AD$5:AD$6,$AA$5:$AA$6,$AA18)</f>
        <v>2.5846759976720364</v>
      </c>
      <c r="AE18" s="429" cm="1">
        <f t="array" ref="AE18">TREND(AE$5:AE$6,$AA$5:$AA$6,$AA18)</f>
        <v>6.6463097082995191</v>
      </c>
      <c r="AF18" s="430" cm="1">
        <f t="array" ref="AF18">TREND(AF$5:AF$6,$AA$5:$AA$6,$AA18)</f>
        <v>31.754590828542121</v>
      </c>
      <c r="AG18" s="428" cm="1">
        <f t="array" ref="AG18">TREND(AG$5:AG$6,$AA$5:$AA$6,$AA18)</f>
        <v>0</v>
      </c>
      <c r="AH18" s="429" cm="1">
        <f t="array" ref="AH18">TREND(AH$5:AH$6,$AA$5:$AA$6,$AA18)</f>
        <v>0</v>
      </c>
      <c r="AI18" s="429" cm="1">
        <f t="array" ref="AI18">TREND(AI$5:AI$6,$AA$5:$AA$6,$AA18)</f>
        <v>0</v>
      </c>
      <c r="AJ18" s="429" cm="1">
        <f t="array" ref="AJ18">TREND(AJ$5:AJ$6,$AA$5:$AA$6,$AA18)</f>
        <v>1.8461971411943097</v>
      </c>
      <c r="AK18" s="430" cm="1">
        <f t="array" ref="AK18">TREND(AK$5:AK$6,$AA$5:$AA$6,$AA18)</f>
        <v>11.077182847165872</v>
      </c>
      <c r="AL18" s="428">
        <f t="shared" si="12"/>
        <v>0.21415886837854023</v>
      </c>
      <c r="AM18" s="428">
        <f t="shared" si="13"/>
        <v>0</v>
      </c>
      <c r="AN18" s="428">
        <f t="shared" si="3"/>
        <v>1.4991120786497809</v>
      </c>
      <c r="AO18" s="428">
        <f t="shared" si="4"/>
        <v>3.8548596308137206</v>
      </c>
      <c r="AP18" s="428">
        <f t="shared" si="5"/>
        <v>18.417662680554429</v>
      </c>
      <c r="AQ18" s="428">
        <f t="shared" si="6"/>
        <v>0</v>
      </c>
      <c r="AR18" s="428">
        <f t="shared" si="7"/>
        <v>0</v>
      </c>
      <c r="AS18" s="428">
        <f t="shared" si="8"/>
        <v>0</v>
      </c>
      <c r="AT18" s="428">
        <f t="shared" si="9"/>
        <v>1.0707943418926995</v>
      </c>
      <c r="AU18" s="428">
        <f t="shared" si="10"/>
        <v>6.4247660513562055</v>
      </c>
      <c r="AV18" s="428">
        <f t="shared" si="0"/>
        <v>5983266.4670109972</v>
      </c>
      <c r="AW18" s="428">
        <f t="shared" si="1"/>
        <v>3470294.5508663789</v>
      </c>
    </row>
    <row r="19" spans="2:49" ht="17.25" x14ac:dyDescent="0.25">
      <c r="B19" s="300">
        <f t="shared" si="11"/>
        <v>2041</v>
      </c>
      <c r="C19" s="226">
        <f>TREND($J$31:$K$31,$J$25:$K$25,$B19)</f>
        <v>2538695.065212477</v>
      </c>
      <c r="D19" s="445">
        <f>TREND($K$39:$L$39,$K$36:$L$36,$B19)</f>
        <v>128599.20624268241</v>
      </c>
      <c r="E19" s="445">
        <f t="shared" si="2"/>
        <v>2667294.2714551594</v>
      </c>
      <c r="F19" s="301">
        <f>E19*(1+0.07)^-($B19-Assumptions!$D$4)</f>
        <v>644186.47274821182</v>
      </c>
      <c r="I19" s="12" t="s">
        <v>232</v>
      </c>
      <c r="AA19">
        <f t="shared" si="14"/>
        <v>2040</v>
      </c>
      <c r="AB19" s="428" cm="1">
        <f t="array" ref="AB19">TREND(AB$5:AB$6,$AA$5:$AA$6,$AA19)</f>
        <v>0.37112922270757442</v>
      </c>
      <c r="AC19" s="429" cm="1">
        <f t="array" ref="AC19">TREND(AC$5:AC$6,$AA$5:$AA$6,$AA19)</f>
        <v>0</v>
      </c>
      <c r="AD19" s="429" cm="1">
        <f t="array" ref="AD19">TREND(AD$5:AD$6,$AA$5:$AA$6,$AA19)</f>
        <v>2.5979045589530223</v>
      </c>
      <c r="AE19" s="429" cm="1">
        <f t="array" ref="AE19">TREND(AE$5:AE$6,$AA$5:$AA$6,$AA19)</f>
        <v>6.680326008736337</v>
      </c>
      <c r="AF19" s="430" cm="1">
        <f t="array" ref="AF19">TREND(AF$5:AF$6,$AA$5:$AA$6,$AA19)</f>
        <v>31.917113152851357</v>
      </c>
      <c r="AG19" s="428" cm="1">
        <f t="array" ref="AG19">TREND(AG$5:AG$6,$AA$5:$AA$6,$AA19)</f>
        <v>0</v>
      </c>
      <c r="AH19" s="429" cm="1">
        <f t="array" ref="AH19">TREND(AH$5:AH$6,$AA$5:$AA$6,$AA19)</f>
        <v>0</v>
      </c>
      <c r="AI19" s="429" cm="1">
        <f t="array" ref="AI19">TREND(AI$5:AI$6,$AA$5:$AA$6,$AA19)</f>
        <v>0</v>
      </c>
      <c r="AJ19" s="429" cm="1">
        <f t="array" ref="AJ19">TREND(AJ$5:AJ$6,$AA$5:$AA$6,$AA19)</f>
        <v>1.855646113537869</v>
      </c>
      <c r="AK19" s="430" cm="1">
        <f t="array" ref="AK19">TREND(AK$5:AK$6,$AA$5:$AA$6,$AA19)</f>
        <v>11.133876681227235</v>
      </c>
      <c r="AL19" s="428">
        <f t="shared" si="12"/>
        <v>0.21525494917039315</v>
      </c>
      <c r="AM19" s="428">
        <f t="shared" si="13"/>
        <v>0</v>
      </c>
      <c r="AN19" s="428">
        <f t="shared" si="3"/>
        <v>1.5067846441927528</v>
      </c>
      <c r="AO19" s="428">
        <f t="shared" si="4"/>
        <v>3.874589085067075</v>
      </c>
      <c r="AP19" s="428">
        <f t="shared" si="5"/>
        <v>18.511925628653785</v>
      </c>
      <c r="AQ19" s="428">
        <f t="shared" si="6"/>
        <v>0</v>
      </c>
      <c r="AR19" s="428">
        <f t="shared" si="7"/>
        <v>0</v>
      </c>
      <c r="AS19" s="428">
        <f t="shared" si="8"/>
        <v>0</v>
      </c>
      <c r="AT19" s="428">
        <f t="shared" si="9"/>
        <v>1.0762747458519639</v>
      </c>
      <c r="AU19" s="428">
        <f t="shared" si="10"/>
        <v>6.457648475111796</v>
      </c>
      <c r="AV19" s="428">
        <f t="shared" si="0"/>
        <v>6013889.2635203479</v>
      </c>
      <c r="AW19" s="428">
        <f t="shared" si="1"/>
        <v>3488055.7728418019</v>
      </c>
    </row>
    <row r="20" spans="2:49" x14ac:dyDescent="0.25">
      <c r="B20" s="300">
        <f t="shared" si="11"/>
        <v>2042</v>
      </c>
      <c r="C20" s="226">
        <f>TREND($J$31:$K$31,$J$25:$K$25,$B20)</f>
        <v>2551556.6397464015</v>
      </c>
      <c r="D20" s="445">
        <f>TREND($K$39:$L$39,$K$36:$L$36,$B20)</f>
        <v>129254.17633301904</v>
      </c>
      <c r="E20" s="445">
        <f t="shared" si="2"/>
        <v>2680810.8160794205</v>
      </c>
      <c r="F20" s="301">
        <f>E20*(1+0.07)^-($B20-Assumptions!$D$4)</f>
        <v>605094.29454439459</v>
      </c>
      <c r="I20" s="35" t="s">
        <v>233</v>
      </c>
      <c r="J20" s="58" t="s">
        <v>54</v>
      </c>
      <c r="K20" s="95" t="s">
        <v>55</v>
      </c>
      <c r="L20" s="95" t="s">
        <v>56</v>
      </c>
      <c r="M20" s="95" t="s">
        <v>57</v>
      </c>
      <c r="N20" s="95" t="s">
        <v>58</v>
      </c>
      <c r="O20" s="503" t="s">
        <v>234</v>
      </c>
      <c r="P20" s="504"/>
      <c r="AA20">
        <f t="shared" si="14"/>
        <v>2041</v>
      </c>
      <c r="AB20" s="428" cm="1">
        <f t="array" ref="AB20">TREND(AB$5:AB$6,$AA$5:$AA$6,$AA20)</f>
        <v>0.37301901717628683</v>
      </c>
      <c r="AC20" s="429" cm="1">
        <f t="array" ref="AC20">TREND(AC$5:AC$6,$AA$5:$AA$6,$AA20)</f>
        <v>0</v>
      </c>
      <c r="AD20" s="429" cm="1">
        <f t="array" ref="AD20">TREND(AD$5:AD$6,$AA$5:$AA$6,$AA20)</f>
        <v>2.6111331202340047</v>
      </c>
      <c r="AE20" s="429" cm="1">
        <f t="array" ref="AE20">TREND(AE$5:AE$6,$AA$5:$AA$6,$AA20)</f>
        <v>6.7143423091731407</v>
      </c>
      <c r="AF20" s="430" cm="1">
        <f t="array" ref="AF20">TREND(AF$5:AF$6,$AA$5:$AA$6,$AA20)</f>
        <v>32.079635477160593</v>
      </c>
      <c r="AG20" s="428" cm="1">
        <f t="array" ref="AG20">TREND(AG$5:AG$6,$AA$5:$AA$6,$AA20)</f>
        <v>0</v>
      </c>
      <c r="AH20" s="429" cm="1">
        <f t="array" ref="AH20">TREND(AH$5:AH$6,$AA$5:$AA$6,$AA20)</f>
        <v>0</v>
      </c>
      <c r="AI20" s="429" cm="1">
        <f t="array" ref="AI20">TREND(AI$5:AI$6,$AA$5:$AA$6,$AA20)</f>
        <v>0</v>
      </c>
      <c r="AJ20" s="429" cm="1">
        <f t="array" ref="AJ20">TREND(AJ$5:AJ$6,$AA$5:$AA$6,$AA20)</f>
        <v>1.8650950858814284</v>
      </c>
      <c r="AK20" s="430" cm="1">
        <f t="array" ref="AK20">TREND(AK$5:AK$6,$AA$5:$AA$6,$AA20)</f>
        <v>11.190570515288599</v>
      </c>
      <c r="AL20" s="428">
        <f t="shared" si="12"/>
        <v>0.21635102996224634</v>
      </c>
      <c r="AM20" s="428">
        <f t="shared" si="13"/>
        <v>0</v>
      </c>
      <c r="AN20" s="428">
        <f t="shared" si="3"/>
        <v>1.5144572097357225</v>
      </c>
      <c r="AO20" s="428">
        <f t="shared" si="4"/>
        <v>3.8943185393204214</v>
      </c>
      <c r="AP20" s="428">
        <f t="shared" si="5"/>
        <v>18.606188576753144</v>
      </c>
      <c r="AQ20" s="428">
        <f t="shared" si="6"/>
        <v>0</v>
      </c>
      <c r="AR20" s="428">
        <f t="shared" si="7"/>
        <v>0</v>
      </c>
      <c r="AS20" s="428">
        <f t="shared" si="8"/>
        <v>0</v>
      </c>
      <c r="AT20" s="428">
        <f t="shared" si="9"/>
        <v>1.0817551498112283</v>
      </c>
      <c r="AU20" s="428">
        <f t="shared" si="10"/>
        <v>6.4905308988673864</v>
      </c>
      <c r="AV20" s="428">
        <f t="shared" si="0"/>
        <v>6044512.0600297023</v>
      </c>
      <c r="AW20" s="428">
        <f t="shared" si="1"/>
        <v>3505816.9948172267</v>
      </c>
    </row>
    <row r="21" spans="2:49" x14ac:dyDescent="0.25">
      <c r="B21" s="300">
        <f t="shared" si="11"/>
        <v>2043</v>
      </c>
      <c r="C21" s="226">
        <f>TREND($J$31:$K$31,$J$25:$K$25,$B21)</f>
        <v>2564418.2142803296</v>
      </c>
      <c r="D21" s="445">
        <f>TREND($K$39:$L$39,$K$36:$L$36,$B21)</f>
        <v>129909.14642335568</v>
      </c>
      <c r="E21" s="445">
        <f t="shared" si="2"/>
        <v>2694327.3607036853</v>
      </c>
      <c r="F21" s="301">
        <f>E21*(1+0.07)^-($B21-Assumptions!$D$4)</f>
        <v>568359.95945217356</v>
      </c>
      <c r="I21" s="310" t="s">
        <v>246</v>
      </c>
      <c r="J21" s="134">
        <v>0.57999999999999996</v>
      </c>
      <c r="K21" s="134">
        <v>0.57999999999999996</v>
      </c>
      <c r="L21" s="134">
        <v>0.57999999999999996</v>
      </c>
      <c r="M21" s="134">
        <v>0.57999999999999996</v>
      </c>
      <c r="N21" s="134">
        <v>0.57999999999999996</v>
      </c>
      <c r="O21" s="326" t="s">
        <v>244</v>
      </c>
      <c r="P21" s="573" t="s">
        <v>245</v>
      </c>
      <c r="AA21">
        <f t="shared" si="14"/>
        <v>2042</v>
      </c>
      <c r="AB21" s="428" cm="1">
        <f t="array" ref="AB21">TREND(AB$5:AB$6,$AA$5:$AA$6,$AA21)</f>
        <v>0.37490881164499879</v>
      </c>
      <c r="AC21" s="429" cm="1">
        <f t="array" ref="AC21">TREND(AC$5:AC$6,$AA$5:$AA$6,$AA21)</f>
        <v>0</v>
      </c>
      <c r="AD21" s="429" cm="1">
        <f t="array" ref="AD21">TREND(AD$5:AD$6,$AA$5:$AA$6,$AA21)</f>
        <v>2.6243616815149906</v>
      </c>
      <c r="AE21" s="429" cm="1">
        <f t="array" ref="AE21">TREND(AE$5:AE$6,$AA$5:$AA$6,$AA21)</f>
        <v>6.7483586096099586</v>
      </c>
      <c r="AF21" s="430" cm="1">
        <f t="array" ref="AF21">TREND(AF$5:AF$6,$AA$5:$AA$6,$AA21)</f>
        <v>32.24215780146983</v>
      </c>
      <c r="AG21" s="428" cm="1">
        <f t="array" ref="AG21">TREND(AG$5:AG$6,$AA$5:$AA$6,$AA21)</f>
        <v>0</v>
      </c>
      <c r="AH21" s="429" cm="1">
        <f t="array" ref="AH21">TREND(AH$5:AH$6,$AA$5:$AA$6,$AA21)</f>
        <v>0</v>
      </c>
      <c r="AI21" s="429" cm="1">
        <f t="array" ref="AI21">TREND(AI$5:AI$6,$AA$5:$AA$6,$AA21)</f>
        <v>0</v>
      </c>
      <c r="AJ21" s="429" cm="1">
        <f t="array" ref="AJ21">TREND(AJ$5:AJ$6,$AA$5:$AA$6,$AA21)</f>
        <v>1.8745440582249877</v>
      </c>
      <c r="AK21" s="430" cm="1">
        <f t="array" ref="AK21">TREND(AK$5:AK$6,$AA$5:$AA$6,$AA21)</f>
        <v>11.247264349349962</v>
      </c>
      <c r="AL21" s="428">
        <f t="shared" si="12"/>
        <v>0.21744711075409928</v>
      </c>
      <c r="AM21" s="428">
        <f t="shared" si="13"/>
        <v>0</v>
      </c>
      <c r="AN21" s="428">
        <f t="shared" si="3"/>
        <v>1.5221297752786944</v>
      </c>
      <c r="AO21" s="428">
        <f t="shared" si="4"/>
        <v>3.9140479935737758</v>
      </c>
      <c r="AP21" s="428">
        <f t="shared" si="5"/>
        <v>18.7004515248525</v>
      </c>
      <c r="AQ21" s="428">
        <f t="shared" si="6"/>
        <v>0</v>
      </c>
      <c r="AR21" s="428">
        <f t="shared" si="7"/>
        <v>0</v>
      </c>
      <c r="AS21" s="428">
        <f t="shared" si="8"/>
        <v>0</v>
      </c>
      <c r="AT21" s="428">
        <f t="shared" si="9"/>
        <v>1.0872355537704927</v>
      </c>
      <c r="AU21" s="428">
        <f t="shared" si="10"/>
        <v>6.5234133226229778</v>
      </c>
      <c r="AV21" s="428">
        <f t="shared" si="0"/>
        <v>6075134.856539052</v>
      </c>
      <c r="AW21" s="428">
        <f t="shared" si="1"/>
        <v>3523578.2167926496</v>
      </c>
    </row>
    <row r="22" spans="2:49" ht="14.25" customHeight="1" x14ac:dyDescent="0.25">
      <c r="B22" s="300">
        <f t="shared" si="11"/>
        <v>2044</v>
      </c>
      <c r="C22" s="226">
        <f>TREND($J$31:$K$31,$J$25:$K$25,$B22)</f>
        <v>2577279.7888142578</v>
      </c>
      <c r="D22" s="445">
        <f>TREND($K$39:$L$39,$K$36:$L$36,$B22)</f>
        <v>130564.11651369208</v>
      </c>
      <c r="E22" s="445">
        <f t="shared" si="2"/>
        <v>2707843.9053279497</v>
      </c>
      <c r="F22" s="301">
        <f>E22*(1+0.07)^-($B22-Assumptions!$D$4)</f>
        <v>533842.27328435378</v>
      </c>
      <c r="I22" s="578"/>
      <c r="J22" s="21"/>
      <c r="K22" s="21"/>
      <c r="L22" s="21"/>
      <c r="M22" s="21"/>
      <c r="N22" s="21"/>
      <c r="O22" s="411"/>
      <c r="W22" s="306"/>
      <c r="X22" s="306"/>
      <c r="Y22" s="306"/>
      <c r="AA22">
        <f t="shared" si="14"/>
        <v>2043</v>
      </c>
      <c r="AB22" s="428" cm="1">
        <f t="array" ref="AB22">TREND(AB$5:AB$6,$AA$5:$AA$6,$AA22)</f>
        <v>0.37679860611371074</v>
      </c>
      <c r="AC22" s="429" cm="1">
        <f t="array" ref="AC22">TREND(AC$5:AC$6,$AA$5:$AA$6,$AA22)</f>
        <v>0</v>
      </c>
      <c r="AD22" s="429" cm="1">
        <f t="array" ref="AD22">TREND(AD$5:AD$6,$AA$5:$AA$6,$AA22)</f>
        <v>2.637590242795973</v>
      </c>
      <c r="AE22" s="429" cm="1">
        <f t="array" ref="AE22">TREND(AE$5:AE$6,$AA$5:$AA$6,$AA22)</f>
        <v>6.7823749100467765</v>
      </c>
      <c r="AF22" s="430" cm="1">
        <f t="array" ref="AF22">TREND(AF$5:AF$6,$AA$5:$AA$6,$AA22)</f>
        <v>32.404680125779066</v>
      </c>
      <c r="AG22" s="428" cm="1">
        <f t="array" ref="AG22">TREND(AG$5:AG$6,$AA$5:$AA$6,$AA22)</f>
        <v>0</v>
      </c>
      <c r="AH22" s="429" cm="1">
        <f t="array" ref="AH22">TREND(AH$5:AH$6,$AA$5:$AA$6,$AA22)</f>
        <v>0</v>
      </c>
      <c r="AI22" s="429" cm="1">
        <f t="array" ref="AI22">TREND(AI$5:AI$6,$AA$5:$AA$6,$AA22)</f>
        <v>0</v>
      </c>
      <c r="AJ22" s="429" cm="1">
        <f t="array" ref="AJ22">TREND(AJ$5:AJ$6,$AA$5:$AA$6,$AA22)</f>
        <v>1.8839930305685506</v>
      </c>
      <c r="AK22" s="430" cm="1">
        <f t="array" ref="AK22">TREND(AK$5:AK$6,$AA$5:$AA$6,$AA22)</f>
        <v>11.303958183411325</v>
      </c>
      <c r="AL22" s="428">
        <f t="shared" si="12"/>
        <v>0.21854319154595223</v>
      </c>
      <c r="AM22" s="428">
        <f t="shared" si="13"/>
        <v>0</v>
      </c>
      <c r="AN22" s="428">
        <f t="shared" si="3"/>
        <v>1.5298023408216643</v>
      </c>
      <c r="AO22" s="428">
        <f t="shared" si="4"/>
        <v>3.9337774478271301</v>
      </c>
      <c r="AP22" s="428">
        <f t="shared" si="5"/>
        <v>18.794714472951856</v>
      </c>
      <c r="AQ22" s="428">
        <f t="shared" si="6"/>
        <v>0</v>
      </c>
      <c r="AR22" s="428">
        <f t="shared" si="7"/>
        <v>0</v>
      </c>
      <c r="AS22" s="428">
        <f t="shared" si="8"/>
        <v>0</v>
      </c>
      <c r="AT22" s="428">
        <f t="shared" si="9"/>
        <v>1.0927159577297594</v>
      </c>
      <c r="AU22" s="428">
        <f t="shared" si="10"/>
        <v>6.5562957463785683</v>
      </c>
      <c r="AV22" s="428">
        <f t="shared" si="0"/>
        <v>6105757.6530484008</v>
      </c>
      <c r="AW22" s="428">
        <f t="shared" si="1"/>
        <v>3541339.4387680725</v>
      </c>
    </row>
    <row r="23" spans="2:49" x14ac:dyDescent="0.25">
      <c r="B23" s="300">
        <f>B22+1</f>
        <v>2045</v>
      </c>
      <c r="C23" s="226">
        <f>TREND($J$31:$K$31,$J$25:$K$25,$B23)</f>
        <v>2590141.363348186</v>
      </c>
      <c r="D23" s="445">
        <f>TREND($K$39:$L$39,$K$36:$L$36,$B23)</f>
        <v>131219.08660402871</v>
      </c>
      <c r="E23" s="445">
        <f t="shared" si="2"/>
        <v>2721360.449952215</v>
      </c>
      <c r="F23" s="301">
        <f>E23*(1+0.07)^-($B23-Assumptions!$D$4)</f>
        <v>501408.4246452474</v>
      </c>
      <c r="AA23">
        <f t="shared" si="14"/>
        <v>2044</v>
      </c>
      <c r="AB23" s="428" cm="1">
        <f t="array" ref="AB23">TREND(AB$5:AB$6,$AA$5:$AA$6,$AA23)</f>
        <v>0.3786884005824227</v>
      </c>
      <c r="AC23" s="429" cm="1">
        <f t="array" ref="AC23">TREND(AC$5:AC$6,$AA$5:$AA$6,$AA23)</f>
        <v>0</v>
      </c>
      <c r="AD23" s="429" cm="1">
        <f t="array" ref="AD23">TREND(AD$5:AD$6,$AA$5:$AA$6,$AA23)</f>
        <v>2.6508188040769589</v>
      </c>
      <c r="AE23" s="429" cm="1">
        <f t="array" ref="AE23">TREND(AE$5:AE$6,$AA$5:$AA$6,$AA23)</f>
        <v>6.8163912104835944</v>
      </c>
      <c r="AF23" s="430" cm="1">
        <f t="array" ref="AF23">TREND(AF$5:AF$6,$AA$5:$AA$6,$AA23)</f>
        <v>32.567202450088303</v>
      </c>
      <c r="AG23" s="428" cm="1">
        <f t="array" ref="AG23">TREND(AG$5:AG$6,$AA$5:$AA$6,$AA23)</f>
        <v>0</v>
      </c>
      <c r="AH23" s="429" cm="1">
        <f t="array" ref="AH23">TREND(AH$5:AH$6,$AA$5:$AA$6,$AA23)</f>
        <v>0</v>
      </c>
      <c r="AI23" s="429" cm="1">
        <f t="array" ref="AI23">TREND(AI$5:AI$6,$AA$5:$AA$6,$AA23)</f>
        <v>0</v>
      </c>
      <c r="AJ23" s="429" cm="1">
        <f t="array" ref="AJ23">TREND(AJ$5:AJ$6,$AA$5:$AA$6,$AA23)</f>
        <v>1.89344200291211</v>
      </c>
      <c r="AK23" s="430" cm="1">
        <f t="array" ref="AK23">TREND(AK$5:AK$6,$AA$5:$AA$6,$AA23)</f>
        <v>11.360652017472674</v>
      </c>
      <c r="AL23" s="428">
        <f t="shared" si="12"/>
        <v>0.21963927233780514</v>
      </c>
      <c r="AM23" s="428">
        <f t="shared" si="13"/>
        <v>0</v>
      </c>
      <c r="AN23" s="428">
        <f t="shared" si="3"/>
        <v>1.537474906364636</v>
      </c>
      <c r="AO23" s="428">
        <f t="shared" si="4"/>
        <v>3.9535069020804845</v>
      </c>
      <c r="AP23" s="428">
        <f t="shared" si="5"/>
        <v>18.888977421051216</v>
      </c>
      <c r="AQ23" s="428">
        <f t="shared" si="6"/>
        <v>0</v>
      </c>
      <c r="AR23" s="428">
        <f t="shared" si="7"/>
        <v>0</v>
      </c>
      <c r="AS23" s="428">
        <f t="shared" si="8"/>
        <v>0</v>
      </c>
      <c r="AT23" s="428">
        <f t="shared" si="9"/>
        <v>1.0981963616890238</v>
      </c>
      <c r="AU23" s="428">
        <f t="shared" si="10"/>
        <v>6.5891781701341507</v>
      </c>
      <c r="AV23" s="428">
        <f t="shared" si="0"/>
        <v>6136380.4495577505</v>
      </c>
      <c r="AW23" s="428">
        <f t="shared" si="1"/>
        <v>3559100.660743495</v>
      </c>
    </row>
    <row r="24" spans="2:49" ht="17.25" x14ac:dyDescent="0.25">
      <c r="B24" s="300">
        <f t="shared" si="11"/>
        <v>2046</v>
      </c>
      <c r="C24" s="226">
        <f>TREND($J$31:$K$31,$J$25:$K$25,$B24)</f>
        <v>2603002.9378821105</v>
      </c>
      <c r="D24" s="445">
        <f>TREND($K$39:$L$39,$K$36:$L$36,$B24)</f>
        <v>131874.05669436534</v>
      </c>
      <c r="E24" s="445">
        <f t="shared" si="2"/>
        <v>2734876.9945764756</v>
      </c>
      <c r="F24" s="301">
        <f>E24*(1+0.07)^-($B24-Assumptions!$D$4)</f>
        <v>470933.49240673846</v>
      </c>
      <c r="I24" s="70" t="s">
        <v>241</v>
      </c>
      <c r="J24" s="21"/>
      <c r="K24" s="21"/>
      <c r="O24" s="579"/>
      <c r="AA24">
        <f t="shared" ref="AA24:AA27" si="15">AA23+1</f>
        <v>2045</v>
      </c>
      <c r="AB24" s="428" cm="1">
        <f t="array" ref="AB24">TREND(AB$5:AB$6,$AA$5:$AA$6,$AA24)</f>
        <v>0.38057819505113466</v>
      </c>
      <c r="AC24" s="429" cm="1">
        <f t="array" ref="AC24">TREND(AC$5:AC$6,$AA$5:$AA$6,$AA24)</f>
        <v>0</v>
      </c>
      <c r="AD24" s="429" cm="1">
        <f t="array" ref="AD24">TREND(AD$5:AD$6,$AA$5:$AA$6,$AA24)</f>
        <v>2.6640473653579413</v>
      </c>
      <c r="AE24" s="429" cm="1">
        <f t="array" ref="AE24">TREND(AE$5:AE$6,$AA$5:$AA$6,$AA24)</f>
        <v>6.8504075109204123</v>
      </c>
      <c r="AF24" s="430" cm="1">
        <f t="array" ref="AF24">TREND(AF$5:AF$6,$AA$5:$AA$6,$AA24)</f>
        <v>32.729724774397539</v>
      </c>
      <c r="AG24" s="428" cm="1">
        <f t="array" ref="AG24">TREND(AG$5:AG$6,$AA$5:$AA$6,$AA24)</f>
        <v>0</v>
      </c>
      <c r="AH24" s="429" cm="1">
        <f t="array" ref="AH24">TREND(AH$5:AH$6,$AA$5:$AA$6,$AA24)</f>
        <v>0</v>
      </c>
      <c r="AI24" s="429" cm="1">
        <f t="array" ref="AI24">TREND(AI$5:AI$6,$AA$5:$AA$6,$AA24)</f>
        <v>0</v>
      </c>
      <c r="AJ24" s="429" cm="1">
        <f t="array" ref="AJ24">TREND(AJ$5:AJ$6,$AA$5:$AA$6,$AA24)</f>
        <v>1.9028909752556693</v>
      </c>
      <c r="AK24" s="430" cm="1">
        <f t="array" ref="AK24">TREND(AK$5:AK$6,$AA$5:$AA$6,$AA24)</f>
        <v>11.417345851534037</v>
      </c>
      <c r="AL24" s="428">
        <f t="shared" ref="AL24:AL27" si="16">AB24*$J$21</f>
        <v>0.22073535312965809</v>
      </c>
      <c r="AM24" s="428">
        <f t="shared" ref="AM24:AM27" si="17">AC24*$K$21</f>
        <v>0</v>
      </c>
      <c r="AN24" s="428">
        <f t="shared" ref="AN24:AN27" si="18">AD24*$L$21</f>
        <v>1.5451474719076059</v>
      </c>
      <c r="AO24" s="428">
        <f t="shared" ref="AO24:AO27" si="19">AE24*$M$21</f>
        <v>3.9732363563338389</v>
      </c>
      <c r="AP24" s="428">
        <f t="shared" ref="AP24:AP27" si="20">AF24*$N$21</f>
        <v>18.983240369150572</v>
      </c>
      <c r="AQ24" s="428">
        <f t="shared" ref="AQ24:AQ27" si="21">AG24*$J$21</f>
        <v>0</v>
      </c>
      <c r="AR24" s="428">
        <f t="shared" ref="AR24:AR27" si="22">AH24*$K$21</f>
        <v>0</v>
      </c>
      <c r="AS24" s="428">
        <f t="shared" ref="AS24:AS27" si="23">AI24*$L$21</f>
        <v>0</v>
      </c>
      <c r="AT24" s="428">
        <f t="shared" ref="AT24:AT27" si="24">AJ24*$M$21</f>
        <v>1.1036767656482882</v>
      </c>
      <c r="AU24" s="428">
        <f t="shared" ref="AU24:AU27" si="25">AK24*$N$21</f>
        <v>6.6220605938897412</v>
      </c>
      <c r="AV24" s="428">
        <f t="shared" ref="AV24:AV27" si="26">SUMPRODUCT(AB24:AF24,$J$7:$N$7)+SUMPRODUCT(AG24:AK24,$J$7:$N$7)</f>
        <v>6167003.2460670993</v>
      </c>
      <c r="AW24" s="428">
        <f t="shared" ref="AW24:AW27" si="27">SUMPRODUCT(AL24:AP24,$J$7:$N$7)+SUMPRODUCT(AQ24:AU24,$J$7:$N$7)</f>
        <v>3576861.8827189184</v>
      </c>
    </row>
    <row r="25" spans="2:49" x14ac:dyDescent="0.25">
      <c r="B25" s="300">
        <f t="shared" si="11"/>
        <v>2047</v>
      </c>
      <c r="C25" s="226">
        <f>TREND($J$31:$K$31,$J$25:$K$25,$B25)</f>
        <v>2615864.5124160387</v>
      </c>
      <c r="D25" s="446">
        <f>TREND($K$39:$L$39,$K$36:$L$36,$B25)</f>
        <v>132529.02678470174</v>
      </c>
      <c r="E25" s="446">
        <f t="shared" si="2"/>
        <v>2748393.5392007404</v>
      </c>
      <c r="F25" s="320">
        <f>E25*(1+0.07)^-($B25-Assumptions!$D$4)</f>
        <v>442299.98174964933</v>
      </c>
      <c r="I25" s="35" t="s">
        <v>160</v>
      </c>
      <c r="J25" s="58">
        <v>2020</v>
      </c>
      <c r="K25" s="58">
        <v>2045</v>
      </c>
      <c r="L25" s="58" t="s">
        <v>235</v>
      </c>
      <c r="M25" s="12"/>
      <c r="P25" s="297"/>
      <c r="AA25">
        <f t="shared" si="15"/>
        <v>2046</v>
      </c>
      <c r="AB25" s="428" cm="1">
        <f t="array" ref="AB25">TREND(AB$5:AB$6,$AA$5:$AA$6,$AA25)</f>
        <v>0.38246798951984706</v>
      </c>
      <c r="AC25" s="429" cm="1">
        <f t="array" ref="AC25">TREND(AC$5:AC$6,$AA$5:$AA$6,$AA25)</f>
        <v>0</v>
      </c>
      <c r="AD25" s="429" cm="1">
        <f t="array" ref="AD25">TREND(AD$5:AD$6,$AA$5:$AA$6,$AA25)</f>
        <v>2.6772759266389272</v>
      </c>
      <c r="AE25" s="429" cm="1">
        <f t="array" ref="AE25">TREND(AE$5:AE$6,$AA$5:$AA$6,$AA25)</f>
        <v>6.8844238113572302</v>
      </c>
      <c r="AF25" s="430" cm="1">
        <f t="array" ref="AF25">TREND(AF$5:AF$6,$AA$5:$AA$6,$AA25)</f>
        <v>32.892247098706775</v>
      </c>
      <c r="AG25" s="428" cm="1">
        <f t="array" ref="AG25">TREND(AG$5:AG$6,$AA$5:$AA$6,$AA25)</f>
        <v>0</v>
      </c>
      <c r="AH25" s="429" cm="1">
        <f t="array" ref="AH25">TREND(AH$5:AH$6,$AA$5:$AA$6,$AA25)</f>
        <v>0</v>
      </c>
      <c r="AI25" s="429" cm="1">
        <f t="array" ref="AI25">TREND(AI$5:AI$6,$AA$5:$AA$6,$AA25)</f>
        <v>0</v>
      </c>
      <c r="AJ25" s="429" cm="1">
        <f t="array" ref="AJ25">TREND(AJ$5:AJ$6,$AA$5:$AA$6,$AA25)</f>
        <v>1.9123399475992287</v>
      </c>
      <c r="AK25" s="430" cm="1">
        <f t="array" ref="AK25">TREND(AK$5:AK$6,$AA$5:$AA$6,$AA25)</f>
        <v>11.4740396855954</v>
      </c>
      <c r="AL25" s="428">
        <f t="shared" si="16"/>
        <v>0.22183143392151128</v>
      </c>
      <c r="AM25" s="428">
        <f t="shared" si="17"/>
        <v>0</v>
      </c>
      <c r="AN25" s="428">
        <f t="shared" si="18"/>
        <v>1.5528200374505776</v>
      </c>
      <c r="AO25" s="428">
        <f t="shared" si="19"/>
        <v>3.9929658105871932</v>
      </c>
      <c r="AP25" s="428">
        <f t="shared" si="20"/>
        <v>19.077503317249928</v>
      </c>
      <c r="AQ25" s="428">
        <f t="shared" si="21"/>
        <v>0</v>
      </c>
      <c r="AR25" s="428">
        <f t="shared" si="22"/>
        <v>0</v>
      </c>
      <c r="AS25" s="428">
        <f t="shared" si="23"/>
        <v>0</v>
      </c>
      <c r="AT25" s="428">
        <f t="shared" si="24"/>
        <v>1.1091571696075526</v>
      </c>
      <c r="AU25" s="428">
        <f t="shared" si="25"/>
        <v>6.6549430176453317</v>
      </c>
      <c r="AV25" s="428">
        <f t="shared" si="26"/>
        <v>6197626.0425764555</v>
      </c>
      <c r="AW25" s="428">
        <f t="shared" si="27"/>
        <v>3594623.1046943441</v>
      </c>
    </row>
    <row r="26" spans="2:49" x14ac:dyDescent="0.25">
      <c r="B26" s="300">
        <f t="shared" si="11"/>
        <v>2048</v>
      </c>
      <c r="C26" s="226">
        <f>TREND($J$31:$K$31,$J$25:$K$25,$B26)</f>
        <v>2628726.0869499668</v>
      </c>
      <c r="D26" s="446">
        <f>TREND($K$39:$L$39,$K$36:$L$36,$B26)</f>
        <v>133183.99687503837</v>
      </c>
      <c r="E26" s="446">
        <f t="shared" si="2"/>
        <v>2761910.0838250052</v>
      </c>
      <c r="F26" s="320">
        <f>E26*(1+0.07)^-($B26-Assumptions!$D$4)</f>
        <v>415397.3871408081</v>
      </c>
      <c r="I26" s="310" t="s">
        <v>237</v>
      </c>
      <c r="J26" s="293" cm="1">
        <f t="array" ref="J26">(SUMPRODUCT($J16:$N16,$J$7:$N$7,1-($J$21:$N$21))/3)</f>
        <v>2195242.0000000005</v>
      </c>
      <c r="K26" s="293">
        <f>J26*(1+$L$11)^($K$25-$J$25)</f>
        <v>2506383.7141813291</v>
      </c>
      <c r="L26" s="251">
        <f>(SUMPRODUCT($J16:$N16,$J$7:$N$7))/3</f>
        <v>5226766.666666667</v>
      </c>
      <c r="P26" s="297"/>
      <c r="AA26">
        <f t="shared" si="15"/>
        <v>2047</v>
      </c>
      <c r="AB26" s="428" cm="1">
        <f t="array" ref="AB26">TREND(AB$5:AB$6,$AA$5:$AA$6,$AA26)</f>
        <v>0.38435778398855902</v>
      </c>
      <c r="AC26" s="429" cm="1">
        <f t="array" ref="AC26">TREND(AC$5:AC$6,$AA$5:$AA$6,$AA26)</f>
        <v>0</v>
      </c>
      <c r="AD26" s="429" cm="1">
        <f t="array" ref="AD26">TREND(AD$5:AD$6,$AA$5:$AA$6,$AA26)</f>
        <v>2.6905044879199096</v>
      </c>
      <c r="AE26" s="429" cm="1">
        <f t="array" ref="AE26">TREND(AE$5:AE$6,$AA$5:$AA$6,$AA26)</f>
        <v>6.9184401117940482</v>
      </c>
      <c r="AF26" s="430" cm="1">
        <f t="array" ref="AF26">TREND(AF$5:AF$6,$AA$5:$AA$6,$AA26)</f>
        <v>33.054769423016012</v>
      </c>
      <c r="AG26" s="428" cm="1">
        <f t="array" ref="AG26">TREND(AG$5:AG$6,$AA$5:$AA$6,$AA26)</f>
        <v>0</v>
      </c>
      <c r="AH26" s="429" cm="1">
        <f t="array" ref="AH26">TREND(AH$5:AH$6,$AA$5:$AA$6,$AA26)</f>
        <v>0</v>
      </c>
      <c r="AI26" s="429" cm="1">
        <f t="array" ref="AI26">TREND(AI$5:AI$6,$AA$5:$AA$6,$AA26)</f>
        <v>0</v>
      </c>
      <c r="AJ26" s="429" cm="1">
        <f t="array" ref="AJ26">TREND(AJ$5:AJ$6,$AA$5:$AA$6,$AA26)</f>
        <v>1.9217889199427916</v>
      </c>
      <c r="AK26" s="430" cm="1">
        <f t="array" ref="AK26">TREND(AK$5:AK$6,$AA$5:$AA$6,$AA26)</f>
        <v>11.530733519656764</v>
      </c>
      <c r="AL26" s="428">
        <f t="shared" si="16"/>
        <v>0.22292751471336422</v>
      </c>
      <c r="AM26" s="428">
        <f t="shared" si="17"/>
        <v>0</v>
      </c>
      <c r="AN26" s="428">
        <f t="shared" si="18"/>
        <v>1.5604926029935475</v>
      </c>
      <c r="AO26" s="428">
        <f t="shared" si="19"/>
        <v>4.0126952648405476</v>
      </c>
      <c r="AP26" s="428">
        <f t="shared" si="20"/>
        <v>19.171766265349287</v>
      </c>
      <c r="AQ26" s="428">
        <f t="shared" si="21"/>
        <v>0</v>
      </c>
      <c r="AR26" s="428">
        <f t="shared" si="22"/>
        <v>0</v>
      </c>
      <c r="AS26" s="428">
        <f t="shared" si="23"/>
        <v>0</v>
      </c>
      <c r="AT26" s="428">
        <f t="shared" si="24"/>
        <v>1.114637573566819</v>
      </c>
      <c r="AU26" s="428">
        <f t="shared" si="25"/>
        <v>6.6878254414009222</v>
      </c>
      <c r="AV26" s="428">
        <f t="shared" si="26"/>
        <v>6228248.8390858052</v>
      </c>
      <c r="AW26" s="428">
        <f t="shared" si="27"/>
        <v>3612384.3266697666</v>
      </c>
    </row>
    <row r="27" spans="2:49" x14ac:dyDescent="0.25">
      <c r="B27" s="300">
        <f t="shared" si="11"/>
        <v>2049</v>
      </c>
      <c r="C27" s="226">
        <f>TREND($J$31:$K$31,$J$25:$K$25,$B27)</f>
        <v>2641587.661483895</v>
      </c>
      <c r="D27" s="446">
        <f>TREND($K$39:$L$39,$K$36:$L$36,$B27)</f>
        <v>133838.966965375</v>
      </c>
      <c r="E27" s="446">
        <f t="shared" si="2"/>
        <v>2775426.62844927</v>
      </c>
      <c r="F27" s="320">
        <f>E27*(1+0.07)^-($B27-Assumptions!$D$4)</f>
        <v>390121.78070720588</v>
      </c>
      <c r="I27" s="310" t="s">
        <v>238</v>
      </c>
      <c r="J27" s="293" cm="1">
        <f t="array" ref="J27">(SUMPRODUCT($J17:$N17,$J$7:$N$7,1-($J$21:$N$21))/3)</f>
        <v>73360.000000000015</v>
      </c>
      <c r="K27" s="293">
        <f>J27*(1+$L$11)^($K$25-$J$25)</f>
        <v>83757.64916685372</v>
      </c>
      <c r="L27" s="251">
        <f>(SUMPRODUCT($J17:$N17,$J$7:$N$7))/3</f>
        <v>174666.66666666666</v>
      </c>
      <c r="AA27">
        <f t="shared" si="15"/>
        <v>2048</v>
      </c>
      <c r="AB27" s="428" cm="1">
        <f t="array" ref="AB27">TREND(AB$5:AB$6,$AA$5:$AA$6,$AA27)</f>
        <v>0.38624757845727098</v>
      </c>
      <c r="AC27" s="429" cm="1">
        <f t="array" ref="AC27">TREND(AC$5:AC$6,$AA$5:$AA$6,$AA27)</f>
        <v>0</v>
      </c>
      <c r="AD27" s="429" cm="1">
        <f t="array" ref="AD27">TREND(AD$5:AD$6,$AA$5:$AA$6,$AA27)</f>
        <v>2.7037330492008955</v>
      </c>
      <c r="AE27" s="429" cm="1">
        <f t="array" ref="AE27">TREND(AE$5:AE$6,$AA$5:$AA$6,$AA27)</f>
        <v>6.9524564122308661</v>
      </c>
      <c r="AF27" s="430" cm="1">
        <f t="array" ref="AF27">TREND(AF$5:AF$6,$AA$5:$AA$6,$AA27)</f>
        <v>33.217291747325248</v>
      </c>
      <c r="AG27" s="428" cm="1">
        <f t="array" ref="AG27">TREND(AG$5:AG$6,$AA$5:$AA$6,$AA27)</f>
        <v>0</v>
      </c>
      <c r="AH27" s="429" cm="1">
        <f t="array" ref="AH27">TREND(AH$5:AH$6,$AA$5:$AA$6,$AA27)</f>
        <v>0</v>
      </c>
      <c r="AI27" s="429" cm="1">
        <f t="array" ref="AI27">TREND(AI$5:AI$6,$AA$5:$AA$6,$AA27)</f>
        <v>0</v>
      </c>
      <c r="AJ27" s="429" cm="1">
        <f t="array" ref="AJ27">TREND(AJ$5:AJ$6,$AA$5:$AA$6,$AA27)</f>
        <v>1.9312378922863509</v>
      </c>
      <c r="AK27" s="430" cm="1">
        <f t="array" ref="AK27">TREND(AK$5:AK$6,$AA$5:$AA$6,$AA27)</f>
        <v>11.587427353718127</v>
      </c>
      <c r="AL27" s="428">
        <f t="shared" si="16"/>
        <v>0.22402359550521717</v>
      </c>
      <c r="AM27" s="428">
        <f t="shared" si="17"/>
        <v>0</v>
      </c>
      <c r="AN27" s="428">
        <f t="shared" si="18"/>
        <v>1.5681651685365192</v>
      </c>
      <c r="AO27" s="428">
        <f t="shared" si="19"/>
        <v>4.0324247190939024</v>
      </c>
      <c r="AP27" s="428">
        <f t="shared" si="20"/>
        <v>19.266029213448643</v>
      </c>
      <c r="AQ27" s="428">
        <f t="shared" si="21"/>
        <v>0</v>
      </c>
      <c r="AR27" s="428">
        <f t="shared" si="22"/>
        <v>0</v>
      </c>
      <c r="AS27" s="428">
        <f t="shared" si="23"/>
        <v>0</v>
      </c>
      <c r="AT27" s="428">
        <f t="shared" si="24"/>
        <v>1.1201179775260834</v>
      </c>
      <c r="AU27" s="428">
        <f t="shared" si="25"/>
        <v>6.7207078651565126</v>
      </c>
      <c r="AV27" s="428">
        <f t="shared" si="26"/>
        <v>6258871.6355951549</v>
      </c>
      <c r="AW27" s="428">
        <f t="shared" si="27"/>
        <v>3630145.5486451895</v>
      </c>
    </row>
    <row r="28" spans="2:49" x14ac:dyDescent="0.25">
      <c r="B28" s="300">
        <f t="shared" si="11"/>
        <v>2050</v>
      </c>
      <c r="C28" s="226">
        <f>TREND($J$31:$K$31,$J$25:$K$25,$B28)</f>
        <v>2654449.2360178232</v>
      </c>
      <c r="D28" s="446">
        <f>TREND($K$39:$L$39,$K$36:$L$36,$B28)</f>
        <v>134493.9370557114</v>
      </c>
      <c r="E28" s="446">
        <f t="shared" si="2"/>
        <v>2788943.1730735349</v>
      </c>
      <c r="F28" s="320">
        <f>E28*(1+0.07)^-($B28-Assumptions!$D$4)</f>
        <v>366375.4245546445</v>
      </c>
      <c r="I28" s="314"/>
      <c r="J28" s="69"/>
      <c r="K28" s="69"/>
      <c r="L28" s="83"/>
      <c r="U28" s="12" t="s">
        <v>353</v>
      </c>
      <c r="AA28">
        <f t="shared" si="14"/>
        <v>2049</v>
      </c>
      <c r="AB28" s="428" cm="1">
        <f t="array" ref="AB28">TREND(AB$5:AB$6,$AA$5:$AA$6,$AA28)</f>
        <v>0.38813737292598294</v>
      </c>
      <c r="AC28" s="429" cm="1">
        <f t="array" ref="AC28">TREND(AC$5:AC$6,$AA$5:$AA$6,$AA28)</f>
        <v>0</v>
      </c>
      <c r="AD28" s="429" cm="1">
        <f t="array" ref="AD28">TREND(AD$5:AD$6,$AA$5:$AA$6,$AA28)</f>
        <v>2.7169616104818815</v>
      </c>
      <c r="AE28" s="429" cm="1">
        <f t="array" ref="AE28">TREND(AE$5:AE$6,$AA$5:$AA$6,$AA28)</f>
        <v>6.986472712667684</v>
      </c>
      <c r="AF28" s="430" cm="1">
        <f t="array" ref="AF28">TREND(AF$5:AF$6,$AA$5:$AA$6,$AA28)</f>
        <v>33.379814071634485</v>
      </c>
      <c r="AG28" s="428" cm="1">
        <f t="array" ref="AG28">TREND(AG$5:AG$6,$AA$5:$AA$6,$AA28)</f>
        <v>0</v>
      </c>
      <c r="AH28" s="429" cm="1">
        <f t="array" ref="AH28">TREND(AH$5:AH$6,$AA$5:$AA$6,$AA28)</f>
        <v>0</v>
      </c>
      <c r="AI28" s="429" cm="1">
        <f t="array" ref="AI28">TREND(AI$5:AI$6,$AA$5:$AA$6,$AA28)</f>
        <v>0</v>
      </c>
      <c r="AJ28" s="429" cm="1">
        <f t="array" ref="AJ28">TREND(AJ$5:AJ$6,$AA$5:$AA$6,$AA28)</f>
        <v>1.9406868646299102</v>
      </c>
      <c r="AK28" s="430" cm="1">
        <f t="array" ref="AK28">TREND(AK$5:AK$6,$AA$5:$AA$6,$AA28)</f>
        <v>11.64412118777949</v>
      </c>
      <c r="AL28" s="428">
        <f t="shared" si="12"/>
        <v>0.22511967629707008</v>
      </c>
      <c r="AM28" s="428">
        <f t="shared" si="13"/>
        <v>0</v>
      </c>
      <c r="AN28" s="428">
        <f t="shared" si="3"/>
        <v>1.5758377340794911</v>
      </c>
      <c r="AO28" s="428">
        <f t="shared" si="4"/>
        <v>4.0521541733472564</v>
      </c>
      <c r="AP28" s="428">
        <f t="shared" si="5"/>
        <v>19.360292161547999</v>
      </c>
      <c r="AQ28" s="428">
        <f t="shared" si="6"/>
        <v>0</v>
      </c>
      <c r="AR28" s="428">
        <f t="shared" si="7"/>
        <v>0</v>
      </c>
      <c r="AS28" s="428">
        <f t="shared" si="8"/>
        <v>0</v>
      </c>
      <c r="AT28" s="428">
        <f t="shared" si="9"/>
        <v>1.1255983814853479</v>
      </c>
      <c r="AU28" s="428">
        <f t="shared" si="10"/>
        <v>6.753590288912104</v>
      </c>
      <c r="AV28" s="428">
        <f t="shared" si="0"/>
        <v>6289494.4321045037</v>
      </c>
      <c r="AW28" s="428">
        <f t="shared" si="1"/>
        <v>3647906.770620612</v>
      </c>
    </row>
    <row r="29" spans="2:49" x14ac:dyDescent="0.25">
      <c r="B29" s="300">
        <f t="shared" si="11"/>
        <v>2051</v>
      </c>
      <c r="C29" s="226">
        <f>TREND($J$31:$K$31,$J$25:$K$25,$B29)</f>
        <v>2667310.8105517477</v>
      </c>
      <c r="D29" s="446">
        <f>TREND($K$39:$L$39,$K$36:$L$36,$B29)</f>
        <v>135148.90714604803</v>
      </c>
      <c r="E29" s="446">
        <f t="shared" si="2"/>
        <v>2802459.7176977955</v>
      </c>
      <c r="F29" s="320">
        <f>E29*(1+0.07)^-($B29-Assumptions!$D$4)</f>
        <v>344066.4056596494</v>
      </c>
      <c r="I29" s="70" t="s">
        <v>239</v>
      </c>
      <c r="J29" s="69"/>
      <c r="K29" s="69"/>
      <c r="U29" s="431"/>
      <c r="V29" s="432" t="s">
        <v>43</v>
      </c>
      <c r="W29" s="432" t="s">
        <v>44</v>
      </c>
      <c r="X29" s="432" t="s">
        <v>344</v>
      </c>
      <c r="Y29" s="443" t="s">
        <v>349</v>
      </c>
      <c r="AA29">
        <f t="shared" si="14"/>
        <v>2050</v>
      </c>
      <c r="AB29" s="428" cm="1">
        <f t="array" ref="AB29">TREND(AB$5:AB$6,$AA$5:$AA$6,$AA29)</f>
        <v>0.3900271673946949</v>
      </c>
      <c r="AC29" s="429" cm="1">
        <f t="array" ref="AC29">TREND(AC$5:AC$6,$AA$5:$AA$6,$AA29)</f>
        <v>0</v>
      </c>
      <c r="AD29" s="429" cm="1">
        <f t="array" ref="AD29">TREND(AD$5:AD$6,$AA$5:$AA$6,$AA29)</f>
        <v>2.7301901717628638</v>
      </c>
      <c r="AE29" s="429" cm="1">
        <f t="array" ref="AE29">TREND(AE$5:AE$6,$AA$5:$AA$6,$AA29)</f>
        <v>7.0204890131045019</v>
      </c>
      <c r="AF29" s="430" cm="1">
        <f t="array" ref="AF29">TREND(AF$5:AF$6,$AA$5:$AA$6,$AA29)</f>
        <v>33.542336395943721</v>
      </c>
      <c r="AG29" s="428" cm="1">
        <f t="array" ref="AG29">TREND(AG$5:AG$6,$AA$5:$AA$6,$AA29)</f>
        <v>0</v>
      </c>
      <c r="AH29" s="429" cm="1">
        <f t="array" ref="AH29">TREND(AH$5:AH$6,$AA$5:$AA$6,$AA29)</f>
        <v>0</v>
      </c>
      <c r="AI29" s="429" cm="1">
        <f t="array" ref="AI29">TREND(AI$5:AI$6,$AA$5:$AA$6,$AA29)</f>
        <v>0</v>
      </c>
      <c r="AJ29" s="429" cm="1">
        <f t="array" ref="AJ29">TREND(AJ$5:AJ$6,$AA$5:$AA$6,$AA29)</f>
        <v>1.9501358369734731</v>
      </c>
      <c r="AK29" s="430" cm="1">
        <f t="array" ref="AK29">TREND(AK$5:AK$6,$AA$5:$AA$6,$AA29)</f>
        <v>11.700815021840853</v>
      </c>
      <c r="AL29" s="428">
        <f t="shared" si="12"/>
        <v>0.22621575708892303</v>
      </c>
      <c r="AM29" s="428">
        <f t="shared" si="13"/>
        <v>0</v>
      </c>
      <c r="AN29" s="428">
        <f t="shared" si="3"/>
        <v>1.5835102996224608</v>
      </c>
      <c r="AO29" s="428">
        <f t="shared" si="4"/>
        <v>4.0718836276006112</v>
      </c>
      <c r="AP29" s="428">
        <f t="shared" si="5"/>
        <v>19.454555109647355</v>
      </c>
      <c r="AQ29" s="428">
        <f t="shared" si="6"/>
        <v>0</v>
      </c>
      <c r="AR29" s="428">
        <f t="shared" si="7"/>
        <v>0</v>
      </c>
      <c r="AS29" s="428">
        <f t="shared" si="8"/>
        <v>0</v>
      </c>
      <c r="AT29" s="428">
        <f t="shared" si="9"/>
        <v>1.1310787854446143</v>
      </c>
      <c r="AU29" s="428">
        <f t="shared" si="10"/>
        <v>6.7864727126676945</v>
      </c>
      <c r="AV29" s="428">
        <f t="shared" si="0"/>
        <v>6320117.2286138535</v>
      </c>
      <c r="AW29" s="428">
        <f t="shared" si="1"/>
        <v>3665667.9925960349</v>
      </c>
    </row>
    <row r="30" spans="2:49" x14ac:dyDescent="0.25">
      <c r="B30" s="300">
        <f t="shared" si="11"/>
        <v>2052</v>
      </c>
      <c r="C30" s="226">
        <f>TREND($J$31:$K$31,$J$25:$K$25,$B30)</f>
        <v>2680172.3850856759</v>
      </c>
      <c r="D30" s="446">
        <f>TREND($K$39:$L$39,$K$36:$L$36,$B30)</f>
        <v>135803.87723638467</v>
      </c>
      <c r="E30" s="446">
        <f t="shared" si="2"/>
        <v>2815976.2623220608</v>
      </c>
      <c r="F30" s="320">
        <f>E30*(1+0.07)^-($B30-Assumptions!$D$4)</f>
        <v>323108.29204035812</v>
      </c>
      <c r="I30" s="35" t="s">
        <v>160</v>
      </c>
      <c r="J30" s="58">
        <v>2020</v>
      </c>
      <c r="K30" s="58">
        <v>2045</v>
      </c>
      <c r="O30" s="61"/>
      <c r="P30" s="61"/>
      <c r="U30" s="415" t="s">
        <v>350</v>
      </c>
      <c r="V30" s="433">
        <f>SUM(AB37:AK37)</f>
        <v>1657.5148561579524</v>
      </c>
      <c r="W30" s="433">
        <f>SUM(AL37:AU37)</f>
        <v>961.35861657161195</v>
      </c>
      <c r="X30" s="433">
        <f>V30-W30</f>
        <v>696.15623958634046</v>
      </c>
      <c r="Y30" s="498">
        <f>X30/V30</f>
        <v>0.42000000000000026</v>
      </c>
      <c r="AA30">
        <f t="shared" si="14"/>
        <v>2051</v>
      </c>
      <c r="AB30" s="428" cm="1">
        <f t="array" ref="AB30">TREND(AB$5:AB$6,$AA$5:$AA$6,$AA30)</f>
        <v>0.3919169618634073</v>
      </c>
      <c r="AC30" s="429" cm="1">
        <f t="array" ref="AC30">TREND(AC$5:AC$6,$AA$5:$AA$6,$AA30)</f>
        <v>0</v>
      </c>
      <c r="AD30" s="429" cm="1">
        <f t="array" ref="AD30">TREND(AD$5:AD$6,$AA$5:$AA$6,$AA30)</f>
        <v>2.7434187330438498</v>
      </c>
      <c r="AE30" s="429" cm="1">
        <f t="array" ref="AE30">TREND(AE$5:AE$6,$AA$5:$AA$6,$AA30)</f>
        <v>7.0545053135413198</v>
      </c>
      <c r="AF30" s="430" cm="1">
        <f t="array" ref="AF30">TREND(AF$5:AF$6,$AA$5:$AA$6,$AA30)</f>
        <v>33.704858720252957</v>
      </c>
      <c r="AG30" s="428" cm="1">
        <f t="array" ref="AG30">TREND(AG$5:AG$6,$AA$5:$AA$6,$AA30)</f>
        <v>0</v>
      </c>
      <c r="AH30" s="429" cm="1">
        <f t="array" ref="AH30">TREND(AH$5:AH$6,$AA$5:$AA$6,$AA30)</f>
        <v>0</v>
      </c>
      <c r="AI30" s="429" cm="1">
        <f t="array" ref="AI30">TREND(AI$5:AI$6,$AA$5:$AA$6,$AA30)</f>
        <v>0</v>
      </c>
      <c r="AJ30" s="429" cm="1">
        <f t="array" ref="AJ30">TREND(AJ$5:AJ$6,$AA$5:$AA$6,$AA30)</f>
        <v>1.9595848093170325</v>
      </c>
      <c r="AK30" s="430" cm="1">
        <f t="array" ref="AK30">TREND(AK$5:AK$6,$AA$5:$AA$6,$AA30)</f>
        <v>11.757508855902216</v>
      </c>
      <c r="AL30" s="428">
        <f t="shared" si="12"/>
        <v>0.22731183788077622</v>
      </c>
      <c r="AM30" s="428">
        <f t="shared" si="13"/>
        <v>0</v>
      </c>
      <c r="AN30" s="428">
        <f t="shared" si="3"/>
        <v>1.5911828651654327</v>
      </c>
      <c r="AO30" s="428">
        <f t="shared" si="4"/>
        <v>4.0916130818539651</v>
      </c>
      <c r="AP30" s="428">
        <f t="shared" si="5"/>
        <v>19.548818057746715</v>
      </c>
      <c r="AQ30" s="428">
        <f t="shared" si="6"/>
        <v>0</v>
      </c>
      <c r="AR30" s="428">
        <f t="shared" si="7"/>
        <v>0</v>
      </c>
      <c r="AS30" s="428">
        <f t="shared" si="8"/>
        <v>0</v>
      </c>
      <c r="AT30" s="428">
        <f t="shared" si="9"/>
        <v>1.1365591894038787</v>
      </c>
      <c r="AU30" s="428">
        <f t="shared" si="10"/>
        <v>6.8193551364232849</v>
      </c>
      <c r="AV30" s="428">
        <f t="shared" si="0"/>
        <v>6350740.0251232088</v>
      </c>
      <c r="AW30" s="428">
        <f t="shared" si="1"/>
        <v>3683429.2145714615</v>
      </c>
    </row>
    <row r="31" spans="2:49" x14ac:dyDescent="0.25">
      <c r="B31" s="300">
        <f t="shared" si="11"/>
        <v>2053</v>
      </c>
      <c r="C31" s="226">
        <f>TREND($J$31:$K$31,$J$25:$K$25,$B31)</f>
        <v>2693033.9596196041</v>
      </c>
      <c r="D31" s="446">
        <f>TREND($K$39:$L$39,$K$36:$L$36,$B31)</f>
        <v>136458.84732672106</v>
      </c>
      <c r="E31" s="446">
        <f t="shared" si="2"/>
        <v>2829492.8069463251</v>
      </c>
      <c r="F31" s="320">
        <f>E31*(1+0.07)^-($B31-Assumptions!$D$4)</f>
        <v>303419.80898481689</v>
      </c>
      <c r="I31" s="315" t="s">
        <v>243</v>
      </c>
      <c r="J31" s="316">
        <f>SUM(J26:J27)</f>
        <v>2268602.0000000005</v>
      </c>
      <c r="K31" s="316">
        <f>SUM(K26:K27)</f>
        <v>2590141.3633481828</v>
      </c>
      <c r="O31" s="12"/>
      <c r="U31" s="415" t="s">
        <v>360</v>
      </c>
      <c r="V31" s="433">
        <f>SUM(AC37:AE37,AH37:AJ37)</f>
        <v>338.26833799141872</v>
      </c>
      <c r="W31" s="433">
        <f>SUM(AM37:AO37,AR37:AT37)</f>
        <v>196.19563603502286</v>
      </c>
      <c r="X31" s="433">
        <f>V31-W31</f>
        <v>142.07270195639586</v>
      </c>
      <c r="Y31" s="499"/>
      <c r="AA31">
        <f t="shared" si="14"/>
        <v>2052</v>
      </c>
      <c r="AB31" s="428" cm="1">
        <f t="array" ref="AB31">TREND(AB$5:AB$6,$AA$5:$AA$6,$AA31)</f>
        <v>0.39380675633211926</v>
      </c>
      <c r="AC31" s="429" cm="1">
        <f t="array" ref="AC31">TREND(AC$5:AC$6,$AA$5:$AA$6,$AA31)</f>
        <v>0</v>
      </c>
      <c r="AD31" s="429" cm="1">
        <f t="array" ref="AD31">TREND(AD$5:AD$6,$AA$5:$AA$6,$AA31)</f>
        <v>2.7566472943248321</v>
      </c>
      <c r="AE31" s="429" cm="1">
        <f t="array" ref="AE31">TREND(AE$5:AE$6,$AA$5:$AA$6,$AA31)</f>
        <v>7.0885216139781377</v>
      </c>
      <c r="AF31" s="430" cm="1">
        <f t="array" ref="AF31">TREND(AF$5:AF$6,$AA$5:$AA$6,$AA31)</f>
        <v>33.867381044562194</v>
      </c>
      <c r="AG31" s="428" cm="1">
        <f t="array" ref="AG31">TREND(AG$5:AG$6,$AA$5:$AA$6,$AA31)</f>
        <v>0</v>
      </c>
      <c r="AH31" s="429" cm="1">
        <f t="array" ref="AH31">TREND(AH$5:AH$6,$AA$5:$AA$6,$AA31)</f>
        <v>0</v>
      </c>
      <c r="AI31" s="429" cm="1">
        <f t="array" ref="AI31">TREND(AI$5:AI$6,$AA$5:$AA$6,$AA31)</f>
        <v>0</v>
      </c>
      <c r="AJ31" s="429" cm="1">
        <f t="array" ref="AJ31">TREND(AJ$5:AJ$6,$AA$5:$AA$6,$AA31)</f>
        <v>1.9690337816605918</v>
      </c>
      <c r="AK31" s="430" cm="1">
        <f t="array" ref="AK31">TREND(AK$5:AK$6,$AA$5:$AA$6,$AA31)</f>
        <v>11.814202689963579</v>
      </c>
      <c r="AL31" s="428">
        <f t="shared" si="12"/>
        <v>0.22840791867262916</v>
      </c>
      <c r="AM31" s="428">
        <f t="shared" si="13"/>
        <v>0</v>
      </c>
      <c r="AN31" s="428">
        <f t="shared" si="3"/>
        <v>1.5988554307084026</v>
      </c>
      <c r="AO31" s="428">
        <f t="shared" si="4"/>
        <v>4.1113425361073199</v>
      </c>
      <c r="AP31" s="428">
        <f t="shared" si="5"/>
        <v>19.643081005846071</v>
      </c>
      <c r="AQ31" s="428">
        <f t="shared" si="6"/>
        <v>0</v>
      </c>
      <c r="AR31" s="428">
        <f t="shared" si="7"/>
        <v>0</v>
      </c>
      <c r="AS31" s="428">
        <f t="shared" si="8"/>
        <v>0</v>
      </c>
      <c r="AT31" s="428">
        <f t="shared" si="9"/>
        <v>1.1420395933631431</v>
      </c>
      <c r="AU31" s="428">
        <f t="shared" si="10"/>
        <v>6.8522375601788754</v>
      </c>
      <c r="AV31" s="428">
        <f t="shared" si="0"/>
        <v>6381362.8216325585</v>
      </c>
      <c r="AW31" s="428">
        <f t="shared" si="1"/>
        <v>3701190.4365468835</v>
      </c>
    </row>
    <row r="32" spans="2:49" x14ac:dyDescent="0.25">
      <c r="B32" s="300">
        <f t="shared" si="11"/>
        <v>2054</v>
      </c>
      <c r="C32" s="226">
        <f>TREND($J$31:$K$31,$J$25:$K$25,$B32)</f>
        <v>2705895.5341535322</v>
      </c>
      <c r="D32" s="446">
        <f>TREND($K$39:$L$39,$K$36:$L$36,$B32)</f>
        <v>137113.8174170577</v>
      </c>
      <c r="E32" s="446">
        <f t="shared" si="2"/>
        <v>2843009.3515705899</v>
      </c>
      <c r="F32" s="320">
        <f>E32*(1+0.07)^-($B32-Assumptions!$D$4)</f>
        <v>284924.53418390255</v>
      </c>
      <c r="I32" s="317"/>
      <c r="J32" s="318"/>
      <c r="K32" s="318"/>
      <c r="O32" s="12"/>
      <c r="U32" s="217" t="s">
        <v>359</v>
      </c>
      <c r="V32" s="441">
        <f>AB37</f>
        <v>11.27561126638064</v>
      </c>
      <c r="W32" s="441">
        <f>AL37</f>
        <v>6.5398545345007708</v>
      </c>
      <c r="X32" s="433">
        <f>V32-W32</f>
        <v>4.735756731879869</v>
      </c>
      <c r="Y32" s="499"/>
      <c r="AA32">
        <f t="shared" si="14"/>
        <v>2053</v>
      </c>
      <c r="AB32" s="428" cm="1">
        <f t="array" ref="AB32">TREND(AB$5:AB$6,$AA$5:$AA$6,$AA32)</f>
        <v>0.39569655080083121</v>
      </c>
      <c r="AC32" s="429" cm="1">
        <f t="array" ref="AC32">TREND(AC$5:AC$6,$AA$5:$AA$6,$AA32)</f>
        <v>0</v>
      </c>
      <c r="AD32" s="429" cm="1">
        <f t="array" ref="AD32">TREND(AD$5:AD$6,$AA$5:$AA$6,$AA32)</f>
        <v>2.7698758556058181</v>
      </c>
      <c r="AE32" s="429" cm="1">
        <f t="array" ref="AE32">TREND(AE$5:AE$6,$AA$5:$AA$6,$AA32)</f>
        <v>7.1225379144149557</v>
      </c>
      <c r="AF32" s="430" cm="1">
        <f t="array" ref="AF32">TREND(AF$5:AF$6,$AA$5:$AA$6,$AA32)</f>
        <v>34.02990336887143</v>
      </c>
      <c r="AG32" s="428" cm="1">
        <f t="array" ref="AG32">TREND(AG$5:AG$6,$AA$5:$AA$6,$AA32)</f>
        <v>0</v>
      </c>
      <c r="AH32" s="429" cm="1">
        <f t="array" ref="AH32">TREND(AH$5:AH$6,$AA$5:$AA$6,$AA32)</f>
        <v>0</v>
      </c>
      <c r="AI32" s="429" cm="1">
        <f t="array" ref="AI32">TREND(AI$5:AI$6,$AA$5:$AA$6,$AA32)</f>
        <v>0</v>
      </c>
      <c r="AJ32" s="429" cm="1">
        <f t="array" ref="AJ32">TREND(AJ$5:AJ$6,$AA$5:$AA$6,$AA32)</f>
        <v>1.9784827540041512</v>
      </c>
      <c r="AK32" s="430" cm="1">
        <f t="array" ref="AK32">TREND(AK$5:AK$6,$AA$5:$AA$6,$AA32)</f>
        <v>11.870896524024928</v>
      </c>
      <c r="AL32" s="428">
        <f t="shared" si="12"/>
        <v>0.22950399946448208</v>
      </c>
      <c r="AM32" s="428">
        <f t="shared" si="13"/>
        <v>0</v>
      </c>
      <c r="AN32" s="428">
        <f t="shared" si="3"/>
        <v>1.6065279962513743</v>
      </c>
      <c r="AO32" s="428">
        <f t="shared" si="4"/>
        <v>4.1310719903606739</v>
      </c>
      <c r="AP32" s="428">
        <f t="shared" si="5"/>
        <v>19.737343953945427</v>
      </c>
      <c r="AQ32" s="428">
        <f t="shared" si="6"/>
        <v>0</v>
      </c>
      <c r="AR32" s="428">
        <f t="shared" si="7"/>
        <v>0</v>
      </c>
      <c r="AS32" s="428">
        <f t="shared" si="8"/>
        <v>0</v>
      </c>
      <c r="AT32" s="428">
        <f t="shared" si="9"/>
        <v>1.1475199973224075</v>
      </c>
      <c r="AU32" s="428">
        <f t="shared" si="10"/>
        <v>6.8851199839344579</v>
      </c>
      <c r="AV32" s="428">
        <f t="shared" si="0"/>
        <v>6411985.6181419082</v>
      </c>
      <c r="AW32" s="428">
        <f t="shared" si="1"/>
        <v>3718951.6585223065</v>
      </c>
    </row>
    <row r="33" spans="1:50" x14ac:dyDescent="0.25">
      <c r="B33" s="319">
        <f t="shared" si="11"/>
        <v>2055</v>
      </c>
      <c r="C33" s="226">
        <f>TREND($J$31:$K$31,$J$25:$K$25,$B33)</f>
        <v>2718757.1086874567</v>
      </c>
      <c r="D33" s="446">
        <f>TREND($K$39:$L$39,$K$36:$L$36,$B33)</f>
        <v>137768.78750739433</v>
      </c>
      <c r="E33" s="446">
        <f t="shared" si="2"/>
        <v>2856525.896194851</v>
      </c>
      <c r="F33" s="320">
        <f>E33*(1+0.07)^-($B33-Assumptions!$D$4)</f>
        <v>267550.61068104999</v>
      </c>
      <c r="I33" s="589" t="s">
        <v>399</v>
      </c>
      <c r="J33" s="310">
        <f>I11</f>
        <v>2022</v>
      </c>
      <c r="K33" s="310">
        <f>I12</f>
        <v>2045</v>
      </c>
      <c r="O33" s="12"/>
      <c r="U33" s="217" t="s">
        <v>351</v>
      </c>
      <c r="V33" s="434">
        <f>MROUND(SUM(AV5:AV36),100000)/10^6</f>
        <v>194.3</v>
      </c>
      <c r="W33" s="434">
        <f>MROUND(SUM(AW5:AW36),100000)/10^6</f>
        <v>112.7</v>
      </c>
      <c r="X33" s="434">
        <f>V33-W33</f>
        <v>81.600000000000009</v>
      </c>
      <c r="Y33" s="499"/>
      <c r="AA33">
        <f t="shared" si="14"/>
        <v>2054</v>
      </c>
      <c r="AB33" s="428" cm="1">
        <f t="array" ref="AB33">TREND(AB$5:AB$6,$AA$5:$AA$6,$AA33)</f>
        <v>0.39758634526954317</v>
      </c>
      <c r="AC33" s="429" cm="1">
        <f t="array" ref="AC33">TREND(AC$5:AC$6,$AA$5:$AA$6,$AA33)</f>
        <v>0</v>
      </c>
      <c r="AD33" s="429" cm="1">
        <f t="array" ref="AD33">TREND(AD$5:AD$6,$AA$5:$AA$6,$AA33)</f>
        <v>2.7831044168868004</v>
      </c>
      <c r="AE33" s="429" cm="1">
        <f t="array" ref="AE33">TREND(AE$5:AE$6,$AA$5:$AA$6,$AA33)</f>
        <v>7.1565542148517736</v>
      </c>
      <c r="AF33" s="430" cm="1">
        <f t="array" ref="AF33">TREND(AF$5:AF$6,$AA$5:$AA$6,$AA33)</f>
        <v>34.192425693180667</v>
      </c>
      <c r="AG33" s="428" cm="1">
        <f t="array" ref="AG33">TREND(AG$5:AG$6,$AA$5:$AA$6,$AA33)</f>
        <v>0</v>
      </c>
      <c r="AH33" s="429" cm="1">
        <f t="array" ref="AH33">TREND(AH$5:AH$6,$AA$5:$AA$6,$AA33)</f>
        <v>0</v>
      </c>
      <c r="AI33" s="429" cm="1">
        <f t="array" ref="AI33">TREND(AI$5:AI$6,$AA$5:$AA$6,$AA33)</f>
        <v>0</v>
      </c>
      <c r="AJ33" s="429" cm="1">
        <f t="array" ref="AJ33">TREND(AJ$5:AJ$6,$AA$5:$AA$6,$AA33)</f>
        <v>1.9879317263477141</v>
      </c>
      <c r="AK33" s="430" cm="1">
        <f t="array" ref="AK33">TREND(AK$5:AK$6,$AA$5:$AA$6,$AA33)</f>
        <v>11.927590358086292</v>
      </c>
      <c r="AL33" s="428">
        <f t="shared" si="12"/>
        <v>0.23060008025633502</v>
      </c>
      <c r="AM33" s="428">
        <f t="shared" si="13"/>
        <v>0</v>
      </c>
      <c r="AN33" s="428">
        <f t="shared" si="3"/>
        <v>1.6142005617943442</v>
      </c>
      <c r="AO33" s="428">
        <f t="shared" si="4"/>
        <v>4.1508014446140287</v>
      </c>
      <c r="AP33" s="428">
        <f t="shared" si="5"/>
        <v>19.831606902044786</v>
      </c>
      <c r="AQ33" s="428">
        <f t="shared" si="6"/>
        <v>0</v>
      </c>
      <c r="AR33" s="428">
        <f t="shared" si="7"/>
        <v>0</v>
      </c>
      <c r="AS33" s="428">
        <f t="shared" si="8"/>
        <v>0</v>
      </c>
      <c r="AT33" s="428">
        <f t="shared" si="9"/>
        <v>1.1530004012816741</v>
      </c>
      <c r="AU33" s="428">
        <f t="shared" si="10"/>
        <v>6.9180024076900484</v>
      </c>
      <c r="AV33" s="428">
        <f t="shared" si="0"/>
        <v>6442608.414651257</v>
      </c>
      <c r="AW33" s="428">
        <f t="shared" si="1"/>
        <v>3736712.8804977294</v>
      </c>
    </row>
    <row r="34" spans="1:50" x14ac:dyDescent="0.25">
      <c r="B34" s="319">
        <f t="shared" si="11"/>
        <v>2056</v>
      </c>
      <c r="C34" s="226">
        <f>TREND($J$31:$K$31,$J$25:$K$25,$B34)</f>
        <v>2731618.6832213849</v>
      </c>
      <c r="D34" s="446">
        <f>TREND($K$39:$L$39,$K$36:$L$36,$B34)</f>
        <v>138423.75759773073</v>
      </c>
      <c r="E34" s="446">
        <f t="shared" si="2"/>
        <v>2870042.4408191154</v>
      </c>
      <c r="F34" s="320">
        <f>E34*(1+0.07)^-($B34-Assumptions!$D$4)</f>
        <v>251230.47661240704</v>
      </c>
      <c r="I34" s="315" t="s">
        <v>362</v>
      </c>
      <c r="J34" s="79">
        <v>3.6673999999999998E-2</v>
      </c>
      <c r="K34" s="79">
        <f>J34*J12/J11</f>
        <v>4.1430314007686646E-2</v>
      </c>
      <c r="O34" s="12"/>
      <c r="U34" t="s">
        <v>352</v>
      </c>
      <c r="AA34">
        <f t="shared" si="14"/>
        <v>2055</v>
      </c>
      <c r="AB34" s="428" cm="1">
        <f t="array" ref="AB34">TREND(AB$5:AB$6,$AA$5:$AA$6,$AA34)</f>
        <v>0.39947613973825513</v>
      </c>
      <c r="AC34" s="429" cm="1">
        <f t="array" ref="AC34">TREND(AC$5:AC$6,$AA$5:$AA$6,$AA34)</f>
        <v>0</v>
      </c>
      <c r="AD34" s="429" cm="1">
        <f t="array" ref="AD34">TREND(AD$5:AD$6,$AA$5:$AA$6,$AA34)</f>
        <v>2.7963329781677864</v>
      </c>
      <c r="AE34" s="429" cm="1">
        <f t="array" ref="AE34">TREND(AE$5:AE$6,$AA$5:$AA$6,$AA34)</f>
        <v>7.1905705152885915</v>
      </c>
      <c r="AF34" s="430" cm="1">
        <f t="array" ref="AF34">TREND(AF$5:AF$6,$AA$5:$AA$6,$AA34)</f>
        <v>34.354948017489903</v>
      </c>
      <c r="AG34" s="428" cm="1">
        <f t="array" ref="AG34">TREND(AG$5:AG$6,$AA$5:$AA$6,$AA34)</f>
        <v>0</v>
      </c>
      <c r="AH34" s="429" cm="1">
        <f t="array" ref="AH34">TREND(AH$5:AH$6,$AA$5:$AA$6,$AA34)</f>
        <v>0</v>
      </c>
      <c r="AI34" s="429" cm="1">
        <f t="array" ref="AI34">TREND(AI$5:AI$6,$AA$5:$AA$6,$AA34)</f>
        <v>0</v>
      </c>
      <c r="AJ34" s="429" cm="1">
        <f t="array" ref="AJ34">TREND(AJ$5:AJ$6,$AA$5:$AA$6,$AA34)</f>
        <v>1.9973806986912734</v>
      </c>
      <c r="AK34" s="430" cm="1">
        <f t="array" ref="AK34">TREND(AK$5:AK$6,$AA$5:$AA$6,$AA34)</f>
        <v>11.984284192147655</v>
      </c>
      <c r="AL34" s="428">
        <f t="shared" si="12"/>
        <v>0.23169616104818797</v>
      </c>
      <c r="AM34" s="428">
        <f t="shared" si="13"/>
        <v>0</v>
      </c>
      <c r="AN34" s="428">
        <f t="shared" si="3"/>
        <v>1.6218731273373159</v>
      </c>
      <c r="AO34" s="428">
        <f t="shared" si="4"/>
        <v>4.1705308988673826</v>
      </c>
      <c r="AP34" s="428">
        <f t="shared" si="5"/>
        <v>19.925869850144142</v>
      </c>
      <c r="AQ34" s="428">
        <f t="shared" si="6"/>
        <v>0</v>
      </c>
      <c r="AR34" s="428">
        <f t="shared" si="7"/>
        <v>0</v>
      </c>
      <c r="AS34" s="428">
        <f t="shared" si="8"/>
        <v>0</v>
      </c>
      <c r="AT34" s="428">
        <f t="shared" si="9"/>
        <v>1.1584808052409385</v>
      </c>
      <c r="AU34" s="428">
        <f t="shared" si="10"/>
        <v>6.9508848314456397</v>
      </c>
      <c r="AV34" s="428">
        <f t="shared" si="0"/>
        <v>6473231.2111606076</v>
      </c>
      <c r="AW34" s="428">
        <f t="shared" si="1"/>
        <v>3754474.1024731519</v>
      </c>
    </row>
    <row r="35" spans="1:50" ht="15.75" thickBot="1" x14ac:dyDescent="0.3">
      <c r="B35" s="312">
        <f t="shared" si="11"/>
        <v>2057</v>
      </c>
      <c r="C35" s="231">
        <f>TREND($J$31:$K$31,$J$25:$K$25,$B35)</f>
        <v>2744480.2577553131</v>
      </c>
      <c r="D35" s="447">
        <f>TREND($K$39:$L$39,$K$36:$L$36,$B35)</f>
        <v>139078.72768806736</v>
      </c>
      <c r="E35" s="447">
        <f t="shared" si="2"/>
        <v>2883558.9854433807</v>
      </c>
      <c r="F35" s="313">
        <f>E35*(1+0.07)^-($B35-Assumptions!$D$4)</f>
        <v>235900.61076906379</v>
      </c>
      <c r="I35" s="317"/>
      <c r="J35" s="318"/>
      <c r="K35" s="318"/>
      <c r="L35" s="21"/>
      <c r="M35" s="21"/>
      <c r="AA35">
        <f t="shared" si="14"/>
        <v>2056</v>
      </c>
      <c r="AB35" s="428" cm="1">
        <f t="array" ref="AB35">TREND(AB$5:AB$6,$AA$5:$AA$6,$AA35)</f>
        <v>0.40136593420696753</v>
      </c>
      <c r="AC35" s="429" cm="1">
        <f t="array" ref="AC35">TREND(AC$5:AC$6,$AA$5:$AA$6,$AA35)</f>
        <v>0</v>
      </c>
      <c r="AD35" s="429" cm="1">
        <f t="array" ref="AD35">TREND(AD$5:AD$6,$AA$5:$AA$6,$AA35)</f>
        <v>2.8095615394487687</v>
      </c>
      <c r="AE35" s="429" cm="1">
        <f t="array" ref="AE35">TREND(AE$5:AE$6,$AA$5:$AA$6,$AA35)</f>
        <v>7.2245868157253952</v>
      </c>
      <c r="AF35" s="430" cm="1">
        <f t="array" ref="AF35">TREND(AF$5:AF$6,$AA$5:$AA$6,$AA35)</f>
        <v>34.51747034179914</v>
      </c>
      <c r="AG35" s="428" cm="1">
        <f t="array" ref="AG35">TREND(AG$5:AG$6,$AA$5:$AA$6,$AA35)</f>
        <v>0</v>
      </c>
      <c r="AH35" s="429" cm="1">
        <f t="array" ref="AH35">TREND(AH$5:AH$6,$AA$5:$AA$6,$AA35)</f>
        <v>0</v>
      </c>
      <c r="AI35" s="429" cm="1">
        <f t="array" ref="AI35">TREND(AI$5:AI$6,$AA$5:$AA$6,$AA35)</f>
        <v>0</v>
      </c>
      <c r="AJ35" s="429" cm="1">
        <f t="array" ref="AJ35">TREND(AJ$5:AJ$6,$AA$5:$AA$6,$AA35)</f>
        <v>2.0068296710348328</v>
      </c>
      <c r="AK35" s="430" cm="1">
        <f t="array" ref="AK35">TREND(AK$5:AK$6,$AA$5:$AA$6,$AA35)</f>
        <v>12.040978026209018</v>
      </c>
      <c r="AL35" s="428">
        <f t="shared" si="12"/>
        <v>0.23279224184004116</v>
      </c>
      <c r="AM35" s="428">
        <f t="shared" si="13"/>
        <v>0</v>
      </c>
      <c r="AN35" s="428">
        <f t="shared" si="3"/>
        <v>1.6295456928802858</v>
      </c>
      <c r="AO35" s="428">
        <f t="shared" si="4"/>
        <v>4.1902603531207285</v>
      </c>
      <c r="AP35" s="428">
        <f t="shared" si="5"/>
        <v>20.020132798243498</v>
      </c>
      <c r="AQ35" s="428">
        <f t="shared" si="6"/>
        <v>0</v>
      </c>
      <c r="AR35" s="428">
        <f t="shared" si="7"/>
        <v>0</v>
      </c>
      <c r="AS35" s="428">
        <f t="shared" si="8"/>
        <v>0</v>
      </c>
      <c r="AT35" s="428">
        <f t="shared" si="9"/>
        <v>1.163961209200203</v>
      </c>
      <c r="AU35" s="428">
        <f t="shared" si="10"/>
        <v>6.9837672552012302</v>
      </c>
      <c r="AV35" s="428">
        <f t="shared" si="0"/>
        <v>6503854.007669962</v>
      </c>
      <c r="AW35" s="428">
        <f t="shared" si="1"/>
        <v>3772235.3244485771</v>
      </c>
    </row>
    <row r="36" spans="1:50" ht="15.75" thickBot="1" x14ac:dyDescent="0.3">
      <c r="B36" s="4"/>
      <c r="C36" s="115" t="s">
        <v>2</v>
      </c>
      <c r="D36" s="115"/>
      <c r="E36" s="115"/>
      <c r="F36" s="122">
        <f>SUM(F6:F35)</f>
        <v>20272515.488170348</v>
      </c>
      <c r="I36" s="580" t="s">
        <v>400</v>
      </c>
      <c r="J36" s="581" t="s">
        <v>398</v>
      </c>
      <c r="K36" s="58">
        <v>2022</v>
      </c>
      <c r="L36" s="58">
        <f>K33</f>
        <v>2045</v>
      </c>
      <c r="M36" s="586"/>
      <c r="N36" s="21"/>
      <c r="AA36">
        <f t="shared" si="14"/>
        <v>2057</v>
      </c>
      <c r="AB36" s="428" cm="1">
        <f t="array" ref="AB36">TREND(AB$5:AB$6,$AA$5:$AA$6,$AA36)</f>
        <v>0.40325572867567949</v>
      </c>
      <c r="AC36" s="429" cm="1">
        <f t="array" ref="AC36">TREND(AC$5:AC$6,$AA$5:$AA$6,$AA36)</f>
        <v>0</v>
      </c>
      <c r="AD36" s="429" cm="1">
        <f t="array" ref="AD36">TREND(AD$5:AD$6,$AA$5:$AA$6,$AA36)</f>
        <v>2.8227901007297547</v>
      </c>
      <c r="AE36" s="429" cm="1">
        <f t="array" ref="AE36">TREND(AE$5:AE$6,$AA$5:$AA$6,$AA36)</f>
        <v>7.2586031161622131</v>
      </c>
      <c r="AF36" s="430" cm="1">
        <f t="array" ref="AF36">TREND(AF$5:AF$6,$AA$5:$AA$6,$AA36)</f>
        <v>34.679992666108376</v>
      </c>
      <c r="AG36" s="428" cm="1">
        <f t="array" ref="AG36">TREND(AG$5:AG$6,$AA$5:$AA$6,$AA36)</f>
        <v>0</v>
      </c>
      <c r="AH36" s="429" cm="1">
        <f t="array" ref="AH36">TREND(AH$5:AH$6,$AA$5:$AA$6,$AA36)</f>
        <v>0</v>
      </c>
      <c r="AI36" s="429" cm="1">
        <f t="array" ref="AI36">TREND(AI$5:AI$6,$AA$5:$AA$6,$AA36)</f>
        <v>0</v>
      </c>
      <c r="AJ36" s="429" cm="1">
        <f t="array" ref="AJ36">TREND(AJ$5:AJ$6,$AA$5:$AA$6,$AA36)</f>
        <v>2.0162786433783921</v>
      </c>
      <c r="AK36" s="430" cm="1">
        <f t="array" ref="AK36">TREND(AK$5:AK$6,$AA$5:$AA$6,$AA36)</f>
        <v>12.097671860270381</v>
      </c>
      <c r="AL36" s="428">
        <f t="shared" si="12"/>
        <v>0.2338883226318941</v>
      </c>
      <c r="AM36" s="428">
        <f t="shared" si="13"/>
        <v>0</v>
      </c>
      <c r="AN36" s="428">
        <f t="shared" si="3"/>
        <v>1.6372182584232575</v>
      </c>
      <c r="AO36" s="428">
        <f t="shared" si="4"/>
        <v>4.2099898073740833</v>
      </c>
      <c r="AP36" s="428">
        <f t="shared" si="5"/>
        <v>20.114395746342858</v>
      </c>
      <c r="AQ36" s="428">
        <f t="shared" si="6"/>
        <v>0</v>
      </c>
      <c r="AR36" s="428">
        <f t="shared" si="7"/>
        <v>0</v>
      </c>
      <c r="AS36" s="428">
        <f t="shared" si="8"/>
        <v>0</v>
      </c>
      <c r="AT36" s="428">
        <f t="shared" si="9"/>
        <v>1.1694416131594674</v>
      </c>
      <c r="AU36" s="428">
        <f t="shared" si="10"/>
        <v>7.0166496789568207</v>
      </c>
      <c r="AV36" s="428">
        <f t="shared" si="0"/>
        <v>6534476.8041793117</v>
      </c>
      <c r="AW36" s="428">
        <f t="shared" si="1"/>
        <v>3789996.5464240001</v>
      </c>
      <c r="AX36" s="429"/>
    </row>
    <row r="37" spans="1:50" x14ac:dyDescent="0.25">
      <c r="I37" s="315" t="s">
        <v>359</v>
      </c>
      <c r="J37" s="582">
        <f>'Public Crossings'!J17</f>
        <v>0.2285336856010568</v>
      </c>
      <c r="K37" s="251">
        <f>$J37*J$34*$J$7</f>
        <v>107593.38667741083</v>
      </c>
      <c r="L37" s="251">
        <f>$J37*K$34*$J$7</f>
        <v>121547.35767016359</v>
      </c>
      <c r="M37" s="587"/>
      <c r="N37" s="585"/>
      <c r="AB37" s="429">
        <f>SUM(AB7:AB36)</f>
        <v>11.27561126638064</v>
      </c>
      <c r="AC37" s="429">
        <f t="shared" ref="AC37:AW37" si="28">SUM(AC7:AC36)</f>
        <v>0</v>
      </c>
      <c r="AD37" s="429">
        <f t="shared" si="28"/>
        <v>78.92927886466444</v>
      </c>
      <c r="AE37" s="429">
        <f t="shared" si="28"/>
        <v>202.96100279485117</v>
      </c>
      <c r="AF37" s="429">
        <f t="shared" si="28"/>
        <v>969.70256890873384</v>
      </c>
      <c r="AG37" s="429">
        <f t="shared" si="28"/>
        <v>0</v>
      </c>
      <c r="AH37" s="429">
        <f t="shared" si="28"/>
        <v>0</v>
      </c>
      <c r="AI37" s="429">
        <f t="shared" si="28"/>
        <v>0</v>
      </c>
      <c r="AJ37" s="429">
        <f t="shared" si="28"/>
        <v>56.378056331903089</v>
      </c>
      <c r="AK37" s="429">
        <f t="shared" si="28"/>
        <v>338.26833799141923</v>
      </c>
      <c r="AL37" s="429">
        <f t="shared" si="28"/>
        <v>6.5398545345007708</v>
      </c>
      <c r="AM37" s="429">
        <f t="shared" si="28"/>
        <v>0</v>
      </c>
      <c r="AN37" s="429">
        <f t="shared" si="28"/>
        <v>45.778981741505383</v>
      </c>
      <c r="AO37" s="429">
        <f t="shared" si="28"/>
        <v>117.71738162101369</v>
      </c>
      <c r="AP37" s="429">
        <f t="shared" si="28"/>
        <v>562.4274899670653</v>
      </c>
      <c r="AQ37" s="429">
        <f t="shared" si="28"/>
        <v>0</v>
      </c>
      <c r="AR37" s="429">
        <f t="shared" si="28"/>
        <v>0</v>
      </c>
      <c r="AS37" s="429">
        <f t="shared" si="28"/>
        <v>0</v>
      </c>
      <c r="AT37" s="429">
        <f t="shared" si="28"/>
        <v>32.699272672503788</v>
      </c>
      <c r="AU37" s="429">
        <f t="shared" si="28"/>
        <v>196.19563603502309</v>
      </c>
      <c r="AV37" s="437">
        <f t="shared" si="28"/>
        <v>182713387.64381176</v>
      </c>
      <c r="AW37" s="437">
        <f t="shared" si="28"/>
        <v>105973764.83341081</v>
      </c>
    </row>
    <row r="38" spans="1:50" x14ac:dyDescent="0.25">
      <c r="B38" s="12" t="s">
        <v>3</v>
      </c>
      <c r="I38" s="315" t="s">
        <v>360</v>
      </c>
      <c r="J38" s="582">
        <f>1-J37</f>
        <v>0.7714663143989432</v>
      </c>
      <c r="K38" s="251">
        <f>$J38*J$34*$O$7</f>
        <v>8561.3878488771461</v>
      </c>
      <c r="L38" s="251">
        <f>$J38*K$34*$O$7</f>
        <v>9671.7289338652208</v>
      </c>
      <c r="M38" s="587"/>
      <c r="N38" s="585"/>
    </row>
    <row r="39" spans="1:50" ht="15" customHeight="1" x14ac:dyDescent="0.25">
      <c r="A39" s="13" t="s">
        <v>53</v>
      </c>
      <c r="B39" s="590" t="s">
        <v>401</v>
      </c>
      <c r="C39" s="590"/>
      <c r="D39" s="590"/>
      <c r="E39" s="590"/>
      <c r="F39" s="590"/>
      <c r="I39" s="583" t="s">
        <v>364</v>
      </c>
      <c r="J39" s="35"/>
      <c r="K39" s="584">
        <f>SUM(K37:K38)</f>
        <v>116154.77452628798</v>
      </c>
      <c r="L39" s="584">
        <f>SUM(L37:L38)</f>
        <v>131219.08660402882</v>
      </c>
      <c r="M39" s="588"/>
      <c r="N39" s="585"/>
    </row>
    <row r="40" spans="1:50" x14ac:dyDescent="0.25">
      <c r="B40" s="590"/>
      <c r="C40" s="590"/>
      <c r="D40" s="590"/>
      <c r="E40" s="590"/>
      <c r="F40" s="590"/>
      <c r="M40" s="585"/>
      <c r="N40" s="585"/>
    </row>
    <row r="41" spans="1:50" x14ac:dyDescent="0.25">
      <c r="B41" s="590"/>
      <c r="C41" s="590"/>
      <c r="D41" s="590"/>
      <c r="E41" s="590"/>
      <c r="F41" s="590"/>
      <c r="N41" s="585"/>
    </row>
    <row r="42" spans="1:50" x14ac:dyDescent="0.25">
      <c r="B42" s="590"/>
      <c r="C42" s="590"/>
      <c r="D42" s="590"/>
      <c r="E42" s="590"/>
      <c r="F42" s="590"/>
      <c r="N42" s="585"/>
    </row>
    <row r="43" spans="1:50" x14ac:dyDescent="0.25">
      <c r="B43" s="590"/>
      <c r="C43" s="590"/>
      <c r="D43" s="590"/>
      <c r="E43" s="590"/>
      <c r="F43" s="590"/>
      <c r="N43" s="585"/>
    </row>
    <row r="44" spans="1:50" x14ac:dyDescent="0.25">
      <c r="B44" s="590"/>
      <c r="C44" s="590"/>
      <c r="D44" s="590"/>
      <c r="E44" s="590"/>
      <c r="F44" s="590"/>
      <c r="N44" s="585"/>
    </row>
    <row r="45" spans="1:50" x14ac:dyDescent="0.25">
      <c r="B45" s="590"/>
      <c r="C45" s="590"/>
      <c r="D45" s="590"/>
      <c r="E45" s="590"/>
      <c r="F45" s="590"/>
      <c r="N45" s="585"/>
    </row>
    <row r="46" spans="1:50" x14ac:dyDescent="0.25">
      <c r="B46" s="590"/>
      <c r="C46" s="590"/>
      <c r="D46" s="590"/>
      <c r="E46" s="590"/>
      <c r="F46" s="590"/>
      <c r="N46" s="585"/>
    </row>
    <row r="47" spans="1:50" x14ac:dyDescent="0.25">
      <c r="B47" s="590"/>
      <c r="C47" s="590"/>
      <c r="D47" s="590"/>
      <c r="E47" s="590"/>
      <c r="F47" s="590"/>
      <c r="N47" s="585"/>
    </row>
    <row r="48" spans="1:50" x14ac:dyDescent="0.25">
      <c r="N48" s="585"/>
    </row>
    <row r="49" spans="1:26" x14ac:dyDescent="0.25">
      <c r="A49" s="13" t="s">
        <v>66</v>
      </c>
      <c r="B49" s="590" t="s">
        <v>402</v>
      </c>
      <c r="C49" s="590"/>
      <c r="D49" s="590"/>
      <c r="E49" s="590"/>
      <c r="F49" s="590"/>
    </row>
    <row r="50" spans="1:26" x14ac:dyDescent="0.25">
      <c r="B50" s="590"/>
      <c r="C50" s="590"/>
      <c r="D50" s="590"/>
      <c r="E50" s="590"/>
      <c r="F50" s="590"/>
    </row>
    <row r="51" spans="1:26" x14ac:dyDescent="0.25">
      <c r="B51" s="590"/>
      <c r="C51" s="590"/>
      <c r="D51" s="590"/>
      <c r="E51" s="590"/>
      <c r="F51" s="590"/>
    </row>
    <row r="52" spans="1:26" x14ac:dyDescent="0.25">
      <c r="B52" s="590"/>
      <c r="C52" s="590"/>
      <c r="D52" s="590"/>
      <c r="E52" s="590"/>
      <c r="F52" s="590"/>
    </row>
    <row r="53" spans="1:26" x14ac:dyDescent="0.25">
      <c r="B53" s="590"/>
      <c r="C53" s="590"/>
      <c r="D53" s="590"/>
      <c r="E53" s="590"/>
      <c r="F53" s="590"/>
      <c r="I53" s="13"/>
    </row>
    <row r="54" spans="1:26" x14ac:dyDescent="0.25">
      <c r="B54" s="590"/>
      <c r="C54" s="590"/>
      <c r="D54" s="590"/>
      <c r="E54" s="590"/>
      <c r="F54" s="590"/>
    </row>
    <row r="55" spans="1:26" ht="15" customHeight="1" x14ac:dyDescent="0.25">
      <c r="B55" s="590"/>
      <c r="C55" s="590"/>
      <c r="D55" s="590"/>
      <c r="E55" s="590"/>
      <c r="F55" s="590"/>
    </row>
    <row r="56" spans="1:26" ht="15" customHeight="1" x14ac:dyDescent="0.25">
      <c r="B56" s="36"/>
      <c r="C56" s="36"/>
      <c r="D56" s="36"/>
      <c r="E56" s="36"/>
      <c r="F56" s="36"/>
    </row>
    <row r="57" spans="1:26" x14ac:dyDescent="0.25">
      <c r="A57" s="13" t="s">
        <v>67</v>
      </c>
      <c r="B57" s="480" t="s">
        <v>404</v>
      </c>
      <c r="C57" s="480"/>
      <c r="D57" s="480"/>
      <c r="E57" s="480"/>
      <c r="F57" s="480"/>
      <c r="Z57" s="435"/>
    </row>
    <row r="58" spans="1:26" x14ac:dyDescent="0.25">
      <c r="A58" s="13"/>
      <c r="B58" s="480"/>
      <c r="C58" s="480"/>
      <c r="D58" s="480"/>
      <c r="E58" s="480"/>
      <c r="F58" s="480"/>
      <c r="Z58" s="435"/>
    </row>
    <row r="59" spans="1:26" x14ac:dyDescent="0.25">
      <c r="A59" s="13"/>
      <c r="B59" s="480"/>
      <c r="C59" s="480"/>
      <c r="D59" s="480"/>
      <c r="E59" s="480"/>
      <c r="F59" s="480"/>
      <c r="Z59" s="435"/>
    </row>
    <row r="60" spans="1:26" x14ac:dyDescent="0.25">
      <c r="A60" s="13"/>
      <c r="B60" s="480"/>
      <c r="C60" s="480"/>
      <c r="D60" s="480"/>
      <c r="E60" s="480"/>
      <c r="F60" s="480"/>
      <c r="Z60" s="435"/>
    </row>
    <row r="61" spans="1:26" x14ac:dyDescent="0.25">
      <c r="A61" s="13"/>
      <c r="B61" s="480"/>
      <c r="C61" s="480"/>
      <c r="D61" s="480"/>
      <c r="E61" s="480"/>
      <c r="F61" s="480"/>
      <c r="Z61" s="435"/>
    </row>
    <row r="62" spans="1:26" x14ac:dyDescent="0.25">
      <c r="A62" s="13"/>
      <c r="B62" s="480"/>
      <c r="C62" s="480"/>
      <c r="D62" s="480"/>
      <c r="E62" s="480"/>
      <c r="F62" s="480"/>
      <c r="Z62" s="435"/>
    </row>
    <row r="63" spans="1:26" x14ac:dyDescent="0.25">
      <c r="B63" s="480"/>
      <c r="C63" s="480"/>
      <c r="D63" s="480"/>
      <c r="E63" s="480"/>
      <c r="F63" s="480"/>
      <c r="Z63" s="436"/>
    </row>
    <row r="64" spans="1:26" ht="17.25" customHeight="1" x14ac:dyDescent="0.25">
      <c r="B64" s="480"/>
      <c r="C64" s="480"/>
      <c r="D64" s="480"/>
      <c r="E64" s="480"/>
      <c r="F64" s="480"/>
    </row>
    <row r="66" spans="1:9" ht="15" customHeight="1" x14ac:dyDescent="0.25">
      <c r="A66" s="13" t="s">
        <v>68</v>
      </c>
      <c r="B66" s="480" t="s">
        <v>403</v>
      </c>
      <c r="C66" s="480"/>
      <c r="D66" s="480"/>
      <c r="E66" s="480"/>
      <c r="F66" s="480"/>
    </row>
    <row r="67" spans="1:9" ht="15" customHeight="1" x14ac:dyDescent="0.25">
      <c r="A67" s="13"/>
      <c r="B67" s="480"/>
      <c r="C67" s="480"/>
      <c r="D67" s="480"/>
      <c r="E67" s="480"/>
      <c r="F67" s="480"/>
    </row>
    <row r="68" spans="1:9" ht="15" customHeight="1" x14ac:dyDescent="0.25">
      <c r="A68" s="13"/>
      <c r="B68" s="480"/>
      <c r="C68" s="480"/>
      <c r="D68" s="480"/>
      <c r="E68" s="480"/>
      <c r="F68" s="480"/>
    </row>
    <row r="69" spans="1:9" ht="15" customHeight="1" x14ac:dyDescent="0.25">
      <c r="A69" s="13"/>
      <c r="B69" s="480"/>
      <c r="C69" s="480"/>
      <c r="D69" s="480"/>
      <c r="E69" s="480"/>
      <c r="F69" s="480"/>
    </row>
    <row r="70" spans="1:9" ht="15" customHeight="1" x14ac:dyDescent="0.25">
      <c r="A70" s="13"/>
      <c r="B70" s="480"/>
      <c r="C70" s="480"/>
      <c r="D70" s="480"/>
      <c r="E70" s="480"/>
      <c r="F70" s="480"/>
    </row>
    <row r="71" spans="1:9" ht="15" customHeight="1" x14ac:dyDescent="0.25">
      <c r="A71" s="13"/>
      <c r="B71" s="480"/>
      <c r="C71" s="480"/>
      <c r="D71" s="480"/>
      <c r="E71" s="480"/>
      <c r="F71" s="480"/>
    </row>
    <row r="72" spans="1:9" ht="15" customHeight="1" x14ac:dyDescent="0.25">
      <c r="A72" s="13"/>
      <c r="B72" s="480"/>
      <c r="C72" s="480"/>
      <c r="D72" s="480"/>
      <c r="E72" s="480"/>
      <c r="F72" s="480"/>
    </row>
    <row r="73" spans="1:9" ht="15" customHeight="1" x14ac:dyDescent="0.25">
      <c r="A73" s="13"/>
      <c r="B73" s="480"/>
      <c r="C73" s="480"/>
      <c r="D73" s="480"/>
      <c r="E73" s="480"/>
      <c r="F73" s="480"/>
    </row>
    <row r="74" spans="1:9" ht="15" customHeight="1" x14ac:dyDescent="0.25">
      <c r="A74" s="13"/>
      <c r="B74" s="480"/>
      <c r="C74" s="480"/>
      <c r="D74" s="480"/>
      <c r="E74" s="480"/>
      <c r="F74" s="480"/>
    </row>
    <row r="75" spans="1:9" ht="15" customHeight="1" x14ac:dyDescent="0.25">
      <c r="B75" s="480"/>
      <c r="C75" s="480"/>
      <c r="D75" s="480"/>
      <c r="E75" s="480"/>
      <c r="F75" s="480"/>
    </row>
    <row r="76" spans="1:9" x14ac:dyDescent="0.25">
      <c r="B76" s="36"/>
      <c r="I76" s="13"/>
    </row>
    <row r="77" spans="1:9" x14ac:dyDescent="0.25">
      <c r="B77" s="36"/>
    </row>
    <row r="78" spans="1:9" x14ac:dyDescent="0.25">
      <c r="B78" s="36"/>
    </row>
    <row r="84" spans="9:9" ht="15" customHeight="1" x14ac:dyDescent="0.25"/>
    <row r="90" spans="9:9" x14ac:dyDescent="0.25">
      <c r="I90" s="13"/>
    </row>
    <row r="101" spans="9:9" x14ac:dyDescent="0.25">
      <c r="I101" s="13"/>
    </row>
    <row r="119" ht="15.75" customHeight="1" x14ac:dyDescent="0.25"/>
    <row r="121" ht="15.75" customHeight="1" x14ac:dyDescent="0.25"/>
  </sheetData>
  <mergeCells count="13">
    <mergeCell ref="B39:F47"/>
    <mergeCell ref="Y30:Y33"/>
    <mergeCell ref="AB2:AK2"/>
    <mergeCell ref="AL2:AU2"/>
    <mergeCell ref="B66:F75"/>
    <mergeCell ref="B4:B5"/>
    <mergeCell ref="C4:C5"/>
    <mergeCell ref="F4:F5"/>
    <mergeCell ref="B49:F55"/>
    <mergeCell ref="B57:F64"/>
    <mergeCell ref="O20:P20"/>
    <mergeCell ref="D4:D5"/>
    <mergeCell ref="E4:E5"/>
  </mergeCells>
  <pageMargins left="0.7" right="0.7" top="0.75" bottom="0.75" header="0.3" footer="0.3"/>
  <pageSetup scale="40" orientation="landscape" horizontalDpi="1200" verticalDpi="1200" r:id="rId1"/>
  <colBreaks count="1" manualBreakCount="1">
    <brk id="9"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C3525-ABFD-44DC-BBD2-D07898DFA8D7}">
  <sheetPr>
    <tabColor rgb="FF00B050"/>
    <pageSetUpPr fitToPage="1"/>
  </sheetPr>
  <dimension ref="A1:AS77"/>
  <sheetViews>
    <sheetView view="pageBreakPreview" topLeftCell="A6" zoomScale="85" zoomScaleNormal="85" zoomScaleSheetLayoutView="85" workbookViewId="0">
      <selection activeCell="C47" sqref="C47"/>
    </sheetView>
  </sheetViews>
  <sheetFormatPr defaultRowHeight="15" x14ac:dyDescent="0.25"/>
  <cols>
    <col min="2" max="3" width="15.7109375" customWidth="1"/>
    <col min="4" max="5" width="18.5703125" customWidth="1"/>
    <col min="6" max="15" width="15.7109375" customWidth="1"/>
    <col min="16" max="16" width="17.7109375" customWidth="1"/>
    <col min="17" max="17" width="15.7109375" customWidth="1"/>
    <col min="18" max="22" width="15.42578125" customWidth="1"/>
    <col min="23" max="23" width="21.85546875" customWidth="1"/>
    <col min="24" max="24" width="50.42578125" customWidth="1"/>
    <col min="25" max="28" width="17.7109375" customWidth="1"/>
    <col min="30" max="30" width="15.7109375" customWidth="1"/>
    <col min="31" max="31" width="12.28515625" customWidth="1"/>
    <col min="32" max="32" width="19.140625" customWidth="1"/>
    <col min="33" max="33" width="13.85546875" customWidth="1"/>
    <col min="34" max="37" width="13.140625" customWidth="1"/>
    <col min="41" max="43" width="25.7109375" customWidth="1"/>
    <col min="44" max="44" width="37" bestFit="1" customWidth="1"/>
    <col min="45" max="45" width="38.85546875" bestFit="1" customWidth="1"/>
  </cols>
  <sheetData>
    <row r="1" spans="2:45" ht="15.75" thickBot="1" x14ac:dyDescent="0.3">
      <c r="B1" s="12" t="s">
        <v>99</v>
      </c>
      <c r="C1" s="12"/>
      <c r="D1" s="12"/>
      <c r="E1" s="12"/>
    </row>
    <row r="2" spans="2:45" ht="18.75" thickBot="1" x14ac:dyDescent="0.3">
      <c r="C2" s="519" t="s">
        <v>218</v>
      </c>
      <c r="D2" s="520"/>
      <c r="E2" s="521"/>
      <c r="F2" s="511" t="s">
        <v>116</v>
      </c>
      <c r="G2" s="512"/>
      <c r="H2" s="512"/>
      <c r="I2" s="512"/>
      <c r="J2" s="512"/>
      <c r="K2" s="512"/>
      <c r="L2" s="512"/>
      <c r="M2" s="512"/>
      <c r="N2" s="512"/>
      <c r="O2" s="509" t="s">
        <v>117</v>
      </c>
      <c r="P2" s="510"/>
    </row>
    <row r="3" spans="2:45" ht="35.1" customHeight="1" x14ac:dyDescent="0.25">
      <c r="B3" s="524" t="s">
        <v>0</v>
      </c>
      <c r="C3" s="494" t="s">
        <v>217</v>
      </c>
      <c r="D3" s="483" t="s">
        <v>211</v>
      </c>
      <c r="E3" s="526" t="s">
        <v>139</v>
      </c>
      <c r="F3" s="494" t="s">
        <v>213</v>
      </c>
      <c r="G3" s="483" t="s">
        <v>199</v>
      </c>
      <c r="H3" s="487" t="s">
        <v>209</v>
      </c>
      <c r="I3" s="485" t="s">
        <v>208</v>
      </c>
      <c r="J3" s="483" t="s">
        <v>200</v>
      </c>
      <c r="K3" s="487" t="s">
        <v>210</v>
      </c>
      <c r="L3" s="485" t="s">
        <v>201</v>
      </c>
      <c r="M3" s="494" t="s">
        <v>202</v>
      </c>
      <c r="N3" s="515" t="s">
        <v>1</v>
      </c>
      <c r="O3" s="507" t="s">
        <v>118</v>
      </c>
      <c r="P3" s="517" t="s">
        <v>1</v>
      </c>
      <c r="R3" s="109"/>
    </row>
    <row r="4" spans="2:45" ht="35.1" customHeight="1" thickBot="1" x14ac:dyDescent="0.3">
      <c r="B4" s="525"/>
      <c r="C4" s="514"/>
      <c r="D4" s="523"/>
      <c r="E4" s="527"/>
      <c r="F4" s="514"/>
      <c r="G4" s="523"/>
      <c r="H4" s="522"/>
      <c r="I4" s="513"/>
      <c r="J4" s="523"/>
      <c r="K4" s="522"/>
      <c r="L4" s="513"/>
      <c r="M4" s="514"/>
      <c r="N4" s="516"/>
      <c r="O4" s="508"/>
      <c r="P4" s="518"/>
    </row>
    <row r="5" spans="2:45" x14ac:dyDescent="0.25">
      <c r="B5" s="1">
        <f>Assumptions!$D$8</f>
        <v>2028</v>
      </c>
      <c r="C5" s="200">
        <f>($F5*$V$7*Assumptions!$D$14+$F5*$V$8*Assumptions!$D$15)/10^6</f>
        <v>88.336686271356356</v>
      </c>
      <c r="D5" s="201">
        <f>C5*_xlfn.XLOOKUP($B5,$R$13:$R$51,$V$13:$V$51)</f>
        <v>5300.2011762813818</v>
      </c>
      <c r="E5" s="202">
        <f>D5*(1+0.03)^-($B5-Assumptions!$D$4)</f>
        <v>4184.0277522781071</v>
      </c>
      <c r="F5" s="191">
        <f>TREND($Y$21:$Z$21,$Y$20:$Z$20,$B5)-TREND($AA$21:$AB$21,$AA$20:$AB$20,$B5)</f>
        <v>244080.77400957048</v>
      </c>
      <c r="G5" s="203">
        <f>($F5*S$7*Assumptions!$D$14+$F5*S$8*Assumptions!$D$15)/10^6</f>
        <v>7.7782974021811432E-2</v>
      </c>
      <c r="H5" s="204">
        <f>($F5*T$7*Assumptions!$D$14+$F5*T$8*Assumptions!$D$15)/10^6</f>
        <v>5.3737210796705754E-4</v>
      </c>
      <c r="I5" s="205">
        <f>($F5*U$7*Assumptions!$D$14+$F5*U$8*Assumptions!$D$15)/10^6</f>
        <v>1.7359864944534553E-3</v>
      </c>
      <c r="J5" s="206">
        <f>G5*_xlfn.XLOOKUP($B5,$R$13:$R$51,$S$13:$S$51)</f>
        <v>1353.423747979519</v>
      </c>
      <c r="K5" s="207">
        <f>H5*_xlfn.XLOOKUP($B5,$R$13:$R$51,$T$13:$T$51)</f>
        <v>25.417700706841821</v>
      </c>
      <c r="L5" s="202">
        <f>I5*_xlfn.XLOOKUP($B5,$R$13:$R$51,$U$13:$U$51)</f>
        <v>1459.2702472375745</v>
      </c>
      <c r="M5" s="208">
        <f>SUM(J5:L5)</f>
        <v>2838.1116959239353</v>
      </c>
      <c r="N5" s="209">
        <f>M5*(1+0.07)^-(B5-Assumptions!$D$4)</f>
        <v>1651.8068468002521</v>
      </c>
      <c r="O5" s="185">
        <f t="shared" ref="O5:P5" si="0">M5+D5</f>
        <v>8138.312872205317</v>
      </c>
      <c r="P5" s="116">
        <f t="shared" si="0"/>
        <v>5835.8345990783591</v>
      </c>
      <c r="R5" s="110" t="s">
        <v>203</v>
      </c>
      <c r="S5" s="110"/>
      <c r="T5" s="110"/>
      <c r="U5" s="110"/>
      <c r="V5" s="110"/>
      <c r="X5" s="12" t="s">
        <v>223</v>
      </c>
      <c r="AE5" s="12" t="s">
        <v>152</v>
      </c>
    </row>
    <row r="6" spans="2:45" ht="18" x14ac:dyDescent="0.35">
      <c r="B6" s="2">
        <f t="shared" ref="B6:B34" si="1">+B5+1</f>
        <v>2029</v>
      </c>
      <c r="C6" s="184">
        <f>($F6*$V$7*Assumptions!$D$14+$F6*$V$8*Assumptions!$D$15)/10^6</f>
        <v>90.4913952697393</v>
      </c>
      <c r="D6" s="185">
        <f t="shared" ref="D6:D34" si="2">C6*_xlfn.XLOOKUP($B6,$R$13:$R$51,$V$13:$V$51)</f>
        <v>5519.9751114540977</v>
      </c>
      <c r="E6" s="116">
        <f>D6*(1+0.03)^-($B6-Assumptions!$D$4)</f>
        <v>4230.6012875387978</v>
      </c>
      <c r="F6" s="192">
        <f t="shared" ref="F6:F34" si="3">TREND($Y$21:$Z$21,$Y$20:$Z$20,$B6)-TREND($AA$21:$AB$21,$AA$20:$AB$20,$B6)</f>
        <v>250034.39376020432</v>
      </c>
      <c r="G6" s="194">
        <f>($F6*S$7*Assumptions!$D$14+$F6*S$8*Assumptions!$D$15)/10^6</f>
        <v>7.9680256805670244E-2</v>
      </c>
      <c r="H6" s="195">
        <f>($F6*T$7*Assumptions!$D$14+$F6*T$8*Assumptions!$D$15)/10^6</f>
        <v>5.5047969175121489E-4</v>
      </c>
      <c r="I6" s="196">
        <f>($F6*U$7*Assumptions!$D$14+$F6*U$8*Assumptions!$D$15)/10^6</f>
        <v>1.7783306877728624E-3</v>
      </c>
      <c r="J6" s="177">
        <f t="shared" ref="J6:J34" si="4">G6*_xlfn.XLOOKUP($B6,$R$13:$R$51,$S$13:$S$51)</f>
        <v>1410.3405454603633</v>
      </c>
      <c r="K6" s="111">
        <f t="shared" ref="K6:K34" si="5">H6*_xlfn.XLOOKUP($B6,$R$13:$R$51,$T$13:$T$51)</f>
        <v>26.533121142408557</v>
      </c>
      <c r="L6" s="112">
        <f t="shared" ref="L6:L34" si="6">I6*_xlfn.XLOOKUP($B6,$R$13:$R$51,$U$13:$U$51)</f>
        <v>1518.6944073580244</v>
      </c>
      <c r="M6" s="117">
        <f t="shared" ref="M6:M33" si="7">SUM(J6:L6)</f>
        <v>2955.568073960796</v>
      </c>
      <c r="N6" s="210">
        <f>M6*(1+0.07)^-(B6-Assumptions!$D$4)</f>
        <v>1607.6332039317178</v>
      </c>
      <c r="O6" s="212">
        <f t="shared" ref="O6:O34" si="8">M6+D6</f>
        <v>8475.5431854148937</v>
      </c>
      <c r="P6" s="112">
        <f t="shared" ref="P6:P34" si="9">N6+E6</f>
        <v>5838.2344914705154</v>
      </c>
      <c r="R6" s="35" t="s">
        <v>100</v>
      </c>
      <c r="S6" s="95" t="s">
        <v>219</v>
      </c>
      <c r="T6" s="95" t="s">
        <v>220</v>
      </c>
      <c r="U6" s="95" t="s">
        <v>221</v>
      </c>
      <c r="V6" s="58" t="s">
        <v>222</v>
      </c>
      <c r="X6" s="79" t="s">
        <v>154</v>
      </c>
      <c r="Y6" s="252">
        <f>AVERAGE(AS21:AS22)</f>
        <v>0.27500000000000002</v>
      </c>
      <c r="Z6" s="120">
        <f>SUM('Travel Time Savings '!E6:E35)*8</f>
        <v>11512529.687595278</v>
      </c>
      <c r="AA6">
        <f>SUM('Travel Time Savings '!E6:E25)*8</f>
        <v>6888726.5345054567</v>
      </c>
      <c r="AE6" s="79" t="s">
        <v>142</v>
      </c>
      <c r="AF6" s="79" t="s">
        <v>143</v>
      </c>
      <c r="AG6" s="79" t="s">
        <v>144</v>
      </c>
      <c r="AH6" s="134" t="s">
        <v>135</v>
      </c>
      <c r="AI6" s="134" t="s">
        <v>136</v>
      </c>
      <c r="AJ6" s="134" t="s">
        <v>137</v>
      </c>
      <c r="AK6" s="134" t="s">
        <v>138</v>
      </c>
      <c r="AO6" t="s">
        <v>161</v>
      </c>
    </row>
    <row r="7" spans="2:45" ht="15.75" x14ac:dyDescent="0.25">
      <c r="B7" s="2">
        <f t="shared" si="1"/>
        <v>2030</v>
      </c>
      <c r="C7" s="184">
        <f>($F7*$V$7*Assumptions!$D$14+$F7*$V$8*Assumptions!$D$15)/10^6</f>
        <v>92.646104268133016</v>
      </c>
      <c r="D7" s="185">
        <f t="shared" si="2"/>
        <v>5744.0584646242469</v>
      </c>
      <c r="E7" s="116">
        <f>D7*(1+0.03)^-($B7-Assumptions!$D$4)</f>
        <v>4274.1189503379283</v>
      </c>
      <c r="F7" s="192">
        <f t="shared" si="3"/>
        <v>255988.01351086795</v>
      </c>
      <c r="G7" s="194">
        <f>($F7*S$7*Assumptions!$D$14+$F7*S$8*Assumptions!$D$15)/10^6</f>
        <v>8.1577539589538589E-2</v>
      </c>
      <c r="H7" s="195">
        <f>($F7*T$7*Assumptions!$D$14+$F7*T$8*Assumptions!$D$15)/10^6</f>
        <v>5.6358727553543783E-4</v>
      </c>
      <c r="I7" s="196">
        <f>($F7*U$7*Assumptions!$D$14+$F7*U$8*Assumptions!$D$15)/10^6</f>
        <v>1.8206748810924809E-3</v>
      </c>
      <c r="J7" s="177">
        <f t="shared" si="4"/>
        <v>1476.5534665706484</v>
      </c>
      <c r="K7" s="111">
        <f t="shared" si="5"/>
        <v>27.672135228789998</v>
      </c>
      <c r="L7" s="112">
        <f t="shared" si="6"/>
        <v>1579.6175268358363</v>
      </c>
      <c r="M7" s="117">
        <f t="shared" si="7"/>
        <v>3083.8431286352748</v>
      </c>
      <c r="N7" s="210">
        <f>M7*(1+0.07)^-(B7-Assumptions!$D$4)</f>
        <v>1567.6694714962555</v>
      </c>
      <c r="O7" s="212">
        <f t="shared" si="8"/>
        <v>8827.9015932595212</v>
      </c>
      <c r="P7" s="112">
        <f t="shared" si="9"/>
        <v>5841.7884218341842</v>
      </c>
      <c r="R7" s="35" t="s">
        <v>101</v>
      </c>
      <c r="S7" s="241">
        <f>AH25</f>
        <v>0.22790983982547491</v>
      </c>
      <c r="T7" s="241">
        <f t="shared" ref="T7:V7" si="10">AI25</f>
        <v>2.0699004398994176E-3</v>
      </c>
      <c r="U7" s="241">
        <f t="shared" si="10"/>
        <v>5.8180715878192544E-3</v>
      </c>
      <c r="V7" s="241">
        <f t="shared" si="10"/>
        <v>317.22468262036</v>
      </c>
      <c r="X7" t="s">
        <v>155</v>
      </c>
      <c r="AE7" s="134">
        <v>11</v>
      </c>
      <c r="AF7" s="79" t="s">
        <v>145</v>
      </c>
      <c r="AG7" s="79" t="s">
        <v>146</v>
      </c>
      <c r="AH7" s="245">
        <v>0.73690802096518104</v>
      </c>
      <c r="AI7" s="245">
        <v>2.4081927794970298E-3</v>
      </c>
      <c r="AJ7" s="245">
        <v>1.78605259703664E-2</v>
      </c>
      <c r="AK7" s="245">
        <v>362.51238716242</v>
      </c>
      <c r="AO7" s="256" t="s">
        <v>162</v>
      </c>
      <c r="AP7" s="257"/>
      <c r="AQ7" s="257"/>
      <c r="AR7" s="257"/>
      <c r="AS7" s="257"/>
    </row>
    <row r="8" spans="2:45" ht="15.75" x14ac:dyDescent="0.25">
      <c r="B8" s="2">
        <f t="shared" si="1"/>
        <v>2031</v>
      </c>
      <c r="C8" s="184">
        <f>($F8*$V$7*Assumptions!$D$14+$F8*$V$8*Assumptions!$D$15)/10^6</f>
        <v>94.800813266515959</v>
      </c>
      <c r="D8" s="185">
        <f t="shared" si="2"/>
        <v>5972.4512357905051</v>
      </c>
      <c r="E8" s="116">
        <f>D8*(1+0.03)^-($B8-Assumptions!$D$4)</f>
        <v>4314.6258461836323</v>
      </c>
      <c r="F8" s="192">
        <f t="shared" si="3"/>
        <v>261941.63326150179</v>
      </c>
      <c r="G8" s="194">
        <f>($F8*S$7*Assumptions!$D$14+$F8*S$8*Assumptions!$D$15)/10^6</f>
        <v>8.3474822373397414E-2</v>
      </c>
      <c r="H8" s="195">
        <f>($F8*T$7*Assumptions!$D$14+$F8*T$8*Assumptions!$D$15)/10^6</f>
        <v>5.7669485931959518E-4</v>
      </c>
      <c r="I8" s="196">
        <f>($F8*U$7*Assumptions!$D$14+$F8*U$8*Assumptions!$D$15)/10^6</f>
        <v>1.8630190744118879E-3</v>
      </c>
      <c r="J8" s="177">
        <f t="shared" si="4"/>
        <v>1510.8942849584932</v>
      </c>
      <c r="K8" s="111">
        <f t="shared" si="5"/>
        <v>28.315717592592122</v>
      </c>
      <c r="L8" s="112">
        <f t="shared" si="6"/>
        <v>1616.3553489597539</v>
      </c>
      <c r="M8" s="117">
        <f t="shared" si="7"/>
        <v>3155.5653515108393</v>
      </c>
      <c r="N8" s="210">
        <f>M8*(1+0.07)^-(B8-Assumptions!$D$4)</f>
        <v>1499.1863670330624</v>
      </c>
      <c r="O8" s="212">
        <f t="shared" si="8"/>
        <v>9128.0165873013448</v>
      </c>
      <c r="P8" s="112">
        <f t="shared" si="9"/>
        <v>5813.8122132166945</v>
      </c>
      <c r="R8" s="35" t="s">
        <v>102</v>
      </c>
      <c r="S8" s="241">
        <f t="shared" ref="S8:V8" si="11">AH26</f>
        <v>2.099484306313415</v>
      </c>
      <c r="T8" s="241">
        <f t="shared" si="11"/>
        <v>4.7858028693373951E-3</v>
      </c>
      <c r="U8" s="241">
        <f t="shared" si="11"/>
        <v>3.2505287070740692E-2</v>
      </c>
      <c r="V8" s="241">
        <f t="shared" si="11"/>
        <v>1238.7315972924489</v>
      </c>
      <c r="X8" s="12" t="s">
        <v>224</v>
      </c>
      <c r="AE8" s="134">
        <v>21</v>
      </c>
      <c r="AF8" s="79" t="s">
        <v>147</v>
      </c>
      <c r="AG8" s="79" t="s">
        <v>146</v>
      </c>
      <c r="AH8" s="245">
        <v>3.7528759722247264E-2</v>
      </c>
      <c r="AI8" s="245">
        <v>1.6122938930079201E-3</v>
      </c>
      <c r="AJ8" s="245">
        <v>1.1798384221972261E-3</v>
      </c>
      <c r="AK8" s="245">
        <v>243.79125643460799</v>
      </c>
      <c r="AO8" s="258" t="s">
        <v>163</v>
      </c>
      <c r="AP8" s="257"/>
      <c r="AQ8" s="257"/>
      <c r="AR8" s="257"/>
      <c r="AS8" s="257"/>
    </row>
    <row r="9" spans="2:45" ht="15" customHeight="1" x14ac:dyDescent="0.25">
      <c r="B9" s="2">
        <f t="shared" si="1"/>
        <v>2032</v>
      </c>
      <c r="C9" s="184">
        <f>($F9*$V$7*Assumptions!$D$14+$F9*$V$8*Assumptions!$D$15)/10^6</f>
        <v>96.955522264909661</v>
      </c>
      <c r="D9" s="185">
        <f t="shared" si="2"/>
        <v>6205.1534249542183</v>
      </c>
      <c r="E9" s="116">
        <f>D9*(1+0.03)^-($B9-Assumptions!$D$4)</f>
        <v>4352.1697657734076</v>
      </c>
      <c r="F9" s="192">
        <f t="shared" si="3"/>
        <v>267895.25301216543</v>
      </c>
      <c r="G9" s="194">
        <f>($F9*S$7*Assumptions!$D$14+$F9*S$8*Assumptions!$D$15)/10^6</f>
        <v>8.5372105157265732E-2</v>
      </c>
      <c r="H9" s="195">
        <f>($F9*T$7*Assumptions!$D$14+$F9*T$8*Assumptions!$D$15)/10^6</f>
        <v>5.8980244310381802E-4</v>
      </c>
      <c r="I9" s="196">
        <f>($F9*U$7*Assumptions!$D$14+$F9*U$8*Assumptions!$D$15)/10^6</f>
        <v>1.9053632677315064E-3</v>
      </c>
      <c r="J9" s="177">
        <f t="shared" si="4"/>
        <v>1545.2351033465097</v>
      </c>
      <c r="K9" s="111">
        <f t="shared" si="5"/>
        <v>28.959299956397466</v>
      </c>
      <c r="L9" s="112">
        <f t="shared" si="6"/>
        <v>1653.0931710838549</v>
      </c>
      <c r="M9" s="117">
        <f t="shared" ref="M9:M24" si="12">SUM(J9:L9)</f>
        <v>3227.2875743867621</v>
      </c>
      <c r="N9" s="210">
        <f>M9*(1+0.07)^-(B9-Assumptions!$D$4)</f>
        <v>1432.9542789367465</v>
      </c>
      <c r="O9" s="212">
        <f t="shared" si="8"/>
        <v>9432.4409993409809</v>
      </c>
      <c r="P9" s="112">
        <f t="shared" si="9"/>
        <v>5785.1240447101536</v>
      </c>
      <c r="R9" s="12"/>
      <c r="S9" s="239"/>
      <c r="T9" s="240"/>
      <c r="U9" s="239"/>
      <c r="V9" s="238"/>
      <c r="X9" s="134" t="s">
        <v>156</v>
      </c>
      <c r="Y9" s="134" t="s">
        <v>157</v>
      </c>
      <c r="AE9" s="134">
        <v>31</v>
      </c>
      <c r="AF9" s="79" t="s">
        <v>147</v>
      </c>
      <c r="AG9" s="79" t="s">
        <v>146</v>
      </c>
      <c r="AH9" s="245">
        <v>5.602001301010253E-2</v>
      </c>
      <c r="AI9" s="245">
        <v>2.0534055761767299E-3</v>
      </c>
      <c r="AJ9" s="245">
        <v>1.6834690354423085E-3</v>
      </c>
      <c r="AK9" s="245">
        <v>318.590574637288</v>
      </c>
      <c r="AO9" s="257"/>
      <c r="AP9" s="257"/>
      <c r="AQ9" s="257"/>
      <c r="AR9" s="257"/>
      <c r="AS9" s="257"/>
    </row>
    <row r="10" spans="2:45" ht="15.75" x14ac:dyDescent="0.25">
      <c r="B10" s="2">
        <f t="shared" si="1"/>
        <v>2033</v>
      </c>
      <c r="C10" s="184">
        <f>($F10*$V$7*Assumptions!$D$14+$F10*$V$8*Assumptions!$D$15)/10^6</f>
        <v>99.11023126329259</v>
      </c>
      <c r="D10" s="185">
        <f t="shared" si="2"/>
        <v>6442.1650321140187</v>
      </c>
      <c r="E10" s="116">
        <f>D10*(1+0.03)^-($B10-Assumptions!$D$4)</f>
        <v>4386.8009110752355</v>
      </c>
      <c r="F10" s="192">
        <f t="shared" si="3"/>
        <v>273848.87276279926</v>
      </c>
      <c r="G10" s="194">
        <f>($F10*S$7*Assumptions!$D$14+$F10*S$8*Assumptions!$D$15)/10^6</f>
        <v>8.7269387941124557E-2</v>
      </c>
      <c r="H10" s="195">
        <f>($F10*T$7*Assumptions!$D$14+$F10*T$8*Assumptions!$D$15)/10^6</f>
        <v>6.0291002688797537E-4</v>
      </c>
      <c r="I10" s="196">
        <f>($F10*U$7*Assumptions!$D$14+$F10*U$8*Assumptions!$D$15)/10^6</f>
        <v>1.9477074610509133E-3</v>
      </c>
      <c r="J10" s="177">
        <f t="shared" si="4"/>
        <v>1579.5759217343546</v>
      </c>
      <c r="K10" s="111">
        <f t="shared" si="5"/>
        <v>29.602882320199591</v>
      </c>
      <c r="L10" s="112">
        <f t="shared" si="6"/>
        <v>1689.8309932077723</v>
      </c>
      <c r="M10" s="117">
        <f t="shared" si="12"/>
        <v>3299.0097972623262</v>
      </c>
      <c r="N10" s="210">
        <f>M10*(1+0.07)^-(B10-Assumptions!$D$4)</f>
        <v>1368.9717790998375</v>
      </c>
      <c r="O10" s="212">
        <f t="shared" si="8"/>
        <v>9741.1748293763449</v>
      </c>
      <c r="P10" s="112">
        <f t="shared" si="9"/>
        <v>5755.772690175073</v>
      </c>
      <c r="S10" s="21"/>
      <c r="T10" s="21"/>
      <c r="U10" s="21"/>
      <c r="V10" s="21"/>
      <c r="X10" s="134" t="s">
        <v>101</v>
      </c>
      <c r="Y10" s="252">
        <v>24.9</v>
      </c>
      <c r="AE10" s="134">
        <v>32</v>
      </c>
      <c r="AF10" s="79" t="s">
        <v>147</v>
      </c>
      <c r="AG10" s="79" t="s">
        <v>146</v>
      </c>
      <c r="AH10" s="245">
        <v>8.1182565604368817E-2</v>
      </c>
      <c r="AI10" s="245">
        <v>2.2057095109159902E-3</v>
      </c>
      <c r="AJ10" s="245">
        <v>2.5484529232710825E-3</v>
      </c>
      <c r="AK10" s="245">
        <v>344.00451224712401</v>
      </c>
      <c r="AO10" s="259" t="s">
        <v>164</v>
      </c>
      <c r="AP10" s="256"/>
      <c r="AQ10" s="256"/>
      <c r="AR10" s="256"/>
      <c r="AS10" s="256"/>
    </row>
    <row r="11" spans="2:45" ht="15.75" x14ac:dyDescent="0.25">
      <c r="B11" s="2">
        <f t="shared" si="1"/>
        <v>2034</v>
      </c>
      <c r="C11" s="184">
        <f>($F11*$V$7*Assumptions!$D$14+$F11*$V$8*Assumptions!$D$15)/10^6</f>
        <v>101.26494026168093</v>
      </c>
      <c r="D11" s="185">
        <f t="shared" si="2"/>
        <v>6683.4860572709413</v>
      </c>
      <c r="E11" s="116">
        <f>D11*(1+0.03)^-($B11-Assumptions!$D$4)</f>
        <v>4418.5716374022995</v>
      </c>
      <c r="F11" s="192">
        <f t="shared" si="3"/>
        <v>279802.492513448</v>
      </c>
      <c r="G11" s="194">
        <f>($F11*S$7*Assumptions!$D$14+$F11*S$8*Assumptions!$D$15)/10^6</f>
        <v>8.9166670724988129E-2</v>
      </c>
      <c r="H11" s="195">
        <f>($F11*T$7*Assumptions!$D$14+$F11*T$8*Assumptions!$D$15)/10^6</f>
        <v>6.1601761067216557E-4</v>
      </c>
      <c r="I11" s="196">
        <f>($F11*U$7*Assumptions!$D$14+$F11*U$8*Assumptions!$D$15)/10^6</f>
        <v>1.990051654370426E-3</v>
      </c>
      <c r="J11" s="177">
        <f t="shared" si="4"/>
        <v>1613.9167401222851</v>
      </c>
      <c r="K11" s="111">
        <f t="shared" si="5"/>
        <v>30.246464684003328</v>
      </c>
      <c r="L11" s="112">
        <f t="shared" si="6"/>
        <v>1726.5688153317815</v>
      </c>
      <c r="M11" s="117">
        <f t="shared" si="12"/>
        <v>3370.7320201380699</v>
      </c>
      <c r="N11" s="210">
        <f>M11*(1+0.07)^-(B11-Assumptions!$D$4)</f>
        <v>1307.2279922587002</v>
      </c>
      <c r="O11" s="212">
        <f t="shared" si="8"/>
        <v>10054.218077409012</v>
      </c>
      <c r="P11" s="112">
        <f t="shared" si="9"/>
        <v>5725.7996296609999</v>
      </c>
      <c r="R11" s="12" t="s">
        <v>204</v>
      </c>
      <c r="AE11" s="134">
        <v>41</v>
      </c>
      <c r="AF11" s="79" t="s">
        <v>148</v>
      </c>
      <c r="AG11" s="79" t="s">
        <v>149</v>
      </c>
      <c r="AH11" s="245">
        <v>2.237602310868759</v>
      </c>
      <c r="AI11" s="245">
        <v>5.5717265564873301E-3</v>
      </c>
      <c r="AJ11" s="245">
        <v>1.658066855283262E-2</v>
      </c>
      <c r="AK11" s="245">
        <v>1406.7823013201701</v>
      </c>
      <c r="AO11" s="259" t="s">
        <v>165</v>
      </c>
      <c r="AP11" s="256" t="s">
        <v>166</v>
      </c>
      <c r="AQ11" s="256" t="s">
        <v>167</v>
      </c>
      <c r="AR11" s="256" t="s">
        <v>168</v>
      </c>
      <c r="AS11" s="256" t="s">
        <v>169</v>
      </c>
    </row>
    <row r="12" spans="2:45" ht="18" x14ac:dyDescent="0.35">
      <c r="B12" s="2">
        <f t="shared" si="1"/>
        <v>2035</v>
      </c>
      <c r="C12" s="184">
        <f>($F12*$V$7*Assumptions!$D$14+$F12*$V$8*Assumptions!$D$15)/10^6</f>
        <v>103.41964926006924</v>
      </c>
      <c r="D12" s="185">
        <f t="shared" si="2"/>
        <v>6929.1165004246386</v>
      </c>
      <c r="E12" s="116">
        <f>D12*(1+0.03)^-($B12-Assumptions!$D$4)</f>
        <v>4447.5362107012879</v>
      </c>
      <c r="F12" s="192">
        <f t="shared" si="3"/>
        <v>285756.11226409674</v>
      </c>
      <c r="G12" s="194">
        <f>($F12*S$7*Assumptions!$D$14+$F12*S$8*Assumptions!$D$15)/10^6</f>
        <v>9.10639535088517E-2</v>
      </c>
      <c r="H12" s="195">
        <f>($F12*T$7*Assumptions!$D$14+$F12*T$8*Assumptions!$D$15)/10^6</f>
        <v>6.2912519445635566E-4</v>
      </c>
      <c r="I12" s="196">
        <f>($F12*U$7*Assumptions!$D$14+$F12*U$8*Assumptions!$D$15)/10^6</f>
        <v>2.0323958476899389E-3</v>
      </c>
      <c r="J12" s="177">
        <f t="shared" si="4"/>
        <v>1648.2575585102159</v>
      </c>
      <c r="K12" s="111">
        <f t="shared" si="5"/>
        <v>30.890047047807062</v>
      </c>
      <c r="L12" s="112">
        <f t="shared" si="6"/>
        <v>1763.3066374557909</v>
      </c>
      <c r="M12" s="117">
        <f t="shared" si="12"/>
        <v>3442.4542430138135</v>
      </c>
      <c r="N12" s="210">
        <f>M12*(1+0.07)^-(B12-Assumptions!$D$4)</f>
        <v>1247.703838181309</v>
      </c>
      <c r="O12" s="212">
        <f t="shared" si="8"/>
        <v>10371.570743438453</v>
      </c>
      <c r="P12" s="112">
        <f t="shared" si="9"/>
        <v>5695.240048882597</v>
      </c>
      <c r="R12" s="243" t="s">
        <v>110</v>
      </c>
      <c r="S12" s="58" t="s">
        <v>219</v>
      </c>
      <c r="T12" s="58" t="s">
        <v>220</v>
      </c>
      <c r="U12" s="58" t="s">
        <v>221</v>
      </c>
      <c r="V12" s="58" t="s">
        <v>222</v>
      </c>
      <c r="X12" s="12" t="s">
        <v>225</v>
      </c>
      <c r="AE12" s="134">
        <v>42</v>
      </c>
      <c r="AF12" s="79" t="s">
        <v>148</v>
      </c>
      <c r="AG12" s="79" t="s">
        <v>149</v>
      </c>
      <c r="AH12" s="245">
        <v>1.9658170115512426</v>
      </c>
      <c r="AI12" s="245">
        <v>5.4889920561794897E-3</v>
      </c>
      <c r="AJ12" s="245">
        <v>1.2308421676718551E-2</v>
      </c>
      <c r="AK12" s="245">
        <v>1391.9649569298599</v>
      </c>
      <c r="AO12" s="256" t="s">
        <v>170</v>
      </c>
      <c r="AP12" s="260" t="s">
        <v>171</v>
      </c>
      <c r="AQ12" s="260" t="s">
        <v>172</v>
      </c>
      <c r="AR12" s="261">
        <v>80000</v>
      </c>
      <c r="AS12" s="262">
        <v>0.64</v>
      </c>
    </row>
    <row r="13" spans="2:45" ht="15" customHeight="1" x14ac:dyDescent="0.25">
      <c r="B13" s="2">
        <f t="shared" si="1"/>
        <v>2036</v>
      </c>
      <c r="C13" s="184">
        <f>($F13*$V$7*Assumptions!$D$14+$F13*$V$8*Assumptions!$D$15)/10^6</f>
        <v>105.57435825845756</v>
      </c>
      <c r="D13" s="185">
        <f t="shared" si="2"/>
        <v>7284.6307198335717</v>
      </c>
      <c r="E13" s="116">
        <f>D13*(1+0.03)^-($B13-Assumptions!$D$4)</f>
        <v>4539.5410290275049</v>
      </c>
      <c r="F13" s="192">
        <f t="shared" si="3"/>
        <v>291709.73201474547</v>
      </c>
      <c r="G13" s="194">
        <f>($F13*S$7*Assumptions!$D$14+$F13*S$8*Assumptions!$D$15)/10^6</f>
        <v>9.2961236292715285E-2</v>
      </c>
      <c r="H13" s="195">
        <f>($F13*T$7*Assumptions!$D$14+$F13*T$8*Assumptions!$D$15)/10^6</f>
        <v>6.4223277824054575E-4</v>
      </c>
      <c r="I13" s="196">
        <f>($F13*U$7*Assumptions!$D$14+$F13*U$8*Assumptions!$D$15)/10^6</f>
        <v>2.0747400410094513E-3</v>
      </c>
      <c r="J13" s="177">
        <f t="shared" si="4"/>
        <v>1682.5983768981466</v>
      </c>
      <c r="K13" s="111">
        <f t="shared" si="5"/>
        <v>31.533629411610796</v>
      </c>
      <c r="L13" s="112">
        <f t="shared" si="6"/>
        <v>1800.0444595797999</v>
      </c>
      <c r="M13" s="117">
        <f t="shared" si="12"/>
        <v>3514.1764658895572</v>
      </c>
      <c r="N13" s="210">
        <f>M13*(1+0.07)^-(B13-Assumptions!$D$4)</f>
        <v>1190.373151759369</v>
      </c>
      <c r="O13" s="212">
        <f t="shared" si="8"/>
        <v>10798.80718572313</v>
      </c>
      <c r="P13" s="112">
        <f t="shared" si="9"/>
        <v>5729.9141807868737</v>
      </c>
      <c r="R13" s="113">
        <v>2021</v>
      </c>
      <c r="S13" s="242">
        <v>15600</v>
      </c>
      <c r="T13" s="242">
        <v>41500</v>
      </c>
      <c r="U13" s="242">
        <v>748600</v>
      </c>
      <c r="V13" s="242">
        <v>52</v>
      </c>
      <c r="X13" s="134" t="s">
        <v>158</v>
      </c>
      <c r="Y13" s="252">
        <f>Y6*Y10</f>
        <v>6.8475000000000001</v>
      </c>
      <c r="Z13" s="134" t="s">
        <v>159</v>
      </c>
      <c r="AE13" s="134">
        <v>43</v>
      </c>
      <c r="AF13" s="79" t="s">
        <v>148</v>
      </c>
      <c r="AG13" s="79" t="s">
        <v>149</v>
      </c>
      <c r="AH13" s="245">
        <v>1.9469017025302577</v>
      </c>
      <c r="AI13" s="245">
        <v>3.66910948950592E-3</v>
      </c>
      <c r="AJ13" s="245">
        <v>5.5096995199883071E-2</v>
      </c>
      <c r="AK13" s="245">
        <v>1071.1129065416801</v>
      </c>
      <c r="AO13" s="256" t="s">
        <v>173</v>
      </c>
      <c r="AP13" s="260" t="s">
        <v>171</v>
      </c>
      <c r="AQ13" s="260" t="s">
        <v>172</v>
      </c>
      <c r="AR13" s="261">
        <v>37000</v>
      </c>
      <c r="AS13" s="262">
        <v>0.9</v>
      </c>
    </row>
    <row r="14" spans="2:45" ht="15.75" x14ac:dyDescent="0.25">
      <c r="B14" s="2">
        <f t="shared" si="1"/>
        <v>2037</v>
      </c>
      <c r="C14" s="184">
        <f>($F14*$V$7*Assumptions!$D$14+$F14*$V$8*Assumptions!$D$15)/10^6</f>
        <v>107.72906725684589</v>
      </c>
      <c r="D14" s="185">
        <f t="shared" si="2"/>
        <v>7541.0347079792127</v>
      </c>
      <c r="E14" s="116">
        <f>D14*(1+0.03)^-($B14-Assumptions!$D$4)</f>
        <v>4562.4500170136453</v>
      </c>
      <c r="F14" s="192">
        <f t="shared" si="3"/>
        <v>297663.35176539421</v>
      </c>
      <c r="G14" s="194">
        <f>($F14*S$7*Assumptions!$D$14+$F14*S$8*Assumptions!$D$15)/10^6</f>
        <v>9.4858519076578857E-2</v>
      </c>
      <c r="H14" s="195">
        <f>($F14*T$7*Assumptions!$D$14+$F14*T$8*Assumptions!$D$15)/10^6</f>
        <v>6.5534036202473573E-4</v>
      </c>
      <c r="I14" s="196">
        <f>($F14*U$7*Assumptions!$D$14+$F14*U$8*Assumptions!$D$15)/10^6</f>
        <v>2.1170842343289642E-3</v>
      </c>
      <c r="J14" s="177">
        <f t="shared" si="4"/>
        <v>1716.9391952860774</v>
      </c>
      <c r="K14" s="111">
        <f t="shared" si="5"/>
        <v>32.177211775414527</v>
      </c>
      <c r="L14" s="112">
        <f t="shared" si="6"/>
        <v>1836.7822817038093</v>
      </c>
      <c r="M14" s="117">
        <f t="shared" si="12"/>
        <v>3585.8986887653009</v>
      </c>
      <c r="N14" s="210">
        <f>M14*(1+0.07)^-(B14-Assumptions!$D$4)</f>
        <v>1135.203691661927</v>
      </c>
      <c r="O14" s="212">
        <f t="shared" si="8"/>
        <v>11126.933396744513</v>
      </c>
      <c r="P14" s="112">
        <f t="shared" si="9"/>
        <v>5697.6537086755725</v>
      </c>
      <c r="R14" s="113">
        <v>2022</v>
      </c>
      <c r="S14" s="242">
        <v>15800</v>
      </c>
      <c r="T14" s="242">
        <v>42300</v>
      </c>
      <c r="U14" s="242">
        <v>761600</v>
      </c>
      <c r="V14" s="242">
        <v>53</v>
      </c>
      <c r="X14" s="21"/>
      <c r="AE14" s="134">
        <v>51</v>
      </c>
      <c r="AF14" s="79" t="s">
        <v>150</v>
      </c>
      <c r="AG14" s="79" t="s">
        <v>149</v>
      </c>
      <c r="AH14" s="245">
        <v>2.48942987946789</v>
      </c>
      <c r="AI14" s="245">
        <v>5.2833773025508703E-3</v>
      </c>
      <c r="AJ14" s="245">
        <v>3.4321389281753531E-2</v>
      </c>
      <c r="AK14" s="245">
        <v>1427.83446247497</v>
      </c>
      <c r="AO14" s="256" t="s">
        <v>151</v>
      </c>
      <c r="AP14" s="260" t="s">
        <v>171</v>
      </c>
      <c r="AQ14" s="260" t="s">
        <v>172</v>
      </c>
      <c r="AR14" s="261">
        <v>32000</v>
      </c>
      <c r="AS14" s="262">
        <v>0.49</v>
      </c>
    </row>
    <row r="15" spans="2:45" ht="15.75" x14ac:dyDescent="0.25">
      <c r="B15" s="2">
        <f t="shared" si="1"/>
        <v>2038</v>
      </c>
      <c r="C15" s="184">
        <f>($F15*$V$7*Assumptions!$D$14+$F15*$V$8*Assumptions!$D$15)/10^6</f>
        <v>109.88377625523421</v>
      </c>
      <c r="D15" s="185">
        <f t="shared" si="2"/>
        <v>7801.7481141216285</v>
      </c>
      <c r="E15" s="116">
        <f>D15*(1+0.03)^-($B15-Assumptions!$D$4)</f>
        <v>4582.7047722155476</v>
      </c>
      <c r="F15" s="192">
        <f t="shared" si="3"/>
        <v>303616.97151604295</v>
      </c>
      <c r="G15" s="194">
        <f>($F15*S$7*Assumptions!$D$14+$F15*S$8*Assumptions!$D$15)/10^6</f>
        <v>9.6755801860442428E-2</v>
      </c>
      <c r="H15" s="195">
        <f>($F15*T$7*Assumptions!$D$14+$F15*T$8*Assumptions!$D$15)/10^6</f>
        <v>6.6844794580892604E-4</v>
      </c>
      <c r="I15" s="196">
        <f>($F15*U$7*Assumptions!$D$14+$F15*U$8*Assumptions!$D$15)/10^6</f>
        <v>2.1594284276484767E-3</v>
      </c>
      <c r="J15" s="177">
        <f t="shared" si="4"/>
        <v>1751.2800136740079</v>
      </c>
      <c r="K15" s="111">
        <f t="shared" si="5"/>
        <v>32.820794139218272</v>
      </c>
      <c r="L15" s="112">
        <f t="shared" si="6"/>
        <v>1873.5201038278183</v>
      </c>
      <c r="M15" s="117">
        <f t="shared" si="12"/>
        <v>3657.6209116410446</v>
      </c>
      <c r="N15" s="210">
        <f>M15*(1+0.07)^-(B15-Assumptions!$D$4)</f>
        <v>1082.158047337894</v>
      </c>
      <c r="O15" s="212">
        <f t="shared" si="8"/>
        <v>11459.369025762673</v>
      </c>
      <c r="P15" s="112">
        <f t="shared" si="9"/>
        <v>5664.862819553442</v>
      </c>
      <c r="R15" s="113">
        <v>2023</v>
      </c>
      <c r="S15" s="242">
        <v>16000</v>
      </c>
      <c r="T15" s="242">
        <v>43100</v>
      </c>
      <c r="U15" s="242">
        <v>774700</v>
      </c>
      <c r="V15" s="242">
        <v>54</v>
      </c>
      <c r="X15" s="12" t="s">
        <v>187</v>
      </c>
      <c r="Y15" s="505" t="s">
        <v>43</v>
      </c>
      <c r="Z15" s="506"/>
      <c r="AA15" s="505" t="s">
        <v>44</v>
      </c>
      <c r="AB15" s="506"/>
      <c r="AE15" s="134">
        <v>52</v>
      </c>
      <c r="AF15" s="79" t="s">
        <v>150</v>
      </c>
      <c r="AG15" s="79" t="s">
        <v>149</v>
      </c>
      <c r="AH15" s="245">
        <v>0.95074648895471525</v>
      </c>
      <c r="AI15" s="245">
        <v>3.5321878667988801E-3</v>
      </c>
      <c r="AJ15" s="245">
        <v>1.5158170819293781E-2</v>
      </c>
      <c r="AK15" s="245">
        <v>862.616489254057</v>
      </c>
      <c r="AO15" s="256" t="s">
        <v>174</v>
      </c>
      <c r="AP15" s="260" t="s">
        <v>171</v>
      </c>
      <c r="AQ15" s="260" t="s">
        <v>172</v>
      </c>
      <c r="AR15" s="261">
        <v>30000</v>
      </c>
      <c r="AS15" s="262">
        <v>0.97</v>
      </c>
    </row>
    <row r="16" spans="2:45" ht="15.75" x14ac:dyDescent="0.25">
      <c r="B16" s="2">
        <f t="shared" si="1"/>
        <v>2039</v>
      </c>
      <c r="C16" s="184">
        <f>($F16*$V$7*Assumptions!$D$14+$F16*$V$8*Assumptions!$D$15)/10^6</f>
        <v>112.03848525361715</v>
      </c>
      <c r="D16" s="185">
        <f t="shared" si="2"/>
        <v>8066.7709382604353</v>
      </c>
      <c r="E16" s="116">
        <f>D16*(1+0.03)^-($B16-Assumptions!$D$4)</f>
        <v>4600.3667475824477</v>
      </c>
      <c r="F16" s="192">
        <f t="shared" si="3"/>
        <v>309570.59126667678</v>
      </c>
      <c r="G16" s="194">
        <f>($F16*S$7*Assumptions!$D$14+$F16*S$8*Assumptions!$D$15)/10^6</f>
        <v>9.8653084644301253E-2</v>
      </c>
      <c r="H16" s="195">
        <f>($F16*T$7*Assumptions!$D$14+$F16*T$8*Assumptions!$D$15)/10^6</f>
        <v>6.8155552959308328E-4</v>
      </c>
      <c r="I16" s="196">
        <f>($F16*U$7*Assumptions!$D$14+$F16*U$8*Assumptions!$D$15)/10^6</f>
        <v>2.2017726209678842E-3</v>
      </c>
      <c r="J16" s="177">
        <f t="shared" si="4"/>
        <v>1785.6208320618528</v>
      </c>
      <c r="K16" s="111">
        <f t="shared" si="5"/>
        <v>33.464376503020389</v>
      </c>
      <c r="L16" s="112">
        <f t="shared" si="6"/>
        <v>1910.2579259517363</v>
      </c>
      <c r="M16" s="117">
        <f t="shared" si="12"/>
        <v>3729.3431345166091</v>
      </c>
      <c r="N16" s="210">
        <f>M16*(1+0.07)^-(B16-Assumptions!$D$4)</f>
        <v>1031.1944533506066</v>
      </c>
      <c r="O16" s="212">
        <f t="shared" si="8"/>
        <v>11796.114072777043</v>
      </c>
      <c r="P16" s="112">
        <f t="shared" si="9"/>
        <v>5631.5612009330544</v>
      </c>
      <c r="R16" s="113">
        <v>2024</v>
      </c>
      <c r="S16" s="242">
        <v>16200</v>
      </c>
      <c r="T16" s="242">
        <v>44000</v>
      </c>
      <c r="U16" s="242">
        <v>788100</v>
      </c>
      <c r="V16" s="242">
        <v>55</v>
      </c>
      <c r="X16" s="35" t="s">
        <v>83</v>
      </c>
      <c r="Y16" s="58">
        <v>2019</v>
      </c>
      <c r="Z16" s="58">
        <v>2045</v>
      </c>
      <c r="AA16" s="58">
        <v>2019</v>
      </c>
      <c r="AB16" s="58">
        <v>2045</v>
      </c>
      <c r="AE16" s="134">
        <v>53</v>
      </c>
      <c r="AF16" s="79" t="s">
        <v>150</v>
      </c>
      <c r="AG16" s="79" t="s">
        <v>149</v>
      </c>
      <c r="AH16" s="245">
        <v>0.89067775827536644</v>
      </c>
      <c r="AI16" s="245">
        <v>3.4020765235606102E-3</v>
      </c>
      <c r="AJ16" s="245">
        <v>1.349939126139434E-2</v>
      </c>
      <c r="AK16" s="245">
        <v>829.46088804247995</v>
      </c>
      <c r="AO16" s="256" t="s">
        <v>175</v>
      </c>
      <c r="AP16" s="260" t="s">
        <v>171</v>
      </c>
      <c r="AQ16" s="263" t="s">
        <v>176</v>
      </c>
      <c r="AR16" s="260" t="s">
        <v>177</v>
      </c>
      <c r="AS16" s="262">
        <v>0.44</v>
      </c>
    </row>
    <row r="17" spans="2:45" ht="15.75" x14ac:dyDescent="0.25">
      <c r="B17" s="2">
        <f t="shared" si="1"/>
        <v>2040</v>
      </c>
      <c r="C17" s="184">
        <f>($F17*$V$7*Assumptions!$D$14+$F17*$V$8*Assumptions!$D$15)/10^6</f>
        <v>114.19319425201085</v>
      </c>
      <c r="D17" s="185">
        <f t="shared" si="2"/>
        <v>8336.1031803967926</v>
      </c>
      <c r="E17" s="116">
        <f>D17*(1+0.03)^-($B17-Assumptions!$D$4)</f>
        <v>4615.4982153812998</v>
      </c>
      <c r="F17" s="192">
        <f t="shared" si="3"/>
        <v>315524.21101734042</v>
      </c>
      <c r="G17" s="194">
        <f>($F17*S$7*Assumptions!$D$14+$F17*S$8*Assumptions!$D$15)/10^6</f>
        <v>0.10055036742816958</v>
      </c>
      <c r="H17" s="195">
        <f>($F17*T$7*Assumptions!$D$14+$F17*T$8*Assumptions!$D$15)/10^6</f>
        <v>6.9466311337730623E-4</v>
      </c>
      <c r="I17" s="196">
        <f>($F17*U$7*Assumptions!$D$14+$F17*U$8*Assumptions!$D$15)/10^6</f>
        <v>2.2441168142875024E-3</v>
      </c>
      <c r="J17" s="177">
        <f t="shared" si="4"/>
        <v>1819.9616504498695</v>
      </c>
      <c r="K17" s="111">
        <f t="shared" si="5"/>
        <v>34.107958866825733</v>
      </c>
      <c r="L17" s="112">
        <f t="shared" si="6"/>
        <v>1946.9957480758371</v>
      </c>
      <c r="M17" s="117">
        <f t="shared" si="12"/>
        <v>3801.0653573925324</v>
      </c>
      <c r="N17" s="210">
        <f>M17*(1+0.07)^-(B17-Assumptions!$D$4)</f>
        <v>982.26751928771967</v>
      </c>
      <c r="O17" s="212">
        <f t="shared" si="8"/>
        <v>12137.168537789325</v>
      </c>
      <c r="P17" s="112">
        <f t="shared" si="9"/>
        <v>5597.7657346690194</v>
      </c>
      <c r="R17" s="113">
        <v>2025</v>
      </c>
      <c r="S17" s="242">
        <v>16500</v>
      </c>
      <c r="T17" s="242">
        <v>44900</v>
      </c>
      <c r="U17" s="242">
        <v>801700</v>
      </c>
      <c r="V17" s="242">
        <v>56</v>
      </c>
      <c r="X17" s="134" t="s">
        <v>111</v>
      </c>
      <c r="Y17" s="213">
        <f>'Travel Time Savings '!M22</f>
        <v>851247.25676003273</v>
      </c>
      <c r="Z17" s="213">
        <f>'Travel Time Savings '!N22</f>
        <v>1009855.1288108247</v>
      </c>
      <c r="AA17" s="213">
        <f>'Travel Time Savings '!O22</f>
        <v>823427.14777810406</v>
      </c>
      <c r="AB17" s="213">
        <f>'Travel Time Savings '!P22</f>
        <v>959429.08868368552</v>
      </c>
      <c r="AE17" s="134">
        <v>54</v>
      </c>
      <c r="AF17" s="79" t="s">
        <v>150</v>
      </c>
      <c r="AG17" s="79" t="s">
        <v>149</v>
      </c>
      <c r="AH17" s="245">
        <v>1.6481032166429217</v>
      </c>
      <c r="AI17" s="245">
        <v>6.0326542026046303E-3</v>
      </c>
      <c r="AJ17" s="245">
        <v>4.2864875162321965E-2</v>
      </c>
      <c r="AK17" s="245">
        <v>1166.1048437433201</v>
      </c>
      <c r="AO17" s="256" t="s">
        <v>178</v>
      </c>
      <c r="AP17" s="260" t="s">
        <v>171</v>
      </c>
      <c r="AQ17" s="260" t="s">
        <v>172</v>
      </c>
      <c r="AR17" s="261">
        <v>26000</v>
      </c>
      <c r="AS17" s="262">
        <v>0.59</v>
      </c>
    </row>
    <row r="18" spans="2:45" ht="15.75" x14ac:dyDescent="0.25">
      <c r="B18" s="2">
        <f t="shared" si="1"/>
        <v>2041</v>
      </c>
      <c r="C18" s="184">
        <f>($F18*$V$7*Assumptions!$D$14+$F18*$V$8*Assumptions!$D$15)/10^6</f>
        <v>116.3479032503938</v>
      </c>
      <c r="D18" s="185">
        <f t="shared" si="2"/>
        <v>8609.7448405291416</v>
      </c>
      <c r="E18" s="116">
        <f>D18*(1+0.03)^-($B18-Assumptions!$D$4)</f>
        <v>4628.1621047882318</v>
      </c>
      <c r="F18" s="192">
        <f t="shared" si="3"/>
        <v>321477.83076797426</v>
      </c>
      <c r="G18" s="194">
        <f>($F18*S$7*Assumptions!$D$14+$F18*S$8*Assumptions!$D$15)/10^6</f>
        <v>0.10244765021202841</v>
      </c>
      <c r="H18" s="195">
        <f>($F18*T$7*Assumptions!$D$14+$F18*T$8*Assumptions!$D$15)/10^6</f>
        <v>7.0777069716146358E-4</v>
      </c>
      <c r="I18" s="196">
        <f>($F18*U$7*Assumptions!$D$14+$F18*U$8*Assumptions!$D$15)/10^6</f>
        <v>2.2864610076069095E-3</v>
      </c>
      <c r="J18" s="177">
        <f t="shared" si="4"/>
        <v>1854.3024688377143</v>
      </c>
      <c r="K18" s="111">
        <f t="shared" si="5"/>
        <v>34.751541230627865</v>
      </c>
      <c r="L18" s="112">
        <f t="shared" si="6"/>
        <v>1983.7335701997547</v>
      </c>
      <c r="M18" s="117">
        <f t="shared" si="12"/>
        <v>3872.7875802680969</v>
      </c>
      <c r="N18" s="210">
        <f>M18*(1+0.07)^-(B18-Assumptions!$D$4)</f>
        <v>935.3288828063711</v>
      </c>
      <c r="O18" s="212">
        <f t="shared" si="8"/>
        <v>12482.532420797239</v>
      </c>
      <c r="P18" s="112">
        <f t="shared" si="9"/>
        <v>5563.4909875946032</v>
      </c>
      <c r="R18" s="113">
        <v>2026</v>
      </c>
      <c r="S18" s="242">
        <v>16800</v>
      </c>
      <c r="T18" s="242">
        <v>45700</v>
      </c>
      <c r="U18" s="242">
        <v>814500</v>
      </c>
      <c r="V18" s="242">
        <v>57</v>
      </c>
      <c r="X18" s="266"/>
      <c r="Y18" s="267"/>
      <c r="Z18" s="267"/>
      <c r="AA18" s="267"/>
      <c r="AB18" s="267"/>
      <c r="AE18" s="134">
        <v>61</v>
      </c>
      <c r="AF18" s="79" t="s">
        <v>151</v>
      </c>
      <c r="AG18" s="79" t="s">
        <v>149</v>
      </c>
      <c r="AH18" s="245">
        <v>3.0234078113615883</v>
      </c>
      <c r="AI18" s="245">
        <v>4.9760807160904204E-3</v>
      </c>
      <c r="AJ18" s="245">
        <v>4.3407648080982714E-2</v>
      </c>
      <c r="AK18" s="245">
        <v>1463.90880302132</v>
      </c>
      <c r="AO18" s="256" t="s">
        <v>179</v>
      </c>
      <c r="AP18" s="260" t="s">
        <v>171</v>
      </c>
      <c r="AQ18" s="260" t="s">
        <v>172</v>
      </c>
      <c r="AR18" s="261">
        <v>19500</v>
      </c>
      <c r="AS18" s="262">
        <v>0.84</v>
      </c>
    </row>
    <row r="19" spans="2:45" ht="15.75" x14ac:dyDescent="0.25">
      <c r="B19" s="2">
        <f t="shared" si="1"/>
        <v>2042</v>
      </c>
      <c r="C19" s="184">
        <f>($F19*$V$7*Assumptions!$D$14+$F19*$V$8*Assumptions!$D$15)/10^6</f>
        <v>118.50261224878749</v>
      </c>
      <c r="D19" s="185">
        <f t="shared" si="2"/>
        <v>8887.6959186590611</v>
      </c>
      <c r="E19" s="116">
        <f>D19*(1+0.03)^-($B19-Assumptions!$D$4)</f>
        <v>4638.4218500729257</v>
      </c>
      <c r="F19" s="192">
        <f t="shared" si="3"/>
        <v>327431.4505186379</v>
      </c>
      <c r="G19" s="194">
        <f>($F19*S$7*Assumptions!$D$14+$F19*S$8*Assumptions!$D$15)/10^6</f>
        <v>0.10434493299589673</v>
      </c>
      <c r="H19" s="195">
        <f>($F19*T$7*Assumptions!$D$14+$F19*T$8*Assumptions!$D$15)/10^6</f>
        <v>7.2087828094568652E-4</v>
      </c>
      <c r="I19" s="196">
        <f>($F19*U$7*Assumptions!$D$14+$F19*U$8*Assumptions!$D$15)/10^6</f>
        <v>2.3288052009265282E-3</v>
      </c>
      <c r="J19" s="177">
        <f t="shared" si="4"/>
        <v>1888.6432872257308</v>
      </c>
      <c r="K19" s="111">
        <f t="shared" si="5"/>
        <v>35.395123594433208</v>
      </c>
      <c r="L19" s="112">
        <f t="shared" si="6"/>
        <v>2020.471392323856</v>
      </c>
      <c r="M19" s="117">
        <f t="shared" si="12"/>
        <v>3944.5098031440202</v>
      </c>
      <c r="N19" s="210">
        <f>M19*(1+0.07)^-(B19-Assumptions!$D$4)</f>
        <v>890.32779274871802</v>
      </c>
      <c r="O19" s="212">
        <f t="shared" si="8"/>
        <v>12832.205721803082</v>
      </c>
      <c r="P19" s="112">
        <f t="shared" si="9"/>
        <v>5528.7496428216436</v>
      </c>
      <c r="R19" s="113">
        <v>2027</v>
      </c>
      <c r="S19" s="242">
        <v>17100</v>
      </c>
      <c r="T19" s="242">
        <v>46500</v>
      </c>
      <c r="U19" s="242">
        <v>827400</v>
      </c>
      <c r="V19" s="242">
        <v>58</v>
      </c>
      <c r="X19" s="12" t="s">
        <v>226</v>
      </c>
      <c r="Y19" s="505" t="s">
        <v>43</v>
      </c>
      <c r="Z19" s="506"/>
      <c r="AA19" s="505" t="s">
        <v>44</v>
      </c>
      <c r="AB19" s="506"/>
      <c r="AE19" s="134">
        <v>62</v>
      </c>
      <c r="AF19" s="79" t="s">
        <v>151</v>
      </c>
      <c r="AG19" s="79" t="s">
        <v>149</v>
      </c>
      <c r="AH19" s="245">
        <v>3.7426725771679936</v>
      </c>
      <c r="AI19" s="245">
        <v>5.1160211102583997E-3</v>
      </c>
      <c r="AJ19" s="245">
        <v>5.9310023601485649E-2</v>
      </c>
      <c r="AK19" s="245">
        <v>1528.79872430418</v>
      </c>
      <c r="AO19" s="256" t="s">
        <v>175</v>
      </c>
      <c r="AP19" s="260" t="s">
        <v>180</v>
      </c>
      <c r="AQ19" s="263" t="s">
        <v>181</v>
      </c>
      <c r="AR19" s="260" t="s">
        <v>182</v>
      </c>
      <c r="AS19" s="262">
        <v>0.84</v>
      </c>
    </row>
    <row r="20" spans="2:45" ht="15.75" x14ac:dyDescent="0.25">
      <c r="B20" s="2">
        <f t="shared" si="1"/>
        <v>2043</v>
      </c>
      <c r="C20" s="184">
        <f>($F20*$V$7*Assumptions!$D$14+$F20*$V$8*Assumptions!$D$15)/10^6</f>
        <v>120.65732124717043</v>
      </c>
      <c r="D20" s="185">
        <f t="shared" si="2"/>
        <v>9290.6137360321227</v>
      </c>
      <c r="E20" s="116">
        <f>D20*(1+0.03)^-($B20-Assumptions!$D$4)</f>
        <v>4707.4773178950536</v>
      </c>
      <c r="F20" s="192">
        <f t="shared" si="3"/>
        <v>333385.07026927173</v>
      </c>
      <c r="G20" s="194">
        <f>($F20*S$7*Assumptions!$D$14+$F20*S$8*Assumptions!$D$15)/10^6</f>
        <v>0.10624221577975555</v>
      </c>
      <c r="H20" s="195">
        <f>($F20*T$7*Assumptions!$D$14+$F20*T$8*Assumptions!$D$15)/10^6</f>
        <v>7.3398586472984376E-4</v>
      </c>
      <c r="I20" s="196">
        <f>($F20*U$7*Assumptions!$D$14+$F20*U$8*Assumptions!$D$15)/10^6</f>
        <v>2.3711493942459349E-3</v>
      </c>
      <c r="J20" s="177">
        <f t="shared" si="4"/>
        <v>1922.9841056135756</v>
      </c>
      <c r="K20" s="111">
        <f t="shared" si="5"/>
        <v>36.038705958235326</v>
      </c>
      <c r="L20" s="112">
        <f t="shared" si="6"/>
        <v>2057.2092144477729</v>
      </c>
      <c r="M20" s="117">
        <f t="shared" si="12"/>
        <v>4016.2320260195838</v>
      </c>
      <c r="N20" s="210">
        <f>M20*(1+0.07)^-(B20-Assumptions!$D$4)</f>
        <v>847.21162868005808</v>
      </c>
      <c r="O20" s="212">
        <f t="shared" si="8"/>
        <v>13306.845762051707</v>
      </c>
      <c r="P20" s="112">
        <f t="shared" si="9"/>
        <v>5554.6889465751119</v>
      </c>
      <c r="R20" s="113">
        <v>2028</v>
      </c>
      <c r="S20" s="242">
        <v>17400</v>
      </c>
      <c r="T20" s="242">
        <v>47300</v>
      </c>
      <c r="U20" s="242">
        <v>840600</v>
      </c>
      <c r="V20" s="242">
        <v>60</v>
      </c>
      <c r="X20" s="253" t="s">
        <v>160</v>
      </c>
      <c r="Y20" s="58">
        <v>2019</v>
      </c>
      <c r="Z20" s="58">
        <v>2045</v>
      </c>
      <c r="AA20" s="58">
        <v>2019</v>
      </c>
      <c r="AB20" s="58">
        <v>2045</v>
      </c>
      <c r="AO20" s="256" t="s">
        <v>183</v>
      </c>
      <c r="AP20" s="260" t="s">
        <v>171</v>
      </c>
      <c r="AQ20" s="260">
        <v>2</v>
      </c>
      <c r="AR20" s="260" t="s">
        <v>172</v>
      </c>
      <c r="AS20" s="262">
        <v>0.17</v>
      </c>
    </row>
    <row r="21" spans="2:45" ht="15.75" x14ac:dyDescent="0.25">
      <c r="B21" s="2">
        <f t="shared" si="1"/>
        <v>2044</v>
      </c>
      <c r="C21" s="184">
        <f>($F21*$V$7*Assumptions!$D$14+$F21*$V$8*Assumptions!$D$15)/10^6</f>
        <v>122.81203024555877</v>
      </c>
      <c r="D21" s="185">
        <f t="shared" si="2"/>
        <v>9579.338359153584</v>
      </c>
      <c r="E21" s="116">
        <f>D21*(1+0.03)^-($B21-Assumptions!$D$4)</f>
        <v>4712.3997106788083</v>
      </c>
      <c r="F21" s="192">
        <f t="shared" si="3"/>
        <v>339338.69001992047</v>
      </c>
      <c r="G21" s="194">
        <f>($F21*S$7*Assumptions!$D$14+$F21*S$8*Assumptions!$D$15)/10^6</f>
        <v>0.10813949856361914</v>
      </c>
      <c r="H21" s="195">
        <f>($F21*T$7*Assumptions!$D$14+$F21*T$8*Assumptions!$D$15)/10^6</f>
        <v>7.4709344851403396E-4</v>
      </c>
      <c r="I21" s="196">
        <f>($F21*U$7*Assumptions!$D$14+$F21*U$8*Assumptions!$D$15)/10^6</f>
        <v>2.4134935875654477E-3</v>
      </c>
      <c r="J21" s="177">
        <f t="shared" si="4"/>
        <v>1957.3249240015064</v>
      </c>
      <c r="K21" s="111">
        <f t="shared" si="5"/>
        <v>36.682288322039071</v>
      </c>
      <c r="L21" s="112">
        <f t="shared" si="6"/>
        <v>2093.9470365717825</v>
      </c>
      <c r="M21" s="117">
        <f t="shared" si="12"/>
        <v>4087.954248895328</v>
      </c>
      <c r="N21" s="210">
        <f>M21*(1+0.07)^-(B21-Assumptions!$D$4)</f>
        <v>805.92636267503451</v>
      </c>
      <c r="O21" s="212">
        <f t="shared" si="8"/>
        <v>13667.292608048912</v>
      </c>
      <c r="P21" s="112">
        <f t="shared" si="9"/>
        <v>5518.3260733538427</v>
      </c>
      <c r="R21" s="113">
        <v>2029</v>
      </c>
      <c r="S21" s="242">
        <v>17700</v>
      </c>
      <c r="T21" s="242">
        <v>48200</v>
      </c>
      <c r="U21" s="242">
        <v>854000</v>
      </c>
      <c r="V21" s="242">
        <v>61</v>
      </c>
      <c r="X21" s="254" t="s">
        <v>188</v>
      </c>
      <c r="Y21" s="213">
        <f>Y17*$Y$13</f>
        <v>5828915.5906643244</v>
      </c>
      <c r="Z21" s="213">
        <f t="shared" ref="Z21:AB21" si="13">Z17*$Y$13</f>
        <v>6914982.9945321223</v>
      </c>
      <c r="AA21" s="213">
        <f t="shared" si="13"/>
        <v>5638417.3944105674</v>
      </c>
      <c r="AB21" s="213">
        <f t="shared" si="13"/>
        <v>6569690.6847615363</v>
      </c>
      <c r="AO21" s="256" t="s">
        <v>184</v>
      </c>
      <c r="AP21" s="260" t="s">
        <v>180</v>
      </c>
      <c r="AQ21" s="260">
        <v>4.5999999999999996</v>
      </c>
      <c r="AR21" s="260" t="s">
        <v>172</v>
      </c>
      <c r="AS21" s="262">
        <v>0.39</v>
      </c>
    </row>
    <row r="22" spans="2:45" ht="15.75" x14ac:dyDescent="0.25">
      <c r="B22" s="2">
        <f t="shared" si="1"/>
        <v>2045</v>
      </c>
      <c r="C22" s="184">
        <f>($F22*$V$7*Assumptions!$D$14+$F22*$V$8*Assumptions!$D$15)/10^6</f>
        <v>124.96673924394709</v>
      </c>
      <c r="D22" s="185">
        <f t="shared" si="2"/>
        <v>9872.3724002718209</v>
      </c>
      <c r="E22" s="116">
        <f>D22*(1+0.03)^-($B22-Assumptions!$D$4)</f>
        <v>4715.1000401949204</v>
      </c>
      <c r="F22" s="192">
        <f t="shared" si="3"/>
        <v>345292.30977056921</v>
      </c>
      <c r="G22" s="194">
        <f>($F22*S$7*Assumptions!$D$14+$F22*S$8*Assumptions!$D$15)/10^6</f>
        <v>0.11003678134748271</v>
      </c>
      <c r="H22" s="195">
        <f>($F22*T$7*Assumptions!$D$14+$F22*T$8*Assumptions!$D$15)/10^6</f>
        <v>7.6020103229822395E-4</v>
      </c>
      <c r="I22" s="196">
        <f>($F22*U$7*Assumptions!$D$14+$F22*U$8*Assumptions!$D$15)/10^6</f>
        <v>2.4558377808849606E-3</v>
      </c>
      <c r="J22" s="177">
        <f t="shared" si="4"/>
        <v>1991.6657423894371</v>
      </c>
      <c r="K22" s="111">
        <f t="shared" si="5"/>
        <v>37.325870685842794</v>
      </c>
      <c r="L22" s="112">
        <f t="shared" si="6"/>
        <v>2130.6848586957917</v>
      </c>
      <c r="M22" s="117">
        <f t="shared" si="12"/>
        <v>4159.6764717710721</v>
      </c>
      <c r="N22" s="210">
        <f>M22*(1+0.07)^-(B22-Assumptions!$D$4)</f>
        <v>766.41696868243139</v>
      </c>
      <c r="O22" s="212">
        <f t="shared" si="8"/>
        <v>14032.048872042893</v>
      </c>
      <c r="P22" s="112">
        <f t="shared" si="9"/>
        <v>5481.5170088773521</v>
      </c>
      <c r="R22" s="113">
        <v>2030</v>
      </c>
      <c r="S22" s="242">
        <v>18100</v>
      </c>
      <c r="T22" s="242">
        <v>49100</v>
      </c>
      <c r="U22" s="242">
        <v>867600</v>
      </c>
      <c r="V22" s="242">
        <v>62</v>
      </c>
      <c r="AO22" s="256" t="s">
        <v>183</v>
      </c>
      <c r="AP22" s="260" t="s">
        <v>180</v>
      </c>
      <c r="AQ22" s="260">
        <v>2</v>
      </c>
      <c r="AR22" s="260" t="s">
        <v>172</v>
      </c>
      <c r="AS22" s="262">
        <v>0.16</v>
      </c>
    </row>
    <row r="23" spans="2:45" ht="15.75" x14ac:dyDescent="0.25">
      <c r="B23" s="2">
        <f t="shared" si="1"/>
        <v>2046</v>
      </c>
      <c r="C23" s="184">
        <f>($F23*$V$7*Assumptions!$D$14+$F23*$V$8*Assumptions!$D$15)/10^6</f>
        <v>127.1214482423354</v>
      </c>
      <c r="D23" s="185">
        <f t="shared" si="2"/>
        <v>10169.715859386832</v>
      </c>
      <c r="E23" s="116">
        <f>D23*(1+0.03)^-($B23-Assumptions!$D$4)</f>
        <v>4715.643623545413</v>
      </c>
      <c r="F23" s="192">
        <f t="shared" si="3"/>
        <v>351245.92952121794</v>
      </c>
      <c r="G23" s="194">
        <f>($F23*S$7*Assumptions!$D$14+$F23*S$8*Assumptions!$D$15)/10^6</f>
        <v>0.11193406413134629</v>
      </c>
      <c r="H23" s="195">
        <f>($F23*T$7*Assumptions!$D$14+$F23*T$8*Assumptions!$D$15)/10^6</f>
        <v>7.7330861608241425E-4</v>
      </c>
      <c r="I23" s="196">
        <f>($F23*U$7*Assumptions!$D$14+$F23*U$8*Assumptions!$D$15)/10^6</f>
        <v>2.4981819742044731E-3</v>
      </c>
      <c r="J23" s="177">
        <f t="shared" si="4"/>
        <v>2026.0065607773679</v>
      </c>
      <c r="K23" s="111">
        <f t="shared" si="5"/>
        <v>37.969453049646539</v>
      </c>
      <c r="L23" s="112">
        <f t="shared" si="6"/>
        <v>2167.4226808198009</v>
      </c>
      <c r="M23" s="117">
        <f t="shared" si="12"/>
        <v>4231.3986946468158</v>
      </c>
      <c r="N23" s="210">
        <f>M23*(1+0.07)^-(B23-Assumptions!$D$4)</f>
        <v>728.62778435266739</v>
      </c>
      <c r="O23" s="212">
        <f t="shared" si="8"/>
        <v>14401.114554033647</v>
      </c>
      <c r="P23" s="112">
        <f t="shared" si="9"/>
        <v>5444.2714078980807</v>
      </c>
      <c r="R23" s="113">
        <v>2031</v>
      </c>
      <c r="S23" s="242">
        <v>18100</v>
      </c>
      <c r="T23" s="242">
        <v>49100</v>
      </c>
      <c r="U23" s="242">
        <v>867600</v>
      </c>
      <c r="V23" s="242">
        <v>63</v>
      </c>
      <c r="AO23" s="256"/>
      <c r="AP23" s="256"/>
      <c r="AQ23" s="256"/>
      <c r="AR23" s="256"/>
      <c r="AS23" s="256"/>
    </row>
    <row r="24" spans="2:45" ht="15" customHeight="1" x14ac:dyDescent="0.25">
      <c r="B24" s="2">
        <f t="shared" si="1"/>
        <v>2047</v>
      </c>
      <c r="C24" s="184">
        <f>($F24*$V$7*Assumptions!$D$14+$F24*$V$8*Assumptions!$D$15)/10^6</f>
        <v>129.27615724072373</v>
      </c>
      <c r="D24" s="185">
        <f t="shared" si="2"/>
        <v>10471.368736498622</v>
      </c>
      <c r="E24" s="116">
        <f>D24*(1+0.03)^-($B24-Assumptions!$D$4)</f>
        <v>4714.0956040570927</v>
      </c>
      <c r="F24" s="192">
        <f t="shared" si="3"/>
        <v>357199.54927186668</v>
      </c>
      <c r="G24" s="194">
        <f>($F24*S$7*Assumptions!$D$14+$F24*S$8*Assumptions!$D$15)/10^6</f>
        <v>0.11383134691520987</v>
      </c>
      <c r="H24" s="195">
        <f>($F24*T$7*Assumptions!$D$14+$F24*T$8*Assumptions!$D$15)/10^6</f>
        <v>7.8641619986660435E-4</v>
      </c>
      <c r="I24" s="196">
        <f>($F24*U$7*Assumptions!$D$14+$F24*U$8*Assumptions!$D$15)/10^6</f>
        <v>2.540526167523986E-3</v>
      </c>
      <c r="J24" s="177">
        <f t="shared" si="4"/>
        <v>2060.3473791652987</v>
      </c>
      <c r="K24" s="111">
        <f t="shared" si="5"/>
        <v>38.613035413450277</v>
      </c>
      <c r="L24" s="112">
        <f t="shared" si="6"/>
        <v>2204.1605029438101</v>
      </c>
      <c r="M24" s="117">
        <f t="shared" si="12"/>
        <v>4303.1209175225595</v>
      </c>
      <c r="N24" s="210">
        <f>M24*(1+0.07)^-(B24-Assumptions!$D$4)</f>
        <v>692.50282979498331</v>
      </c>
      <c r="O24" s="212">
        <f t="shared" si="8"/>
        <v>14774.489654021181</v>
      </c>
      <c r="P24" s="112">
        <f t="shared" si="9"/>
        <v>5406.5984338520757</v>
      </c>
      <c r="R24" s="113">
        <v>2032</v>
      </c>
      <c r="S24" s="242">
        <v>18100</v>
      </c>
      <c r="T24" s="242">
        <v>49100</v>
      </c>
      <c r="U24" s="242">
        <v>867600</v>
      </c>
      <c r="V24" s="242">
        <v>64</v>
      </c>
      <c r="AG24" s="35" t="s">
        <v>100</v>
      </c>
      <c r="AH24" s="95" t="s">
        <v>135</v>
      </c>
      <c r="AI24" s="95" t="s">
        <v>136</v>
      </c>
      <c r="AJ24" s="95" t="s">
        <v>137</v>
      </c>
      <c r="AK24" s="95" t="s">
        <v>138</v>
      </c>
      <c r="AO24" s="264" t="s">
        <v>185</v>
      </c>
      <c r="AP24" s="256"/>
      <c r="AQ24" s="256"/>
      <c r="AR24" s="256"/>
      <c r="AS24" s="256"/>
    </row>
    <row r="25" spans="2:45" ht="15.75" x14ac:dyDescent="0.25">
      <c r="B25" s="2">
        <f t="shared" si="1"/>
        <v>2048</v>
      </c>
      <c r="C25" s="184">
        <f>($F25*$V$7*Assumptions!$D$14+$F25*$V$8*Assumptions!$D$15)/10^6</f>
        <v>131.43086623911208</v>
      </c>
      <c r="D25" s="185">
        <f t="shared" si="2"/>
        <v>10777.331031607191</v>
      </c>
      <c r="E25" s="116">
        <f>D25*(1+0.03)^-($B25-Assumptions!$D$4)</f>
        <v>4710.5208551377445</v>
      </c>
      <c r="F25" s="192">
        <f t="shared" si="3"/>
        <v>363153.16902251542</v>
      </c>
      <c r="G25" s="194">
        <f>($F25*S$7*Assumptions!$D$14+$F25*S$8*Assumptions!$D$15)/10^6</f>
        <v>0.11572862969907344</v>
      </c>
      <c r="H25" s="195">
        <f>($F25*T$7*Assumptions!$D$14+$F25*T$8*Assumptions!$D$15)/10^6</f>
        <v>7.9952378365079433E-4</v>
      </c>
      <c r="I25" s="196">
        <f>($F25*U$7*Assumptions!$D$14+$F25*U$8*Assumptions!$D$15)/10^6</f>
        <v>2.5828703608434989E-3</v>
      </c>
      <c r="J25" s="177">
        <f t="shared" si="4"/>
        <v>2094.6881975532292</v>
      </c>
      <c r="K25" s="111">
        <f t="shared" si="5"/>
        <v>39.256617777254</v>
      </c>
      <c r="L25" s="112">
        <f t="shared" si="6"/>
        <v>2240.8983250678198</v>
      </c>
      <c r="M25" s="117">
        <f t="shared" si="7"/>
        <v>4374.8431403983031</v>
      </c>
      <c r="N25" s="210">
        <f>M25*(1+0.07)^-(B25-Assumptions!$D$4)</f>
        <v>657.98608735138203</v>
      </c>
      <c r="O25" s="212">
        <f t="shared" si="8"/>
        <v>15152.174172005494</v>
      </c>
      <c r="P25" s="112">
        <f t="shared" si="9"/>
        <v>5368.5069424891262</v>
      </c>
      <c r="R25" s="113">
        <v>2033</v>
      </c>
      <c r="S25" s="242">
        <v>18100</v>
      </c>
      <c r="T25" s="242">
        <v>49100</v>
      </c>
      <c r="U25" s="242">
        <v>867600</v>
      </c>
      <c r="V25" s="242">
        <v>65</v>
      </c>
      <c r="AG25" s="35" t="s">
        <v>101</v>
      </c>
      <c r="AH25" s="241">
        <f>AVERAGE(AH7:AH10)</f>
        <v>0.22790983982547491</v>
      </c>
      <c r="AI25" s="241">
        <f t="shared" ref="AI25:AK25" si="14">AVERAGE(AI7:AI10)</f>
        <v>2.0699004398994176E-3</v>
      </c>
      <c r="AJ25" s="241">
        <f t="shared" si="14"/>
        <v>5.8180715878192544E-3</v>
      </c>
      <c r="AK25" s="241">
        <f t="shared" si="14"/>
        <v>317.22468262036</v>
      </c>
      <c r="AO25" s="265" t="s">
        <v>186</v>
      </c>
      <c r="AP25" s="256"/>
      <c r="AQ25" s="256"/>
      <c r="AR25" s="256"/>
      <c r="AS25" s="256"/>
    </row>
    <row r="26" spans="2:45" x14ac:dyDescent="0.25">
      <c r="B26" s="2">
        <f t="shared" si="1"/>
        <v>2049</v>
      </c>
      <c r="C26" s="184">
        <f>($F26*$V$7*Assumptions!$D$14+$F26*$V$8*Assumptions!$D$15)/10^6</f>
        <v>133.58557523750039</v>
      </c>
      <c r="D26" s="185">
        <f t="shared" si="2"/>
        <v>11087.602744712533</v>
      </c>
      <c r="E26" s="116">
        <f>D26*(1+0.03)^-($B26-Assumptions!$D$4)</f>
        <v>4704.9838913616049</v>
      </c>
      <c r="F26" s="192">
        <f t="shared" si="3"/>
        <v>369106.78877316415</v>
      </c>
      <c r="G26" s="194">
        <f>($F26*S$7*Assumptions!$D$14+$F26*S$8*Assumptions!$D$15)/10^6</f>
        <v>0.11762591248293702</v>
      </c>
      <c r="H26" s="195">
        <f>($F26*T$7*Assumptions!$D$14+$F26*T$8*Assumptions!$D$15)/10^6</f>
        <v>8.1263136743498442E-4</v>
      </c>
      <c r="I26" s="196">
        <f>($F26*U$7*Assumptions!$D$14+$F26*U$8*Assumptions!$D$15)/10^6</f>
        <v>2.6252145541630118E-3</v>
      </c>
      <c r="J26" s="177">
        <f t="shared" si="4"/>
        <v>2129.0290159411602</v>
      </c>
      <c r="K26" s="111">
        <f t="shared" si="5"/>
        <v>39.900200141057738</v>
      </c>
      <c r="L26" s="112">
        <f t="shared" si="6"/>
        <v>2277.636147191829</v>
      </c>
      <c r="M26" s="117">
        <f t="shared" si="7"/>
        <v>4446.5653632740468</v>
      </c>
      <c r="N26" s="210">
        <f>M26*(1+0.07)^-(B26-Assumptions!$D$4)</f>
        <v>625.02174612365627</v>
      </c>
      <c r="O26" s="212">
        <f t="shared" si="8"/>
        <v>15534.168107986579</v>
      </c>
      <c r="P26" s="112">
        <f t="shared" si="9"/>
        <v>5330.0056374852611</v>
      </c>
      <c r="R26" s="113">
        <v>2034</v>
      </c>
      <c r="S26" s="242">
        <v>18100</v>
      </c>
      <c r="T26" s="242">
        <v>49100</v>
      </c>
      <c r="U26" s="242">
        <v>867600</v>
      </c>
      <c r="V26" s="242">
        <v>66</v>
      </c>
      <c r="AG26" s="35" t="s">
        <v>102</v>
      </c>
      <c r="AH26" s="241">
        <f>AVERAGE(AH11:AH19)</f>
        <v>2.099484306313415</v>
      </c>
      <c r="AI26" s="241">
        <f t="shared" ref="AI26:AK26" si="15">AVERAGE(AI11:AI19)</f>
        <v>4.7858028693373951E-3</v>
      </c>
      <c r="AJ26" s="241">
        <f t="shared" si="15"/>
        <v>3.2505287070740692E-2</v>
      </c>
      <c r="AK26" s="241">
        <f t="shared" si="15"/>
        <v>1238.7315972924489</v>
      </c>
    </row>
    <row r="27" spans="2:45" x14ac:dyDescent="0.25">
      <c r="B27" s="2">
        <f t="shared" si="1"/>
        <v>2050</v>
      </c>
      <c r="C27" s="184">
        <f>($F27*$V$7*Assumptions!$D$14+$F27*$V$8*Assumptions!$D$15)/10^6</f>
        <v>135.74028423588868</v>
      </c>
      <c r="D27" s="185">
        <f t="shared" si="2"/>
        <v>11537.924160050537</v>
      </c>
      <c r="E27" s="116">
        <f>D27*(1+0.03)^-($B27-Assumptions!$D$4)</f>
        <v>4753.4719862395132</v>
      </c>
      <c r="F27" s="192">
        <f t="shared" si="3"/>
        <v>375060.40852381289</v>
      </c>
      <c r="G27" s="194">
        <f>($F27*S$7*Assumptions!$D$14+$F27*S$8*Assumptions!$D$15)/10^6</f>
        <v>0.11952319526680058</v>
      </c>
      <c r="H27" s="195">
        <f>($F27*T$7*Assumptions!$D$14+$F27*T$8*Assumptions!$D$15)/10^6</f>
        <v>8.2573895121917462E-4</v>
      </c>
      <c r="I27" s="196">
        <f>($F27*U$7*Assumptions!$D$14+$F27*U$8*Assumptions!$D$15)/10^6</f>
        <v>2.6675587474825247E-3</v>
      </c>
      <c r="J27" s="177">
        <f t="shared" si="4"/>
        <v>2163.3698343290903</v>
      </c>
      <c r="K27" s="111">
        <f t="shared" si="5"/>
        <v>40.543782504861476</v>
      </c>
      <c r="L27" s="112">
        <f t="shared" si="6"/>
        <v>2314.3739693158382</v>
      </c>
      <c r="M27" s="117">
        <f t="shared" si="7"/>
        <v>4518.2875861497905</v>
      </c>
      <c r="N27" s="210">
        <f>M27*(1+0.07)^-(B27-Assumptions!$D$4)</f>
        <v>593.5544146678684</v>
      </c>
      <c r="O27" s="212">
        <f t="shared" si="8"/>
        <v>16056.211746200328</v>
      </c>
      <c r="P27" s="112">
        <f t="shared" si="9"/>
        <v>5347.0264009073817</v>
      </c>
      <c r="R27" s="113">
        <v>2035</v>
      </c>
      <c r="S27" s="242">
        <v>18100</v>
      </c>
      <c r="T27" s="242">
        <v>49100</v>
      </c>
      <c r="U27" s="242">
        <v>867600</v>
      </c>
      <c r="V27" s="242">
        <v>67</v>
      </c>
    </row>
    <row r="28" spans="2:45" ht="15" customHeight="1" x14ac:dyDescent="0.25">
      <c r="B28" s="2">
        <f t="shared" si="1"/>
        <v>2051</v>
      </c>
      <c r="C28" s="184">
        <f>($F28*$V$7*Assumptions!$D$14+$F28*$V$8*Assumptions!$D$15)/10^6</f>
        <v>137.89499323427702</v>
      </c>
      <c r="D28" s="185">
        <f t="shared" si="2"/>
        <v>11583.179431679269</v>
      </c>
      <c r="E28" s="116">
        <f>D28*(1+0.03)^-($B28-Assumptions!$D$4)</f>
        <v>4633.122872765869</v>
      </c>
      <c r="F28" s="192">
        <f t="shared" si="3"/>
        <v>381014.02827446163</v>
      </c>
      <c r="G28" s="194">
        <f>($F28*S$7*Assumptions!$D$14+$F28*S$8*Assumptions!$D$15)/10^6</f>
        <v>0.12142047805066417</v>
      </c>
      <c r="H28" s="195">
        <f>($F28*T$7*Assumptions!$D$14+$F28*T$8*Assumptions!$D$15)/10^6</f>
        <v>8.3884653500336482E-4</v>
      </c>
      <c r="I28" s="196">
        <f>($F28*U$7*Assumptions!$D$14+$F28*U$8*Assumptions!$D$15)/10^6</f>
        <v>2.7099029408020371E-3</v>
      </c>
      <c r="J28" s="177">
        <f t="shared" si="4"/>
        <v>2185.5686049119549</v>
      </c>
      <c r="K28" s="111">
        <f t="shared" si="5"/>
        <v>40.432402987162185</v>
      </c>
      <c r="L28" s="112">
        <f t="shared" si="6"/>
        <v>2310.7342376218971</v>
      </c>
      <c r="M28" s="117">
        <f t="shared" si="7"/>
        <v>4536.7352455210148</v>
      </c>
      <c r="N28" s="210">
        <f>M28*(1+0.07)^-(B28-Assumptions!$D$4)</f>
        <v>556.98862663337923</v>
      </c>
      <c r="O28" s="212">
        <f t="shared" si="8"/>
        <v>16119.914677200284</v>
      </c>
      <c r="P28" s="112">
        <f t="shared" si="9"/>
        <v>5190.1114993992487</v>
      </c>
      <c r="R28" s="113">
        <v>2036</v>
      </c>
      <c r="S28" s="242">
        <v>18100</v>
      </c>
      <c r="T28" s="242">
        <v>49100</v>
      </c>
      <c r="U28" s="242">
        <v>867600</v>
      </c>
      <c r="V28" s="242">
        <v>69</v>
      </c>
    </row>
    <row r="29" spans="2:45" x14ac:dyDescent="0.25">
      <c r="B29" s="2">
        <f t="shared" si="1"/>
        <v>2052</v>
      </c>
      <c r="C29" s="184">
        <f>($F29*$V$7*Assumptions!$D$14+$F29*$V$8*Assumptions!$D$15)/10^6</f>
        <v>140.04970223266537</v>
      </c>
      <c r="D29" s="185">
        <f t="shared" si="2"/>
        <v>11764.174987543891</v>
      </c>
      <c r="E29" s="116">
        <f>D29*(1+0.03)^-($B29-Assumptions!$D$4)</f>
        <v>4568.4648237310703</v>
      </c>
      <c r="F29" s="192">
        <f t="shared" si="3"/>
        <v>386967.64802511036</v>
      </c>
      <c r="G29" s="194">
        <f>($F29*S$7*Assumptions!$D$14+$F29*S$8*Assumptions!$D$15)/10^6</f>
        <v>0.12331776083452775</v>
      </c>
      <c r="H29" s="195">
        <f>($F29*T$7*Assumptions!$D$14+$F29*T$8*Assumptions!$D$15)/10^6</f>
        <v>8.5195411878755492E-4</v>
      </c>
      <c r="I29" s="196">
        <f>($F29*U$7*Assumptions!$D$14+$F29*U$8*Assumptions!$D$15)/10^6</f>
        <v>2.7522471341215496E-3</v>
      </c>
      <c r="J29" s="177">
        <f t="shared" si="4"/>
        <v>2219.7196950214993</v>
      </c>
      <c r="K29" s="111">
        <f t="shared" si="5"/>
        <v>41.064188525560148</v>
      </c>
      <c r="L29" s="112">
        <f t="shared" si="6"/>
        <v>2346.8411312654453</v>
      </c>
      <c r="M29" s="117">
        <f t="shared" si="7"/>
        <v>4607.6250148125046</v>
      </c>
      <c r="N29" s="210">
        <f>M29*(1+0.07)^-(B29-Assumptions!$D$4)</f>
        <v>528.68409042300004</v>
      </c>
      <c r="O29" s="212">
        <f t="shared" si="8"/>
        <v>16371.800002356395</v>
      </c>
      <c r="P29" s="112">
        <f t="shared" si="9"/>
        <v>5097.1489141540706</v>
      </c>
      <c r="R29" s="113">
        <v>2037</v>
      </c>
      <c r="S29" s="242">
        <v>18100</v>
      </c>
      <c r="T29" s="242">
        <v>49100</v>
      </c>
      <c r="U29" s="242">
        <v>867600</v>
      </c>
      <c r="V29" s="242">
        <v>70</v>
      </c>
    </row>
    <row r="30" spans="2:45" x14ac:dyDescent="0.25">
      <c r="B30" s="2">
        <f t="shared" si="1"/>
        <v>2053</v>
      </c>
      <c r="C30" s="184">
        <f>($F30*$V$7*Assumptions!$D$14+$F30*$V$8*Assumptions!$D$15)/10^6</f>
        <v>142.20441123105365</v>
      </c>
      <c r="D30" s="185">
        <f t="shared" si="2"/>
        <v>11945.170543408507</v>
      </c>
      <c r="E30" s="116">
        <f>D30*(1+0.03)^-($B30-Assumptions!$D$4)</f>
        <v>4503.6428165898124</v>
      </c>
      <c r="F30" s="192">
        <f t="shared" si="3"/>
        <v>392921.2677757591</v>
      </c>
      <c r="G30" s="194">
        <f>($F30*S$7*Assumptions!$D$14+$F30*S$8*Assumptions!$D$15)/10^6</f>
        <v>0.12521504361839131</v>
      </c>
      <c r="H30" s="195">
        <f>($F30*T$7*Assumptions!$D$14+$F30*T$8*Assumptions!$D$15)/10^6</f>
        <v>8.650617025717449E-4</v>
      </c>
      <c r="I30" s="196">
        <f>($F30*U$7*Assumptions!$D$14+$F30*U$8*Assumptions!$D$15)/10^6</f>
        <v>2.7945913274410625E-3</v>
      </c>
      <c r="J30" s="177">
        <f t="shared" si="4"/>
        <v>2253.8707851310437</v>
      </c>
      <c r="K30" s="111">
        <f t="shared" si="5"/>
        <v>41.695974063958104</v>
      </c>
      <c r="L30" s="112">
        <f t="shared" si="6"/>
        <v>2382.9480249089938</v>
      </c>
      <c r="M30" s="117">
        <f t="shared" si="7"/>
        <v>4678.5147841039961</v>
      </c>
      <c r="N30" s="210">
        <f>M30*(1+0.07)^-(B30-Assumptions!$D$4)</f>
        <v>501.69912382901668</v>
      </c>
      <c r="O30" s="212">
        <f t="shared" si="8"/>
        <v>16623.685327512503</v>
      </c>
      <c r="P30" s="112">
        <f t="shared" si="9"/>
        <v>5005.3419404188289</v>
      </c>
      <c r="R30" s="113">
        <v>2038</v>
      </c>
      <c r="S30" s="242">
        <v>18100</v>
      </c>
      <c r="T30" s="242">
        <v>49100</v>
      </c>
      <c r="U30" s="242">
        <v>867600</v>
      </c>
      <c r="V30" s="242">
        <v>71</v>
      </c>
    </row>
    <row r="31" spans="2:45" x14ac:dyDescent="0.25">
      <c r="B31" s="2">
        <f t="shared" si="1"/>
        <v>2054</v>
      </c>
      <c r="C31" s="184">
        <f>($F31*$V$7*Assumptions!$D$14+$F31*$V$8*Assumptions!$D$15)/10^6</f>
        <v>144.3591202294366</v>
      </c>
      <c r="D31" s="185">
        <f t="shared" si="2"/>
        <v>12126.166099272674</v>
      </c>
      <c r="E31" s="116">
        <f>D31*(1+0.03)^-($B31-Assumptions!$D$4)</f>
        <v>4438.7212540708542</v>
      </c>
      <c r="F31" s="192">
        <f t="shared" si="3"/>
        <v>398874.88752639294</v>
      </c>
      <c r="G31" s="194">
        <f>($F31*S$7*Assumptions!$D$14+$F31*S$8*Assumptions!$D$15)/10^6</f>
        <v>0.12711232640225015</v>
      </c>
      <c r="H31" s="195">
        <f>($F31*T$7*Assumptions!$D$14+$F31*T$8*Assumptions!$D$15)/10^6</f>
        <v>8.7816928635590236E-4</v>
      </c>
      <c r="I31" s="196">
        <f>($F31*U$7*Assumptions!$D$14+$F31*U$8*Assumptions!$D$15)/10^6</f>
        <v>2.8369355207604695E-3</v>
      </c>
      <c r="J31" s="177">
        <f t="shared" si="4"/>
        <v>2288.0218752405026</v>
      </c>
      <c r="K31" s="111">
        <f t="shared" si="5"/>
        <v>42.32775960235449</v>
      </c>
      <c r="L31" s="112">
        <f t="shared" si="6"/>
        <v>2419.0549185524524</v>
      </c>
      <c r="M31" s="117">
        <f t="shared" si="7"/>
        <v>4749.4045533953094</v>
      </c>
      <c r="N31" s="210">
        <f>M31*(1+0.07)^-(B31-Assumptions!$D$4)</f>
        <v>475.98221204565914</v>
      </c>
      <c r="O31" s="212">
        <f t="shared" si="8"/>
        <v>16875.570652667982</v>
      </c>
      <c r="P31" s="112">
        <f t="shared" si="9"/>
        <v>4914.7034661165135</v>
      </c>
      <c r="R31" s="113">
        <v>2039</v>
      </c>
      <c r="S31" s="242">
        <v>18100</v>
      </c>
      <c r="T31" s="242">
        <v>49100</v>
      </c>
      <c r="U31" s="242">
        <v>867600</v>
      </c>
      <c r="V31" s="242">
        <v>72</v>
      </c>
    </row>
    <row r="32" spans="2:45" x14ac:dyDescent="0.25">
      <c r="B32" s="2">
        <f t="shared" si="1"/>
        <v>2055</v>
      </c>
      <c r="C32" s="184">
        <f>($F32*$V$7*Assumptions!$D$14+$F32*$V$8*Assumptions!$D$15)/10^6</f>
        <v>146.51382922783031</v>
      </c>
      <c r="D32" s="185">
        <f t="shared" si="2"/>
        <v>12307.161655137746</v>
      </c>
      <c r="E32" s="116">
        <f>D32*(1+0.03)^-($B32-Assumptions!$D$4)</f>
        <v>4373.7609263799486</v>
      </c>
      <c r="F32" s="192">
        <f t="shared" si="3"/>
        <v>404828.50727705657</v>
      </c>
      <c r="G32" s="194">
        <f>($F32*S$7*Assumptions!$D$14+$F32*S$8*Assumptions!$D$15)/10^6</f>
        <v>0.12900960918611848</v>
      </c>
      <c r="H32" s="195">
        <f>($F32*T$7*Assumptions!$D$14+$F32*T$8*Assumptions!$D$15)/10^6</f>
        <v>8.9127687014012519E-4</v>
      </c>
      <c r="I32" s="196">
        <f>($F32*U$7*Assumptions!$D$14+$F32*U$8*Assumptions!$D$15)/10^6</f>
        <v>2.8792797140800878E-3</v>
      </c>
      <c r="J32" s="177">
        <f t="shared" si="4"/>
        <v>2322.1729653501325</v>
      </c>
      <c r="K32" s="111">
        <f t="shared" si="5"/>
        <v>42.959545140754031</v>
      </c>
      <c r="L32" s="112">
        <f t="shared" si="6"/>
        <v>2455.161812196091</v>
      </c>
      <c r="M32" s="117">
        <f t="shared" si="7"/>
        <v>4820.2943226869775</v>
      </c>
      <c r="N32" s="210">
        <f>M32*(1+0.07)^-(B32-Assumptions!$D$4)</f>
        <v>451.48293296246987</v>
      </c>
      <c r="O32" s="212">
        <f t="shared" si="8"/>
        <v>17127.455977824724</v>
      </c>
      <c r="P32" s="112">
        <f t="shared" si="9"/>
        <v>4825.2438593424185</v>
      </c>
      <c r="R32" s="113">
        <v>2040</v>
      </c>
      <c r="S32" s="242">
        <v>18100</v>
      </c>
      <c r="T32" s="242">
        <v>49100</v>
      </c>
      <c r="U32" s="242">
        <v>867600</v>
      </c>
      <c r="V32" s="242">
        <v>73</v>
      </c>
    </row>
    <row r="33" spans="1:30" x14ac:dyDescent="0.25">
      <c r="B33" s="2">
        <f t="shared" si="1"/>
        <v>2056</v>
      </c>
      <c r="C33" s="184">
        <f>($F33*$V$7*Assumptions!$D$14+$F33*$V$8*Assumptions!$D$15)/10^6</f>
        <v>148.66853822621326</v>
      </c>
      <c r="D33" s="185">
        <f t="shared" si="2"/>
        <v>12488.157211001913</v>
      </c>
      <c r="E33" s="116">
        <f>D33*(1+0.03)^-($B33-Assumptions!$D$4)</f>
        <v>4308.8191670011402</v>
      </c>
      <c r="F33" s="192">
        <f t="shared" si="3"/>
        <v>410782.12702769041</v>
      </c>
      <c r="G33" s="194">
        <f>($F33*S$7*Assumptions!$D$14+$F33*S$8*Assumptions!$D$15)/10^6</f>
        <v>0.13090689196997729</v>
      </c>
      <c r="H33" s="195">
        <f>($F33*T$7*Assumptions!$D$14+$F33*T$8*Assumptions!$D$15)/10^6</f>
        <v>9.0438445392428265E-4</v>
      </c>
      <c r="I33" s="196">
        <f>($F33*U$7*Assumptions!$D$14+$F33*U$8*Assumptions!$D$15)/10^6</f>
        <v>2.9216239073994953E-3</v>
      </c>
      <c r="J33" s="177">
        <f t="shared" si="4"/>
        <v>2356.3240554595914</v>
      </c>
      <c r="K33" s="111">
        <f t="shared" si="5"/>
        <v>43.591330679150424</v>
      </c>
      <c r="L33" s="112">
        <f t="shared" si="6"/>
        <v>2491.2687058395495</v>
      </c>
      <c r="M33" s="117">
        <f t="shared" si="7"/>
        <v>4891.1840919782917</v>
      </c>
      <c r="N33" s="210">
        <f>M33*(1+0.07)^-(B33-Assumptions!$D$4)</f>
        <v>428.15203467026907</v>
      </c>
      <c r="O33" s="212">
        <f t="shared" si="8"/>
        <v>17379.341302980203</v>
      </c>
      <c r="P33" s="112">
        <f t="shared" si="9"/>
        <v>4736.9712016714093</v>
      </c>
      <c r="R33" s="113">
        <v>2041</v>
      </c>
      <c r="S33" s="242">
        <v>18100</v>
      </c>
      <c r="T33" s="242">
        <v>49100</v>
      </c>
      <c r="U33" s="242">
        <v>867600</v>
      </c>
      <c r="V33" s="242">
        <v>74</v>
      </c>
    </row>
    <row r="34" spans="1:30" ht="15.75" thickBot="1" x14ac:dyDescent="0.3">
      <c r="B34" s="3">
        <f t="shared" si="1"/>
        <v>2057</v>
      </c>
      <c r="C34" s="186">
        <f>($F34*$V$7*Assumptions!$D$14+$F34*$V$8*Assumptions!$D$15)/10^6</f>
        <v>150.82324722460697</v>
      </c>
      <c r="D34" s="187">
        <f t="shared" si="2"/>
        <v>12669.152766866986</v>
      </c>
      <c r="E34" s="175">
        <f>D34*(1+0.03)^-($B34-Assumptions!$D$4)</f>
        <v>4243.9500024910185</v>
      </c>
      <c r="F34" s="193">
        <f t="shared" si="3"/>
        <v>416735.74677835405</v>
      </c>
      <c r="G34" s="197">
        <f>($F34*S$7*Assumptions!$D$14+$F34*S$8*Assumptions!$D$15)/10^6</f>
        <v>0.13280417475384562</v>
      </c>
      <c r="H34" s="198">
        <f>($F34*T$7*Assumptions!$D$14+$F34*T$8*Assumptions!$D$15)/10^6</f>
        <v>9.1749203770850548E-4</v>
      </c>
      <c r="I34" s="199">
        <f>($F34*U$7*Assumptions!$D$14+$F34*U$8*Assumptions!$D$15)/10^6</f>
        <v>2.963968100719114E-3</v>
      </c>
      <c r="J34" s="178">
        <f t="shared" si="4"/>
        <v>2390.4751455692212</v>
      </c>
      <c r="K34" s="174">
        <f t="shared" si="5"/>
        <v>44.223116217549965</v>
      </c>
      <c r="L34" s="175">
        <f t="shared" si="6"/>
        <v>2527.3755994831886</v>
      </c>
      <c r="M34" s="176">
        <f>SUM(J34:L34)</f>
        <v>4962.0738612699597</v>
      </c>
      <c r="N34" s="211">
        <f>M34*(1+0.07)^-(B34-Assumptions!$D$4)</f>
        <v>405.9414981500035</v>
      </c>
      <c r="O34" s="187">
        <f t="shared" si="8"/>
        <v>17631.226628136945</v>
      </c>
      <c r="P34" s="175">
        <f t="shared" si="9"/>
        <v>4649.8915006410216</v>
      </c>
      <c r="R34" s="113">
        <v>2042</v>
      </c>
      <c r="S34" s="242">
        <v>18100</v>
      </c>
      <c r="T34" s="242">
        <v>49100</v>
      </c>
      <c r="U34" s="242">
        <v>867600</v>
      </c>
      <c r="V34" s="242">
        <v>75</v>
      </c>
    </row>
    <row r="35" spans="1:30" x14ac:dyDescent="0.25">
      <c r="B35" s="4"/>
      <c r="C35" s="425">
        <f>SUM(C5:C34)</f>
        <v>3587.3990024393638</v>
      </c>
      <c r="D35" s="115" t="s">
        <v>2</v>
      </c>
      <c r="E35" s="188">
        <f>SUM(E5:E34)</f>
        <v>135579.77198951217</v>
      </c>
      <c r="F35" s="114"/>
      <c r="G35" s="426">
        <f>SUM(G5:G34)</f>
        <v>3.1588072316347797</v>
      </c>
      <c r="H35" s="426">
        <f t="shared" ref="H35:I35" si="16">SUM(H5:H34)</f>
        <v>2.1822962185132921E-2</v>
      </c>
      <c r="I35" s="426">
        <f t="shared" si="16"/>
        <v>7.049931892758686E-2</v>
      </c>
      <c r="J35" s="4"/>
      <c r="K35" s="4"/>
      <c r="L35" s="4"/>
      <c r="M35" s="115" t="s">
        <v>2</v>
      </c>
      <c r="N35" s="188">
        <f>SUM(N5:N34)</f>
        <v>27996.185657732371</v>
      </c>
      <c r="O35" s="188">
        <f>SUM(O5:O34)</f>
        <v>391855.64929421264</v>
      </c>
      <c r="P35" s="188">
        <f>SUM(P5:P34)</f>
        <v>163575.95764724448</v>
      </c>
      <c r="Q35" s="105"/>
      <c r="R35" s="113">
        <v>2043</v>
      </c>
      <c r="S35" s="242">
        <v>18100</v>
      </c>
      <c r="T35" s="242">
        <v>49100</v>
      </c>
      <c r="U35" s="242">
        <v>867600</v>
      </c>
      <c r="V35" s="242">
        <v>77</v>
      </c>
    </row>
    <row r="36" spans="1:30" x14ac:dyDescent="0.25">
      <c r="G36" s="37">
        <f>G35*1000</f>
        <v>3158.8072316347798</v>
      </c>
      <c r="H36" s="37">
        <f t="shared" ref="H36:I36" si="17">H35*1000</f>
        <v>21.822962185132919</v>
      </c>
      <c r="I36" s="37">
        <f t="shared" si="17"/>
        <v>70.499318927586856</v>
      </c>
      <c r="Q36" s="105"/>
      <c r="R36" s="113">
        <v>2044</v>
      </c>
      <c r="S36" s="242">
        <v>18100</v>
      </c>
      <c r="T36" s="242">
        <v>49100</v>
      </c>
      <c r="U36" s="242">
        <v>867600</v>
      </c>
      <c r="V36" s="242">
        <v>78</v>
      </c>
    </row>
    <row r="37" spans="1:30" x14ac:dyDescent="0.25">
      <c r="B37" s="12" t="s">
        <v>3</v>
      </c>
      <c r="C37" s="12"/>
      <c r="D37" s="12"/>
      <c r="E37" s="12"/>
      <c r="R37" s="113">
        <v>2045</v>
      </c>
      <c r="S37" s="242">
        <v>18100</v>
      </c>
      <c r="T37" s="242">
        <v>49100</v>
      </c>
      <c r="U37" s="242">
        <v>867600</v>
      </c>
      <c r="V37" s="242">
        <v>79</v>
      </c>
    </row>
    <row r="38" spans="1:30" ht="15" customHeight="1" x14ac:dyDescent="0.25">
      <c r="A38" s="13" t="s">
        <v>53</v>
      </c>
      <c r="B38" s="480" t="s">
        <v>405</v>
      </c>
      <c r="C38" s="480"/>
      <c r="D38" s="480"/>
      <c r="E38" s="480"/>
      <c r="F38" s="480"/>
      <c r="G38" s="480"/>
      <c r="H38" s="480"/>
      <c r="I38" s="480"/>
      <c r="J38" s="480"/>
      <c r="K38" s="480"/>
      <c r="L38" s="480"/>
      <c r="M38" s="480"/>
      <c r="R38" s="113">
        <v>2046</v>
      </c>
      <c r="S38" s="242">
        <v>18100</v>
      </c>
      <c r="T38" s="242">
        <v>49100</v>
      </c>
      <c r="U38" s="242">
        <v>867600</v>
      </c>
      <c r="V38" s="242">
        <v>80</v>
      </c>
    </row>
    <row r="39" spans="1:30" x14ac:dyDescent="0.25">
      <c r="B39" s="480"/>
      <c r="C39" s="480"/>
      <c r="D39" s="480"/>
      <c r="E39" s="480"/>
      <c r="F39" s="480"/>
      <c r="G39" s="480"/>
      <c r="H39" s="480"/>
      <c r="I39" s="480"/>
      <c r="J39" s="480"/>
      <c r="K39" s="480"/>
      <c r="L39" s="480"/>
      <c r="M39" s="480"/>
      <c r="R39" s="113">
        <v>2047</v>
      </c>
      <c r="S39" s="242">
        <v>18100</v>
      </c>
      <c r="T39" s="242">
        <v>49100</v>
      </c>
      <c r="U39" s="242">
        <v>867600</v>
      </c>
      <c r="V39" s="242">
        <v>81</v>
      </c>
      <c r="X39" s="87"/>
      <c r="Y39" s="87"/>
      <c r="Z39" s="87"/>
      <c r="AA39" s="87"/>
      <c r="AB39" s="87"/>
    </row>
    <row r="40" spans="1:30" x14ac:dyDescent="0.25">
      <c r="B40" s="480"/>
      <c r="C40" s="480"/>
      <c r="D40" s="480"/>
      <c r="E40" s="480"/>
      <c r="F40" s="480"/>
      <c r="G40" s="480"/>
      <c r="H40" s="480"/>
      <c r="I40" s="480"/>
      <c r="J40" s="480"/>
      <c r="K40" s="480"/>
      <c r="L40" s="480"/>
      <c r="M40" s="480"/>
      <c r="R40" s="113">
        <v>2048</v>
      </c>
      <c r="S40" s="242">
        <v>18100</v>
      </c>
      <c r="T40" s="242">
        <v>49100</v>
      </c>
      <c r="U40" s="242">
        <v>867600</v>
      </c>
      <c r="V40" s="242">
        <v>82</v>
      </c>
      <c r="X40" s="87"/>
      <c r="Y40" s="87"/>
      <c r="Z40" s="87"/>
      <c r="AA40" s="87"/>
      <c r="AB40" s="87"/>
    </row>
    <row r="41" spans="1:30" x14ac:dyDescent="0.25">
      <c r="B41" s="480"/>
      <c r="C41" s="480"/>
      <c r="D41" s="480"/>
      <c r="E41" s="480"/>
      <c r="F41" s="480"/>
      <c r="G41" s="480"/>
      <c r="H41" s="480"/>
      <c r="I41" s="480"/>
      <c r="J41" s="480"/>
      <c r="K41" s="480"/>
      <c r="L41" s="480"/>
      <c r="M41" s="480"/>
      <c r="R41" s="113">
        <v>2049</v>
      </c>
      <c r="S41" s="242">
        <v>18100</v>
      </c>
      <c r="T41" s="242">
        <v>49100</v>
      </c>
      <c r="U41" s="242">
        <v>867600</v>
      </c>
      <c r="V41" s="242">
        <v>83</v>
      </c>
      <c r="X41" s="87"/>
      <c r="Y41" s="87"/>
      <c r="Z41" s="87"/>
      <c r="AA41" s="87"/>
      <c r="AB41" s="87"/>
    </row>
    <row r="42" spans="1:30" ht="15" customHeight="1" x14ac:dyDescent="0.25">
      <c r="B42" s="12"/>
      <c r="C42" s="12"/>
      <c r="D42" s="12"/>
      <c r="E42" s="12"/>
      <c r="R42" s="113">
        <v>2050</v>
      </c>
      <c r="S42" s="242">
        <v>18100</v>
      </c>
      <c r="T42" s="242">
        <v>49100</v>
      </c>
      <c r="U42" s="242">
        <v>867600</v>
      </c>
      <c r="V42" s="242">
        <v>85</v>
      </c>
      <c r="X42" s="87"/>
      <c r="Y42" s="87"/>
      <c r="Z42" s="87"/>
      <c r="AA42" s="87"/>
      <c r="AB42" s="87"/>
    </row>
    <row r="43" spans="1:30" ht="15.75" customHeight="1" x14ac:dyDescent="0.25">
      <c r="A43" s="13" t="s">
        <v>66</v>
      </c>
      <c r="B43" s="480" t="s">
        <v>216</v>
      </c>
      <c r="C43" s="480"/>
      <c r="D43" s="480"/>
      <c r="E43" s="480"/>
      <c r="F43" s="480"/>
      <c r="G43" s="480"/>
      <c r="H43" s="480"/>
      <c r="I43" s="480"/>
      <c r="J43" s="480"/>
      <c r="K43" s="480"/>
      <c r="L43" s="480"/>
      <c r="M43" s="480"/>
      <c r="R43" s="113">
        <v>2050</v>
      </c>
      <c r="S43" s="242">
        <v>18000</v>
      </c>
      <c r="T43" s="242">
        <v>48200</v>
      </c>
      <c r="U43" s="242">
        <v>852700</v>
      </c>
      <c r="V43" s="242">
        <v>84</v>
      </c>
      <c r="X43" s="87"/>
      <c r="Y43" s="87"/>
      <c r="Z43" s="87"/>
      <c r="AA43" s="87"/>
      <c r="AB43" s="87"/>
    </row>
    <row r="44" spans="1:30" ht="15" customHeight="1" x14ac:dyDescent="0.25">
      <c r="B44" s="480"/>
      <c r="C44" s="480"/>
      <c r="D44" s="480"/>
      <c r="E44" s="480"/>
      <c r="F44" s="480"/>
      <c r="G44" s="480"/>
      <c r="H44" s="480"/>
      <c r="I44" s="480"/>
      <c r="J44" s="480"/>
      <c r="K44" s="480"/>
      <c r="L44" s="480"/>
      <c r="M44" s="480"/>
      <c r="R44" s="246">
        <v>2051</v>
      </c>
      <c r="S44" s="247">
        <f>S43</f>
        <v>18000</v>
      </c>
      <c r="T44" s="247">
        <f t="shared" ref="T44:U44" si="18">T43</f>
        <v>48200</v>
      </c>
      <c r="U44" s="247">
        <f t="shared" si="18"/>
        <v>852700</v>
      </c>
      <c r="V44" s="247">
        <f>V43</f>
        <v>84</v>
      </c>
      <c r="W44" s="255" t="s">
        <v>153</v>
      </c>
      <c r="AC44" s="87"/>
      <c r="AD44" s="87"/>
    </row>
    <row r="45" spans="1:30" ht="15" customHeight="1" x14ac:dyDescent="0.25">
      <c r="A45" s="13"/>
      <c r="B45" s="59"/>
      <c r="C45" s="59"/>
      <c r="D45" s="59"/>
      <c r="E45" s="59"/>
      <c r="F45" s="36"/>
      <c r="G45" s="105"/>
      <c r="H45" s="105"/>
      <c r="I45" s="36"/>
      <c r="R45" s="246">
        <v>2052</v>
      </c>
      <c r="S45" s="247">
        <f t="shared" ref="S45:S47" si="19">S44</f>
        <v>18000</v>
      </c>
      <c r="T45" s="247">
        <f t="shared" ref="T45:T47" si="20">T44</f>
        <v>48200</v>
      </c>
      <c r="U45" s="247">
        <f t="shared" ref="U45:U47" si="21">U44</f>
        <v>852700</v>
      </c>
      <c r="V45" s="247">
        <f t="shared" ref="V45:V47" si="22">V44</f>
        <v>84</v>
      </c>
      <c r="W45" s="249"/>
      <c r="AC45" s="87"/>
      <c r="AD45" s="87"/>
    </row>
    <row r="46" spans="1:30" x14ac:dyDescent="0.25">
      <c r="A46" s="13"/>
      <c r="B46" s="87"/>
      <c r="C46" s="87"/>
      <c r="D46" s="87"/>
      <c r="E46" s="87"/>
      <c r="F46" s="87"/>
      <c r="G46" s="87"/>
      <c r="H46" s="87"/>
      <c r="I46" s="87"/>
      <c r="R46" s="246">
        <v>2053</v>
      </c>
      <c r="S46" s="247">
        <f t="shared" si="19"/>
        <v>18000</v>
      </c>
      <c r="T46" s="247">
        <f t="shared" si="20"/>
        <v>48200</v>
      </c>
      <c r="U46" s="247">
        <f t="shared" si="21"/>
        <v>852700</v>
      </c>
      <c r="V46" s="247">
        <f t="shared" si="22"/>
        <v>84</v>
      </c>
      <c r="W46" s="249"/>
      <c r="AC46" s="87"/>
      <c r="AD46" s="87"/>
    </row>
    <row r="47" spans="1:30" x14ac:dyDescent="0.25">
      <c r="A47" s="13"/>
      <c r="B47" s="87"/>
      <c r="C47" s="87"/>
      <c r="D47" s="87"/>
      <c r="E47" s="87"/>
      <c r="F47" s="87"/>
      <c r="G47" s="87"/>
      <c r="H47" s="87"/>
      <c r="I47" s="87"/>
      <c r="R47" s="246">
        <v>2054</v>
      </c>
      <c r="S47" s="247">
        <f t="shared" si="19"/>
        <v>18000</v>
      </c>
      <c r="T47" s="247">
        <f t="shared" si="20"/>
        <v>48200</v>
      </c>
      <c r="U47" s="247">
        <f t="shared" si="21"/>
        <v>852700</v>
      </c>
      <c r="V47" s="247">
        <f t="shared" si="22"/>
        <v>84</v>
      </c>
      <c r="W47" s="249"/>
      <c r="AC47" s="87"/>
      <c r="AD47" s="87"/>
    </row>
    <row r="48" spans="1:30" x14ac:dyDescent="0.25">
      <c r="A48" s="13"/>
      <c r="B48" s="87"/>
      <c r="C48" s="87"/>
      <c r="D48" s="87"/>
      <c r="E48" s="87"/>
      <c r="F48" s="87"/>
      <c r="G48" s="87"/>
      <c r="H48" s="87"/>
      <c r="I48" s="87"/>
      <c r="R48" s="246">
        <v>2055</v>
      </c>
      <c r="S48" s="247">
        <f t="shared" ref="S48:S51" si="23">S47</f>
        <v>18000</v>
      </c>
      <c r="T48" s="247">
        <f t="shared" ref="T48:T51" si="24">T47</f>
        <v>48200</v>
      </c>
      <c r="U48" s="247">
        <f t="shared" ref="U48:U51" si="25">U47</f>
        <v>852700</v>
      </c>
      <c r="V48" s="247">
        <f t="shared" ref="V48:V51" si="26">V47</f>
        <v>84</v>
      </c>
      <c r="W48" s="249"/>
      <c r="AC48" s="87"/>
      <c r="AD48" s="87"/>
    </row>
    <row r="49" spans="1:22" x14ac:dyDescent="0.25">
      <c r="A49" s="13"/>
      <c r="B49" s="87"/>
      <c r="C49" s="87"/>
      <c r="D49" s="87"/>
      <c r="E49" s="87"/>
      <c r="F49" s="87"/>
      <c r="G49" s="87"/>
      <c r="H49" s="87"/>
      <c r="I49" s="87"/>
      <c r="R49" s="246">
        <v>2056</v>
      </c>
      <c r="S49" s="247">
        <f t="shared" si="23"/>
        <v>18000</v>
      </c>
      <c r="T49" s="247">
        <f t="shared" si="24"/>
        <v>48200</v>
      </c>
      <c r="U49" s="247">
        <f t="shared" si="25"/>
        <v>852700</v>
      </c>
      <c r="V49" s="247">
        <f t="shared" si="26"/>
        <v>84</v>
      </c>
    </row>
    <row r="50" spans="1:22" x14ac:dyDescent="0.25">
      <c r="A50" s="13"/>
      <c r="B50" s="87"/>
      <c r="C50" s="87"/>
      <c r="D50" s="87"/>
      <c r="E50" s="87"/>
      <c r="F50" s="87"/>
      <c r="G50" s="87"/>
      <c r="H50" s="87"/>
      <c r="I50" s="87"/>
      <c r="R50" s="246">
        <v>2057</v>
      </c>
      <c r="S50" s="247">
        <f t="shared" si="23"/>
        <v>18000</v>
      </c>
      <c r="T50" s="247">
        <f t="shared" si="24"/>
        <v>48200</v>
      </c>
      <c r="U50" s="247">
        <f t="shared" si="25"/>
        <v>852700</v>
      </c>
      <c r="V50" s="247">
        <f t="shared" si="26"/>
        <v>84</v>
      </c>
    </row>
    <row r="51" spans="1:22" x14ac:dyDescent="0.25">
      <c r="A51" s="13"/>
      <c r="B51" s="59"/>
      <c r="C51" s="59"/>
      <c r="D51" s="59"/>
      <c r="E51" s="59"/>
      <c r="F51" s="36"/>
      <c r="G51" s="36"/>
      <c r="H51" s="36"/>
      <c r="I51" s="36"/>
      <c r="R51" s="246">
        <v>2058</v>
      </c>
      <c r="S51" s="247">
        <f t="shared" si="23"/>
        <v>18000</v>
      </c>
      <c r="T51" s="247">
        <f t="shared" si="24"/>
        <v>48200</v>
      </c>
      <c r="U51" s="247">
        <f t="shared" si="25"/>
        <v>852700</v>
      </c>
      <c r="V51" s="247">
        <f t="shared" si="26"/>
        <v>84</v>
      </c>
    </row>
    <row r="52" spans="1:22" x14ac:dyDescent="0.25">
      <c r="B52" s="59"/>
      <c r="C52" s="59"/>
      <c r="D52" s="59"/>
      <c r="E52" s="59"/>
      <c r="F52" s="36"/>
      <c r="G52" s="36"/>
      <c r="H52" s="36"/>
      <c r="I52" s="36"/>
    </row>
    <row r="53" spans="1:22" x14ac:dyDescent="0.25">
      <c r="B53" s="59"/>
      <c r="C53" s="59"/>
      <c r="D53" s="419" t="s">
        <v>343</v>
      </c>
      <c r="E53" s="420" t="s">
        <v>344</v>
      </c>
      <c r="F53" s="36"/>
      <c r="G53" s="36"/>
      <c r="H53" s="36"/>
      <c r="I53" s="36"/>
      <c r="J53" s="62"/>
      <c r="L53" s="105"/>
      <c r="M53" s="105"/>
    </row>
    <row r="54" spans="1:22" x14ac:dyDescent="0.25">
      <c r="B54" s="59"/>
      <c r="C54" s="59"/>
      <c r="D54" s="421" t="s">
        <v>345</v>
      </c>
      <c r="E54" s="422">
        <f>C35</f>
        <v>3587.3990024393638</v>
      </c>
      <c r="F54" s="36"/>
      <c r="G54" s="36"/>
      <c r="H54" s="36"/>
      <c r="I54" s="36"/>
      <c r="J54" s="62"/>
      <c r="L54" s="105"/>
      <c r="M54" s="105"/>
      <c r="N54" s="190"/>
      <c r="O54" s="190"/>
      <c r="P54" s="190"/>
    </row>
    <row r="55" spans="1:22" x14ac:dyDescent="0.25">
      <c r="A55" s="13"/>
      <c r="B55" s="59"/>
      <c r="C55" s="59"/>
      <c r="D55" s="421" t="s">
        <v>346</v>
      </c>
      <c r="E55" s="422">
        <f>G36</f>
        <v>3158.8072316347798</v>
      </c>
      <c r="F55" s="36"/>
      <c r="G55" s="36"/>
      <c r="H55" s="36"/>
      <c r="I55" s="36"/>
      <c r="L55" s="105"/>
      <c r="M55" s="105"/>
      <c r="N55" s="190"/>
      <c r="O55" s="190"/>
      <c r="P55" s="190"/>
    </row>
    <row r="56" spans="1:22" x14ac:dyDescent="0.25">
      <c r="B56" s="59"/>
      <c r="C56" s="59"/>
      <c r="D56" s="421" t="s">
        <v>347</v>
      </c>
      <c r="E56" s="422">
        <f>H36</f>
        <v>21.822962185132919</v>
      </c>
      <c r="F56" s="36"/>
      <c r="G56" s="36"/>
      <c r="H56" s="36"/>
      <c r="I56" s="36"/>
      <c r="L56" s="105"/>
      <c r="M56" s="105"/>
      <c r="N56" s="190"/>
      <c r="O56" s="190"/>
      <c r="P56" s="190"/>
    </row>
    <row r="57" spans="1:22" x14ac:dyDescent="0.25">
      <c r="B57" s="59"/>
      <c r="C57" s="59"/>
      <c r="D57" s="423" t="s">
        <v>348</v>
      </c>
      <c r="E57" s="424">
        <f>I36</f>
        <v>70.499318927586856</v>
      </c>
      <c r="F57" s="36"/>
      <c r="G57" s="36"/>
      <c r="H57" s="36"/>
      <c r="I57" s="36"/>
      <c r="J57" s="105"/>
      <c r="K57" s="105"/>
      <c r="L57" s="105"/>
      <c r="M57" s="105"/>
    </row>
    <row r="58" spans="1:22" x14ac:dyDescent="0.25">
      <c r="B58" s="59"/>
      <c r="C58" s="59"/>
      <c r="D58" s="59"/>
      <c r="E58" s="59"/>
      <c r="F58" s="36"/>
      <c r="G58" s="36"/>
      <c r="H58" s="36"/>
      <c r="I58" s="36"/>
      <c r="K58" s="105"/>
      <c r="L58" s="105"/>
      <c r="M58" s="105"/>
    </row>
    <row r="59" spans="1:22" x14ac:dyDescent="0.25">
      <c r="B59" s="59"/>
      <c r="C59" s="59"/>
      <c r="D59" s="59"/>
      <c r="E59" s="59"/>
      <c r="F59" s="36"/>
      <c r="G59" s="36"/>
      <c r="H59" s="36"/>
      <c r="I59" s="36"/>
      <c r="J59" s="36"/>
      <c r="L59" s="105"/>
      <c r="M59" s="105"/>
    </row>
    <row r="60" spans="1:22" x14ac:dyDescent="0.25">
      <c r="B60" s="59"/>
      <c r="C60" s="59"/>
      <c r="D60" s="59"/>
      <c r="E60" s="59"/>
      <c r="F60" s="36"/>
      <c r="G60" s="36"/>
      <c r="H60" s="36"/>
      <c r="I60" s="36"/>
      <c r="J60" s="36"/>
    </row>
    <row r="61" spans="1:22" x14ac:dyDescent="0.25">
      <c r="B61" s="59"/>
      <c r="C61" s="59"/>
      <c r="D61" s="59"/>
      <c r="E61" s="59"/>
      <c r="F61" s="36"/>
      <c r="G61" s="36"/>
      <c r="H61" s="36"/>
      <c r="I61" s="36"/>
      <c r="J61" s="36"/>
      <c r="K61" s="36"/>
    </row>
    <row r="62" spans="1:22" x14ac:dyDescent="0.25">
      <c r="B62" s="59"/>
      <c r="C62" s="59"/>
      <c r="D62" s="59"/>
      <c r="E62" s="59"/>
      <c r="F62" s="36"/>
      <c r="G62" s="36"/>
      <c r="H62" s="36"/>
      <c r="I62" s="36"/>
      <c r="J62" s="36"/>
      <c r="K62" s="36"/>
    </row>
    <row r="63" spans="1:22" x14ac:dyDescent="0.25">
      <c r="A63" s="13"/>
      <c r="B63" s="59"/>
      <c r="C63" s="59"/>
      <c r="D63" s="59"/>
      <c r="E63" s="59"/>
      <c r="F63" s="36"/>
      <c r="G63" s="36"/>
      <c r="H63" s="36"/>
      <c r="I63" s="36"/>
      <c r="J63" s="36"/>
      <c r="K63" s="36"/>
    </row>
    <row r="64" spans="1:22" x14ac:dyDescent="0.25">
      <c r="J64" s="36"/>
      <c r="K64" s="36"/>
    </row>
    <row r="65" spans="1:12" x14ac:dyDescent="0.25">
      <c r="F65" s="105"/>
      <c r="I65" s="105"/>
      <c r="J65" s="36"/>
      <c r="K65" s="36"/>
    </row>
    <row r="66" spans="1:12" x14ac:dyDescent="0.25">
      <c r="B66" s="105"/>
      <c r="C66" s="105"/>
      <c r="D66" s="105"/>
      <c r="E66" s="105"/>
      <c r="F66" s="105"/>
      <c r="I66" s="105"/>
      <c r="J66" s="36"/>
      <c r="K66" s="36"/>
    </row>
    <row r="67" spans="1:12" x14ac:dyDescent="0.25">
      <c r="J67" s="36"/>
      <c r="K67" s="36"/>
    </row>
    <row r="68" spans="1:12" x14ac:dyDescent="0.25">
      <c r="A68" s="13"/>
      <c r="B68" s="36"/>
      <c r="C68" s="36"/>
      <c r="D68" s="36"/>
      <c r="E68" s="36"/>
      <c r="F68" s="36"/>
      <c r="G68" s="36"/>
      <c r="H68" s="36"/>
      <c r="I68" s="36"/>
      <c r="J68" s="36"/>
      <c r="K68" s="36"/>
    </row>
    <row r="69" spans="1:12" x14ac:dyDescent="0.25">
      <c r="B69" s="36"/>
      <c r="C69" s="36"/>
      <c r="D69" s="36"/>
      <c r="E69" s="36"/>
      <c r="F69" s="36"/>
      <c r="G69" s="36"/>
      <c r="H69" s="36"/>
      <c r="J69" s="36"/>
      <c r="K69" s="36"/>
    </row>
    <row r="70" spans="1:12" x14ac:dyDescent="0.25">
      <c r="J70" s="36"/>
      <c r="K70" s="36"/>
    </row>
    <row r="71" spans="1:12" x14ac:dyDescent="0.25">
      <c r="A71" s="13"/>
      <c r="J71" s="36"/>
      <c r="K71" s="36"/>
    </row>
    <row r="72" spans="1:12" x14ac:dyDescent="0.25">
      <c r="J72" s="36"/>
      <c r="K72" s="36"/>
    </row>
    <row r="74" spans="1:12" x14ac:dyDescent="0.25">
      <c r="J74" s="105"/>
    </row>
    <row r="75" spans="1:12" x14ac:dyDescent="0.25">
      <c r="J75" s="105"/>
      <c r="L75" s="36"/>
    </row>
    <row r="77" spans="1:12" x14ac:dyDescent="0.25">
      <c r="J77" s="36"/>
      <c r="K77" s="36"/>
    </row>
  </sheetData>
  <mergeCells count="24">
    <mergeCell ref="C2:E2"/>
    <mergeCell ref="B43:M44"/>
    <mergeCell ref="F3:F4"/>
    <mergeCell ref="K3:K4"/>
    <mergeCell ref="G3:G4"/>
    <mergeCell ref="H3:H4"/>
    <mergeCell ref="I3:I4"/>
    <mergeCell ref="J3:J4"/>
    <mergeCell ref="B3:B4"/>
    <mergeCell ref="C3:C4"/>
    <mergeCell ref="D3:D4"/>
    <mergeCell ref="E3:E4"/>
    <mergeCell ref="B38:M41"/>
    <mergeCell ref="O2:P2"/>
    <mergeCell ref="F2:N2"/>
    <mergeCell ref="L3:L4"/>
    <mergeCell ref="M3:M4"/>
    <mergeCell ref="N3:N4"/>
    <mergeCell ref="P3:P4"/>
    <mergeCell ref="Y15:Z15"/>
    <mergeCell ref="AA15:AB15"/>
    <mergeCell ref="Y19:Z19"/>
    <mergeCell ref="AA19:AB19"/>
    <mergeCell ref="O3:O4"/>
  </mergeCells>
  <hyperlinks>
    <hyperlink ref="AO8" r:id="rId1" xr:uid="{19D84491-4571-46C4-BC8F-D148FCCB050C}"/>
    <hyperlink ref="AO25" r:id="rId2" xr:uid="{38FAD483-B71F-4E28-8A2C-781253F244C5}"/>
  </hyperlinks>
  <pageMargins left="0.25" right="0.25" top="0.75" bottom="0.75" header="0.3" footer="0.3"/>
  <pageSetup paperSize="3" scale="26"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442D0-9A3A-4DD4-814B-F857395D9C21}">
  <sheetPr>
    <tabColor rgb="FFC00000"/>
    <pageSetUpPr fitToPage="1"/>
  </sheetPr>
  <dimension ref="A1:G61"/>
  <sheetViews>
    <sheetView view="pageBreakPreview" topLeftCell="A14" zoomScale="85" zoomScaleNormal="85" zoomScaleSheetLayoutView="85" workbookViewId="0">
      <selection activeCell="E35" sqref="E35"/>
    </sheetView>
  </sheetViews>
  <sheetFormatPr defaultRowHeight="15" x14ac:dyDescent="0.25"/>
  <cols>
    <col min="2" max="3" width="15.7109375" customWidth="1"/>
    <col min="4" max="5" width="15.5703125" customWidth="1"/>
    <col min="6" max="7" width="23.5703125" customWidth="1"/>
    <col min="8" max="9" width="22.7109375" customWidth="1"/>
  </cols>
  <sheetData>
    <row r="1" spans="2:7" x14ac:dyDescent="0.25">
      <c r="B1" s="21">
        <v>1</v>
      </c>
      <c r="C1" s="21">
        <v>3</v>
      </c>
      <c r="D1" s="21">
        <v>1</v>
      </c>
    </row>
    <row r="2" spans="2:7" ht="15.75" thickBot="1" x14ac:dyDescent="0.3">
      <c r="B2" s="12" t="s">
        <v>29</v>
      </c>
    </row>
    <row r="3" spans="2:7" ht="22.5" customHeight="1" x14ac:dyDescent="0.25">
      <c r="B3" s="494" t="s">
        <v>0</v>
      </c>
      <c r="C3" s="485" t="s">
        <v>119</v>
      </c>
      <c r="D3" s="485" t="s">
        <v>86</v>
      </c>
      <c r="E3" s="189"/>
    </row>
    <row r="4" spans="2:7" ht="22.5" customHeight="1" thickBot="1" x14ac:dyDescent="0.3">
      <c r="B4" s="495"/>
      <c r="C4" s="486"/>
      <c r="D4" s="486"/>
      <c r="E4" s="189"/>
    </row>
    <row r="5" spans="2:7" ht="15.75" customHeight="1" x14ac:dyDescent="0.25">
      <c r="B5" s="19">
        <f>Assumptions!$D$8</f>
        <v>2028</v>
      </c>
      <c r="C5" s="20">
        <f>$G$8</f>
        <v>21455</v>
      </c>
      <c r="D5" s="20">
        <f>C5*(1+0.07)^-($B5-Assumptions!$D$4)</f>
        <v>12487.005338442899</v>
      </c>
    </row>
    <row r="6" spans="2:7" ht="15.75" customHeight="1" x14ac:dyDescent="0.25">
      <c r="B6" s="45">
        <f>B5+1</f>
        <v>2029</v>
      </c>
      <c r="C6" s="220">
        <f t="shared" ref="C6:C34" si="0">$G$8</f>
        <v>21455</v>
      </c>
      <c r="D6" s="220">
        <f>C6*(1+0.07)^-($B6-Assumptions!$D$4)</f>
        <v>11670.098447142896</v>
      </c>
      <c r="F6" s="12" t="s">
        <v>247</v>
      </c>
    </row>
    <row r="7" spans="2:7" ht="15.75" customHeight="1" x14ac:dyDescent="0.25">
      <c r="B7" s="2">
        <f>+B6+1</f>
        <v>2030</v>
      </c>
      <c r="C7" s="9">
        <f t="shared" si="0"/>
        <v>21455</v>
      </c>
      <c r="D7" s="9">
        <f>C7*(1+0.07)^-($B7-Assumptions!$D$4)</f>
        <v>10906.634062750371</v>
      </c>
      <c r="F7" s="35"/>
      <c r="G7" s="58" t="s">
        <v>248</v>
      </c>
    </row>
    <row r="8" spans="2:7" ht="15.75" customHeight="1" x14ac:dyDescent="0.25">
      <c r="B8" s="2">
        <f t="shared" ref="B8:B34" si="1">+B7+1</f>
        <v>2031</v>
      </c>
      <c r="C8" s="9">
        <f t="shared" si="0"/>
        <v>21455</v>
      </c>
      <c r="D8" s="9">
        <f>C8*(1+0.07)^-($B8-Assumptions!$D$4)</f>
        <v>10193.115946495673</v>
      </c>
      <c r="F8" s="35" t="s">
        <v>7</v>
      </c>
      <c r="G8" s="352">
        <v>21455</v>
      </c>
    </row>
    <row r="9" spans="2:7" ht="15.75" customHeight="1" x14ac:dyDescent="0.25">
      <c r="B9" s="2">
        <f t="shared" si="1"/>
        <v>2032</v>
      </c>
      <c r="C9" s="9">
        <f t="shared" si="0"/>
        <v>21455</v>
      </c>
      <c r="D9" s="9">
        <f>C9*(1+0.07)^-($B9-Assumptions!$D$4)</f>
        <v>9526.2765855099751</v>
      </c>
    </row>
    <row r="10" spans="2:7" ht="15.75" customHeight="1" x14ac:dyDescent="0.25">
      <c r="B10" s="2">
        <f t="shared" si="1"/>
        <v>2033</v>
      </c>
      <c r="C10" s="9">
        <f t="shared" si="0"/>
        <v>21455</v>
      </c>
      <c r="D10" s="9">
        <f>C10*(1+0.07)^-($B10-Assumptions!$D$4)</f>
        <v>8903.0622294485747</v>
      </c>
    </row>
    <row r="11" spans="2:7" ht="15.75" customHeight="1" x14ac:dyDescent="0.25">
      <c r="B11" s="2">
        <f t="shared" si="1"/>
        <v>2034</v>
      </c>
      <c r="C11" s="9">
        <f t="shared" si="0"/>
        <v>21455</v>
      </c>
      <c r="D11" s="9">
        <f>C11*(1+0.07)^-($B11-Assumptions!$D$4)</f>
        <v>8320.6189060267061</v>
      </c>
    </row>
    <row r="12" spans="2:7" ht="15.75" customHeight="1" x14ac:dyDescent="0.25">
      <c r="B12" s="2">
        <f t="shared" si="1"/>
        <v>2035</v>
      </c>
      <c r="C12" s="9">
        <f t="shared" si="0"/>
        <v>21455</v>
      </c>
      <c r="D12" s="9">
        <f>C12*(1+0.07)^-($B12-Assumptions!$D$4)</f>
        <v>7776.2793514268269</v>
      </c>
      <c r="G12" s="306"/>
    </row>
    <row r="13" spans="2:7" ht="15.75" customHeight="1" x14ac:dyDescent="0.25">
      <c r="B13" s="2">
        <f t="shared" si="1"/>
        <v>2036</v>
      </c>
      <c r="C13" s="9">
        <f t="shared" si="0"/>
        <v>21455</v>
      </c>
      <c r="D13" s="9">
        <f>C13*(1+0.07)^-($B13-Assumptions!$D$4)</f>
        <v>7267.550795726007</v>
      </c>
    </row>
    <row r="14" spans="2:7" ht="15.75" customHeight="1" x14ac:dyDescent="0.25">
      <c r="B14" s="2">
        <f t="shared" si="1"/>
        <v>2037</v>
      </c>
      <c r="C14" s="9">
        <f t="shared" si="0"/>
        <v>21455</v>
      </c>
      <c r="D14" s="9">
        <f>C14*(1+0.07)^-($B14-Assumptions!$D$4)</f>
        <v>6792.1035474074843</v>
      </c>
    </row>
    <row r="15" spans="2:7" ht="15.75" customHeight="1" x14ac:dyDescent="0.25">
      <c r="B15" s="2">
        <f t="shared" si="1"/>
        <v>2038</v>
      </c>
      <c r="C15" s="9">
        <f t="shared" si="0"/>
        <v>21455</v>
      </c>
      <c r="D15" s="9">
        <f>C15*(1+0.07)^-($B15-Assumptions!$D$4)</f>
        <v>6347.7603246798908</v>
      </c>
    </row>
    <row r="16" spans="2:7" ht="15.75" customHeight="1" x14ac:dyDescent="0.25">
      <c r="B16" s="2">
        <f t="shared" si="1"/>
        <v>2039</v>
      </c>
      <c r="C16" s="9">
        <f t="shared" si="0"/>
        <v>21455</v>
      </c>
      <c r="D16" s="9">
        <f>C16*(1+0.07)^-($B16-Assumptions!$D$4)</f>
        <v>5932.4862847475615</v>
      </c>
    </row>
    <row r="17" spans="2:4" ht="15.75" customHeight="1" x14ac:dyDescent="0.25">
      <c r="B17" s="2">
        <f t="shared" si="1"/>
        <v>2040</v>
      </c>
      <c r="C17" s="9">
        <f t="shared" si="0"/>
        <v>21455</v>
      </c>
      <c r="D17" s="9">
        <f>C17*(1+0.07)^-($B17-Assumptions!$D$4)</f>
        <v>5544.3797053715534</v>
      </c>
    </row>
    <row r="18" spans="2:4" ht="15.75" customHeight="1" x14ac:dyDescent="0.25">
      <c r="B18" s="2">
        <f t="shared" si="1"/>
        <v>2041</v>
      </c>
      <c r="C18" s="9">
        <f t="shared" si="0"/>
        <v>21455</v>
      </c>
      <c r="D18" s="9">
        <f>C18*(1+0.07)^-($B18-Assumptions!$D$4)</f>
        <v>5181.6632760481807</v>
      </c>
    </row>
    <row r="19" spans="2:4" ht="15.75" customHeight="1" x14ac:dyDescent="0.25">
      <c r="B19" s="2">
        <f t="shared" si="1"/>
        <v>2042</v>
      </c>
      <c r="C19" s="9">
        <f t="shared" si="0"/>
        <v>21455</v>
      </c>
      <c r="D19" s="9">
        <f>C19*(1+0.07)^-($B19-Assumptions!$D$4)</f>
        <v>4842.6759589235335</v>
      </c>
    </row>
    <row r="20" spans="2:4" ht="15.75" customHeight="1" x14ac:dyDescent="0.25">
      <c r="B20" s="2">
        <f t="shared" si="1"/>
        <v>2043</v>
      </c>
      <c r="C20" s="9">
        <f t="shared" si="0"/>
        <v>21455</v>
      </c>
      <c r="D20" s="9">
        <f>C20*(1+0.07)^-($B20-Assumptions!$D$4)</f>
        <v>4525.8653821715261</v>
      </c>
    </row>
    <row r="21" spans="2:4" ht="15.75" customHeight="1" x14ac:dyDescent="0.25">
      <c r="B21" s="2">
        <f t="shared" si="1"/>
        <v>2044</v>
      </c>
      <c r="C21" s="9">
        <f t="shared" si="0"/>
        <v>21455</v>
      </c>
      <c r="D21" s="9">
        <f>C21*(1+0.07)^-($B21-Assumptions!$D$4)</f>
        <v>4229.7807310014259</v>
      </c>
    </row>
    <row r="22" spans="2:4" ht="15.75" customHeight="1" x14ac:dyDescent="0.25">
      <c r="B22" s="2">
        <f t="shared" si="1"/>
        <v>2045</v>
      </c>
      <c r="C22" s="9">
        <f t="shared" si="0"/>
        <v>21455</v>
      </c>
      <c r="D22" s="9">
        <f>C22*(1+0.07)^-($B22-Assumptions!$D$4)</f>
        <v>3953.0661037396499</v>
      </c>
    </row>
    <row r="23" spans="2:4" ht="15.75" customHeight="1" x14ac:dyDescent="0.25">
      <c r="B23" s="2">
        <f t="shared" si="1"/>
        <v>2046</v>
      </c>
      <c r="C23" s="9">
        <f t="shared" si="0"/>
        <v>21455</v>
      </c>
      <c r="D23" s="9">
        <f>C23*(1+0.07)^-($B23-Assumptions!$D$4)</f>
        <v>3694.4543025604212</v>
      </c>
    </row>
    <row r="24" spans="2:4" ht="15.75" customHeight="1" x14ac:dyDescent="0.25">
      <c r="B24" s="2">
        <f t="shared" si="1"/>
        <v>2047</v>
      </c>
      <c r="C24" s="9">
        <f t="shared" si="0"/>
        <v>21455</v>
      </c>
      <c r="D24" s="9">
        <f>C24*(1+0.07)^-($B24-Assumptions!$D$4)</f>
        <v>3452.7610304302993</v>
      </c>
    </row>
    <row r="25" spans="2:4" ht="15.75" customHeight="1" x14ac:dyDescent="0.25">
      <c r="B25" s="2">
        <f t="shared" si="1"/>
        <v>2048</v>
      </c>
      <c r="C25" s="9">
        <f t="shared" si="0"/>
        <v>21455</v>
      </c>
      <c r="D25" s="9">
        <f>C25*(1+0.07)^-($B25-Assumptions!$D$4)</f>
        <v>3226.8794676918692</v>
      </c>
    </row>
    <row r="26" spans="2:4" ht="15.75" customHeight="1" x14ac:dyDescent="0.25">
      <c r="B26" s="2">
        <f t="shared" si="1"/>
        <v>2049</v>
      </c>
      <c r="C26" s="9">
        <f t="shared" si="0"/>
        <v>21455</v>
      </c>
      <c r="D26" s="9">
        <f>C26*(1+0.07)^-($B26-Assumptions!$D$4)</f>
        <v>3015.7752034503451</v>
      </c>
    </row>
    <row r="27" spans="2:4" ht="15.75" customHeight="1" x14ac:dyDescent="0.25">
      <c r="B27" s="2">
        <f t="shared" si="1"/>
        <v>2050</v>
      </c>
      <c r="C27" s="9">
        <f t="shared" si="0"/>
        <v>21455</v>
      </c>
      <c r="D27" s="9">
        <f>C27*(1+0.07)^-($B27-Assumptions!$D$4)</f>
        <v>2818.4814985517246</v>
      </c>
    </row>
    <row r="28" spans="2:4" ht="15.75" customHeight="1" x14ac:dyDescent="0.25">
      <c r="B28" s="2">
        <f t="shared" si="1"/>
        <v>2051</v>
      </c>
      <c r="C28" s="9">
        <f t="shared" si="0"/>
        <v>21455</v>
      </c>
      <c r="D28" s="9">
        <f>C28*(1+0.07)^-($B28-Assumptions!$D$4)</f>
        <v>2634.0948584595549</v>
      </c>
    </row>
    <row r="29" spans="2:4" ht="15.75" customHeight="1" x14ac:dyDescent="0.25">
      <c r="B29" s="2">
        <f t="shared" si="1"/>
        <v>2052</v>
      </c>
      <c r="C29" s="9">
        <f t="shared" si="0"/>
        <v>21455</v>
      </c>
      <c r="D29" s="9">
        <f>C29*(1+0.07)^-($B29-Assumptions!$D$4)</f>
        <v>2461.7708957565937</v>
      </c>
    </row>
    <row r="30" spans="2:4" ht="15.75" customHeight="1" x14ac:dyDescent="0.25">
      <c r="B30" s="2">
        <f t="shared" si="1"/>
        <v>2053</v>
      </c>
      <c r="C30" s="9">
        <f t="shared" si="0"/>
        <v>21455</v>
      </c>
      <c r="D30" s="9">
        <f>C30*(1+0.07)^-($B30-Assumptions!$D$4)</f>
        <v>2300.7204633239194</v>
      </c>
    </row>
    <row r="31" spans="2:4" ht="15.75" customHeight="1" x14ac:dyDescent="0.25">
      <c r="B31" s="2">
        <f t="shared" si="1"/>
        <v>2054</v>
      </c>
      <c r="C31" s="9">
        <f t="shared" si="0"/>
        <v>21455</v>
      </c>
      <c r="D31" s="9">
        <f>C31*(1+0.07)^-($B31-Assumptions!$D$4)</f>
        <v>2150.2060404896442</v>
      </c>
    </row>
    <row r="32" spans="2:4" ht="15.75" customHeight="1" x14ac:dyDescent="0.25">
      <c r="B32" s="2">
        <f t="shared" si="1"/>
        <v>2055</v>
      </c>
      <c r="C32" s="9">
        <f t="shared" si="0"/>
        <v>21455</v>
      </c>
      <c r="D32" s="9">
        <f>C32*(1+0.07)^-($B32-Assumptions!$D$4)</f>
        <v>2009.538355597798</v>
      </c>
    </row>
    <row r="33" spans="1:4" ht="15.75" customHeight="1" x14ac:dyDescent="0.25">
      <c r="B33" s="2">
        <f t="shared" si="1"/>
        <v>2056</v>
      </c>
      <c r="C33" s="9">
        <f t="shared" si="0"/>
        <v>21455</v>
      </c>
      <c r="D33" s="9">
        <f>C33*(1+0.07)^-($B33-Assumptions!$D$4)</f>
        <v>1878.0732295306525</v>
      </c>
    </row>
    <row r="34" spans="1:4" ht="15.75" customHeight="1" thickBot="1" x14ac:dyDescent="0.3">
      <c r="B34" s="3">
        <f t="shared" si="1"/>
        <v>2057</v>
      </c>
      <c r="C34" s="10">
        <f t="shared" si="0"/>
        <v>21455</v>
      </c>
      <c r="D34" s="10">
        <f>C34*(1+0.07)^-($B34-Assumptions!$D$4)</f>
        <v>1755.2086257295819</v>
      </c>
    </row>
    <row r="35" spans="1:4" ht="15.75" customHeight="1" x14ac:dyDescent="0.25">
      <c r="B35" s="4"/>
      <c r="C35" s="11">
        <f>SUM(C5:C34)</f>
        <v>643650</v>
      </c>
      <c r="D35" s="6">
        <f>SUM(D5:D34)</f>
        <v>165798.38694863318</v>
      </c>
    </row>
    <row r="36" spans="1:4" ht="15.75" customHeight="1" x14ac:dyDescent="0.25">
      <c r="B36" s="4"/>
      <c r="C36" s="6"/>
      <c r="D36" s="102"/>
    </row>
    <row r="37" spans="1:4" ht="15.75" customHeight="1" x14ac:dyDescent="0.25"/>
    <row r="38" spans="1:4" ht="15.75" customHeight="1" x14ac:dyDescent="0.25">
      <c r="B38" s="12" t="s">
        <v>3</v>
      </c>
    </row>
    <row r="39" spans="1:4" ht="15.75" customHeight="1" x14ac:dyDescent="0.25">
      <c r="A39" s="13" t="s">
        <v>53</v>
      </c>
      <c r="B39" s="590" t="s">
        <v>406</v>
      </c>
      <c r="C39" s="590"/>
      <c r="D39" s="590"/>
    </row>
    <row r="40" spans="1:4" ht="15.75" customHeight="1" x14ac:dyDescent="0.25">
      <c r="B40" s="590"/>
      <c r="C40" s="590"/>
      <c r="D40" s="590"/>
    </row>
    <row r="41" spans="1:4" ht="15.75" customHeight="1" x14ac:dyDescent="0.25">
      <c r="B41" s="590"/>
      <c r="C41" s="590"/>
      <c r="D41" s="590"/>
    </row>
    <row r="42" spans="1:4" ht="15.75" customHeight="1" x14ac:dyDescent="0.25">
      <c r="B42" s="590"/>
      <c r="C42" s="590"/>
      <c r="D42" s="590"/>
    </row>
    <row r="43" spans="1:4" ht="15.75" customHeight="1" x14ac:dyDescent="0.25">
      <c r="A43" s="13"/>
      <c r="B43" s="590"/>
      <c r="C43" s="590"/>
      <c r="D43" s="590"/>
    </row>
    <row r="44" spans="1:4" ht="15.75" customHeight="1" x14ac:dyDescent="0.25">
      <c r="B44" s="590"/>
      <c r="C44" s="590"/>
      <c r="D44" s="590"/>
    </row>
    <row r="45" spans="1:4" ht="15.75" customHeight="1" x14ac:dyDescent="0.25">
      <c r="A45" s="13"/>
      <c r="B45" s="590"/>
      <c r="C45" s="590"/>
      <c r="D45" s="590"/>
    </row>
    <row r="46" spans="1:4" x14ac:dyDescent="0.25">
      <c r="B46" s="590"/>
      <c r="C46" s="590"/>
      <c r="D46" s="590"/>
    </row>
    <row r="47" spans="1:4" x14ac:dyDescent="0.25">
      <c r="B47" s="590"/>
      <c r="C47" s="590"/>
      <c r="D47" s="590"/>
    </row>
    <row r="48" spans="1:4" x14ac:dyDescent="0.25">
      <c r="B48" s="590"/>
      <c r="C48" s="590"/>
      <c r="D48" s="590"/>
    </row>
    <row r="49" spans="1:4" x14ac:dyDescent="0.25">
      <c r="B49" s="590"/>
      <c r="C49" s="590"/>
      <c r="D49" s="590"/>
    </row>
    <row r="50" spans="1:4" x14ac:dyDescent="0.25">
      <c r="B50" s="36"/>
      <c r="C50" s="36"/>
    </row>
    <row r="51" spans="1:4" ht="15" customHeight="1" x14ac:dyDescent="0.25">
      <c r="B51" s="36"/>
      <c r="C51" s="36"/>
    </row>
    <row r="55" spans="1:4" x14ac:dyDescent="0.25">
      <c r="A55" s="13"/>
    </row>
    <row r="57" spans="1:4" ht="15" customHeight="1" x14ac:dyDescent="0.25"/>
    <row r="61" spans="1:4" x14ac:dyDescent="0.25">
      <c r="A61" s="13"/>
    </row>
  </sheetData>
  <mergeCells count="4">
    <mergeCell ref="D3:D4"/>
    <mergeCell ref="B3:B4"/>
    <mergeCell ref="C3:C4"/>
    <mergeCell ref="B39:D49"/>
  </mergeCells>
  <pageMargins left="0.25" right="0.25" top="0.75" bottom="0.75" header="0.3" footer="0.3"/>
  <pageSetup paperSize="3"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1447E-4568-464D-AE1B-323783893167}">
  <sheetPr>
    <tabColor rgb="FFC00000"/>
    <pageSetUpPr fitToPage="1"/>
  </sheetPr>
  <dimension ref="A1:W76"/>
  <sheetViews>
    <sheetView view="pageBreakPreview" topLeftCell="A3" zoomScale="85" zoomScaleNormal="85" zoomScaleSheetLayoutView="85" workbookViewId="0">
      <selection activeCell="F33" sqref="F33"/>
    </sheetView>
  </sheetViews>
  <sheetFormatPr defaultRowHeight="15" x14ac:dyDescent="0.25"/>
  <cols>
    <col min="2" max="5" width="15.7109375" customWidth="1"/>
    <col min="6" max="7" width="15.5703125" customWidth="1"/>
    <col min="8" max="8" width="12.5703125" customWidth="1"/>
    <col min="9" max="9" width="25.42578125" customWidth="1"/>
    <col min="10" max="10" width="20.28515625" bestFit="1" customWidth="1"/>
    <col min="11" max="11" width="22.5703125" bestFit="1" customWidth="1"/>
    <col min="12" max="13" width="22.7109375" customWidth="1"/>
    <col min="15" max="15" width="7.42578125" style="60" bestFit="1" customWidth="1"/>
    <col min="16" max="16" width="52.140625" style="60" bestFit="1" customWidth="1"/>
    <col min="17" max="18" width="9" style="60" customWidth="1"/>
    <col min="19" max="20" width="13.85546875" style="60" customWidth="1"/>
    <col min="21" max="21" width="40.42578125" bestFit="1" customWidth="1"/>
    <col min="22" max="22" width="13.7109375" bestFit="1" customWidth="1"/>
  </cols>
  <sheetData>
    <row r="1" spans="2:22" x14ac:dyDescent="0.25">
      <c r="C1">
        <v>2</v>
      </c>
    </row>
    <row r="2" spans="2:22" ht="15.75" thickBot="1" x14ac:dyDescent="0.3">
      <c r="B2" s="12" t="s">
        <v>29</v>
      </c>
    </row>
    <row r="3" spans="2:22" ht="22.5" customHeight="1" x14ac:dyDescent="0.25">
      <c r="B3" s="494" t="s">
        <v>0</v>
      </c>
      <c r="C3" s="547" t="s">
        <v>205</v>
      </c>
      <c r="D3" s="489" t="s">
        <v>1</v>
      </c>
      <c r="E3" s="547" t="s">
        <v>206</v>
      </c>
      <c r="F3" s="485" t="s">
        <v>86</v>
      </c>
      <c r="G3" s="189"/>
    </row>
    <row r="4" spans="2:22" ht="22.5" customHeight="1" thickBot="1" x14ac:dyDescent="0.3">
      <c r="B4" s="495"/>
      <c r="C4" s="548"/>
      <c r="D4" s="490"/>
      <c r="E4" s="548"/>
      <c r="F4" s="486"/>
      <c r="G4" s="189"/>
      <c r="I4" s="12" t="s">
        <v>39</v>
      </c>
    </row>
    <row r="5" spans="2:22" ht="15.75" customHeight="1" x14ac:dyDescent="0.25">
      <c r="B5" s="19">
        <f>Assumptions!D5</f>
        <v>2026</v>
      </c>
      <c r="C5" s="96">
        <f>$K$20*(_xlfn.XLOOKUP($B5,$I$6:$I$7,$J$6:$J$7)/$J$8)</f>
        <v>16350378.148148147</v>
      </c>
      <c r="D5" s="20">
        <f>C5*(1+0.07)^-($B5-Assumptions!$D$4)</f>
        <v>10894947.335477948</v>
      </c>
      <c r="E5" s="23" t="s">
        <v>27</v>
      </c>
      <c r="F5" s="20" t="str">
        <f>+E5</f>
        <v>N/A</v>
      </c>
      <c r="I5" s="332" t="s">
        <v>26</v>
      </c>
      <c r="J5" s="397">
        <f>Assumptions!D6</f>
        <v>2</v>
      </c>
      <c r="O5" s="268"/>
    </row>
    <row r="6" spans="2:22" ht="15.75" customHeight="1" thickBot="1" x14ac:dyDescent="0.3">
      <c r="B6" s="250">
        <f>B5+1</f>
        <v>2027</v>
      </c>
      <c r="C6" s="281">
        <f>$K$20*(_xlfn.XLOOKUP($B6,$I$6:$I$7,$J$6:$J$7)/$J$8)</f>
        <v>16350378.148148147</v>
      </c>
      <c r="D6" s="282">
        <f>C6*(1+0.07)^-($B6-Assumptions!$D$4)</f>
        <v>10182193.771474717</v>
      </c>
      <c r="E6" s="283" t="s">
        <v>27</v>
      </c>
      <c r="F6" s="282" t="str">
        <f t="shared" ref="F6:F35" si="0">+E6</f>
        <v>N/A</v>
      </c>
      <c r="I6" s="156">
        <f>Assumptions!$D$5</f>
        <v>2026</v>
      </c>
      <c r="J6" s="398">
        <v>12</v>
      </c>
      <c r="O6" s="539"/>
      <c r="P6" s="539"/>
      <c r="Q6" s="539"/>
      <c r="R6" s="539"/>
      <c r="S6" s="539"/>
      <c r="T6" s="539"/>
    </row>
    <row r="7" spans="2:22" ht="15.75" customHeight="1" x14ac:dyDescent="0.25">
      <c r="B7" s="1">
        <f>B6+1</f>
        <v>2028</v>
      </c>
      <c r="C7" s="96"/>
      <c r="D7" s="284">
        <f>C7*(1+0.07)^-($B7-Assumptions!$D$4)</f>
        <v>0</v>
      </c>
      <c r="E7" s="285" t="s">
        <v>27</v>
      </c>
      <c r="F7" s="284" t="str">
        <f t="shared" si="0"/>
        <v>N/A</v>
      </c>
      <c r="I7" s="156">
        <f>I6+1</f>
        <v>2027</v>
      </c>
      <c r="J7" s="398">
        <v>12</v>
      </c>
      <c r="O7" s="540"/>
      <c r="P7" s="541"/>
      <c r="Q7" s="541"/>
      <c r="R7" s="541"/>
      <c r="S7" s="541"/>
      <c r="T7" s="542"/>
    </row>
    <row r="8" spans="2:22" ht="15.75" customHeight="1" thickBot="1" x14ac:dyDescent="0.3">
      <c r="B8" s="45">
        <f>+B7+1</f>
        <v>2029</v>
      </c>
      <c r="C8" s="97"/>
      <c r="D8" s="220">
        <f>C8*(1+0.07)^-($B8-Assumptions!$D$4)</f>
        <v>0</v>
      </c>
      <c r="E8" s="221" t="s">
        <v>27</v>
      </c>
      <c r="F8" s="220" t="str">
        <f t="shared" si="0"/>
        <v>N/A</v>
      </c>
      <c r="I8" s="158" t="s">
        <v>132</v>
      </c>
      <c r="J8" s="399">
        <f>SUM(J6:J7)</f>
        <v>24</v>
      </c>
      <c r="O8" s="543" t="s">
        <v>189</v>
      </c>
      <c r="P8" s="544"/>
      <c r="Q8" s="269" t="s">
        <v>190</v>
      </c>
      <c r="R8" s="270" t="s">
        <v>191</v>
      </c>
      <c r="S8" s="270" t="s">
        <v>192</v>
      </c>
      <c r="T8" s="270" t="s">
        <v>193</v>
      </c>
      <c r="U8" s="365" t="s">
        <v>329</v>
      </c>
      <c r="V8" s="365" t="s">
        <v>330</v>
      </c>
    </row>
    <row r="9" spans="2:22" ht="15.75" customHeight="1" thickBot="1" x14ac:dyDescent="0.3">
      <c r="B9" s="2">
        <f t="shared" ref="B9:B27" si="1">+B8+1</f>
        <v>2030</v>
      </c>
      <c r="C9" s="7"/>
      <c r="D9" s="9">
        <f>C9*(1+0.07)^-($B9-Assumptions!$D$4)</f>
        <v>0</v>
      </c>
      <c r="E9" s="7" t="s">
        <v>27</v>
      </c>
      <c r="F9" s="9" t="str">
        <f t="shared" ref="F9:F10" si="2">+E9</f>
        <v>N/A</v>
      </c>
      <c r="J9" s="21"/>
      <c r="O9" s="528" t="s">
        <v>249</v>
      </c>
      <c r="P9" s="529"/>
      <c r="Q9" s="271"/>
      <c r="R9" s="271"/>
      <c r="S9" s="271"/>
      <c r="T9" s="328"/>
    </row>
    <row r="10" spans="2:22" ht="15.75" customHeight="1" x14ac:dyDescent="0.25">
      <c r="B10" s="2">
        <f t="shared" si="1"/>
        <v>2031</v>
      </c>
      <c r="C10" s="7"/>
      <c r="D10" s="9">
        <f>C10*(1+0.07)^-($B10-Assumptions!$D$4)</f>
        <v>0</v>
      </c>
      <c r="E10" s="7" t="s">
        <v>27</v>
      </c>
      <c r="F10" s="9" t="str">
        <f t="shared" si="2"/>
        <v>N/A</v>
      </c>
      <c r="I10" s="167" t="s">
        <v>40</v>
      </c>
      <c r="J10" s="168"/>
      <c r="K10" s="169"/>
      <c r="N10">
        <v>3</v>
      </c>
      <c r="O10" s="271" t="s">
        <v>250</v>
      </c>
      <c r="P10" s="272" t="s">
        <v>251</v>
      </c>
      <c r="Q10" s="273" t="s">
        <v>252</v>
      </c>
      <c r="R10" s="274">
        <v>29400</v>
      </c>
      <c r="S10" s="331">
        <v>11</v>
      </c>
      <c r="T10" s="293">
        <v>323400</v>
      </c>
      <c r="U10" s="120">
        <f>(T10/$T$57)*$T$61</f>
        <v>48529.862039723288</v>
      </c>
      <c r="V10" s="83">
        <f>U10+T10</f>
        <v>371929.86203972332</v>
      </c>
    </row>
    <row r="11" spans="2:22" ht="15.75" customHeight="1" x14ac:dyDescent="0.25">
      <c r="B11" s="2">
        <f t="shared" si="1"/>
        <v>2032</v>
      </c>
      <c r="C11" s="7"/>
      <c r="D11" s="9">
        <f>C11*(1+0.07)^-($B11-Assumptions!$D$4)</f>
        <v>0</v>
      </c>
      <c r="E11" s="7" t="s">
        <v>27</v>
      </c>
      <c r="F11" s="9" t="str">
        <f t="shared" ref="F11:F20" si="3">+E11</f>
        <v>N/A</v>
      </c>
      <c r="I11" s="162"/>
      <c r="J11" s="48"/>
      <c r="K11" s="98" t="s">
        <v>4</v>
      </c>
      <c r="N11">
        <v>3</v>
      </c>
      <c r="O11" s="271" t="s">
        <v>253</v>
      </c>
      <c r="P11" s="272" t="s">
        <v>254</v>
      </c>
      <c r="Q11" s="273" t="s">
        <v>252</v>
      </c>
      <c r="R11" s="274">
        <v>342507.40740740742</v>
      </c>
      <c r="S11" s="331">
        <v>4</v>
      </c>
      <c r="T11" s="293">
        <v>1370029.6296296297</v>
      </c>
      <c r="U11" s="120">
        <f t="shared" ref="U11:U21" si="4">(T11/$T$57)*$T$61</f>
        <v>205588.58663036214</v>
      </c>
      <c r="V11" s="83">
        <f t="shared" ref="V11:V21" si="5">U11+T11</f>
        <v>1575618.2162599918</v>
      </c>
    </row>
    <row r="12" spans="2:22" ht="15.75" customHeight="1" x14ac:dyDescent="0.25">
      <c r="B12" s="2">
        <f t="shared" si="1"/>
        <v>2033</v>
      </c>
      <c r="C12" s="7"/>
      <c r="D12" s="9">
        <f>C12*(1+0.07)^-($B12-Assumptions!$D$4)</f>
        <v>0</v>
      </c>
      <c r="E12" s="7" t="s">
        <v>27</v>
      </c>
      <c r="F12" s="9" t="str">
        <f t="shared" si="3"/>
        <v>N/A</v>
      </c>
      <c r="I12" s="153"/>
      <c r="J12" s="49"/>
      <c r="K12" s="99" t="s">
        <v>5</v>
      </c>
      <c r="N12">
        <v>4</v>
      </c>
      <c r="O12" s="271" t="s">
        <v>255</v>
      </c>
      <c r="P12" s="272" t="s">
        <v>262</v>
      </c>
      <c r="Q12" s="273" t="s">
        <v>252</v>
      </c>
      <c r="R12" s="274">
        <v>42800</v>
      </c>
      <c r="S12" s="331">
        <v>13.5</v>
      </c>
      <c r="T12" s="293">
        <v>577800</v>
      </c>
      <c r="U12" s="120">
        <f t="shared" si="4"/>
        <v>86705.486352975</v>
      </c>
      <c r="V12" s="83">
        <f t="shared" si="5"/>
        <v>664505.48635297501</v>
      </c>
    </row>
    <row r="13" spans="2:22" ht="15.75" customHeight="1" x14ac:dyDescent="0.25">
      <c r="B13" s="2">
        <f t="shared" si="1"/>
        <v>2034</v>
      </c>
      <c r="C13" s="7"/>
      <c r="D13" s="9">
        <f>C13*(1+0.07)^-($B13-Assumptions!$D$4)</f>
        <v>0</v>
      </c>
      <c r="E13" s="7" t="s">
        <v>27</v>
      </c>
      <c r="F13" s="9" t="str">
        <f t="shared" si="3"/>
        <v>N/A</v>
      </c>
      <c r="I13" s="154" t="s">
        <v>6</v>
      </c>
      <c r="J13" s="50" t="s">
        <v>45</v>
      </c>
      <c r="K13" s="50" t="s">
        <v>11</v>
      </c>
      <c r="N13">
        <v>5</v>
      </c>
      <c r="O13" s="271" t="s">
        <v>256</v>
      </c>
      <c r="P13" s="272" t="s">
        <v>263</v>
      </c>
      <c r="Q13" s="273" t="s">
        <v>269</v>
      </c>
      <c r="R13" s="274">
        <v>23949</v>
      </c>
      <c r="S13" s="331">
        <v>40</v>
      </c>
      <c r="T13" s="293">
        <v>957960</v>
      </c>
      <c r="U13" s="120">
        <f t="shared" si="4"/>
        <v>143752.83438334361</v>
      </c>
      <c r="V13" s="83">
        <f t="shared" si="5"/>
        <v>1101712.8343833436</v>
      </c>
    </row>
    <row r="14" spans="2:22" ht="15.75" customHeight="1" x14ac:dyDescent="0.25">
      <c r="B14" s="2">
        <f t="shared" si="1"/>
        <v>2035</v>
      </c>
      <c r="C14" s="7"/>
      <c r="D14" s="9">
        <f>C14*(1+0.07)^-($B14-Assumptions!$D$4)</f>
        <v>0</v>
      </c>
      <c r="E14" s="7" t="s">
        <v>27</v>
      </c>
      <c r="F14" s="9" t="str">
        <f t="shared" si="3"/>
        <v>N/A</v>
      </c>
      <c r="H14">
        <v>1</v>
      </c>
      <c r="I14" s="385" t="s">
        <v>59</v>
      </c>
      <c r="J14" s="400">
        <v>100</v>
      </c>
      <c r="K14" s="14">
        <f>SUMIF($N:$N,$H14,$V:$V)</f>
        <v>0</v>
      </c>
      <c r="M14" s="244"/>
      <c r="N14">
        <v>5</v>
      </c>
      <c r="O14" s="271" t="s">
        <v>257</v>
      </c>
      <c r="P14" s="272" t="s">
        <v>264</v>
      </c>
      <c r="Q14" s="273" t="s">
        <v>269</v>
      </c>
      <c r="R14" s="274">
        <v>9449</v>
      </c>
      <c r="S14" s="331">
        <v>35</v>
      </c>
      <c r="T14" s="293">
        <v>330715</v>
      </c>
      <c r="U14" s="120">
        <f t="shared" si="4"/>
        <v>49627.5613001456</v>
      </c>
      <c r="V14" s="83">
        <f t="shared" si="5"/>
        <v>380342.56130014558</v>
      </c>
    </row>
    <row r="15" spans="2:22" ht="15.75" customHeight="1" x14ac:dyDescent="0.25">
      <c r="B15" s="2">
        <f t="shared" si="1"/>
        <v>2036</v>
      </c>
      <c r="C15" s="7"/>
      <c r="D15" s="9">
        <f>C15*(1+0.07)^-($B15-Assumptions!$D$4)</f>
        <v>0</v>
      </c>
      <c r="E15" s="7" t="s">
        <v>27</v>
      </c>
      <c r="F15" s="9" t="str">
        <f t="shared" si="3"/>
        <v>N/A</v>
      </c>
      <c r="H15">
        <v>2</v>
      </c>
      <c r="I15" s="385" t="s">
        <v>60</v>
      </c>
      <c r="J15" s="401">
        <v>60</v>
      </c>
      <c r="K15" s="14">
        <f>SUMIF($N:$N,$H15,$V:$V)</f>
        <v>12728045.961365733</v>
      </c>
      <c r="M15" s="83"/>
      <c r="N15">
        <v>5</v>
      </c>
      <c r="O15" s="271" t="s">
        <v>258</v>
      </c>
      <c r="P15" s="272" t="s">
        <v>265</v>
      </c>
      <c r="Q15" s="273" t="s">
        <v>269</v>
      </c>
      <c r="R15" s="274">
        <v>6663</v>
      </c>
      <c r="S15" s="331">
        <v>40</v>
      </c>
      <c r="T15" s="293">
        <v>266520</v>
      </c>
      <c r="U15" s="120">
        <f t="shared" si="4"/>
        <v>39994.368679118896</v>
      </c>
      <c r="V15" s="83">
        <f t="shared" si="5"/>
        <v>306514.36867911892</v>
      </c>
    </row>
    <row r="16" spans="2:22" ht="15.75" customHeight="1" x14ac:dyDescent="0.25">
      <c r="B16" s="2">
        <f t="shared" si="1"/>
        <v>2037</v>
      </c>
      <c r="C16" s="7"/>
      <c r="D16" s="9">
        <f>C16*(1+0.07)^-($B16-Assumptions!$D$4)</f>
        <v>0</v>
      </c>
      <c r="E16" s="7" t="s">
        <v>27</v>
      </c>
      <c r="F16" s="9" t="str">
        <f t="shared" si="3"/>
        <v>N/A</v>
      </c>
      <c r="H16">
        <v>3</v>
      </c>
      <c r="I16" s="385" t="s">
        <v>61</v>
      </c>
      <c r="J16" s="401">
        <v>50</v>
      </c>
      <c r="K16" s="14">
        <f>SUMIF($N:$N,$H16,$V:$V)</f>
        <v>2727289.7185685225</v>
      </c>
      <c r="M16" s="83"/>
      <c r="N16">
        <v>5</v>
      </c>
      <c r="O16" s="271" t="s">
        <v>259</v>
      </c>
      <c r="P16" s="272" t="s">
        <v>266</v>
      </c>
      <c r="Q16" s="273" t="s">
        <v>269</v>
      </c>
      <c r="R16" s="274">
        <v>481</v>
      </c>
      <c r="S16" s="331">
        <v>35</v>
      </c>
      <c r="T16" s="293">
        <v>16835</v>
      </c>
      <c r="U16" s="120">
        <f t="shared" si="4"/>
        <v>2526.2839438427382</v>
      </c>
      <c r="V16" s="83">
        <f t="shared" si="5"/>
        <v>19361.28394384274</v>
      </c>
    </row>
    <row r="17" spans="2:22" ht="15.75" customHeight="1" x14ac:dyDescent="0.25">
      <c r="B17" s="2">
        <f t="shared" si="1"/>
        <v>2038</v>
      </c>
      <c r="C17" s="7"/>
      <c r="D17" s="9">
        <f>C17*(1+0.07)^-($B17-Assumptions!$D$4)</f>
        <v>0</v>
      </c>
      <c r="E17" s="7" t="s">
        <v>27</v>
      </c>
      <c r="F17" s="9" t="str">
        <f t="shared" si="3"/>
        <v>N/A</v>
      </c>
      <c r="H17">
        <v>4</v>
      </c>
      <c r="I17" s="385" t="s">
        <v>62</v>
      </c>
      <c r="J17" s="401">
        <v>40</v>
      </c>
      <c r="K17" s="14">
        <f>SUMIF($N:$N,$H17,$V:$V)</f>
        <v>664505.48635297501</v>
      </c>
      <c r="M17" s="83"/>
      <c r="N17">
        <v>5</v>
      </c>
      <c r="O17" s="271" t="s">
        <v>260</v>
      </c>
      <c r="P17" s="272" t="s">
        <v>267</v>
      </c>
      <c r="Q17" s="273" t="s">
        <v>269</v>
      </c>
      <c r="R17" s="276">
        <v>2566</v>
      </c>
      <c r="S17" s="331">
        <v>30</v>
      </c>
      <c r="T17" s="293">
        <v>76980</v>
      </c>
      <c r="U17" s="120">
        <f t="shared" si="4"/>
        <v>11551.727828750461</v>
      </c>
      <c r="V17" s="83">
        <f t="shared" si="5"/>
        <v>88531.72782875046</v>
      </c>
    </row>
    <row r="18" spans="2:22" ht="15.75" customHeight="1" x14ac:dyDescent="0.25">
      <c r="B18" s="2">
        <f t="shared" si="1"/>
        <v>2039</v>
      </c>
      <c r="C18" s="7"/>
      <c r="D18" s="9">
        <f>C18*(1+0.07)^-($B18-Assumptions!$D$4)</f>
        <v>0</v>
      </c>
      <c r="E18" s="7" t="s">
        <v>27</v>
      </c>
      <c r="F18" s="9" t="str">
        <f t="shared" si="3"/>
        <v>N/A</v>
      </c>
      <c r="H18">
        <v>5</v>
      </c>
      <c r="I18" s="385" t="s">
        <v>63</v>
      </c>
      <c r="J18" s="401">
        <v>25</v>
      </c>
      <c r="K18" s="14">
        <f>SUMIF($N:$N,$H18,$V:$V)</f>
        <v>5162915.1300090635</v>
      </c>
      <c r="M18" s="83"/>
      <c r="N18">
        <v>5</v>
      </c>
      <c r="O18" s="271" t="s">
        <v>261</v>
      </c>
      <c r="P18" s="272" t="s">
        <v>268</v>
      </c>
      <c r="Q18" s="273" t="s">
        <v>269</v>
      </c>
      <c r="R18" s="276">
        <v>444</v>
      </c>
      <c r="S18" s="331">
        <v>25</v>
      </c>
      <c r="T18" s="293">
        <v>11100</v>
      </c>
      <c r="U18" s="120">
        <f t="shared" si="4"/>
        <v>1665.6817212149924</v>
      </c>
      <c r="V18" s="83">
        <f t="shared" si="5"/>
        <v>12765.681721214993</v>
      </c>
    </row>
    <row r="19" spans="2:22" ht="15.75" customHeight="1" x14ac:dyDescent="0.25">
      <c r="B19" s="2">
        <f t="shared" si="1"/>
        <v>2040</v>
      </c>
      <c r="C19" s="7"/>
      <c r="D19" s="9">
        <f>C19*(1+0.07)^-($B19-Assumptions!$D$4)</f>
        <v>0</v>
      </c>
      <c r="E19" s="7" t="s">
        <v>27</v>
      </c>
      <c r="F19" s="9" t="str">
        <f t="shared" si="3"/>
        <v>N/A</v>
      </c>
      <c r="H19">
        <v>6</v>
      </c>
      <c r="I19" s="385" t="s">
        <v>64</v>
      </c>
      <c r="J19" s="402">
        <v>0</v>
      </c>
      <c r="K19" s="403">
        <f>SUMIF($N:$N,$H19,$V:$V)</f>
        <v>11418000</v>
      </c>
      <c r="M19" s="83"/>
      <c r="N19">
        <v>5</v>
      </c>
      <c r="O19" s="271" t="s">
        <v>270</v>
      </c>
      <c r="P19" s="272" t="s">
        <v>271</v>
      </c>
      <c r="Q19" s="273" t="s">
        <v>269</v>
      </c>
      <c r="R19" s="274">
        <v>16317.222222222221</v>
      </c>
      <c r="S19" s="330">
        <v>75</v>
      </c>
      <c r="T19" s="293">
        <v>1223791.6666666665</v>
      </c>
      <c r="U19" s="120">
        <f t="shared" si="4"/>
        <v>183643.9107875583</v>
      </c>
      <c r="V19" s="83">
        <f t="shared" si="5"/>
        <v>1407435.5774542247</v>
      </c>
    </row>
    <row r="20" spans="2:22" ht="15.75" customHeight="1" thickBot="1" x14ac:dyDescent="0.3">
      <c r="B20" s="2">
        <f t="shared" si="1"/>
        <v>2041</v>
      </c>
      <c r="C20" s="7"/>
      <c r="D20" s="9">
        <f>C20*(1+0.07)^-($B20-Assumptions!$D$4)</f>
        <v>0</v>
      </c>
      <c r="E20" s="7" t="s">
        <v>27</v>
      </c>
      <c r="F20" s="9" t="str">
        <f t="shared" si="3"/>
        <v>N/A</v>
      </c>
      <c r="I20" s="404" t="s">
        <v>7</v>
      </c>
      <c r="J20" s="405"/>
      <c r="K20" s="166">
        <f>SUM(K14:K19)</f>
        <v>32700756.296296295</v>
      </c>
      <c r="M20" s="83"/>
      <c r="N20">
        <v>5</v>
      </c>
      <c r="O20" s="271" t="s">
        <v>272</v>
      </c>
      <c r="P20" s="272" t="s">
        <v>274</v>
      </c>
      <c r="Q20" s="273" t="s">
        <v>276</v>
      </c>
      <c r="R20" s="274">
        <v>12</v>
      </c>
      <c r="S20" s="330">
        <v>1800</v>
      </c>
      <c r="T20" s="293">
        <v>21600</v>
      </c>
      <c r="U20" s="120">
        <f t="shared" si="4"/>
        <v>3241.3265926345794</v>
      </c>
      <c r="V20" s="83">
        <f t="shared" si="5"/>
        <v>24841.326592634578</v>
      </c>
    </row>
    <row r="21" spans="2:22" ht="15.75" customHeight="1" thickBot="1" x14ac:dyDescent="0.3">
      <c r="B21" s="2">
        <f t="shared" si="1"/>
        <v>2042</v>
      </c>
      <c r="C21" s="7"/>
      <c r="D21" s="9">
        <f>C21*(1+0.07)^-($B21-Assumptions!$D$4)</f>
        <v>0</v>
      </c>
      <c r="E21" s="7" t="s">
        <v>27</v>
      </c>
      <c r="F21" s="9" t="str">
        <f t="shared" ref="F21:F27" si="6">+E21</f>
        <v>N/A</v>
      </c>
      <c r="I21" s="17"/>
      <c r="J21" s="38"/>
      <c r="K21" s="100"/>
      <c r="M21" s="83"/>
      <c r="N21">
        <v>5</v>
      </c>
      <c r="O21" s="271" t="s">
        <v>273</v>
      </c>
      <c r="P21" s="353" t="s">
        <v>275</v>
      </c>
      <c r="Q21" s="354" t="s">
        <v>277</v>
      </c>
      <c r="R21" s="383">
        <v>17470</v>
      </c>
      <c r="S21" s="356">
        <v>25</v>
      </c>
      <c r="T21" s="339">
        <v>436750</v>
      </c>
      <c r="U21" s="120">
        <f t="shared" si="4"/>
        <v>65539.323580238546</v>
      </c>
      <c r="V21" s="83">
        <f t="shared" si="5"/>
        <v>502289.32358023856</v>
      </c>
    </row>
    <row r="22" spans="2:22" ht="15.75" customHeight="1" thickBot="1" x14ac:dyDescent="0.3">
      <c r="B22" s="2">
        <f t="shared" si="1"/>
        <v>2043</v>
      </c>
      <c r="C22" s="7"/>
      <c r="D22" s="9">
        <f>C22*(1+0.07)^-($B22-Assumptions!$D$4)</f>
        <v>0</v>
      </c>
      <c r="E22" s="7" t="s">
        <v>27</v>
      </c>
      <c r="F22" s="9" t="str">
        <f t="shared" si="6"/>
        <v>N/A</v>
      </c>
      <c r="I22" s="160" t="s">
        <v>41</v>
      </c>
      <c r="J22" s="161"/>
      <c r="K22" s="545"/>
      <c r="L22" s="546"/>
      <c r="O22" s="325"/>
      <c r="P22" s="366" t="s">
        <v>194</v>
      </c>
      <c r="Q22" s="367"/>
      <c r="R22" s="367"/>
      <c r="S22" s="367"/>
      <c r="T22" s="368">
        <f>SUM(T10:T21)</f>
        <v>5613481.2962962966</v>
      </c>
      <c r="U22" s="366" t="s">
        <v>331</v>
      </c>
      <c r="V22" s="386">
        <f>SUM(V10:V21)</f>
        <v>6455848.250136205</v>
      </c>
    </row>
    <row r="23" spans="2:22" ht="15.75" customHeight="1" x14ac:dyDescent="0.25">
      <c r="B23" s="2">
        <f t="shared" si="1"/>
        <v>2044</v>
      </c>
      <c r="C23" s="7"/>
      <c r="D23" s="9">
        <f>C23*(1+0.07)^-($B23-Assumptions!$D$4)</f>
        <v>0</v>
      </c>
      <c r="E23" s="7" t="s">
        <v>27</v>
      </c>
      <c r="F23" s="9" t="str">
        <f t="shared" si="6"/>
        <v>N/A</v>
      </c>
      <c r="I23" s="162"/>
      <c r="J23" s="98"/>
      <c r="K23" s="98" t="s">
        <v>4</v>
      </c>
      <c r="L23" s="98" t="s">
        <v>8</v>
      </c>
      <c r="O23" s="271"/>
      <c r="P23" s="329"/>
      <c r="Q23" s="329"/>
      <c r="R23" s="329"/>
      <c r="S23" s="329"/>
      <c r="T23" s="69"/>
      <c r="U23" s="120"/>
    </row>
    <row r="24" spans="2:22" ht="15.75" customHeight="1" x14ac:dyDescent="0.25">
      <c r="B24" s="2">
        <f t="shared" si="1"/>
        <v>2045</v>
      </c>
      <c r="C24" s="7"/>
      <c r="D24" s="9">
        <f>C24*(1+0.07)^-($B24-Assumptions!$D$4)</f>
        <v>0</v>
      </c>
      <c r="E24" s="7" t="s">
        <v>27</v>
      </c>
      <c r="F24" s="9" t="str">
        <f t="shared" si="6"/>
        <v>N/A</v>
      </c>
      <c r="I24" s="153"/>
      <c r="J24" s="101" t="s">
        <v>207</v>
      </c>
      <c r="K24" s="99" t="s">
        <v>9</v>
      </c>
      <c r="L24" s="99" t="s">
        <v>10</v>
      </c>
      <c r="O24" s="528" t="s">
        <v>278</v>
      </c>
      <c r="P24" s="529"/>
      <c r="Q24" s="269" t="s">
        <v>190</v>
      </c>
      <c r="R24" s="270" t="s">
        <v>191</v>
      </c>
      <c r="S24" s="270" t="s">
        <v>192</v>
      </c>
      <c r="T24" s="270" t="s">
        <v>193</v>
      </c>
    </row>
    <row r="25" spans="2:22" ht="15.75" customHeight="1" x14ac:dyDescent="0.25">
      <c r="B25" s="2">
        <f t="shared" si="1"/>
        <v>2046</v>
      </c>
      <c r="C25" s="7"/>
      <c r="D25" s="9">
        <f>C25*(1+0.07)^-($B25-Assumptions!$D$4)</f>
        <v>0</v>
      </c>
      <c r="E25" s="7" t="s">
        <v>27</v>
      </c>
      <c r="F25" s="9" t="str">
        <f t="shared" si="6"/>
        <v>N/A</v>
      </c>
      <c r="I25" s="154" t="s">
        <v>6</v>
      </c>
      <c r="J25" s="53" t="s">
        <v>28</v>
      </c>
      <c r="K25" s="99" t="s">
        <v>11</v>
      </c>
      <c r="L25" s="99" t="s">
        <v>12</v>
      </c>
      <c r="N25">
        <v>3</v>
      </c>
      <c r="O25" s="271" t="s">
        <v>279</v>
      </c>
      <c r="P25" s="272" t="s">
        <v>280</v>
      </c>
      <c r="Q25" s="273"/>
      <c r="R25" s="274"/>
      <c r="S25" s="275"/>
      <c r="T25" s="293">
        <v>564000</v>
      </c>
      <c r="U25" s="120">
        <f t="shared" ref="U25:U26" si="7">(T25/$T$57)*$T$61</f>
        <v>84634.638807680691</v>
      </c>
      <c r="V25" s="83">
        <f t="shared" ref="V25:V26" si="8">U25+T25</f>
        <v>648634.63880768069</v>
      </c>
    </row>
    <row r="26" spans="2:22" ht="15.75" customHeight="1" thickBot="1" x14ac:dyDescent="0.3">
      <c r="B26" s="2">
        <f t="shared" si="1"/>
        <v>2047</v>
      </c>
      <c r="C26" s="7"/>
      <c r="D26" s="9">
        <f>C26*(1+0.07)^-($B26-Assumptions!$D$4)</f>
        <v>0</v>
      </c>
      <c r="E26" s="7" t="s">
        <v>27</v>
      </c>
      <c r="F26" s="9" t="str">
        <f t="shared" si="6"/>
        <v>N/A</v>
      </c>
      <c r="I26" s="406" t="str">
        <f>I14</f>
        <v>Right-of-Way</v>
      </c>
      <c r="J26" s="407">
        <v>0.99237091208782646</v>
      </c>
      <c r="K26" s="51">
        <f>K14</f>
        <v>0</v>
      </c>
      <c r="L26" s="14">
        <f t="shared" ref="L26:L31" si="9">K26*$J26</f>
        <v>0</v>
      </c>
      <c r="N26">
        <v>3</v>
      </c>
      <c r="O26" s="271" t="s">
        <v>281</v>
      </c>
      <c r="P26" s="353" t="s">
        <v>282</v>
      </c>
      <c r="Q26" s="354"/>
      <c r="R26" s="383"/>
      <c r="S26" s="384"/>
      <c r="T26" s="339">
        <v>114000</v>
      </c>
      <c r="U26" s="120">
        <f t="shared" si="7"/>
        <v>17107.001461126947</v>
      </c>
      <c r="V26" s="83">
        <f t="shared" si="8"/>
        <v>131107.00146112696</v>
      </c>
    </row>
    <row r="27" spans="2:22" ht="15.75" customHeight="1" thickBot="1" x14ac:dyDescent="0.3">
      <c r="B27" s="2">
        <f t="shared" si="1"/>
        <v>2048</v>
      </c>
      <c r="C27" s="7"/>
      <c r="D27" s="9">
        <f>C27*(1+0.07)^-($B27-Assumptions!$D$4)</f>
        <v>0</v>
      </c>
      <c r="E27" s="7" t="s">
        <v>27</v>
      </c>
      <c r="F27" s="9" t="str">
        <f t="shared" si="6"/>
        <v>N/A</v>
      </c>
      <c r="I27" s="406" t="str">
        <f t="shared" ref="I27:I31" si="10">I15</f>
        <v>Major Structures</v>
      </c>
      <c r="J27" s="408">
        <v>0.88388639269896585</v>
      </c>
      <c r="K27" s="15">
        <f t="shared" ref="K27:K31" si="11">K15</f>
        <v>12728045.961365733</v>
      </c>
      <c r="L27" s="16">
        <f t="shared" si="9"/>
        <v>11250146.630898198</v>
      </c>
      <c r="O27" s="325"/>
      <c r="P27" s="366" t="s">
        <v>194</v>
      </c>
      <c r="Q27" s="367"/>
      <c r="R27" s="367"/>
      <c r="S27" s="367"/>
      <c r="T27" s="363">
        <f>SUM(T25:T26)</f>
        <v>678000</v>
      </c>
      <c r="U27" s="366" t="s">
        <v>331</v>
      </c>
      <c r="V27" s="386">
        <f>SUM(V25:V26)</f>
        <v>779741.64026880765</v>
      </c>
    </row>
    <row r="28" spans="2:22" ht="15.75" customHeight="1" x14ac:dyDescent="0.25">
      <c r="B28" s="2">
        <f t="shared" ref="B28:B36" si="12">+B27+1</f>
        <v>2049</v>
      </c>
      <c r="C28" s="7"/>
      <c r="D28" s="9">
        <f>C28*(1+0.07)^-($B28-Assumptions!$D$4)</f>
        <v>0</v>
      </c>
      <c r="E28" s="7" t="s">
        <v>27</v>
      </c>
      <c r="F28" s="9" t="str">
        <f t="shared" si="0"/>
        <v>N/A</v>
      </c>
      <c r="I28" s="406" t="str">
        <f t="shared" si="10"/>
        <v>Grading and Drainage</v>
      </c>
      <c r="J28" s="408">
        <v>0.76764067825056037</v>
      </c>
      <c r="K28" s="15">
        <f t="shared" si="11"/>
        <v>2727289.7185685225</v>
      </c>
      <c r="L28" s="16">
        <f t="shared" si="9"/>
        <v>2093578.5293477206</v>
      </c>
      <c r="O28" s="537"/>
      <c r="P28" s="538"/>
      <c r="Q28" s="329"/>
      <c r="R28" s="329"/>
      <c r="S28" s="329"/>
      <c r="T28" s="69"/>
      <c r="U28" s="120"/>
    </row>
    <row r="29" spans="2:22" ht="15.75" customHeight="1" x14ac:dyDescent="0.25">
      <c r="B29" s="2">
        <f t="shared" si="12"/>
        <v>2050</v>
      </c>
      <c r="C29" s="7"/>
      <c r="D29" s="9">
        <f>C29*(1+0.07)^-($B29-Assumptions!$D$4)</f>
        <v>0</v>
      </c>
      <c r="E29" s="7" t="s">
        <v>27</v>
      </c>
      <c r="F29" s="9" t="str">
        <f t="shared" si="0"/>
        <v>N/A</v>
      </c>
      <c r="I29" s="406" t="str">
        <f t="shared" si="10"/>
        <v>Sub Base and Base</v>
      </c>
      <c r="J29" s="408">
        <v>0.52683280319393944</v>
      </c>
      <c r="K29" s="15">
        <f t="shared" si="11"/>
        <v>664505.48635297501</v>
      </c>
      <c r="L29" s="16">
        <f t="shared" si="9"/>
        <v>350083.28811308992</v>
      </c>
      <c r="O29" s="279"/>
      <c r="P29" s="280"/>
      <c r="Q29" s="280"/>
      <c r="R29" s="280"/>
      <c r="S29" s="280"/>
      <c r="T29" s="69"/>
    </row>
    <row r="30" spans="2:22" ht="15.75" customHeight="1" x14ac:dyDescent="0.25">
      <c r="B30" s="2">
        <f t="shared" si="12"/>
        <v>2051</v>
      </c>
      <c r="C30" s="7"/>
      <c r="D30" s="9">
        <f>C30*(1+0.07)^-($B30-Assumptions!$D$4)</f>
        <v>0</v>
      </c>
      <c r="E30" s="7" t="s">
        <v>27</v>
      </c>
      <c r="F30" s="9" t="str">
        <f t="shared" ref="F30:F34" si="13">+E30</f>
        <v>N/A</v>
      </c>
      <c r="I30" s="406" t="str">
        <f t="shared" si="10"/>
        <v>Surface</v>
      </c>
      <c r="J30" s="408">
        <v>0</v>
      </c>
      <c r="K30" s="15">
        <f t="shared" si="11"/>
        <v>5162915.1300090635</v>
      </c>
      <c r="L30" s="16">
        <f t="shared" si="9"/>
        <v>0</v>
      </c>
      <c r="O30" s="528" t="s">
        <v>283</v>
      </c>
      <c r="P30" s="529"/>
      <c r="Q30" s="269" t="s">
        <v>190</v>
      </c>
      <c r="R30" s="270" t="s">
        <v>191</v>
      </c>
      <c r="S30" s="270" t="s">
        <v>192</v>
      </c>
      <c r="T30" s="270" t="s">
        <v>193</v>
      </c>
    </row>
    <row r="31" spans="2:22" ht="15.75" customHeight="1" thickBot="1" x14ac:dyDescent="0.3">
      <c r="B31" s="2">
        <f t="shared" si="12"/>
        <v>2052</v>
      </c>
      <c r="C31" s="7"/>
      <c r="D31" s="9">
        <f>C31*(1+0.07)^-($B31-Assumptions!$D$4)</f>
        <v>0</v>
      </c>
      <c r="E31" s="7" t="s">
        <v>27</v>
      </c>
      <c r="F31" s="9" t="str">
        <f t="shared" si="13"/>
        <v>N/A</v>
      </c>
      <c r="I31" s="406" t="str">
        <f t="shared" si="10"/>
        <v>Miscellaneous (Sunk)</v>
      </c>
      <c r="J31" s="409">
        <f>'RCV Calculator'!M20</f>
        <v>0</v>
      </c>
      <c r="K31" s="52">
        <f t="shared" si="11"/>
        <v>11418000</v>
      </c>
      <c r="L31" s="18">
        <f t="shared" si="9"/>
        <v>0</v>
      </c>
      <c r="N31">
        <v>2</v>
      </c>
      <c r="O31" s="279" t="s">
        <v>284</v>
      </c>
      <c r="P31" s="380" t="s">
        <v>285</v>
      </c>
      <c r="Q31" s="381" t="s">
        <v>286</v>
      </c>
      <c r="R31" s="381">
        <v>46689</v>
      </c>
      <c r="S31" s="382">
        <v>225</v>
      </c>
      <c r="T31" s="339">
        <v>10505025</v>
      </c>
      <c r="U31" s="120">
        <f t="shared" ref="U31" si="14">(T31/$T$57)*$T$61</f>
        <v>1576398.9300366237</v>
      </c>
      <c r="V31" s="83">
        <f t="shared" ref="V31" si="15">U31+T31</f>
        <v>12081423.930036623</v>
      </c>
    </row>
    <row r="32" spans="2:22" ht="15.75" customHeight="1" thickBot="1" x14ac:dyDescent="0.3">
      <c r="B32" s="2">
        <f t="shared" si="12"/>
        <v>2053</v>
      </c>
      <c r="C32" s="7"/>
      <c r="D32" s="9">
        <f>C32*(1+0.07)^-($B32-Assumptions!$D$4)</f>
        <v>0</v>
      </c>
      <c r="E32" s="7" t="s">
        <v>27</v>
      </c>
      <c r="F32" s="9" t="str">
        <f t="shared" si="13"/>
        <v>N/A</v>
      </c>
      <c r="I32" s="163" t="s">
        <v>13</v>
      </c>
      <c r="J32" s="164"/>
      <c r="K32" s="165"/>
      <c r="L32" s="166">
        <f>SUM(L26:L31)</f>
        <v>13693808.448359007</v>
      </c>
      <c r="O32" s="325"/>
      <c r="P32" s="366" t="s">
        <v>194</v>
      </c>
      <c r="Q32" s="367"/>
      <c r="R32" s="367"/>
      <c r="S32" s="367"/>
      <c r="T32" s="368">
        <f>SUM(T31)</f>
        <v>10505025</v>
      </c>
      <c r="U32" s="366" t="s">
        <v>331</v>
      </c>
      <c r="V32" s="386">
        <f>SUM(V31)</f>
        <v>12081423.930036623</v>
      </c>
    </row>
    <row r="33" spans="1:22" ht="15.75" customHeight="1" x14ac:dyDescent="0.25">
      <c r="B33" s="2">
        <f t="shared" si="12"/>
        <v>2054</v>
      </c>
      <c r="C33" s="7"/>
      <c r="D33" s="9">
        <f>C33*(1+0.07)^-($B33-Assumptions!$D$4)</f>
        <v>0</v>
      </c>
      <c r="E33" s="7" t="s">
        <v>27</v>
      </c>
      <c r="F33" s="9" t="str">
        <f t="shared" si="13"/>
        <v>N/A</v>
      </c>
      <c r="O33" s="271"/>
      <c r="P33" s="329"/>
      <c r="Q33" s="329"/>
      <c r="R33" s="329"/>
      <c r="S33" s="329"/>
      <c r="T33" s="69"/>
    </row>
    <row r="34" spans="1:22" ht="15.75" customHeight="1" x14ac:dyDescent="0.25">
      <c r="B34" s="2">
        <f t="shared" si="12"/>
        <v>2055</v>
      </c>
      <c r="C34" s="7"/>
      <c r="D34" s="9">
        <f>C34*(1+0.07)^-($B34-Assumptions!$D$4)</f>
        <v>0</v>
      </c>
      <c r="E34" s="7" t="s">
        <v>27</v>
      </c>
      <c r="F34" s="9" t="str">
        <f t="shared" si="13"/>
        <v>N/A</v>
      </c>
      <c r="I34" s="591"/>
      <c r="O34" s="528" t="s">
        <v>287</v>
      </c>
      <c r="P34" s="529"/>
      <c r="Q34" s="269" t="s">
        <v>190</v>
      </c>
      <c r="R34" s="270" t="s">
        <v>191</v>
      </c>
      <c r="S34" s="270" t="s">
        <v>192</v>
      </c>
      <c r="T34" s="270" t="s">
        <v>193</v>
      </c>
    </row>
    <row r="35" spans="1:22" ht="15.75" customHeight="1" x14ac:dyDescent="0.25">
      <c r="B35" s="2">
        <f t="shared" si="12"/>
        <v>2056</v>
      </c>
      <c r="C35" s="7"/>
      <c r="D35" s="9">
        <f>C35*(1+0.07)^-($B35-Assumptions!$D$4)</f>
        <v>0</v>
      </c>
      <c r="E35" s="7" t="s">
        <v>27</v>
      </c>
      <c r="F35" s="9" t="str">
        <f t="shared" si="0"/>
        <v>N/A</v>
      </c>
      <c r="I35" s="585"/>
      <c r="N35">
        <v>2</v>
      </c>
      <c r="O35" s="271" t="s">
        <v>288</v>
      </c>
      <c r="P35" s="272" t="s">
        <v>289</v>
      </c>
      <c r="Q35" s="273" t="s">
        <v>277</v>
      </c>
      <c r="R35" s="276">
        <v>125</v>
      </c>
      <c r="S35" s="330">
        <v>430</v>
      </c>
      <c r="T35" s="293">
        <v>53750</v>
      </c>
      <c r="U35" s="120">
        <f t="shared" ref="U35:U39" si="16">(T35/$T$57)*$T$61</f>
        <v>8065.8011275050303</v>
      </c>
      <c r="V35" s="83">
        <f t="shared" ref="V35:V39" si="17">U35+T35</f>
        <v>61815.80112750503</v>
      </c>
    </row>
    <row r="36" spans="1:22" ht="15.75" customHeight="1" thickBot="1" x14ac:dyDescent="0.3">
      <c r="B36" s="3">
        <f t="shared" si="12"/>
        <v>2057</v>
      </c>
      <c r="C36" s="8"/>
      <c r="D36" s="10">
        <f>C36*(1+0.07)^-($B36-Assumptions!$D$4)</f>
        <v>0</v>
      </c>
      <c r="E36" s="25">
        <f>+L32</f>
        <v>13693808.448359007</v>
      </c>
      <c r="F36" s="10">
        <f>E36*(1+0.07)^-($B36-Assumptions!$D$4)</f>
        <v>1120274.561064943</v>
      </c>
      <c r="I36" s="585"/>
      <c r="N36">
        <v>2</v>
      </c>
      <c r="O36" s="271" t="s">
        <v>290</v>
      </c>
      <c r="P36" s="272" t="s">
        <v>291</v>
      </c>
      <c r="Q36" s="273" t="s">
        <v>277</v>
      </c>
      <c r="R36" s="276">
        <v>125</v>
      </c>
      <c r="S36" s="330">
        <v>830</v>
      </c>
      <c r="T36" s="293">
        <v>103750</v>
      </c>
      <c r="U36" s="120">
        <f t="shared" si="16"/>
        <v>15568.871943788779</v>
      </c>
      <c r="V36" s="83">
        <f t="shared" si="17"/>
        <v>119318.87194378878</v>
      </c>
    </row>
    <row r="37" spans="1:22" ht="15.75" customHeight="1" x14ac:dyDescent="0.25">
      <c r="B37" s="4"/>
      <c r="C37" s="6">
        <f>SUM(C5:C36)</f>
        <v>32700756.296296295</v>
      </c>
      <c r="D37" s="11">
        <f>SUM(D5:D36)</f>
        <v>21077141.106952667</v>
      </c>
      <c r="E37" s="24"/>
      <c r="F37" s="6">
        <f>SUM(F5:F36)</f>
        <v>1120274.561064943</v>
      </c>
      <c r="N37">
        <v>2</v>
      </c>
      <c r="O37" s="271" t="s">
        <v>292</v>
      </c>
      <c r="P37" s="272" t="s">
        <v>293</v>
      </c>
      <c r="Q37" s="273" t="s">
        <v>277</v>
      </c>
      <c r="R37" s="276">
        <v>125</v>
      </c>
      <c r="S37" s="330">
        <v>1360</v>
      </c>
      <c r="T37" s="293">
        <v>170000</v>
      </c>
      <c r="U37" s="120">
        <f t="shared" si="16"/>
        <v>25510.44077536475</v>
      </c>
      <c r="V37" s="83">
        <f t="shared" si="17"/>
        <v>195510.44077536475</v>
      </c>
    </row>
    <row r="38" spans="1:22" ht="15.75" customHeight="1" x14ac:dyDescent="0.25">
      <c r="B38" s="4"/>
      <c r="C38" s="4"/>
      <c r="D38" s="6"/>
      <c r="E38" s="24"/>
      <c r="F38" s="102"/>
      <c r="N38">
        <v>2</v>
      </c>
      <c r="O38" s="271" t="s">
        <v>294</v>
      </c>
      <c r="P38" s="272" t="s">
        <v>295</v>
      </c>
      <c r="Q38" s="273" t="s">
        <v>277</v>
      </c>
      <c r="R38" s="276">
        <v>75</v>
      </c>
      <c r="S38" s="330">
        <v>2080</v>
      </c>
      <c r="T38" s="293">
        <v>156000</v>
      </c>
      <c r="U38" s="120">
        <f t="shared" si="16"/>
        <v>23409.580946805298</v>
      </c>
      <c r="V38" s="83">
        <f t="shared" si="17"/>
        <v>179409.5809468053</v>
      </c>
    </row>
    <row r="39" spans="1:22" ht="15.75" customHeight="1" thickBot="1" x14ac:dyDescent="0.3">
      <c r="B39" s="4"/>
      <c r="C39" s="61"/>
      <c r="D39" s="61"/>
      <c r="E39" s="24"/>
      <c r="F39" s="102"/>
      <c r="N39">
        <v>2</v>
      </c>
      <c r="O39" s="271" t="s">
        <v>296</v>
      </c>
      <c r="P39" s="353" t="s">
        <v>297</v>
      </c>
      <c r="Q39" s="354" t="s">
        <v>286</v>
      </c>
      <c r="R39" s="355">
        <v>5250</v>
      </c>
      <c r="S39" s="356">
        <v>15</v>
      </c>
      <c r="T39" s="339">
        <v>78750</v>
      </c>
      <c r="U39" s="120">
        <f t="shared" si="16"/>
        <v>11817.336535646904</v>
      </c>
      <c r="V39" s="83">
        <f t="shared" si="17"/>
        <v>90567.3365356469</v>
      </c>
    </row>
    <row r="40" spans="1:22" ht="15.75" customHeight="1" thickBot="1" x14ac:dyDescent="0.3">
      <c r="B40" s="103" t="s">
        <v>85</v>
      </c>
      <c r="C40" s="104">
        <f>D37</f>
        <v>21077141.106952667</v>
      </c>
      <c r="D40" s="83"/>
      <c r="O40" s="325"/>
      <c r="P40" s="366" t="s">
        <v>194</v>
      </c>
      <c r="Q40" s="367"/>
      <c r="R40" s="367"/>
      <c r="S40" s="367"/>
      <c r="T40" s="368">
        <f>SUM(T35:T39)</f>
        <v>562250</v>
      </c>
      <c r="U40" s="366" t="s">
        <v>331</v>
      </c>
      <c r="V40" s="386">
        <f>SUM(V35:V39)</f>
        <v>646622.03132911085</v>
      </c>
    </row>
    <row r="41" spans="1:22" ht="15.75" customHeight="1" x14ac:dyDescent="0.25">
      <c r="O41" s="271"/>
      <c r="P41" s="329"/>
      <c r="Q41" s="329"/>
      <c r="R41" s="329"/>
      <c r="S41" s="329"/>
      <c r="T41" s="69"/>
    </row>
    <row r="42" spans="1:22" ht="15.75" customHeight="1" x14ac:dyDescent="0.25">
      <c r="B42" s="12" t="s">
        <v>3</v>
      </c>
      <c r="O42" s="528" t="s">
        <v>298</v>
      </c>
      <c r="P42" s="529"/>
      <c r="Q42" s="269" t="s">
        <v>190</v>
      </c>
      <c r="R42" s="270" t="s">
        <v>191</v>
      </c>
      <c r="S42" s="270" t="s">
        <v>192</v>
      </c>
      <c r="T42" s="333" t="s">
        <v>193</v>
      </c>
      <c r="U42" s="120"/>
    </row>
    <row r="43" spans="1:22" ht="15.75" customHeight="1" x14ac:dyDescent="0.25">
      <c r="A43" s="13" t="s">
        <v>53</v>
      </c>
      <c r="B43" s="480" t="s">
        <v>407</v>
      </c>
      <c r="C43" s="480"/>
      <c r="D43" s="480"/>
      <c r="E43" s="480"/>
      <c r="F43" s="480"/>
      <c r="N43">
        <v>5</v>
      </c>
      <c r="O43" s="271" t="s">
        <v>299</v>
      </c>
      <c r="P43" s="278" t="s">
        <v>300</v>
      </c>
      <c r="Q43" s="273" t="s">
        <v>276</v>
      </c>
      <c r="R43" s="276">
        <v>1</v>
      </c>
      <c r="S43" s="330">
        <v>350000</v>
      </c>
      <c r="T43" s="293">
        <v>350000</v>
      </c>
      <c r="U43" s="120">
        <f t="shared" ref="U43:U44" si="18">(T43/$T$57)*$T$61</f>
        <v>52521.495713986245</v>
      </c>
      <c r="V43" s="83">
        <f t="shared" ref="V43:V44" si="19">U43+T43</f>
        <v>402521.49571398622</v>
      </c>
    </row>
    <row r="44" spans="1:22" ht="15.75" customHeight="1" thickBot="1" x14ac:dyDescent="0.3">
      <c r="B44" s="480"/>
      <c r="C44" s="480"/>
      <c r="D44" s="480"/>
      <c r="E44" s="480"/>
      <c r="F44" s="480"/>
      <c r="N44">
        <v>5</v>
      </c>
      <c r="O44" s="271" t="s">
        <v>301</v>
      </c>
      <c r="P44" s="353" t="s">
        <v>302</v>
      </c>
      <c r="Q44" s="369">
        <v>0.03</v>
      </c>
      <c r="R44" s="370"/>
      <c r="S44" s="371"/>
      <c r="T44" s="339">
        <v>485000</v>
      </c>
      <c r="U44" s="120">
        <f t="shared" si="18"/>
        <v>72779.78691795237</v>
      </c>
      <c r="V44" s="83">
        <f t="shared" si="19"/>
        <v>557779.78691795235</v>
      </c>
    </row>
    <row r="45" spans="1:22" ht="15.75" customHeight="1" thickBot="1" x14ac:dyDescent="0.3">
      <c r="B45" s="480"/>
      <c r="C45" s="480"/>
      <c r="D45" s="480"/>
      <c r="E45" s="480"/>
      <c r="F45" s="480"/>
      <c r="O45" s="325"/>
      <c r="P45" s="366" t="s">
        <v>194</v>
      </c>
      <c r="Q45" s="367"/>
      <c r="R45" s="367"/>
      <c r="S45" s="373"/>
      <c r="T45" s="363">
        <f>SUM(T43:T44)</f>
        <v>835000</v>
      </c>
      <c r="U45" s="366" t="s">
        <v>331</v>
      </c>
      <c r="V45" s="386">
        <f>SUM(V43:V44)</f>
        <v>960301.28263193858</v>
      </c>
    </row>
    <row r="46" spans="1:22" ht="15.75" customHeight="1" x14ac:dyDescent="0.25">
      <c r="B46" s="480"/>
      <c r="C46" s="480"/>
      <c r="D46" s="480"/>
      <c r="E46" s="480"/>
      <c r="F46" s="480"/>
      <c r="O46" s="271"/>
      <c r="P46" s="342"/>
      <c r="Q46" s="535"/>
      <c r="R46" s="536"/>
      <c r="S46" s="372"/>
      <c r="T46" s="69"/>
      <c r="U46" s="120"/>
    </row>
    <row r="47" spans="1:22" x14ac:dyDescent="0.25">
      <c r="B47" s="106"/>
      <c r="C47" s="106"/>
      <c r="D47" s="106"/>
      <c r="E47" s="106"/>
      <c r="F47" s="106"/>
      <c r="O47" s="528" t="s">
        <v>303</v>
      </c>
      <c r="P47" s="529"/>
      <c r="Q47" s="269" t="s">
        <v>190</v>
      </c>
      <c r="R47" s="270" t="s">
        <v>191</v>
      </c>
      <c r="S47" s="270" t="s">
        <v>192</v>
      </c>
      <c r="T47" s="333" t="s">
        <v>193</v>
      </c>
      <c r="U47" s="120"/>
    </row>
    <row r="48" spans="1:22" ht="15" customHeight="1" thickBot="1" x14ac:dyDescent="0.3">
      <c r="A48" s="13" t="s">
        <v>66</v>
      </c>
      <c r="B48" s="480" t="s">
        <v>408</v>
      </c>
      <c r="C48" s="480"/>
      <c r="D48" s="480"/>
      <c r="E48" s="480"/>
      <c r="F48" s="480"/>
      <c r="N48">
        <v>5</v>
      </c>
      <c r="O48" s="271" t="s">
        <v>304</v>
      </c>
      <c r="P48" s="374" t="s">
        <v>305</v>
      </c>
      <c r="Q48" s="354" t="s">
        <v>306</v>
      </c>
      <c r="R48" s="375">
        <v>1.4</v>
      </c>
      <c r="S48" s="356">
        <v>100000</v>
      </c>
      <c r="T48" s="339">
        <v>140000</v>
      </c>
      <c r="U48" s="120">
        <f t="shared" ref="U48" si="20">(T48/$T$57)*$T$61</f>
        <v>21008.598285594497</v>
      </c>
      <c r="V48" s="83">
        <f t="shared" ref="V48" si="21">U48+T48</f>
        <v>161008.59828559449</v>
      </c>
    </row>
    <row r="49" spans="1:23" ht="15.75" thickBot="1" x14ac:dyDescent="0.3">
      <c r="B49" s="480"/>
      <c r="C49" s="480"/>
      <c r="D49" s="480"/>
      <c r="E49" s="480"/>
      <c r="F49" s="480"/>
      <c r="O49" s="325"/>
      <c r="P49" s="366" t="s">
        <v>194</v>
      </c>
      <c r="Q49" s="367"/>
      <c r="R49" s="367"/>
      <c r="S49" s="373"/>
      <c r="T49" s="363">
        <f>SUM(T48)</f>
        <v>140000</v>
      </c>
      <c r="U49" s="366" t="s">
        <v>331</v>
      </c>
      <c r="V49" s="386">
        <f>SUM(V48)</f>
        <v>161008.59828559449</v>
      </c>
    </row>
    <row r="50" spans="1:23" x14ac:dyDescent="0.25">
      <c r="A50" s="13"/>
      <c r="B50" s="480"/>
      <c r="C50" s="480"/>
      <c r="D50" s="480"/>
      <c r="E50" s="480"/>
      <c r="F50" s="480"/>
      <c r="O50" s="271"/>
      <c r="P50" s="376"/>
      <c r="Q50" s="377"/>
      <c r="R50" s="378"/>
      <c r="S50" s="345"/>
      <c r="T50" s="69"/>
    </row>
    <row r="51" spans="1:23" x14ac:dyDescent="0.25">
      <c r="B51" s="480"/>
      <c r="C51" s="480"/>
      <c r="D51" s="480"/>
      <c r="E51" s="480"/>
      <c r="F51" s="480"/>
      <c r="O51" s="528" t="s">
        <v>287</v>
      </c>
      <c r="P51" s="529"/>
      <c r="Q51" s="269" t="s">
        <v>190</v>
      </c>
      <c r="R51" s="270" t="s">
        <v>191</v>
      </c>
      <c r="S51" s="270" t="s">
        <v>192</v>
      </c>
      <c r="T51" s="270" t="s">
        <v>193</v>
      </c>
      <c r="U51" s="120"/>
    </row>
    <row r="52" spans="1:23" x14ac:dyDescent="0.25">
      <c r="B52" s="480"/>
      <c r="C52" s="480"/>
      <c r="D52" s="480"/>
      <c r="E52" s="480"/>
      <c r="F52" s="480"/>
      <c r="N52">
        <v>5</v>
      </c>
      <c r="O52" s="271" t="s">
        <v>307</v>
      </c>
      <c r="P52" s="272" t="s">
        <v>308</v>
      </c>
      <c r="Q52" s="273" t="s">
        <v>306</v>
      </c>
      <c r="R52" s="334">
        <v>1.8</v>
      </c>
      <c r="S52" s="330">
        <v>35000</v>
      </c>
      <c r="T52" s="293">
        <v>63000</v>
      </c>
      <c r="U52" s="120">
        <f t="shared" ref="U52:U54" si="22">(T52/$T$57)*$T$61</f>
        <v>9453.8692285175239</v>
      </c>
      <c r="V52" s="83">
        <f t="shared" ref="V52:V54" si="23">U52+T52</f>
        <v>72453.86922851752</v>
      </c>
    </row>
    <row r="53" spans="1:23" x14ac:dyDescent="0.25">
      <c r="B53" s="480"/>
      <c r="C53" s="480"/>
      <c r="D53" s="480"/>
      <c r="E53" s="480"/>
      <c r="F53" s="480"/>
      <c r="N53">
        <v>5</v>
      </c>
      <c r="O53" s="271" t="s">
        <v>309</v>
      </c>
      <c r="P53" s="272" t="s">
        <v>310</v>
      </c>
      <c r="Q53" s="273" t="s">
        <v>306</v>
      </c>
      <c r="R53" s="334">
        <v>1.8</v>
      </c>
      <c r="S53" s="330">
        <v>5000</v>
      </c>
      <c r="T53" s="293">
        <v>9000</v>
      </c>
      <c r="U53" s="120">
        <f t="shared" si="22"/>
        <v>1350.5527469310748</v>
      </c>
      <c r="V53" s="83">
        <f t="shared" si="23"/>
        <v>10350.552746931075</v>
      </c>
    </row>
    <row r="54" spans="1:23" ht="15.75" thickBot="1" x14ac:dyDescent="0.3">
      <c r="B54" s="480"/>
      <c r="C54" s="480"/>
      <c r="D54" s="480"/>
      <c r="E54" s="480"/>
      <c r="F54" s="480"/>
      <c r="N54">
        <v>5</v>
      </c>
      <c r="O54" s="271" t="s">
        <v>311</v>
      </c>
      <c r="P54" s="353" t="s">
        <v>312</v>
      </c>
      <c r="Q54" s="354" t="s">
        <v>276</v>
      </c>
      <c r="R54" s="375">
        <v>2</v>
      </c>
      <c r="S54" s="356">
        <v>50000</v>
      </c>
      <c r="T54" s="339">
        <v>100000</v>
      </c>
      <c r="U54" s="120">
        <f t="shared" si="22"/>
        <v>15006.141632567498</v>
      </c>
      <c r="V54" s="83">
        <f t="shared" si="23"/>
        <v>115006.14163256749</v>
      </c>
    </row>
    <row r="55" spans="1:23" ht="15.75" thickBot="1" x14ac:dyDescent="0.3">
      <c r="B55" s="480"/>
      <c r="C55" s="480"/>
      <c r="D55" s="480"/>
      <c r="E55" s="480"/>
      <c r="F55" s="480"/>
      <c r="O55" s="336"/>
      <c r="P55" s="366" t="s">
        <v>194</v>
      </c>
      <c r="Q55" s="367"/>
      <c r="R55" s="367"/>
      <c r="S55" s="373"/>
      <c r="T55" s="363">
        <f>SUM(T52:T54)</f>
        <v>172000</v>
      </c>
      <c r="U55" s="366" t="s">
        <v>331</v>
      </c>
      <c r="V55" s="386">
        <f>SUM(V52:V54)</f>
        <v>197810.56360801609</v>
      </c>
    </row>
    <row r="56" spans="1:23" ht="15" customHeight="1" thickBot="1" x14ac:dyDescent="0.3">
      <c r="B56" s="480"/>
      <c r="C56" s="480"/>
      <c r="D56" s="480"/>
      <c r="E56" s="480"/>
      <c r="F56" s="480"/>
      <c r="O56" s="533"/>
      <c r="P56" s="534"/>
      <c r="Q56" s="534"/>
      <c r="R56" s="534"/>
      <c r="S56" s="534"/>
      <c r="T56" s="379"/>
    </row>
    <row r="57" spans="1:23" ht="15.75" thickBot="1" x14ac:dyDescent="0.3">
      <c r="B57" s="480"/>
      <c r="C57" s="480"/>
      <c r="D57" s="480"/>
      <c r="E57" s="480"/>
      <c r="F57" s="480"/>
      <c r="O57" s="340"/>
      <c r="P57" s="366" t="s">
        <v>313</v>
      </c>
      <c r="Q57" s="367"/>
      <c r="R57" s="367"/>
      <c r="S57" s="373"/>
      <c r="T57" s="363">
        <f>T22+T27+T32+T40+T45+T49+T55</f>
        <v>18505756.296296299</v>
      </c>
      <c r="U57" s="366" t="s">
        <v>332</v>
      </c>
      <c r="V57" s="363">
        <f>V22+V27+V32+V40+V45+V49+V55</f>
        <v>21282756.296296291</v>
      </c>
    </row>
    <row r="58" spans="1:23" x14ac:dyDescent="0.25">
      <c r="B58" s="480"/>
      <c r="C58" s="480"/>
      <c r="D58" s="480"/>
      <c r="E58" s="480"/>
      <c r="F58" s="480"/>
      <c r="O58" s="530"/>
      <c r="P58" s="531"/>
      <c r="Q58" s="531"/>
      <c r="R58" s="531"/>
      <c r="S58" s="532"/>
      <c r="T58" s="83"/>
    </row>
    <row r="59" spans="1:23" x14ac:dyDescent="0.25">
      <c r="B59" s="480"/>
      <c r="C59" s="480"/>
      <c r="D59" s="480"/>
      <c r="E59" s="480"/>
      <c r="F59" s="480"/>
      <c r="O59" s="528" t="s">
        <v>314</v>
      </c>
      <c r="P59" s="529"/>
      <c r="Q59" s="269"/>
      <c r="R59" s="270"/>
      <c r="S59" s="270"/>
      <c r="T59" s="270" t="s">
        <v>193</v>
      </c>
    </row>
    <row r="60" spans="1:23" ht="15.75" thickBot="1" x14ac:dyDescent="0.3">
      <c r="B60" s="480"/>
      <c r="C60" s="480"/>
      <c r="D60" s="480"/>
      <c r="E60" s="480"/>
      <c r="F60" s="480"/>
      <c r="N60">
        <v>6</v>
      </c>
      <c r="O60" s="327" t="s">
        <v>315</v>
      </c>
      <c r="P60" s="353" t="s">
        <v>316</v>
      </c>
      <c r="Q60" s="354"/>
      <c r="R60" s="355"/>
      <c r="S60" s="356"/>
      <c r="T60" s="391">
        <v>927000</v>
      </c>
      <c r="U60" s="79"/>
      <c r="V60" s="251">
        <f>T60</f>
        <v>927000</v>
      </c>
    </row>
    <row r="61" spans="1:23" ht="15.75" thickBot="1" x14ac:dyDescent="0.3">
      <c r="O61" s="358" t="s">
        <v>317</v>
      </c>
      <c r="P61" s="359" t="s">
        <v>318</v>
      </c>
      <c r="Q61" s="360"/>
      <c r="R61" s="361"/>
      <c r="S61" s="362"/>
      <c r="T61" s="392">
        <v>2777000</v>
      </c>
      <c r="U61" s="79"/>
      <c r="V61" s="79">
        <v>0</v>
      </c>
    </row>
    <row r="62" spans="1:23" ht="15" customHeight="1" x14ac:dyDescent="0.25">
      <c r="N62">
        <v>6</v>
      </c>
      <c r="O62" s="329" t="s">
        <v>319</v>
      </c>
      <c r="P62" s="342" t="s">
        <v>320</v>
      </c>
      <c r="Q62" s="343"/>
      <c r="R62" s="357"/>
      <c r="S62" s="345"/>
      <c r="T62" s="393">
        <v>927000</v>
      </c>
      <c r="U62" s="79"/>
      <c r="V62" s="251">
        <f>T62</f>
        <v>927000</v>
      </c>
    </row>
    <row r="63" spans="1:23" ht="15.75" thickBot="1" x14ac:dyDescent="0.3">
      <c r="N63">
        <v>6</v>
      </c>
      <c r="O63" s="271" t="s">
        <v>321</v>
      </c>
      <c r="P63" s="272" t="s">
        <v>322</v>
      </c>
      <c r="Q63" s="273"/>
      <c r="R63" s="276"/>
      <c r="S63" s="330"/>
      <c r="T63" s="389">
        <v>556000</v>
      </c>
      <c r="U63" s="395"/>
      <c r="V63" s="218">
        <f>T63</f>
        <v>556000</v>
      </c>
    </row>
    <row r="64" spans="1:23" ht="15.75" thickBot="1" x14ac:dyDescent="0.3">
      <c r="A64" s="13"/>
      <c r="O64" s="335"/>
      <c r="P64" s="277" t="s">
        <v>194</v>
      </c>
      <c r="Q64" s="271"/>
      <c r="R64" s="271"/>
      <c r="S64" s="325"/>
      <c r="T64" s="293">
        <f>SUM(T60:T63)</f>
        <v>5187000</v>
      </c>
      <c r="U64" s="366" t="s">
        <v>331</v>
      </c>
      <c r="V64" s="363">
        <f>SUM(V60:V63)</f>
        <v>2410000</v>
      </c>
      <c r="W64" s="189"/>
    </row>
    <row r="65" spans="1:22" ht="23.25" thickBot="1" x14ac:dyDescent="0.3">
      <c r="O65" s="336"/>
      <c r="P65" s="337" t="s">
        <v>323</v>
      </c>
      <c r="Q65" s="327"/>
      <c r="R65" s="327"/>
      <c r="S65" s="338"/>
      <c r="T65" s="339">
        <f>T22+T27+T32+T40+T45+T49+T55+T64</f>
        <v>23692756.296296299</v>
      </c>
      <c r="U65" s="387" t="s">
        <v>323</v>
      </c>
      <c r="V65" s="394">
        <f>V22+V27+V32+V40+V45+V49+V55+V64</f>
        <v>23692756.296296291</v>
      </c>
    </row>
    <row r="66" spans="1:22" x14ac:dyDescent="0.25">
      <c r="O66" s="346"/>
      <c r="P66" s="346"/>
      <c r="Q66" s="346"/>
      <c r="R66" s="346"/>
      <c r="S66" s="346"/>
      <c r="T66" s="346"/>
    </row>
    <row r="67" spans="1:22" x14ac:dyDescent="0.25">
      <c r="N67">
        <v>6</v>
      </c>
      <c r="O67" s="329"/>
      <c r="P67" s="347" t="s">
        <v>324</v>
      </c>
      <c r="Q67" s="348">
        <v>0.15</v>
      </c>
      <c r="R67" s="344"/>
      <c r="S67" s="345"/>
      <c r="T67" s="341">
        <v>3556000</v>
      </c>
      <c r="U67" s="388" t="s">
        <v>324</v>
      </c>
      <c r="V67" s="251">
        <f>T67</f>
        <v>3556000</v>
      </c>
    </row>
    <row r="68" spans="1:22" ht="15.75" thickBot="1" x14ac:dyDescent="0.3"/>
    <row r="69" spans="1:22" ht="23.25" thickBot="1" x14ac:dyDescent="0.3">
      <c r="O69" s="349"/>
      <c r="P69" s="350" t="s">
        <v>325</v>
      </c>
      <c r="Q69" s="351"/>
      <c r="R69" s="351"/>
      <c r="S69" s="351"/>
      <c r="T69" s="389">
        <f>T22+T27+T32+T40+T45+T49+T55+T64+T67</f>
        <v>27248756.296296299</v>
      </c>
      <c r="U69" s="390" t="s">
        <v>333</v>
      </c>
      <c r="V69" s="363">
        <f>V22+V27+V32+V40+V45+V49+V55+V64+V67</f>
        <v>27248756.296296291</v>
      </c>
    </row>
    <row r="70" spans="1:22" x14ac:dyDescent="0.25">
      <c r="A70" s="13"/>
      <c r="O70" s="346"/>
      <c r="P70" s="346"/>
      <c r="Q70" s="346"/>
      <c r="R70" s="346"/>
      <c r="S70" s="346"/>
      <c r="T70" s="346"/>
    </row>
    <row r="71" spans="1:22" ht="15.75" thickBot="1" x14ac:dyDescent="0.3">
      <c r="N71">
        <v>6</v>
      </c>
      <c r="O71" s="329"/>
      <c r="P71" s="347" t="s">
        <v>326</v>
      </c>
      <c r="Q71" s="348">
        <v>0.2</v>
      </c>
      <c r="R71" s="344"/>
      <c r="S71" s="345"/>
      <c r="T71" s="341">
        <v>5452000</v>
      </c>
      <c r="U71" s="396" t="s">
        <v>326</v>
      </c>
      <c r="V71" s="83">
        <f>T71</f>
        <v>5452000</v>
      </c>
    </row>
    <row r="72" spans="1:22" ht="15.75" thickBot="1" x14ac:dyDescent="0.3">
      <c r="O72" s="349"/>
      <c r="P72" s="350" t="s">
        <v>327</v>
      </c>
      <c r="Q72" s="351"/>
      <c r="R72" s="351"/>
      <c r="S72" s="351"/>
      <c r="T72" s="389">
        <f>T22+T27+T32+T40+T45+T49+T55+T64+T67+T71</f>
        <v>32700756.296296299</v>
      </c>
      <c r="U72" s="390" t="s">
        <v>327</v>
      </c>
      <c r="V72" s="363">
        <f>V22+V27+V32+V40+V45+V49+V55+V64+V67+V71</f>
        <v>32700756.296296291</v>
      </c>
    </row>
    <row r="76" spans="1:22" x14ac:dyDescent="0.25">
      <c r="U76" s="120">
        <f>SUM(U10:U54)</f>
        <v>2777000</v>
      </c>
    </row>
  </sheetData>
  <mergeCells count="23">
    <mergeCell ref="B43:F46"/>
    <mergeCell ref="B48:F60"/>
    <mergeCell ref="F3:F4"/>
    <mergeCell ref="K22:L22"/>
    <mergeCell ref="B3:B4"/>
    <mergeCell ref="C3:C4"/>
    <mergeCell ref="D3:D4"/>
    <mergeCell ref="E3:E4"/>
    <mergeCell ref="Q46:R46"/>
    <mergeCell ref="O28:P28"/>
    <mergeCell ref="O34:P34"/>
    <mergeCell ref="O42:P42"/>
    <mergeCell ref="O6:T6"/>
    <mergeCell ref="O7:T7"/>
    <mergeCell ref="O8:P8"/>
    <mergeCell ref="O9:P9"/>
    <mergeCell ref="O24:P24"/>
    <mergeCell ref="O30:P30"/>
    <mergeCell ref="O47:P47"/>
    <mergeCell ref="O51:P51"/>
    <mergeCell ref="O59:P59"/>
    <mergeCell ref="O58:S58"/>
    <mergeCell ref="O56:S56"/>
  </mergeCells>
  <pageMargins left="0.25" right="0.25" top="0.75" bottom="0.75" header="0.3" footer="0.3"/>
  <pageSetup paperSize="3" scale="5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0" tint="-0.34998626667073579"/>
  </sheetPr>
  <dimension ref="C3:N23"/>
  <sheetViews>
    <sheetView workbookViewId="0">
      <selection activeCell="O18" sqref="O18"/>
    </sheetView>
  </sheetViews>
  <sheetFormatPr defaultRowHeight="15" x14ac:dyDescent="0.25"/>
  <cols>
    <col min="3" max="3" width="23.140625" bestFit="1" customWidth="1"/>
    <col min="4" max="4" width="4.42578125" customWidth="1"/>
    <col min="5" max="5" width="20.5703125" customWidth="1"/>
  </cols>
  <sheetData>
    <row r="3" spans="3:14" x14ac:dyDescent="0.25">
      <c r="C3" t="s">
        <v>14</v>
      </c>
    </row>
    <row r="5" spans="3:14" x14ac:dyDescent="0.25">
      <c r="C5" t="s">
        <v>15</v>
      </c>
      <c r="D5" s="21" t="s">
        <v>16</v>
      </c>
      <c r="E5">
        <f>(1+H10)^H11</f>
        <v>1.9671513572895656</v>
      </c>
      <c r="G5" t="s">
        <v>17</v>
      </c>
    </row>
    <row r="6" spans="3:14" x14ac:dyDescent="0.25">
      <c r="C6" t="s">
        <v>18</v>
      </c>
      <c r="D6" s="21" t="s">
        <v>16</v>
      </c>
      <c r="E6">
        <f>((1+H10)^H12-1)/(H10*(1+H10)^H12)</f>
        <v>13.800746294033972</v>
      </c>
      <c r="G6" t="s">
        <v>19</v>
      </c>
    </row>
    <row r="7" spans="3:14" x14ac:dyDescent="0.25">
      <c r="C7" t="s">
        <v>20</v>
      </c>
      <c r="D7" s="21" t="s">
        <v>16</v>
      </c>
      <c r="E7">
        <f>((1+H10)^H11-1)/(H10*(1+H10)^H11)</f>
        <v>7.0235815409326028</v>
      </c>
      <c r="G7" t="s">
        <v>21</v>
      </c>
    </row>
    <row r="10" spans="3:14" x14ac:dyDescent="0.25">
      <c r="G10" t="s">
        <v>22</v>
      </c>
      <c r="H10" s="22">
        <v>7.0000000000000007E-2</v>
      </c>
    </row>
    <row r="11" spans="3:14" x14ac:dyDescent="0.25">
      <c r="G11" t="s">
        <v>23</v>
      </c>
      <c r="H11">
        <v>10</v>
      </c>
    </row>
    <row r="12" spans="3:14" x14ac:dyDescent="0.25">
      <c r="G12" t="s">
        <v>24</v>
      </c>
      <c r="H12">
        <v>50</v>
      </c>
    </row>
    <row r="13" spans="3:14" ht="15.75" thickBot="1" x14ac:dyDescent="0.3"/>
    <row r="14" spans="3:14" x14ac:dyDescent="0.25">
      <c r="G14" t="s">
        <v>25</v>
      </c>
      <c r="H14">
        <f>E5*(E6-E7)/E6</f>
        <v>0.96601361684343312</v>
      </c>
      <c r="L14" s="152"/>
      <c r="M14" s="155" t="s">
        <v>121</v>
      </c>
      <c r="N14" t="s">
        <v>122</v>
      </c>
    </row>
    <row r="15" spans="3:14" x14ac:dyDescent="0.25">
      <c r="L15" s="156">
        <v>100</v>
      </c>
      <c r="M15" s="157">
        <v>0.99668901533542642</v>
      </c>
      <c r="N15">
        <v>0.99237091208782646</v>
      </c>
    </row>
    <row r="16" spans="3:14" x14ac:dyDescent="0.25">
      <c r="L16" s="156">
        <v>60</v>
      </c>
      <c r="M16" s="157">
        <v>0.94960729545289124</v>
      </c>
      <c r="N16">
        <v>0.88388639269896585</v>
      </c>
    </row>
    <row r="17" spans="12:14" x14ac:dyDescent="0.25">
      <c r="L17" s="156">
        <v>50</v>
      </c>
      <c r="M17" s="157">
        <v>0.89915725708762961</v>
      </c>
      <c r="N17">
        <v>0.76764067825056037</v>
      </c>
    </row>
    <row r="18" spans="12:14" x14ac:dyDescent="0.25">
      <c r="L18" s="156">
        <v>40</v>
      </c>
      <c r="M18" s="157">
        <v>0.79464788577092815</v>
      </c>
      <c r="N18">
        <v>0.52683280319393944</v>
      </c>
    </row>
    <row r="19" spans="12:14" x14ac:dyDescent="0.25">
      <c r="L19" s="156">
        <v>25</v>
      </c>
      <c r="M19" s="157">
        <v>0.35184006268551071</v>
      </c>
      <c r="N19">
        <v>0</v>
      </c>
    </row>
    <row r="20" spans="12:14" ht="15.75" thickBot="1" x14ac:dyDescent="0.3">
      <c r="L20" s="158">
        <v>0</v>
      </c>
      <c r="M20" s="159">
        <v>0</v>
      </c>
    </row>
    <row r="22" spans="12:14" x14ac:dyDescent="0.25">
      <c r="L22">
        <v>20</v>
      </c>
      <c r="M22">
        <v>0.66297641084495229</v>
      </c>
    </row>
    <row r="23" spans="12:14" x14ac:dyDescent="0.25">
      <c r="L23">
        <v>50</v>
      </c>
      <c r="M23">
        <v>0.96601361684343312</v>
      </c>
    </row>
  </sheetData>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CAD7B-F42A-4AFB-8E9D-878D07337206}">
  <sheetPr>
    <outlinePr summaryBelow="0" summaryRight="0"/>
  </sheetPr>
  <dimension ref="A1:J1004"/>
  <sheetViews>
    <sheetView showGridLines="0" workbookViewId="0">
      <selection activeCell="M28" sqref="M28"/>
    </sheetView>
  </sheetViews>
  <sheetFormatPr defaultColWidth="12.5703125" defaultRowHeight="15.75" customHeight="1" x14ac:dyDescent="0.2"/>
  <cols>
    <col min="1" max="16384" width="12.5703125" style="448"/>
  </cols>
  <sheetData>
    <row r="1" spans="1:10" ht="15.75" customHeight="1" thickTop="1" thickBot="1" x14ac:dyDescent="0.25">
      <c r="A1" s="558" t="s">
        <v>368</v>
      </c>
      <c r="B1" s="559"/>
      <c r="C1" s="559"/>
      <c r="D1" s="559"/>
      <c r="E1" s="559"/>
      <c r="F1" s="559"/>
      <c r="G1" s="559"/>
      <c r="H1" s="559"/>
      <c r="I1" s="560"/>
    </row>
    <row r="2" spans="1:10" ht="15.75" customHeight="1" thickBot="1" x14ac:dyDescent="0.25">
      <c r="A2" s="561" t="s">
        <v>110</v>
      </c>
      <c r="B2" s="563" t="s">
        <v>369</v>
      </c>
      <c r="C2" s="564"/>
      <c r="D2" s="564"/>
      <c r="E2" s="565"/>
      <c r="F2" s="563" t="s">
        <v>370</v>
      </c>
      <c r="G2" s="564"/>
      <c r="H2" s="564"/>
      <c r="I2" s="566"/>
    </row>
    <row r="3" spans="1:10" ht="15.75" customHeight="1" thickBot="1" x14ac:dyDescent="0.25">
      <c r="A3" s="562"/>
      <c r="B3" s="449" t="s">
        <v>7</v>
      </c>
      <c r="C3" s="449" t="s">
        <v>371</v>
      </c>
      <c r="D3" s="449" t="s">
        <v>372</v>
      </c>
      <c r="E3" s="449" t="s">
        <v>363</v>
      </c>
      <c r="F3" s="449" t="s">
        <v>7</v>
      </c>
      <c r="G3" s="449" t="s">
        <v>371</v>
      </c>
      <c r="H3" s="449" t="s">
        <v>372</v>
      </c>
      <c r="I3" s="450" t="s">
        <v>363</v>
      </c>
    </row>
    <row r="4" spans="1:10" ht="15.75" customHeight="1" x14ac:dyDescent="0.2">
      <c r="A4" s="451">
        <v>2007</v>
      </c>
      <c r="B4" s="452">
        <v>299</v>
      </c>
      <c r="C4" s="452">
        <v>227</v>
      </c>
      <c r="D4" s="452">
        <v>57</v>
      </c>
      <c r="E4" s="452">
        <v>15</v>
      </c>
      <c r="F4" s="452">
        <v>879</v>
      </c>
      <c r="G4" s="452">
        <v>841</v>
      </c>
      <c r="H4" s="452">
        <v>30</v>
      </c>
      <c r="I4" s="453">
        <v>8</v>
      </c>
      <c r="J4" s="448">
        <f>B4/SUM(B4,F4)</f>
        <v>0.25382003395585739</v>
      </c>
    </row>
    <row r="5" spans="1:10" ht="15.75" customHeight="1" x14ac:dyDescent="0.2">
      <c r="A5" s="451">
        <v>2008</v>
      </c>
      <c r="B5" s="452">
        <v>266</v>
      </c>
      <c r="C5" s="452">
        <v>199</v>
      </c>
      <c r="D5" s="452">
        <v>62</v>
      </c>
      <c r="E5" s="452">
        <v>5</v>
      </c>
      <c r="F5" s="452">
        <v>904</v>
      </c>
      <c r="G5" s="452">
        <v>838</v>
      </c>
      <c r="H5" s="452">
        <v>53</v>
      </c>
      <c r="I5" s="453">
        <v>13</v>
      </c>
      <c r="J5" s="448">
        <f t="shared" ref="J5:J18" si="0">B5/SUM(B5,F5)</f>
        <v>0.22735042735042735</v>
      </c>
    </row>
    <row r="6" spans="1:10" ht="15.75" customHeight="1" x14ac:dyDescent="0.2">
      <c r="A6" s="451">
        <v>2009</v>
      </c>
      <c r="B6" s="452">
        <v>226</v>
      </c>
      <c r="C6" s="452">
        <v>161</v>
      </c>
      <c r="D6" s="452">
        <v>58</v>
      </c>
      <c r="E6" s="452">
        <v>7</v>
      </c>
      <c r="F6" s="452">
        <v>643</v>
      </c>
      <c r="G6" s="452">
        <v>602</v>
      </c>
      <c r="H6" s="452">
        <v>36</v>
      </c>
      <c r="I6" s="453">
        <v>5</v>
      </c>
      <c r="J6" s="448">
        <f t="shared" si="0"/>
        <v>0.26006904487917148</v>
      </c>
    </row>
    <row r="7" spans="1:10" ht="15.75" customHeight="1" x14ac:dyDescent="0.2">
      <c r="A7" s="451">
        <v>2010</v>
      </c>
      <c r="B7" s="452">
        <v>226</v>
      </c>
      <c r="C7" s="452">
        <v>136</v>
      </c>
      <c r="D7" s="452">
        <v>79</v>
      </c>
      <c r="E7" s="452">
        <v>11</v>
      </c>
      <c r="F7" s="452">
        <v>782</v>
      </c>
      <c r="G7" s="452">
        <v>718</v>
      </c>
      <c r="H7" s="452">
        <v>47</v>
      </c>
      <c r="I7" s="453">
        <v>17</v>
      </c>
      <c r="J7" s="448">
        <f t="shared" si="0"/>
        <v>0.22420634920634921</v>
      </c>
    </row>
    <row r="8" spans="1:10" ht="15.75" customHeight="1" x14ac:dyDescent="0.2">
      <c r="A8" s="451">
        <v>2011</v>
      </c>
      <c r="B8" s="452">
        <v>211</v>
      </c>
      <c r="C8" s="452">
        <v>138</v>
      </c>
      <c r="D8" s="452">
        <v>61</v>
      </c>
      <c r="E8" s="452">
        <v>12</v>
      </c>
      <c r="F8" s="452">
        <v>885</v>
      </c>
      <c r="G8" s="452">
        <v>830</v>
      </c>
      <c r="H8" s="452">
        <v>43</v>
      </c>
      <c r="I8" s="453">
        <v>12</v>
      </c>
      <c r="J8" s="448">
        <f t="shared" si="0"/>
        <v>0.19251824817518248</v>
      </c>
    </row>
    <row r="9" spans="1:10" ht="15.75" customHeight="1" x14ac:dyDescent="0.2">
      <c r="A9" s="451">
        <v>2012</v>
      </c>
      <c r="B9" s="452">
        <v>199</v>
      </c>
      <c r="C9" s="452">
        <v>135</v>
      </c>
      <c r="D9" s="452">
        <v>54</v>
      </c>
      <c r="E9" s="452">
        <v>10</v>
      </c>
      <c r="F9" s="452">
        <v>817</v>
      </c>
      <c r="G9" s="452">
        <v>761</v>
      </c>
      <c r="H9" s="452">
        <v>39</v>
      </c>
      <c r="I9" s="453">
        <v>17</v>
      </c>
      <c r="J9" s="448">
        <f t="shared" si="0"/>
        <v>0.19586614173228348</v>
      </c>
    </row>
    <row r="10" spans="1:10" ht="15.75" customHeight="1" x14ac:dyDescent="0.2">
      <c r="A10" s="451">
        <v>2013</v>
      </c>
      <c r="B10" s="452">
        <v>207</v>
      </c>
      <c r="C10" s="452">
        <v>141</v>
      </c>
      <c r="D10" s="452">
        <v>51</v>
      </c>
      <c r="E10" s="452">
        <v>15</v>
      </c>
      <c r="F10" s="452">
        <v>848</v>
      </c>
      <c r="G10" s="452">
        <v>780</v>
      </c>
      <c r="H10" s="452">
        <v>49</v>
      </c>
      <c r="I10" s="453">
        <v>19</v>
      </c>
      <c r="J10" s="448">
        <f t="shared" si="0"/>
        <v>0.1962085308056872</v>
      </c>
    </row>
    <row r="11" spans="1:10" ht="15.75" customHeight="1" x14ac:dyDescent="0.2">
      <c r="A11" s="451">
        <v>2014</v>
      </c>
      <c r="B11" s="452">
        <v>235</v>
      </c>
      <c r="C11" s="452">
        <v>144</v>
      </c>
      <c r="D11" s="452">
        <v>73</v>
      </c>
      <c r="E11" s="452">
        <v>18</v>
      </c>
      <c r="F11" s="452">
        <v>736</v>
      </c>
      <c r="G11" s="452">
        <v>664</v>
      </c>
      <c r="H11" s="452">
        <v>50</v>
      </c>
      <c r="I11" s="453">
        <v>22</v>
      </c>
      <c r="J11" s="448">
        <f t="shared" si="0"/>
        <v>0.2420185375901133</v>
      </c>
    </row>
    <row r="12" spans="1:10" ht="15.75" customHeight="1" x14ac:dyDescent="0.2">
      <c r="A12" s="451">
        <v>2015</v>
      </c>
      <c r="B12" s="452">
        <v>209</v>
      </c>
      <c r="C12" s="452">
        <v>128</v>
      </c>
      <c r="D12" s="452">
        <v>65</v>
      </c>
      <c r="E12" s="452">
        <v>16</v>
      </c>
      <c r="F12" s="452">
        <v>946</v>
      </c>
      <c r="G12" s="452">
        <v>873</v>
      </c>
      <c r="H12" s="452">
        <v>54</v>
      </c>
      <c r="I12" s="453">
        <v>19</v>
      </c>
      <c r="J12" s="448">
        <f t="shared" si="0"/>
        <v>0.18095238095238095</v>
      </c>
    </row>
    <row r="13" spans="1:10" ht="15.75" customHeight="1" x14ac:dyDescent="0.2">
      <c r="A13" s="451">
        <v>2016</v>
      </c>
      <c r="B13" s="452">
        <v>229</v>
      </c>
      <c r="C13" s="452">
        <v>130</v>
      </c>
      <c r="D13" s="452">
        <v>81</v>
      </c>
      <c r="E13" s="452">
        <v>18</v>
      </c>
      <c r="F13" s="452">
        <v>730</v>
      </c>
      <c r="G13" s="452">
        <v>675</v>
      </c>
      <c r="H13" s="452">
        <v>43</v>
      </c>
      <c r="I13" s="453">
        <v>12</v>
      </c>
      <c r="J13" s="448">
        <f t="shared" si="0"/>
        <v>0.23879040667361837</v>
      </c>
    </row>
    <row r="14" spans="1:10" ht="15.75" customHeight="1" x14ac:dyDescent="0.2">
      <c r="A14" s="451">
        <v>2017</v>
      </c>
      <c r="B14" s="452">
        <v>241</v>
      </c>
      <c r="C14" s="452">
        <v>140</v>
      </c>
      <c r="D14" s="452">
        <v>84</v>
      </c>
      <c r="E14" s="452">
        <v>17</v>
      </c>
      <c r="F14" s="452">
        <v>754</v>
      </c>
      <c r="G14" s="452">
        <v>680</v>
      </c>
      <c r="H14" s="452">
        <v>55</v>
      </c>
      <c r="I14" s="453">
        <v>19</v>
      </c>
      <c r="J14" s="448">
        <f t="shared" si="0"/>
        <v>0.2422110552763819</v>
      </c>
    </row>
    <row r="15" spans="1:10" ht="15.75" customHeight="1" x14ac:dyDescent="0.2">
      <c r="A15" s="451">
        <v>2018</v>
      </c>
      <c r="B15" s="452">
        <v>230</v>
      </c>
      <c r="C15" s="452">
        <v>132</v>
      </c>
      <c r="D15" s="452">
        <v>85</v>
      </c>
      <c r="E15" s="452">
        <v>13</v>
      </c>
      <c r="F15" s="452">
        <v>716</v>
      </c>
      <c r="G15" s="452">
        <v>620</v>
      </c>
      <c r="H15" s="452">
        <v>73</v>
      </c>
      <c r="I15" s="453">
        <v>23</v>
      </c>
      <c r="J15" s="448">
        <f t="shared" si="0"/>
        <v>0.24312896405919662</v>
      </c>
    </row>
    <row r="16" spans="1:10" ht="15.75" customHeight="1" x14ac:dyDescent="0.2">
      <c r="A16" s="451">
        <v>2019</v>
      </c>
      <c r="B16" s="452">
        <v>246</v>
      </c>
      <c r="C16" s="452">
        <v>128</v>
      </c>
      <c r="D16" s="452">
        <v>100</v>
      </c>
      <c r="E16" s="452">
        <v>18</v>
      </c>
      <c r="F16" s="452">
        <v>739</v>
      </c>
      <c r="G16" s="452">
        <v>664</v>
      </c>
      <c r="H16" s="452">
        <v>55</v>
      </c>
      <c r="I16" s="453">
        <v>20</v>
      </c>
      <c r="J16" s="448">
        <f t="shared" si="0"/>
        <v>0.24974619289340103</v>
      </c>
    </row>
    <row r="17" spans="1:10" ht="15.75" customHeight="1" x14ac:dyDescent="0.2">
      <c r="A17" s="451">
        <v>2020</v>
      </c>
      <c r="B17" s="452">
        <v>173</v>
      </c>
      <c r="C17" s="452">
        <v>94</v>
      </c>
      <c r="D17" s="452">
        <v>69</v>
      </c>
      <c r="E17" s="452">
        <v>10</v>
      </c>
      <c r="F17" s="452">
        <v>584</v>
      </c>
      <c r="G17" s="452">
        <v>499</v>
      </c>
      <c r="H17" s="452">
        <v>61</v>
      </c>
      <c r="I17" s="453">
        <v>24</v>
      </c>
      <c r="J17" s="448">
        <f t="shared" si="0"/>
        <v>0.2285336856010568</v>
      </c>
    </row>
    <row r="18" spans="1:10" ht="15.75" customHeight="1" thickBot="1" x14ac:dyDescent="0.25">
      <c r="A18" s="451">
        <v>2021</v>
      </c>
      <c r="B18" s="452">
        <v>209</v>
      </c>
      <c r="C18" s="452">
        <v>128</v>
      </c>
      <c r="D18" s="452">
        <v>75</v>
      </c>
      <c r="E18" s="452">
        <v>6</v>
      </c>
      <c r="F18" s="452">
        <v>566</v>
      </c>
      <c r="G18" s="452">
        <v>510</v>
      </c>
      <c r="H18" s="452">
        <v>32</v>
      </c>
      <c r="I18" s="453">
        <v>24</v>
      </c>
      <c r="J18" s="448">
        <f t="shared" si="0"/>
        <v>0.26967741935483869</v>
      </c>
    </row>
    <row r="19" spans="1:10" ht="15.75" customHeight="1" thickBot="1" x14ac:dyDescent="0.25">
      <c r="A19" s="567" t="s">
        <v>373</v>
      </c>
      <c r="B19" s="568"/>
      <c r="C19" s="568"/>
      <c r="D19" s="568"/>
      <c r="E19" s="568"/>
      <c r="F19" s="568"/>
      <c r="G19" s="568"/>
      <c r="H19" s="568"/>
      <c r="I19" s="569"/>
      <c r="J19" s="454">
        <f>SUM(B4:B18)/SUM(B4:B18,F4:F18)</f>
        <v>0.22805490458654168</v>
      </c>
    </row>
    <row r="20" spans="1:10" ht="15.75" customHeight="1" thickTop="1" x14ac:dyDescent="0.2">
      <c r="A20" s="455" t="s">
        <v>374</v>
      </c>
      <c r="B20" s="452"/>
      <c r="C20" s="452"/>
      <c r="D20" s="452"/>
      <c r="E20" s="452"/>
      <c r="F20" s="452"/>
      <c r="G20" s="452"/>
      <c r="H20" s="452"/>
      <c r="I20" s="452"/>
    </row>
    <row r="21" spans="1:10" ht="15.75" customHeight="1" thickBot="1" x14ac:dyDescent="0.25">
      <c r="A21" s="455"/>
      <c r="B21" s="452"/>
      <c r="C21" s="452"/>
      <c r="D21" s="452"/>
      <c r="E21" s="452"/>
      <c r="F21" s="452"/>
      <c r="G21" s="452"/>
      <c r="H21" s="452"/>
      <c r="I21" s="452"/>
    </row>
    <row r="22" spans="1:10" ht="15.75" customHeight="1" thickTop="1" thickBot="1" x14ac:dyDescent="0.25">
      <c r="A22" s="570" t="s">
        <v>375</v>
      </c>
      <c r="B22" s="571"/>
      <c r="C22" s="571"/>
      <c r="D22" s="571"/>
      <c r="E22" s="571"/>
      <c r="F22" s="571"/>
      <c r="G22" s="571"/>
      <c r="H22" s="571"/>
      <c r="I22" s="572"/>
    </row>
    <row r="23" spans="1:10" ht="15.75" customHeight="1" thickBot="1" x14ac:dyDescent="0.25">
      <c r="A23" s="549" t="s">
        <v>110</v>
      </c>
      <c r="B23" s="551" t="s">
        <v>369</v>
      </c>
      <c r="C23" s="552"/>
      <c r="D23" s="552"/>
      <c r="E23" s="553"/>
      <c r="F23" s="551" t="s">
        <v>370</v>
      </c>
      <c r="G23" s="552"/>
      <c r="H23" s="552"/>
      <c r="I23" s="554"/>
    </row>
    <row r="24" spans="1:10" ht="15.75" customHeight="1" thickBot="1" x14ac:dyDescent="0.25">
      <c r="A24" s="550"/>
      <c r="B24" s="456" t="s">
        <v>7</v>
      </c>
      <c r="C24" s="456" t="s">
        <v>371</v>
      </c>
      <c r="D24" s="456" t="s">
        <v>372</v>
      </c>
      <c r="E24" s="456" t="s">
        <v>363</v>
      </c>
      <c r="F24" s="456" t="s">
        <v>7</v>
      </c>
      <c r="G24" s="456" t="s">
        <v>371</v>
      </c>
      <c r="H24" s="456" t="s">
        <v>372</v>
      </c>
      <c r="I24" s="457" t="s">
        <v>363</v>
      </c>
    </row>
    <row r="25" spans="1:10" ht="15.75" customHeight="1" x14ac:dyDescent="0.2">
      <c r="A25" s="458">
        <v>2007</v>
      </c>
      <c r="B25" s="459">
        <v>40</v>
      </c>
      <c r="C25" s="459">
        <v>38</v>
      </c>
      <c r="D25" s="459">
        <v>2</v>
      </c>
      <c r="E25" s="459">
        <v>0</v>
      </c>
      <c r="F25" s="459">
        <v>180</v>
      </c>
      <c r="G25" s="459">
        <v>177</v>
      </c>
      <c r="H25" s="459">
        <v>2</v>
      </c>
      <c r="I25" s="460">
        <v>1</v>
      </c>
      <c r="J25" s="448">
        <f>B25/SUM(B25,F25)</f>
        <v>0.18181818181818182</v>
      </c>
    </row>
    <row r="26" spans="1:10" ht="15.75" customHeight="1" x14ac:dyDescent="0.2">
      <c r="A26" s="458">
        <v>2008</v>
      </c>
      <c r="B26" s="459">
        <v>24</v>
      </c>
      <c r="C26" s="459">
        <v>22</v>
      </c>
      <c r="D26" s="459">
        <v>2</v>
      </c>
      <c r="E26" s="459">
        <v>0</v>
      </c>
      <c r="F26" s="459">
        <v>86</v>
      </c>
      <c r="G26" s="459">
        <v>85</v>
      </c>
      <c r="H26" s="459">
        <v>1</v>
      </c>
      <c r="I26" s="460">
        <v>0</v>
      </c>
      <c r="J26" s="448">
        <f t="shared" ref="J26:J39" si="1">B26/SUM(B26,F26)</f>
        <v>0.21818181818181817</v>
      </c>
    </row>
    <row r="27" spans="1:10" ht="15.75" customHeight="1" x14ac:dyDescent="0.2">
      <c r="A27" s="458">
        <v>2009</v>
      </c>
      <c r="B27" s="459">
        <v>22</v>
      </c>
      <c r="C27" s="459">
        <v>21</v>
      </c>
      <c r="D27" s="459">
        <v>1</v>
      </c>
      <c r="E27" s="459">
        <v>0</v>
      </c>
      <c r="F27" s="459">
        <v>100</v>
      </c>
      <c r="G27" s="459">
        <v>95</v>
      </c>
      <c r="H27" s="459">
        <v>2</v>
      </c>
      <c r="I27" s="460">
        <v>3</v>
      </c>
      <c r="J27" s="448">
        <f t="shared" si="1"/>
        <v>0.18032786885245902</v>
      </c>
    </row>
    <row r="28" spans="1:10" ht="15.75" customHeight="1" x14ac:dyDescent="0.2">
      <c r="A28" s="458">
        <v>2010</v>
      </c>
      <c r="B28" s="459">
        <v>35</v>
      </c>
      <c r="C28" s="459">
        <v>33</v>
      </c>
      <c r="D28" s="459">
        <v>2</v>
      </c>
      <c r="E28" s="459">
        <v>0</v>
      </c>
      <c r="F28" s="459">
        <v>106</v>
      </c>
      <c r="G28" s="459">
        <v>103</v>
      </c>
      <c r="H28" s="459">
        <v>2</v>
      </c>
      <c r="I28" s="460">
        <v>1</v>
      </c>
      <c r="J28" s="448">
        <f t="shared" si="1"/>
        <v>0.24822695035460993</v>
      </c>
    </row>
    <row r="29" spans="1:10" ht="15.75" customHeight="1" x14ac:dyDescent="0.2">
      <c r="A29" s="458">
        <v>2011</v>
      </c>
      <c r="B29" s="459">
        <v>35</v>
      </c>
      <c r="C29" s="459">
        <v>30</v>
      </c>
      <c r="D29" s="459">
        <v>5</v>
      </c>
      <c r="E29" s="459">
        <v>0</v>
      </c>
      <c r="F29" s="459">
        <v>163</v>
      </c>
      <c r="G29" s="459">
        <v>157</v>
      </c>
      <c r="H29" s="459">
        <v>0</v>
      </c>
      <c r="I29" s="460">
        <v>6</v>
      </c>
      <c r="J29" s="448">
        <f t="shared" si="1"/>
        <v>0.17676767676767677</v>
      </c>
    </row>
    <row r="30" spans="1:10" ht="15.75" customHeight="1" x14ac:dyDescent="0.2">
      <c r="A30" s="458">
        <v>2012</v>
      </c>
      <c r="B30" s="459">
        <v>32</v>
      </c>
      <c r="C30" s="459">
        <v>29</v>
      </c>
      <c r="D30" s="459">
        <v>2</v>
      </c>
      <c r="E30" s="459">
        <v>1</v>
      </c>
      <c r="F30" s="459">
        <v>154</v>
      </c>
      <c r="G30" s="459">
        <v>152</v>
      </c>
      <c r="H30" s="459">
        <v>1</v>
      </c>
      <c r="I30" s="460">
        <v>1</v>
      </c>
      <c r="J30" s="448">
        <f t="shared" si="1"/>
        <v>0.17204301075268819</v>
      </c>
    </row>
    <row r="31" spans="1:10" ht="15.75" customHeight="1" x14ac:dyDescent="0.2">
      <c r="A31" s="458">
        <v>2013</v>
      </c>
      <c r="B31" s="459">
        <v>25</v>
      </c>
      <c r="C31" s="459">
        <v>21</v>
      </c>
      <c r="D31" s="459">
        <v>3</v>
      </c>
      <c r="E31" s="459">
        <v>1</v>
      </c>
      <c r="F31" s="459">
        <v>129</v>
      </c>
      <c r="G31" s="459">
        <v>124</v>
      </c>
      <c r="H31" s="459">
        <v>1</v>
      </c>
      <c r="I31" s="460">
        <v>4</v>
      </c>
      <c r="J31" s="448">
        <f t="shared" si="1"/>
        <v>0.16233766233766234</v>
      </c>
    </row>
    <row r="32" spans="1:10" ht="15.75" customHeight="1" x14ac:dyDescent="0.2">
      <c r="A32" s="458">
        <v>2014</v>
      </c>
      <c r="B32" s="459">
        <v>27</v>
      </c>
      <c r="C32" s="459">
        <v>23</v>
      </c>
      <c r="D32" s="459">
        <v>2</v>
      </c>
      <c r="E32" s="459">
        <v>2</v>
      </c>
      <c r="F32" s="459">
        <v>135</v>
      </c>
      <c r="G32" s="459">
        <v>130</v>
      </c>
      <c r="H32" s="459">
        <v>5</v>
      </c>
      <c r="I32" s="460">
        <v>0</v>
      </c>
      <c r="J32" s="448">
        <f t="shared" si="1"/>
        <v>0.16666666666666666</v>
      </c>
    </row>
    <row r="33" spans="1:10" ht="15.75" customHeight="1" x14ac:dyDescent="0.2">
      <c r="A33" s="458">
        <v>2015</v>
      </c>
      <c r="B33" s="459">
        <v>28</v>
      </c>
      <c r="C33" s="459">
        <v>26</v>
      </c>
      <c r="D33" s="459">
        <v>1</v>
      </c>
      <c r="E33" s="459">
        <v>1</v>
      </c>
      <c r="F33" s="459">
        <v>103</v>
      </c>
      <c r="G33" s="459">
        <v>101</v>
      </c>
      <c r="H33" s="459">
        <v>0</v>
      </c>
      <c r="I33" s="460">
        <v>2</v>
      </c>
      <c r="J33" s="448">
        <f t="shared" si="1"/>
        <v>0.21374045801526717</v>
      </c>
    </row>
    <row r="34" spans="1:10" ht="15.75" customHeight="1" x14ac:dyDescent="0.2">
      <c r="A34" s="458">
        <v>2016</v>
      </c>
      <c r="B34" s="459">
        <v>26</v>
      </c>
      <c r="C34" s="459">
        <v>22</v>
      </c>
      <c r="D34" s="459">
        <v>4</v>
      </c>
      <c r="E34" s="459">
        <v>0</v>
      </c>
      <c r="F34" s="459">
        <v>123</v>
      </c>
      <c r="G34" s="459">
        <v>119</v>
      </c>
      <c r="H34" s="459">
        <v>1</v>
      </c>
      <c r="I34" s="460">
        <v>3</v>
      </c>
      <c r="J34" s="448">
        <f t="shared" si="1"/>
        <v>0.17449664429530201</v>
      </c>
    </row>
    <row r="35" spans="1:10" ht="15.75" customHeight="1" x14ac:dyDescent="0.2">
      <c r="A35" s="458">
        <v>2017</v>
      </c>
      <c r="B35" s="459">
        <v>30</v>
      </c>
      <c r="C35" s="459">
        <v>29</v>
      </c>
      <c r="D35" s="459">
        <v>0</v>
      </c>
      <c r="E35" s="459">
        <v>1</v>
      </c>
      <c r="F35" s="459">
        <v>94</v>
      </c>
      <c r="G35" s="459">
        <v>92</v>
      </c>
      <c r="H35" s="459">
        <v>1</v>
      </c>
      <c r="I35" s="460">
        <v>1</v>
      </c>
      <c r="J35" s="448">
        <f t="shared" si="1"/>
        <v>0.24193548387096775</v>
      </c>
    </row>
    <row r="36" spans="1:10" ht="15.75" customHeight="1" x14ac:dyDescent="0.2">
      <c r="A36" s="458">
        <v>2018</v>
      </c>
      <c r="B36" s="459">
        <v>28</v>
      </c>
      <c r="C36" s="459">
        <v>23</v>
      </c>
      <c r="D36" s="459">
        <v>4</v>
      </c>
      <c r="E36" s="459">
        <v>1</v>
      </c>
      <c r="F36" s="459">
        <v>132</v>
      </c>
      <c r="G36" s="459">
        <v>122</v>
      </c>
      <c r="H36" s="459">
        <v>0</v>
      </c>
      <c r="I36" s="460">
        <v>10</v>
      </c>
      <c r="J36" s="448">
        <f t="shared" si="1"/>
        <v>0.17499999999999999</v>
      </c>
    </row>
    <row r="37" spans="1:10" ht="12.75" x14ac:dyDescent="0.2">
      <c r="A37" s="458">
        <v>2019</v>
      </c>
      <c r="B37" s="459">
        <v>44</v>
      </c>
      <c r="C37" s="459">
        <v>37</v>
      </c>
      <c r="D37" s="459">
        <v>4</v>
      </c>
      <c r="E37" s="459">
        <v>3</v>
      </c>
      <c r="F37" s="459">
        <v>99</v>
      </c>
      <c r="G37" s="459">
        <v>96</v>
      </c>
      <c r="H37" s="459">
        <v>3</v>
      </c>
      <c r="I37" s="460">
        <v>0</v>
      </c>
      <c r="J37" s="448">
        <f t="shared" si="1"/>
        <v>0.30769230769230771</v>
      </c>
    </row>
    <row r="38" spans="1:10" ht="12.75" x14ac:dyDescent="0.2">
      <c r="A38" s="458">
        <v>2020</v>
      </c>
      <c r="B38" s="459">
        <v>22</v>
      </c>
      <c r="C38" s="459">
        <v>16</v>
      </c>
      <c r="D38" s="459">
        <v>3</v>
      </c>
      <c r="E38" s="459">
        <v>3</v>
      </c>
      <c r="F38" s="459">
        <v>112</v>
      </c>
      <c r="G38" s="459">
        <v>107</v>
      </c>
      <c r="H38" s="459">
        <v>4</v>
      </c>
      <c r="I38" s="460">
        <v>1</v>
      </c>
      <c r="J38" s="448">
        <f t="shared" si="1"/>
        <v>0.16417910447761194</v>
      </c>
    </row>
    <row r="39" spans="1:10" ht="13.5" thickBot="1" x14ac:dyDescent="0.25">
      <c r="A39" s="458">
        <v>2021</v>
      </c>
      <c r="B39" s="459">
        <v>27</v>
      </c>
      <c r="C39" s="459">
        <v>21</v>
      </c>
      <c r="D39" s="459">
        <v>6</v>
      </c>
      <c r="E39" s="459">
        <v>0</v>
      </c>
      <c r="F39" s="459">
        <v>100</v>
      </c>
      <c r="G39" s="459">
        <v>92</v>
      </c>
      <c r="H39" s="459">
        <v>2</v>
      </c>
      <c r="I39" s="460">
        <v>6</v>
      </c>
      <c r="J39" s="448">
        <f t="shared" si="1"/>
        <v>0.2125984251968504</v>
      </c>
    </row>
    <row r="40" spans="1:10" ht="13.5" thickBot="1" x14ac:dyDescent="0.25">
      <c r="A40" s="555" t="s">
        <v>373</v>
      </c>
      <c r="B40" s="556"/>
      <c r="C40" s="556"/>
      <c r="D40" s="556"/>
      <c r="E40" s="556"/>
      <c r="F40" s="556"/>
      <c r="G40" s="556"/>
      <c r="H40" s="556"/>
      <c r="I40" s="557"/>
      <c r="J40" s="454">
        <f>SUM(B25:B39)/SUM(B25:B39,F25:F39)</f>
        <v>0.1968155683325962</v>
      </c>
    </row>
    <row r="41" spans="1:10" ht="13.5" thickTop="1" x14ac:dyDescent="0.2">
      <c r="A41" s="455"/>
      <c r="B41" s="452"/>
      <c r="C41" s="452"/>
      <c r="D41" s="452"/>
      <c r="E41" s="452"/>
      <c r="F41" s="452"/>
      <c r="G41" s="452"/>
      <c r="H41" s="452"/>
      <c r="I41" s="452"/>
    </row>
    <row r="42" spans="1:10" ht="12.75" x14ac:dyDescent="0.2">
      <c r="A42" s="455"/>
      <c r="B42" s="452"/>
      <c r="C42" s="452"/>
      <c r="D42" s="452"/>
      <c r="E42" s="452"/>
      <c r="F42" s="452"/>
      <c r="G42" s="452"/>
      <c r="H42" s="452"/>
      <c r="I42" s="452"/>
    </row>
    <row r="43" spans="1:10" ht="12.75" x14ac:dyDescent="0.2">
      <c r="A43" s="455"/>
      <c r="B43" s="452"/>
      <c r="C43" s="452"/>
      <c r="D43" s="452"/>
      <c r="E43" s="452"/>
      <c r="F43" s="452"/>
      <c r="G43" s="452"/>
      <c r="H43" s="452"/>
      <c r="I43" s="452"/>
    </row>
    <row r="44" spans="1:10" ht="12.75" x14ac:dyDescent="0.2">
      <c r="A44" s="455"/>
      <c r="B44" s="452"/>
      <c r="C44" s="452"/>
      <c r="D44" s="452"/>
      <c r="E44" s="452"/>
      <c r="F44" s="452"/>
      <c r="G44" s="452"/>
      <c r="H44" s="452"/>
      <c r="I44" s="452"/>
    </row>
    <row r="45" spans="1:10" ht="12.75" x14ac:dyDescent="0.2">
      <c r="A45" s="455"/>
      <c r="B45" s="452"/>
      <c r="C45" s="452"/>
      <c r="D45" s="452"/>
      <c r="E45" s="452"/>
      <c r="F45" s="452"/>
      <c r="G45" s="452"/>
      <c r="H45" s="452"/>
      <c r="I45" s="452"/>
    </row>
    <row r="46" spans="1:10" ht="12.75" x14ac:dyDescent="0.2">
      <c r="A46" s="455"/>
      <c r="B46" s="452"/>
      <c r="C46" s="452"/>
      <c r="D46" s="452"/>
      <c r="E46" s="452"/>
      <c r="F46" s="452"/>
      <c r="G46" s="452"/>
      <c r="H46" s="452"/>
      <c r="I46" s="452"/>
    </row>
    <row r="47" spans="1:10" ht="12.75" x14ac:dyDescent="0.2">
      <c r="A47" s="455"/>
      <c r="B47" s="452"/>
      <c r="C47" s="452"/>
      <c r="D47" s="452"/>
      <c r="E47" s="452"/>
      <c r="F47" s="452"/>
      <c r="G47" s="452"/>
      <c r="H47" s="452"/>
      <c r="I47" s="452"/>
    </row>
    <row r="48" spans="1:10" ht="12.75" x14ac:dyDescent="0.2">
      <c r="A48" s="455"/>
      <c r="B48" s="452"/>
      <c r="C48" s="452"/>
      <c r="D48" s="452"/>
      <c r="E48" s="452"/>
      <c r="F48" s="452"/>
      <c r="G48" s="452"/>
      <c r="H48" s="452"/>
      <c r="I48" s="452"/>
    </row>
    <row r="49" spans="1:9" ht="12.75" x14ac:dyDescent="0.2">
      <c r="A49" s="455"/>
      <c r="B49" s="452"/>
      <c r="C49" s="452"/>
      <c r="D49" s="452"/>
      <c r="E49" s="452"/>
      <c r="F49" s="452"/>
      <c r="G49" s="452"/>
      <c r="H49" s="452"/>
      <c r="I49" s="452"/>
    </row>
    <row r="50" spans="1:9" ht="12.75" x14ac:dyDescent="0.2">
      <c r="A50" s="455"/>
      <c r="B50" s="452"/>
      <c r="C50" s="452"/>
      <c r="D50" s="452"/>
      <c r="E50" s="452"/>
      <c r="F50" s="452"/>
      <c r="G50" s="452"/>
      <c r="H50" s="452"/>
      <c r="I50" s="452"/>
    </row>
    <row r="51" spans="1:9" ht="12.75" x14ac:dyDescent="0.2">
      <c r="A51" s="455"/>
      <c r="B51" s="452"/>
      <c r="C51" s="452"/>
      <c r="D51" s="452"/>
      <c r="E51" s="452"/>
      <c r="F51" s="452"/>
      <c r="G51" s="452"/>
      <c r="H51" s="452"/>
      <c r="I51" s="452"/>
    </row>
    <row r="52" spans="1:9" ht="12.75" x14ac:dyDescent="0.2">
      <c r="A52" s="455"/>
      <c r="B52" s="452"/>
      <c r="C52" s="452"/>
      <c r="D52" s="452"/>
      <c r="E52" s="452"/>
      <c r="F52" s="452"/>
      <c r="G52" s="452"/>
      <c r="H52" s="452"/>
      <c r="I52" s="452"/>
    </row>
    <row r="53" spans="1:9" ht="12.75" x14ac:dyDescent="0.2">
      <c r="A53" s="455"/>
      <c r="B53" s="452"/>
      <c r="C53" s="452"/>
      <c r="D53" s="452"/>
      <c r="E53" s="452"/>
      <c r="F53" s="452"/>
      <c r="G53" s="452"/>
      <c r="H53" s="452"/>
      <c r="I53" s="452"/>
    </row>
    <row r="54" spans="1:9" ht="12.75" x14ac:dyDescent="0.2">
      <c r="A54" s="455"/>
      <c r="B54" s="452"/>
      <c r="C54" s="452"/>
      <c r="D54" s="452"/>
      <c r="E54" s="452"/>
      <c r="F54" s="452"/>
      <c r="G54" s="452"/>
      <c r="H54" s="452"/>
      <c r="I54" s="452"/>
    </row>
    <row r="55" spans="1:9" ht="12.75" x14ac:dyDescent="0.2">
      <c r="A55" s="455"/>
      <c r="B55" s="452"/>
      <c r="C55" s="452"/>
      <c r="D55" s="452"/>
      <c r="E55" s="452"/>
      <c r="F55" s="452"/>
      <c r="G55" s="452"/>
      <c r="H55" s="452"/>
      <c r="I55" s="452"/>
    </row>
    <row r="56" spans="1:9" ht="12.75" x14ac:dyDescent="0.2">
      <c r="A56" s="455"/>
      <c r="B56" s="452"/>
      <c r="C56" s="452"/>
      <c r="D56" s="452"/>
      <c r="E56" s="452"/>
      <c r="F56" s="452"/>
      <c r="G56" s="452"/>
      <c r="H56" s="452"/>
      <c r="I56" s="452"/>
    </row>
    <row r="57" spans="1:9" ht="12.75" x14ac:dyDescent="0.2">
      <c r="A57" s="455"/>
      <c r="B57" s="452"/>
      <c r="C57" s="452"/>
      <c r="D57" s="452"/>
      <c r="E57" s="452"/>
      <c r="F57" s="452"/>
      <c r="G57" s="452"/>
      <c r="H57" s="452"/>
      <c r="I57" s="452"/>
    </row>
    <row r="58" spans="1:9" ht="12.75" x14ac:dyDescent="0.2">
      <c r="A58" s="455"/>
      <c r="B58" s="452"/>
      <c r="C58" s="452"/>
      <c r="D58" s="452"/>
      <c r="E58" s="452"/>
      <c r="F58" s="452"/>
      <c r="G58" s="452"/>
      <c r="H58" s="452"/>
      <c r="I58" s="452"/>
    </row>
    <row r="59" spans="1:9" ht="12.75" x14ac:dyDescent="0.2">
      <c r="A59" s="455"/>
      <c r="B59" s="452"/>
      <c r="C59" s="452"/>
      <c r="D59" s="452"/>
      <c r="E59" s="452"/>
      <c r="F59" s="452"/>
      <c r="G59" s="452"/>
      <c r="H59" s="452"/>
      <c r="I59" s="452"/>
    </row>
    <row r="60" spans="1:9" ht="12.75" x14ac:dyDescent="0.2">
      <c r="A60" s="455"/>
      <c r="B60" s="452"/>
      <c r="C60" s="452"/>
      <c r="D60" s="452"/>
      <c r="E60" s="452"/>
      <c r="F60" s="452"/>
      <c r="G60" s="452"/>
      <c r="H60" s="452"/>
      <c r="I60" s="452"/>
    </row>
    <row r="61" spans="1:9" ht="12.75" x14ac:dyDescent="0.2">
      <c r="A61" s="455"/>
      <c r="B61" s="452"/>
      <c r="C61" s="452"/>
      <c r="D61" s="452"/>
      <c r="E61" s="452"/>
      <c r="F61" s="452"/>
      <c r="G61" s="452"/>
      <c r="H61" s="452"/>
      <c r="I61" s="452"/>
    </row>
    <row r="62" spans="1:9" ht="12.75" x14ac:dyDescent="0.2">
      <c r="A62" s="455"/>
      <c r="B62" s="452"/>
      <c r="C62" s="452"/>
      <c r="D62" s="452"/>
      <c r="E62" s="452"/>
      <c r="F62" s="452"/>
      <c r="G62" s="452"/>
      <c r="H62" s="452"/>
      <c r="I62" s="452"/>
    </row>
    <row r="63" spans="1:9" ht="12.75" x14ac:dyDescent="0.2">
      <c r="A63" s="455"/>
      <c r="B63" s="452"/>
      <c r="C63" s="452"/>
      <c r="D63" s="452"/>
      <c r="E63" s="452"/>
      <c r="F63" s="452"/>
      <c r="G63" s="452"/>
      <c r="H63" s="452"/>
      <c r="I63" s="452"/>
    </row>
    <row r="64" spans="1:9" ht="12.75" x14ac:dyDescent="0.2">
      <c r="A64" s="455"/>
      <c r="B64" s="452"/>
      <c r="C64" s="452"/>
      <c r="D64" s="452"/>
      <c r="E64" s="452"/>
      <c r="F64" s="452"/>
      <c r="G64" s="452"/>
      <c r="H64" s="452"/>
      <c r="I64" s="452"/>
    </row>
    <row r="65" spans="1:9" ht="12.75" x14ac:dyDescent="0.2">
      <c r="A65" s="455"/>
      <c r="B65" s="452"/>
      <c r="C65" s="452"/>
      <c r="D65" s="452"/>
      <c r="E65" s="452"/>
      <c r="F65" s="452"/>
      <c r="G65" s="452"/>
      <c r="H65" s="452"/>
      <c r="I65" s="452"/>
    </row>
    <row r="66" spans="1:9" ht="12.75" x14ac:dyDescent="0.2">
      <c r="A66" s="455"/>
      <c r="B66" s="452"/>
      <c r="C66" s="452"/>
      <c r="D66" s="452"/>
      <c r="E66" s="452"/>
      <c r="F66" s="452"/>
      <c r="G66" s="452"/>
      <c r="H66" s="452"/>
      <c r="I66" s="452"/>
    </row>
    <row r="67" spans="1:9" ht="12.75" x14ac:dyDescent="0.2">
      <c r="A67" s="455"/>
      <c r="B67" s="452"/>
      <c r="C67" s="452"/>
      <c r="D67" s="452"/>
      <c r="E67" s="452"/>
      <c r="F67" s="452"/>
      <c r="G67" s="452"/>
      <c r="H67" s="452"/>
      <c r="I67" s="452"/>
    </row>
    <row r="68" spans="1:9" ht="12.75" x14ac:dyDescent="0.2">
      <c r="A68" s="455"/>
      <c r="B68" s="452"/>
      <c r="C68" s="452"/>
      <c r="D68" s="452"/>
      <c r="E68" s="452"/>
      <c r="F68" s="452"/>
      <c r="G68" s="452"/>
      <c r="H68" s="452"/>
      <c r="I68" s="452"/>
    </row>
    <row r="69" spans="1:9" ht="12.75" x14ac:dyDescent="0.2">
      <c r="A69" s="455"/>
      <c r="B69" s="452"/>
      <c r="C69" s="452"/>
      <c r="D69" s="452"/>
      <c r="E69" s="452"/>
      <c r="F69" s="452"/>
      <c r="G69" s="452"/>
      <c r="H69" s="452"/>
      <c r="I69" s="452"/>
    </row>
    <row r="70" spans="1:9" ht="12.75" x14ac:dyDescent="0.2">
      <c r="A70" s="455"/>
      <c r="B70" s="452"/>
      <c r="C70" s="452"/>
      <c r="D70" s="452"/>
      <c r="E70" s="452"/>
      <c r="F70" s="452"/>
      <c r="G70" s="452"/>
      <c r="H70" s="452"/>
      <c r="I70" s="452"/>
    </row>
    <row r="71" spans="1:9" ht="12.75" x14ac:dyDescent="0.2">
      <c r="A71" s="455"/>
      <c r="B71" s="452"/>
      <c r="C71" s="452"/>
      <c r="D71" s="452"/>
      <c r="E71" s="452"/>
      <c r="F71" s="452"/>
      <c r="G71" s="452"/>
      <c r="H71" s="452"/>
      <c r="I71" s="452"/>
    </row>
    <row r="72" spans="1:9" ht="12.75" x14ac:dyDescent="0.2">
      <c r="A72" s="455"/>
      <c r="B72" s="452"/>
      <c r="C72" s="452"/>
      <c r="D72" s="452"/>
      <c r="E72" s="452"/>
      <c r="F72" s="452"/>
      <c r="G72" s="452"/>
      <c r="H72" s="452"/>
      <c r="I72" s="452"/>
    </row>
    <row r="73" spans="1:9" ht="12.75" x14ac:dyDescent="0.2">
      <c r="A73" s="455"/>
      <c r="B73" s="452"/>
      <c r="C73" s="452"/>
      <c r="D73" s="452"/>
      <c r="E73" s="452"/>
      <c r="F73" s="452"/>
      <c r="G73" s="452"/>
      <c r="H73" s="452"/>
      <c r="I73" s="452"/>
    </row>
    <row r="74" spans="1:9" ht="12.75" x14ac:dyDescent="0.2">
      <c r="A74" s="455"/>
      <c r="B74" s="452"/>
      <c r="C74" s="452"/>
      <c r="D74" s="452"/>
      <c r="E74" s="452"/>
      <c r="F74" s="452"/>
      <c r="G74" s="452"/>
      <c r="H74" s="452"/>
      <c r="I74" s="452"/>
    </row>
    <row r="75" spans="1:9" ht="12.75" x14ac:dyDescent="0.2">
      <c r="A75" s="455"/>
      <c r="B75" s="452"/>
      <c r="C75" s="452"/>
      <c r="D75" s="452"/>
      <c r="E75" s="452"/>
      <c r="F75" s="452"/>
      <c r="G75" s="452"/>
      <c r="H75" s="452"/>
      <c r="I75" s="452"/>
    </row>
    <row r="76" spans="1:9" ht="12.75" x14ac:dyDescent="0.2">
      <c r="A76" s="455"/>
      <c r="B76" s="452"/>
      <c r="C76" s="452"/>
      <c r="D76" s="452"/>
      <c r="E76" s="452"/>
      <c r="F76" s="452"/>
      <c r="G76" s="452"/>
      <c r="H76" s="452"/>
      <c r="I76" s="452"/>
    </row>
    <row r="77" spans="1:9" ht="12.75" x14ac:dyDescent="0.2">
      <c r="A77" s="455"/>
      <c r="B77" s="452"/>
      <c r="C77" s="452"/>
      <c r="D77" s="452"/>
      <c r="E77" s="452"/>
      <c r="F77" s="452"/>
      <c r="G77" s="452"/>
      <c r="H77" s="452"/>
      <c r="I77" s="452"/>
    </row>
    <row r="78" spans="1:9" ht="12.75" x14ac:dyDescent="0.2">
      <c r="A78" s="455"/>
      <c r="B78" s="452"/>
      <c r="C78" s="452"/>
      <c r="D78" s="452"/>
      <c r="E78" s="452"/>
      <c r="F78" s="452"/>
      <c r="G78" s="452"/>
      <c r="H78" s="452"/>
      <c r="I78" s="452"/>
    </row>
    <row r="79" spans="1:9" ht="12.75" x14ac:dyDescent="0.2">
      <c r="A79" s="455"/>
      <c r="B79" s="452"/>
      <c r="C79" s="452"/>
      <c r="D79" s="452"/>
      <c r="E79" s="452"/>
      <c r="F79" s="452"/>
      <c r="G79" s="452"/>
      <c r="H79" s="452"/>
      <c r="I79" s="452"/>
    </row>
    <row r="80" spans="1:9" ht="12.75" x14ac:dyDescent="0.2">
      <c r="A80" s="455"/>
      <c r="B80" s="452"/>
      <c r="C80" s="452"/>
      <c r="D80" s="452"/>
      <c r="E80" s="452"/>
      <c r="F80" s="452"/>
      <c r="G80" s="452"/>
      <c r="H80" s="452"/>
      <c r="I80" s="452"/>
    </row>
    <row r="81" spans="1:9" ht="12.75" x14ac:dyDescent="0.2">
      <c r="A81" s="455"/>
      <c r="B81" s="452"/>
      <c r="C81" s="452"/>
      <c r="D81" s="452"/>
      <c r="E81" s="452"/>
      <c r="F81" s="452"/>
      <c r="G81" s="452"/>
      <c r="H81" s="452"/>
      <c r="I81" s="452"/>
    </row>
    <row r="82" spans="1:9" ht="12.75" x14ac:dyDescent="0.2">
      <c r="A82" s="455"/>
      <c r="B82" s="452"/>
      <c r="C82" s="452"/>
      <c r="D82" s="452"/>
      <c r="E82" s="452"/>
      <c r="F82" s="452"/>
      <c r="G82" s="452"/>
      <c r="H82" s="452"/>
      <c r="I82" s="452"/>
    </row>
    <row r="83" spans="1:9" ht="12.75" x14ac:dyDescent="0.2">
      <c r="A83" s="455"/>
      <c r="B83" s="452"/>
      <c r="C83" s="452"/>
      <c r="D83" s="452"/>
      <c r="E83" s="452"/>
      <c r="F83" s="452"/>
      <c r="G83" s="452"/>
      <c r="H83" s="452"/>
      <c r="I83" s="452"/>
    </row>
    <row r="84" spans="1:9" ht="12.75" x14ac:dyDescent="0.2">
      <c r="A84" s="455"/>
      <c r="B84" s="452"/>
      <c r="C84" s="452"/>
      <c r="D84" s="452"/>
      <c r="E84" s="452"/>
      <c r="F84" s="452"/>
      <c r="G84" s="452"/>
      <c r="H84" s="452"/>
      <c r="I84" s="452"/>
    </row>
    <row r="85" spans="1:9" ht="12.75" x14ac:dyDescent="0.2">
      <c r="A85" s="455"/>
      <c r="B85" s="452"/>
      <c r="C85" s="452"/>
      <c r="D85" s="452"/>
      <c r="E85" s="452"/>
      <c r="F85" s="452"/>
      <c r="G85" s="452"/>
      <c r="H85" s="452"/>
      <c r="I85" s="452"/>
    </row>
    <row r="86" spans="1:9" ht="12.75" x14ac:dyDescent="0.2">
      <c r="A86" s="455"/>
      <c r="B86" s="452"/>
      <c r="C86" s="452"/>
      <c r="D86" s="452"/>
      <c r="E86" s="452"/>
      <c r="F86" s="452"/>
      <c r="G86" s="452"/>
      <c r="H86" s="452"/>
      <c r="I86" s="452"/>
    </row>
    <row r="87" spans="1:9" ht="12.75" x14ac:dyDescent="0.2">
      <c r="A87" s="455"/>
      <c r="B87" s="452"/>
      <c r="C87" s="452"/>
      <c r="D87" s="452"/>
      <c r="E87" s="452"/>
      <c r="F87" s="452"/>
      <c r="G87" s="452"/>
      <c r="H87" s="452"/>
      <c r="I87" s="452"/>
    </row>
    <row r="88" spans="1:9" ht="12.75" x14ac:dyDescent="0.2">
      <c r="A88" s="455"/>
      <c r="B88" s="452"/>
      <c r="C88" s="452"/>
      <c r="D88" s="452"/>
      <c r="E88" s="452"/>
      <c r="F88" s="452"/>
      <c r="G88" s="452"/>
      <c r="H88" s="452"/>
      <c r="I88" s="452"/>
    </row>
    <row r="89" spans="1:9" ht="12.75" x14ac:dyDescent="0.2">
      <c r="A89" s="455"/>
      <c r="B89" s="452"/>
      <c r="C89" s="452"/>
      <c r="D89" s="452"/>
      <c r="E89" s="452"/>
      <c r="F89" s="452"/>
      <c r="G89" s="452"/>
      <c r="H89" s="452"/>
      <c r="I89" s="452"/>
    </row>
    <row r="90" spans="1:9" ht="12.75" x14ac:dyDescent="0.2">
      <c r="A90" s="455"/>
      <c r="B90" s="452"/>
      <c r="C90" s="452"/>
      <c r="D90" s="452"/>
      <c r="E90" s="452"/>
      <c r="F90" s="452"/>
      <c r="G90" s="452"/>
      <c r="H90" s="452"/>
      <c r="I90" s="452"/>
    </row>
    <row r="91" spans="1:9" ht="12.75" x14ac:dyDescent="0.2">
      <c r="A91" s="455"/>
      <c r="B91" s="452"/>
      <c r="C91" s="452"/>
      <c r="D91" s="452"/>
      <c r="E91" s="452"/>
      <c r="F91" s="452"/>
      <c r="G91" s="452"/>
      <c r="H91" s="452"/>
      <c r="I91" s="452"/>
    </row>
    <row r="92" spans="1:9" ht="12.75" x14ac:dyDescent="0.2">
      <c r="A92" s="455"/>
      <c r="B92" s="452"/>
      <c r="C92" s="452"/>
      <c r="D92" s="452"/>
      <c r="E92" s="452"/>
      <c r="F92" s="452"/>
      <c r="G92" s="452"/>
      <c r="H92" s="452"/>
      <c r="I92" s="452"/>
    </row>
    <row r="93" spans="1:9" ht="12.75" x14ac:dyDescent="0.2">
      <c r="A93" s="455"/>
      <c r="B93" s="452"/>
      <c r="C93" s="452"/>
      <c r="D93" s="452"/>
      <c r="E93" s="452"/>
      <c r="F93" s="452"/>
      <c r="G93" s="452"/>
      <c r="H93" s="452"/>
      <c r="I93" s="452"/>
    </row>
    <row r="94" spans="1:9" ht="12.75" x14ac:dyDescent="0.2">
      <c r="A94" s="455"/>
      <c r="B94" s="452"/>
      <c r="C94" s="452"/>
      <c r="D94" s="452"/>
      <c r="E94" s="452"/>
      <c r="F94" s="452"/>
      <c r="G94" s="452"/>
      <c r="H94" s="452"/>
      <c r="I94" s="452"/>
    </row>
    <row r="95" spans="1:9" ht="12.75" x14ac:dyDescent="0.2">
      <c r="A95" s="455"/>
      <c r="B95" s="452"/>
      <c r="C95" s="452"/>
      <c r="D95" s="452"/>
      <c r="E95" s="452"/>
      <c r="F95" s="452"/>
      <c r="G95" s="452"/>
      <c r="H95" s="452"/>
      <c r="I95" s="452"/>
    </row>
    <row r="96" spans="1:9" ht="12.75" x14ac:dyDescent="0.2">
      <c r="A96" s="455"/>
      <c r="B96" s="452"/>
      <c r="C96" s="452"/>
      <c r="D96" s="452"/>
      <c r="E96" s="452"/>
      <c r="F96" s="452"/>
      <c r="G96" s="452"/>
      <c r="H96" s="452"/>
      <c r="I96" s="452"/>
    </row>
    <row r="97" spans="1:9" ht="12.75" x14ac:dyDescent="0.2">
      <c r="A97" s="455"/>
      <c r="B97" s="452"/>
      <c r="C97" s="452"/>
      <c r="D97" s="452"/>
      <c r="E97" s="452"/>
      <c r="F97" s="452"/>
      <c r="G97" s="452"/>
      <c r="H97" s="452"/>
      <c r="I97" s="452"/>
    </row>
    <row r="98" spans="1:9" ht="12.75" x14ac:dyDescent="0.2">
      <c r="A98" s="455"/>
      <c r="B98" s="452"/>
      <c r="C98" s="452"/>
      <c r="D98" s="452"/>
      <c r="E98" s="452"/>
      <c r="F98" s="452"/>
      <c r="G98" s="452"/>
      <c r="H98" s="452"/>
      <c r="I98" s="452"/>
    </row>
    <row r="99" spans="1:9" ht="12.75" x14ac:dyDescent="0.2">
      <c r="A99" s="455"/>
      <c r="B99" s="452"/>
      <c r="C99" s="452"/>
      <c r="D99" s="452"/>
      <c r="E99" s="452"/>
      <c r="F99" s="452"/>
      <c r="G99" s="452"/>
      <c r="H99" s="452"/>
      <c r="I99" s="452"/>
    </row>
    <row r="100" spans="1:9" ht="12.75" x14ac:dyDescent="0.2">
      <c r="A100" s="455"/>
      <c r="B100" s="452"/>
      <c r="C100" s="452"/>
      <c r="D100" s="452"/>
      <c r="E100" s="452"/>
      <c r="F100" s="452"/>
      <c r="G100" s="452"/>
      <c r="H100" s="452"/>
      <c r="I100" s="452"/>
    </row>
    <row r="101" spans="1:9" ht="12.75" x14ac:dyDescent="0.2">
      <c r="A101" s="455"/>
      <c r="B101" s="452"/>
      <c r="C101" s="452"/>
      <c r="D101" s="452"/>
      <c r="E101" s="452"/>
      <c r="F101" s="452"/>
      <c r="G101" s="452"/>
      <c r="H101" s="452"/>
      <c r="I101" s="452"/>
    </row>
    <row r="102" spans="1:9" ht="12.75" x14ac:dyDescent="0.2">
      <c r="A102" s="455"/>
      <c r="B102" s="452"/>
      <c r="C102" s="452"/>
      <c r="D102" s="452"/>
      <c r="E102" s="452"/>
      <c r="F102" s="452"/>
      <c r="G102" s="452"/>
      <c r="H102" s="452"/>
      <c r="I102" s="452"/>
    </row>
    <row r="103" spans="1:9" ht="12.75" x14ac:dyDescent="0.2">
      <c r="A103" s="455"/>
      <c r="B103" s="452"/>
      <c r="C103" s="452"/>
      <c r="D103" s="452"/>
      <c r="E103" s="452"/>
      <c r="F103" s="452"/>
      <c r="G103" s="452"/>
      <c r="H103" s="452"/>
      <c r="I103" s="452"/>
    </row>
    <row r="104" spans="1:9" ht="12.75" x14ac:dyDescent="0.2">
      <c r="A104" s="455"/>
      <c r="B104" s="452"/>
      <c r="C104" s="452"/>
      <c r="D104" s="452"/>
      <c r="E104" s="452"/>
      <c r="F104" s="452"/>
      <c r="G104" s="452"/>
      <c r="H104" s="452"/>
      <c r="I104" s="452"/>
    </row>
    <row r="105" spans="1:9" ht="12.75" x14ac:dyDescent="0.2">
      <c r="A105" s="455"/>
      <c r="B105" s="452"/>
      <c r="C105" s="452"/>
      <c r="D105" s="452"/>
      <c r="E105" s="452"/>
      <c r="F105" s="452"/>
      <c r="G105" s="452"/>
      <c r="H105" s="452"/>
      <c r="I105" s="452"/>
    </row>
    <row r="106" spans="1:9" ht="12.75" x14ac:dyDescent="0.2">
      <c r="A106" s="455"/>
      <c r="B106" s="452"/>
      <c r="C106" s="452"/>
      <c r="D106" s="452"/>
      <c r="E106" s="452"/>
      <c r="F106" s="452"/>
      <c r="G106" s="452"/>
      <c r="H106" s="452"/>
      <c r="I106" s="452"/>
    </row>
    <row r="107" spans="1:9" ht="12.75" x14ac:dyDescent="0.2">
      <c r="A107" s="455"/>
      <c r="B107" s="452"/>
      <c r="C107" s="452"/>
      <c r="D107" s="452"/>
      <c r="E107" s="452"/>
      <c r="F107" s="452"/>
      <c r="G107" s="452"/>
      <c r="H107" s="452"/>
      <c r="I107" s="452"/>
    </row>
    <row r="108" spans="1:9" ht="12.75" x14ac:dyDescent="0.2">
      <c r="A108" s="455"/>
      <c r="B108" s="452"/>
      <c r="C108" s="452"/>
      <c r="D108" s="452"/>
      <c r="E108" s="452"/>
      <c r="F108" s="452"/>
      <c r="G108" s="452"/>
      <c r="H108" s="452"/>
      <c r="I108" s="452"/>
    </row>
    <row r="109" spans="1:9" ht="12.75" x14ac:dyDescent="0.2">
      <c r="A109" s="455"/>
      <c r="B109" s="452"/>
      <c r="C109" s="452"/>
      <c r="D109" s="452"/>
      <c r="E109" s="452"/>
      <c r="F109" s="452"/>
      <c r="G109" s="452"/>
      <c r="H109" s="452"/>
      <c r="I109" s="452"/>
    </row>
    <row r="110" spans="1:9" ht="12.75" x14ac:dyDescent="0.2">
      <c r="A110" s="455"/>
      <c r="B110" s="452"/>
      <c r="C110" s="452"/>
      <c r="D110" s="452"/>
      <c r="E110" s="452"/>
      <c r="F110" s="452"/>
      <c r="G110" s="452"/>
      <c r="H110" s="452"/>
      <c r="I110" s="452"/>
    </row>
    <row r="111" spans="1:9" ht="12.75" x14ac:dyDescent="0.2">
      <c r="A111" s="455"/>
      <c r="B111" s="452"/>
      <c r="C111" s="452"/>
      <c r="D111" s="452"/>
      <c r="E111" s="452"/>
      <c r="F111" s="452"/>
      <c r="G111" s="452"/>
      <c r="H111" s="452"/>
      <c r="I111" s="452"/>
    </row>
    <row r="112" spans="1:9" ht="12.75" x14ac:dyDescent="0.2">
      <c r="A112" s="455"/>
      <c r="B112" s="452"/>
      <c r="C112" s="452"/>
      <c r="D112" s="452"/>
      <c r="E112" s="452"/>
      <c r="F112" s="452"/>
      <c r="G112" s="452"/>
      <c r="H112" s="452"/>
      <c r="I112" s="452"/>
    </row>
    <row r="113" spans="1:9" ht="12.75" x14ac:dyDescent="0.2">
      <c r="A113" s="455"/>
      <c r="B113" s="452"/>
      <c r="C113" s="452"/>
      <c r="D113" s="452"/>
      <c r="E113" s="452"/>
      <c r="F113" s="452"/>
      <c r="G113" s="452"/>
      <c r="H113" s="452"/>
      <c r="I113" s="452"/>
    </row>
    <row r="114" spans="1:9" ht="12.75" x14ac:dyDescent="0.2">
      <c r="A114" s="455"/>
      <c r="B114" s="452"/>
      <c r="C114" s="452"/>
      <c r="D114" s="452"/>
      <c r="E114" s="452"/>
      <c r="F114" s="452"/>
      <c r="G114" s="452"/>
      <c r="H114" s="452"/>
      <c r="I114" s="452"/>
    </row>
    <row r="115" spans="1:9" ht="12.75" x14ac:dyDescent="0.2">
      <c r="A115" s="455"/>
      <c r="B115" s="452"/>
      <c r="C115" s="452"/>
      <c r="D115" s="452"/>
      <c r="E115" s="452"/>
      <c r="F115" s="452"/>
      <c r="G115" s="452"/>
      <c r="H115" s="452"/>
      <c r="I115" s="452"/>
    </row>
    <row r="116" spans="1:9" ht="12.75" x14ac:dyDescent="0.2">
      <c r="A116" s="455"/>
      <c r="B116" s="452"/>
      <c r="C116" s="452"/>
      <c r="D116" s="452"/>
      <c r="E116" s="452"/>
      <c r="F116" s="452"/>
      <c r="G116" s="452"/>
      <c r="H116" s="452"/>
      <c r="I116" s="452"/>
    </row>
    <row r="117" spans="1:9" ht="12.75" x14ac:dyDescent="0.2">
      <c r="A117" s="455"/>
      <c r="B117" s="452"/>
      <c r="C117" s="452"/>
      <c r="D117" s="452"/>
      <c r="E117" s="452"/>
      <c r="F117" s="452"/>
      <c r="G117" s="452"/>
      <c r="H117" s="452"/>
      <c r="I117" s="452"/>
    </row>
    <row r="118" spans="1:9" ht="12.75" x14ac:dyDescent="0.2">
      <c r="A118" s="455"/>
      <c r="B118" s="452"/>
      <c r="C118" s="452"/>
      <c r="D118" s="452"/>
      <c r="E118" s="452"/>
      <c r="F118" s="452"/>
      <c r="G118" s="452"/>
      <c r="H118" s="452"/>
      <c r="I118" s="452"/>
    </row>
    <row r="119" spans="1:9" ht="12.75" x14ac:dyDescent="0.2">
      <c r="A119" s="455"/>
      <c r="B119" s="452"/>
      <c r="C119" s="452"/>
      <c r="D119" s="452"/>
      <c r="E119" s="452"/>
      <c r="F119" s="452"/>
      <c r="G119" s="452"/>
      <c r="H119" s="452"/>
      <c r="I119" s="452"/>
    </row>
    <row r="120" spans="1:9" ht="12.75" x14ac:dyDescent="0.2">
      <c r="A120" s="455"/>
      <c r="B120" s="452"/>
      <c r="C120" s="452"/>
      <c r="D120" s="452"/>
      <c r="E120" s="452"/>
      <c r="F120" s="452"/>
      <c r="G120" s="452"/>
      <c r="H120" s="452"/>
      <c r="I120" s="452"/>
    </row>
    <row r="121" spans="1:9" ht="12.75" x14ac:dyDescent="0.2">
      <c r="A121" s="455"/>
      <c r="B121" s="452"/>
      <c r="C121" s="452"/>
      <c r="D121" s="452"/>
      <c r="E121" s="452"/>
      <c r="F121" s="452"/>
      <c r="G121" s="452"/>
      <c r="H121" s="452"/>
      <c r="I121" s="452"/>
    </row>
    <row r="122" spans="1:9" ht="12.75" x14ac:dyDescent="0.2">
      <c r="A122" s="455"/>
      <c r="B122" s="452"/>
      <c r="C122" s="452"/>
      <c r="D122" s="452"/>
      <c r="E122" s="452"/>
      <c r="F122" s="452"/>
      <c r="G122" s="452"/>
      <c r="H122" s="452"/>
      <c r="I122" s="452"/>
    </row>
    <row r="123" spans="1:9" ht="12.75" x14ac:dyDescent="0.2">
      <c r="A123" s="455"/>
      <c r="B123" s="452"/>
      <c r="C123" s="452"/>
      <c r="D123" s="452"/>
      <c r="E123" s="452"/>
      <c r="F123" s="452"/>
      <c r="G123" s="452"/>
      <c r="H123" s="452"/>
      <c r="I123" s="452"/>
    </row>
    <row r="124" spans="1:9" ht="12.75" x14ac:dyDescent="0.2">
      <c r="A124" s="455"/>
      <c r="B124" s="452"/>
      <c r="C124" s="452"/>
      <c r="D124" s="452"/>
      <c r="E124" s="452"/>
      <c r="F124" s="452"/>
      <c r="G124" s="452"/>
      <c r="H124" s="452"/>
      <c r="I124" s="452"/>
    </row>
    <row r="125" spans="1:9" ht="12.75" x14ac:dyDescent="0.2">
      <c r="A125" s="455"/>
      <c r="B125" s="452"/>
      <c r="C125" s="452"/>
      <c r="D125" s="452"/>
      <c r="E125" s="452"/>
      <c r="F125" s="452"/>
      <c r="G125" s="452"/>
      <c r="H125" s="452"/>
      <c r="I125" s="452"/>
    </row>
    <row r="126" spans="1:9" ht="12.75" x14ac:dyDescent="0.2">
      <c r="A126" s="455"/>
      <c r="B126" s="452"/>
      <c r="C126" s="452"/>
      <c r="D126" s="452"/>
      <c r="E126" s="452"/>
      <c r="F126" s="452"/>
      <c r="G126" s="452"/>
      <c r="H126" s="452"/>
      <c r="I126" s="452"/>
    </row>
    <row r="127" spans="1:9" ht="12.75" x14ac:dyDescent="0.2">
      <c r="A127" s="455"/>
      <c r="B127" s="452"/>
      <c r="C127" s="452"/>
      <c r="D127" s="452"/>
      <c r="E127" s="452"/>
      <c r="F127" s="452"/>
      <c r="G127" s="452"/>
      <c r="H127" s="452"/>
      <c r="I127" s="452"/>
    </row>
    <row r="128" spans="1:9" ht="12.75" x14ac:dyDescent="0.2">
      <c r="A128" s="455"/>
      <c r="B128" s="452"/>
      <c r="C128" s="452"/>
      <c r="D128" s="452"/>
      <c r="E128" s="452"/>
      <c r="F128" s="452"/>
      <c r="G128" s="452"/>
      <c r="H128" s="452"/>
      <c r="I128" s="452"/>
    </row>
    <row r="129" spans="1:9" ht="12.75" x14ac:dyDescent="0.2">
      <c r="A129" s="455"/>
      <c r="B129" s="452"/>
      <c r="C129" s="452"/>
      <c r="D129" s="452"/>
      <c r="E129" s="452"/>
      <c r="F129" s="452"/>
      <c r="G129" s="452"/>
      <c r="H129" s="452"/>
      <c r="I129" s="452"/>
    </row>
    <row r="130" spans="1:9" ht="12.75" x14ac:dyDescent="0.2">
      <c r="A130" s="455"/>
      <c r="B130" s="452"/>
      <c r="C130" s="452"/>
      <c r="D130" s="452"/>
      <c r="E130" s="452"/>
      <c r="F130" s="452"/>
      <c r="G130" s="452"/>
      <c r="H130" s="452"/>
      <c r="I130" s="452"/>
    </row>
    <row r="131" spans="1:9" ht="12.75" x14ac:dyDescent="0.2">
      <c r="A131" s="455"/>
      <c r="B131" s="452"/>
      <c r="C131" s="452"/>
      <c r="D131" s="452"/>
      <c r="E131" s="452"/>
      <c r="F131" s="452"/>
      <c r="G131" s="452"/>
      <c r="H131" s="452"/>
      <c r="I131" s="452"/>
    </row>
    <row r="132" spans="1:9" ht="12.75" x14ac:dyDescent="0.2">
      <c r="A132" s="455"/>
      <c r="B132" s="452"/>
      <c r="C132" s="452"/>
      <c r="D132" s="452"/>
      <c r="E132" s="452"/>
      <c r="F132" s="452"/>
      <c r="G132" s="452"/>
      <c r="H132" s="452"/>
      <c r="I132" s="452"/>
    </row>
    <row r="133" spans="1:9" ht="12.75" x14ac:dyDescent="0.2">
      <c r="A133" s="455"/>
      <c r="B133" s="452"/>
      <c r="C133" s="452"/>
      <c r="D133" s="452"/>
      <c r="E133" s="452"/>
      <c r="F133" s="452"/>
      <c r="G133" s="452"/>
      <c r="H133" s="452"/>
      <c r="I133" s="452"/>
    </row>
    <row r="134" spans="1:9" ht="12.75" x14ac:dyDescent="0.2">
      <c r="A134" s="455"/>
      <c r="B134" s="452"/>
      <c r="C134" s="452"/>
      <c r="D134" s="452"/>
      <c r="E134" s="452"/>
      <c r="F134" s="452"/>
      <c r="G134" s="452"/>
      <c r="H134" s="452"/>
      <c r="I134" s="452"/>
    </row>
    <row r="135" spans="1:9" ht="12.75" x14ac:dyDescent="0.2">
      <c r="A135" s="455"/>
      <c r="B135" s="452"/>
      <c r="C135" s="452"/>
      <c r="D135" s="452"/>
      <c r="E135" s="452"/>
      <c r="F135" s="452"/>
      <c r="G135" s="452"/>
      <c r="H135" s="452"/>
      <c r="I135" s="452"/>
    </row>
    <row r="136" spans="1:9" ht="12.75" x14ac:dyDescent="0.2">
      <c r="A136" s="455"/>
      <c r="B136" s="452"/>
      <c r="C136" s="452"/>
      <c r="D136" s="452"/>
      <c r="E136" s="452"/>
      <c r="F136" s="452"/>
      <c r="G136" s="452"/>
      <c r="H136" s="452"/>
      <c r="I136" s="452"/>
    </row>
    <row r="137" spans="1:9" ht="12.75" x14ac:dyDescent="0.2">
      <c r="A137" s="455"/>
      <c r="B137" s="452"/>
      <c r="C137" s="452"/>
      <c r="D137" s="452"/>
      <c r="E137" s="452"/>
      <c r="F137" s="452"/>
      <c r="G137" s="452"/>
      <c r="H137" s="452"/>
      <c r="I137" s="452"/>
    </row>
    <row r="138" spans="1:9" ht="12.75" x14ac:dyDescent="0.2">
      <c r="A138" s="455"/>
      <c r="B138" s="452"/>
      <c r="C138" s="452"/>
      <c r="D138" s="452"/>
      <c r="E138" s="452"/>
      <c r="F138" s="452"/>
      <c r="G138" s="452"/>
      <c r="H138" s="452"/>
      <c r="I138" s="452"/>
    </row>
    <row r="139" spans="1:9" ht="12.75" x14ac:dyDescent="0.2">
      <c r="A139" s="455"/>
      <c r="B139" s="452"/>
      <c r="C139" s="452"/>
      <c r="D139" s="452"/>
      <c r="E139" s="452"/>
      <c r="F139" s="452"/>
      <c r="G139" s="452"/>
      <c r="H139" s="452"/>
      <c r="I139" s="452"/>
    </row>
    <row r="140" spans="1:9" ht="12.75" x14ac:dyDescent="0.2">
      <c r="A140" s="455"/>
      <c r="B140" s="452"/>
      <c r="C140" s="452"/>
      <c r="D140" s="452"/>
      <c r="E140" s="452"/>
      <c r="F140" s="452"/>
      <c r="G140" s="452"/>
      <c r="H140" s="452"/>
      <c r="I140" s="452"/>
    </row>
    <row r="141" spans="1:9" ht="12.75" x14ac:dyDescent="0.2">
      <c r="A141" s="455"/>
      <c r="B141" s="452"/>
      <c r="C141" s="452"/>
      <c r="D141" s="452"/>
      <c r="E141" s="452"/>
      <c r="F141" s="452"/>
      <c r="G141" s="452"/>
      <c r="H141" s="452"/>
      <c r="I141" s="452"/>
    </row>
    <row r="142" spans="1:9" ht="12.75" x14ac:dyDescent="0.2">
      <c r="A142" s="455"/>
      <c r="B142" s="452"/>
      <c r="C142" s="452"/>
      <c r="D142" s="452"/>
      <c r="E142" s="452"/>
      <c r="F142" s="452"/>
      <c r="G142" s="452"/>
      <c r="H142" s="452"/>
      <c r="I142" s="452"/>
    </row>
    <row r="143" spans="1:9" ht="12.75" x14ac:dyDescent="0.2">
      <c r="A143" s="455"/>
      <c r="B143" s="452"/>
      <c r="C143" s="452"/>
      <c r="D143" s="452"/>
      <c r="E143" s="452"/>
      <c r="F143" s="452"/>
      <c r="G143" s="452"/>
      <c r="H143" s="452"/>
      <c r="I143" s="452"/>
    </row>
    <row r="144" spans="1:9" ht="12.75" x14ac:dyDescent="0.2">
      <c r="A144" s="455"/>
      <c r="B144" s="452"/>
      <c r="C144" s="452"/>
      <c r="D144" s="452"/>
      <c r="E144" s="452"/>
      <c r="F144" s="452"/>
      <c r="G144" s="452"/>
      <c r="H144" s="452"/>
      <c r="I144" s="452"/>
    </row>
    <row r="145" spans="1:9" ht="12.75" x14ac:dyDescent="0.2">
      <c r="A145" s="455"/>
      <c r="B145" s="452"/>
      <c r="C145" s="452"/>
      <c r="D145" s="452"/>
      <c r="E145" s="452"/>
      <c r="F145" s="452"/>
      <c r="G145" s="452"/>
      <c r="H145" s="452"/>
      <c r="I145" s="452"/>
    </row>
    <row r="146" spans="1:9" ht="12.75" x14ac:dyDescent="0.2">
      <c r="A146" s="455"/>
      <c r="B146" s="452"/>
      <c r="C146" s="452"/>
      <c r="D146" s="452"/>
      <c r="E146" s="452"/>
      <c r="F146" s="452"/>
      <c r="G146" s="452"/>
      <c r="H146" s="452"/>
      <c r="I146" s="452"/>
    </row>
    <row r="147" spans="1:9" ht="12.75" x14ac:dyDescent="0.2">
      <c r="A147" s="455"/>
      <c r="B147" s="452"/>
      <c r="C147" s="452"/>
      <c r="D147" s="452"/>
      <c r="E147" s="452"/>
      <c r="F147" s="452"/>
      <c r="G147" s="452"/>
      <c r="H147" s="452"/>
      <c r="I147" s="452"/>
    </row>
    <row r="148" spans="1:9" ht="12.75" x14ac:dyDescent="0.2">
      <c r="A148" s="455"/>
      <c r="B148" s="452"/>
      <c r="C148" s="452"/>
      <c r="D148" s="452"/>
      <c r="E148" s="452"/>
      <c r="F148" s="452"/>
      <c r="G148" s="452"/>
      <c r="H148" s="452"/>
      <c r="I148" s="452"/>
    </row>
    <row r="149" spans="1:9" ht="12.75" x14ac:dyDescent="0.2">
      <c r="A149" s="455"/>
      <c r="B149" s="452"/>
      <c r="C149" s="452"/>
      <c r="D149" s="452"/>
      <c r="E149" s="452"/>
      <c r="F149" s="452"/>
      <c r="G149" s="452"/>
      <c r="H149" s="452"/>
      <c r="I149" s="452"/>
    </row>
    <row r="150" spans="1:9" ht="12.75" x14ac:dyDescent="0.2">
      <c r="A150" s="455"/>
      <c r="B150" s="452"/>
      <c r="C150" s="452"/>
      <c r="D150" s="452"/>
      <c r="E150" s="452"/>
      <c r="F150" s="452"/>
      <c r="G150" s="452"/>
      <c r="H150" s="452"/>
      <c r="I150" s="452"/>
    </row>
    <row r="151" spans="1:9" ht="12.75" x14ac:dyDescent="0.2">
      <c r="A151" s="455"/>
      <c r="B151" s="452"/>
      <c r="C151" s="452"/>
      <c r="D151" s="452"/>
      <c r="E151" s="452"/>
      <c r="F151" s="452"/>
      <c r="G151" s="452"/>
      <c r="H151" s="452"/>
      <c r="I151" s="452"/>
    </row>
    <row r="152" spans="1:9" ht="12.75" x14ac:dyDescent="0.2">
      <c r="A152" s="455"/>
      <c r="B152" s="452"/>
      <c r="C152" s="452"/>
      <c r="D152" s="452"/>
      <c r="E152" s="452"/>
      <c r="F152" s="452"/>
      <c r="G152" s="452"/>
      <c r="H152" s="452"/>
      <c r="I152" s="452"/>
    </row>
    <row r="153" spans="1:9" ht="12.75" x14ac:dyDescent="0.2">
      <c r="A153" s="455"/>
      <c r="B153" s="452"/>
      <c r="C153" s="452"/>
      <c r="D153" s="452"/>
      <c r="E153" s="452"/>
      <c r="F153" s="452"/>
      <c r="G153" s="452"/>
      <c r="H153" s="452"/>
      <c r="I153" s="452"/>
    </row>
    <row r="154" spans="1:9" ht="12.75" x14ac:dyDescent="0.2">
      <c r="A154" s="455"/>
      <c r="B154" s="452"/>
      <c r="C154" s="452"/>
      <c r="D154" s="452"/>
      <c r="E154" s="452"/>
      <c r="F154" s="452"/>
      <c r="G154" s="452"/>
      <c r="H154" s="452"/>
      <c r="I154" s="452"/>
    </row>
    <row r="155" spans="1:9" ht="12.75" x14ac:dyDescent="0.2">
      <c r="A155" s="455"/>
      <c r="B155" s="452"/>
      <c r="C155" s="452"/>
      <c r="D155" s="452"/>
      <c r="E155" s="452"/>
      <c r="F155" s="452"/>
      <c r="G155" s="452"/>
      <c r="H155" s="452"/>
      <c r="I155" s="452"/>
    </row>
    <row r="156" spans="1:9" ht="12.75" x14ac:dyDescent="0.2">
      <c r="A156" s="455"/>
      <c r="B156" s="452"/>
      <c r="C156" s="452"/>
      <c r="D156" s="452"/>
      <c r="E156" s="452"/>
      <c r="F156" s="452"/>
      <c r="G156" s="452"/>
      <c r="H156" s="452"/>
      <c r="I156" s="452"/>
    </row>
    <row r="157" spans="1:9" ht="12.75" x14ac:dyDescent="0.2">
      <c r="A157" s="455"/>
      <c r="B157" s="452"/>
      <c r="C157" s="452"/>
      <c r="D157" s="452"/>
      <c r="E157" s="452"/>
      <c r="F157" s="452"/>
      <c r="G157" s="452"/>
      <c r="H157" s="452"/>
      <c r="I157" s="452"/>
    </row>
    <row r="158" spans="1:9" ht="12.75" x14ac:dyDescent="0.2">
      <c r="A158" s="455"/>
      <c r="B158" s="452"/>
      <c r="C158" s="452"/>
      <c r="D158" s="452"/>
      <c r="E158" s="452"/>
      <c r="F158" s="452"/>
      <c r="G158" s="452"/>
      <c r="H158" s="452"/>
      <c r="I158" s="452"/>
    </row>
    <row r="159" spans="1:9" ht="12.75" x14ac:dyDescent="0.2">
      <c r="A159" s="455"/>
      <c r="B159" s="452"/>
      <c r="C159" s="452"/>
      <c r="D159" s="452"/>
      <c r="E159" s="452"/>
      <c r="F159" s="452"/>
      <c r="G159" s="452"/>
      <c r="H159" s="452"/>
      <c r="I159" s="452"/>
    </row>
    <row r="160" spans="1:9" ht="12.75" x14ac:dyDescent="0.2">
      <c r="A160" s="455"/>
      <c r="B160" s="452"/>
      <c r="C160" s="452"/>
      <c r="D160" s="452"/>
      <c r="E160" s="452"/>
      <c r="F160" s="452"/>
      <c r="G160" s="452"/>
      <c r="H160" s="452"/>
      <c r="I160" s="452"/>
    </row>
    <row r="161" spans="1:9" ht="12.75" x14ac:dyDescent="0.2">
      <c r="A161" s="455"/>
      <c r="B161" s="452"/>
      <c r="C161" s="452"/>
      <c r="D161" s="452"/>
      <c r="E161" s="452"/>
      <c r="F161" s="452"/>
      <c r="G161" s="452"/>
      <c r="H161" s="452"/>
      <c r="I161" s="452"/>
    </row>
    <row r="162" spans="1:9" ht="12.75" x14ac:dyDescent="0.2">
      <c r="A162" s="455"/>
      <c r="B162" s="452"/>
      <c r="C162" s="452"/>
      <c r="D162" s="452"/>
      <c r="E162" s="452"/>
      <c r="F162" s="452"/>
      <c r="G162" s="452"/>
      <c r="H162" s="452"/>
      <c r="I162" s="452"/>
    </row>
    <row r="163" spans="1:9" ht="12.75" x14ac:dyDescent="0.2">
      <c r="A163" s="455"/>
      <c r="B163" s="452"/>
      <c r="C163" s="452"/>
      <c r="D163" s="452"/>
      <c r="E163" s="452"/>
      <c r="F163" s="452"/>
      <c r="G163" s="452"/>
      <c r="H163" s="452"/>
      <c r="I163" s="452"/>
    </row>
    <row r="164" spans="1:9" ht="12.75" x14ac:dyDescent="0.2">
      <c r="A164" s="455"/>
      <c r="B164" s="452"/>
      <c r="C164" s="452"/>
      <c r="D164" s="452"/>
      <c r="E164" s="452"/>
      <c r="F164" s="452"/>
      <c r="G164" s="452"/>
      <c r="H164" s="452"/>
      <c r="I164" s="452"/>
    </row>
    <row r="165" spans="1:9" ht="12.75" x14ac:dyDescent="0.2">
      <c r="A165" s="455"/>
      <c r="B165" s="452"/>
      <c r="C165" s="452"/>
      <c r="D165" s="452"/>
      <c r="E165" s="452"/>
      <c r="F165" s="452"/>
      <c r="G165" s="452"/>
      <c r="H165" s="452"/>
      <c r="I165" s="452"/>
    </row>
    <row r="166" spans="1:9" ht="12.75" x14ac:dyDescent="0.2">
      <c r="A166" s="455"/>
      <c r="B166" s="452"/>
      <c r="C166" s="452"/>
      <c r="D166" s="452"/>
      <c r="E166" s="452"/>
      <c r="F166" s="452"/>
      <c r="G166" s="452"/>
      <c r="H166" s="452"/>
      <c r="I166" s="452"/>
    </row>
    <row r="167" spans="1:9" ht="12.75" x14ac:dyDescent="0.2">
      <c r="A167" s="455"/>
      <c r="B167" s="452"/>
      <c r="C167" s="452"/>
      <c r="D167" s="452"/>
      <c r="E167" s="452"/>
      <c r="F167" s="452"/>
      <c r="G167" s="452"/>
      <c r="H167" s="452"/>
      <c r="I167" s="452"/>
    </row>
    <row r="168" spans="1:9" ht="12.75" x14ac:dyDescent="0.2">
      <c r="A168" s="455"/>
      <c r="B168" s="452"/>
      <c r="C168" s="452"/>
      <c r="D168" s="452"/>
      <c r="E168" s="452"/>
      <c r="F168" s="452"/>
      <c r="G168" s="452"/>
      <c r="H168" s="452"/>
      <c r="I168" s="452"/>
    </row>
    <row r="169" spans="1:9" ht="12.75" x14ac:dyDescent="0.2">
      <c r="A169" s="455"/>
      <c r="B169" s="452"/>
      <c r="C169" s="452"/>
      <c r="D169" s="452"/>
      <c r="E169" s="452"/>
      <c r="F169" s="452"/>
      <c r="G169" s="452"/>
      <c r="H169" s="452"/>
      <c r="I169" s="452"/>
    </row>
    <row r="170" spans="1:9" ht="12.75" x14ac:dyDescent="0.2">
      <c r="A170" s="455"/>
      <c r="B170" s="452"/>
      <c r="C170" s="452"/>
      <c r="D170" s="452"/>
      <c r="E170" s="452"/>
      <c r="F170" s="452"/>
      <c r="G170" s="452"/>
      <c r="H170" s="452"/>
      <c r="I170" s="452"/>
    </row>
    <row r="171" spans="1:9" ht="12.75" x14ac:dyDescent="0.2">
      <c r="A171" s="455"/>
      <c r="B171" s="452"/>
      <c r="C171" s="452"/>
      <c r="D171" s="452"/>
      <c r="E171" s="452"/>
      <c r="F171" s="452"/>
      <c r="G171" s="452"/>
      <c r="H171" s="452"/>
      <c r="I171" s="452"/>
    </row>
    <row r="172" spans="1:9" ht="12.75" x14ac:dyDescent="0.2">
      <c r="A172" s="455"/>
      <c r="B172" s="452"/>
      <c r="C172" s="452"/>
      <c r="D172" s="452"/>
      <c r="E172" s="452"/>
      <c r="F172" s="452"/>
      <c r="G172" s="452"/>
      <c r="H172" s="452"/>
      <c r="I172" s="452"/>
    </row>
    <row r="173" spans="1:9" ht="12.75" x14ac:dyDescent="0.2">
      <c r="A173" s="455"/>
      <c r="B173" s="452"/>
      <c r="C173" s="452"/>
      <c r="D173" s="452"/>
      <c r="E173" s="452"/>
      <c r="F173" s="452"/>
      <c r="G173" s="452"/>
      <c r="H173" s="452"/>
      <c r="I173" s="452"/>
    </row>
    <row r="174" spans="1:9" ht="12.75" x14ac:dyDescent="0.2">
      <c r="A174" s="455"/>
      <c r="B174" s="452"/>
      <c r="C174" s="452"/>
      <c r="D174" s="452"/>
      <c r="E174" s="452"/>
      <c r="F174" s="452"/>
      <c r="G174" s="452"/>
      <c r="H174" s="452"/>
      <c r="I174" s="452"/>
    </row>
    <row r="175" spans="1:9" ht="12.75" x14ac:dyDescent="0.2">
      <c r="A175" s="455"/>
      <c r="B175" s="452"/>
      <c r="C175" s="452"/>
      <c r="D175" s="452"/>
      <c r="E175" s="452"/>
      <c r="F175" s="452"/>
      <c r="G175" s="452"/>
      <c r="H175" s="452"/>
      <c r="I175" s="452"/>
    </row>
    <row r="176" spans="1:9" ht="12.75" x14ac:dyDescent="0.2">
      <c r="A176" s="455"/>
      <c r="B176" s="452"/>
      <c r="C176" s="452"/>
      <c r="D176" s="452"/>
      <c r="E176" s="452"/>
      <c r="F176" s="452"/>
      <c r="G176" s="452"/>
      <c r="H176" s="452"/>
      <c r="I176" s="452"/>
    </row>
    <row r="177" spans="1:9" ht="12.75" x14ac:dyDescent="0.2">
      <c r="A177" s="455"/>
      <c r="B177" s="452"/>
      <c r="C177" s="452"/>
      <c r="D177" s="452"/>
      <c r="E177" s="452"/>
      <c r="F177" s="452"/>
      <c r="G177" s="452"/>
      <c r="H177" s="452"/>
      <c r="I177" s="452"/>
    </row>
    <row r="178" spans="1:9" ht="12.75" x14ac:dyDescent="0.2">
      <c r="A178" s="455"/>
      <c r="B178" s="452"/>
      <c r="C178" s="452"/>
      <c r="D178" s="452"/>
      <c r="E178" s="452"/>
      <c r="F178" s="452"/>
      <c r="G178" s="452"/>
      <c r="H178" s="452"/>
      <c r="I178" s="452"/>
    </row>
    <row r="179" spans="1:9" ht="12.75" x14ac:dyDescent="0.2">
      <c r="A179" s="455"/>
      <c r="B179" s="452"/>
      <c r="C179" s="452"/>
      <c r="D179" s="452"/>
      <c r="E179" s="452"/>
      <c r="F179" s="452"/>
      <c r="G179" s="452"/>
      <c r="H179" s="452"/>
      <c r="I179" s="452"/>
    </row>
    <row r="180" spans="1:9" ht="12.75" x14ac:dyDescent="0.2">
      <c r="A180" s="455"/>
      <c r="B180" s="452"/>
      <c r="C180" s="452"/>
      <c r="D180" s="452"/>
      <c r="E180" s="452"/>
      <c r="F180" s="452"/>
      <c r="G180" s="452"/>
      <c r="H180" s="452"/>
      <c r="I180" s="452"/>
    </row>
    <row r="181" spans="1:9" ht="12.75" x14ac:dyDescent="0.2">
      <c r="A181" s="455"/>
      <c r="B181" s="452"/>
      <c r="C181" s="452"/>
      <c r="D181" s="452"/>
      <c r="E181" s="452"/>
      <c r="F181" s="452"/>
      <c r="G181" s="452"/>
      <c r="H181" s="452"/>
      <c r="I181" s="452"/>
    </row>
    <row r="182" spans="1:9" ht="12.75" x14ac:dyDescent="0.2">
      <c r="A182" s="455"/>
      <c r="B182" s="452"/>
      <c r="C182" s="452"/>
      <c r="D182" s="452"/>
      <c r="E182" s="452"/>
      <c r="F182" s="452"/>
      <c r="G182" s="452"/>
      <c r="H182" s="452"/>
      <c r="I182" s="452"/>
    </row>
    <row r="183" spans="1:9" ht="12.75" x14ac:dyDescent="0.2">
      <c r="A183" s="455"/>
      <c r="B183" s="452"/>
      <c r="C183" s="452"/>
      <c r="D183" s="452"/>
      <c r="E183" s="452"/>
      <c r="F183" s="452"/>
      <c r="G183" s="452"/>
      <c r="H183" s="452"/>
      <c r="I183" s="452"/>
    </row>
    <row r="184" spans="1:9" ht="12.75" x14ac:dyDescent="0.2">
      <c r="A184" s="455"/>
      <c r="B184" s="452"/>
      <c r="C184" s="452"/>
      <c r="D184" s="452"/>
      <c r="E184" s="452"/>
      <c r="F184" s="452"/>
      <c r="G184" s="452"/>
      <c r="H184" s="452"/>
      <c r="I184" s="452"/>
    </row>
    <row r="185" spans="1:9" ht="12.75" x14ac:dyDescent="0.2">
      <c r="A185" s="455"/>
      <c r="B185" s="452"/>
      <c r="C185" s="452"/>
      <c r="D185" s="452"/>
      <c r="E185" s="452"/>
      <c r="F185" s="452"/>
      <c r="G185" s="452"/>
      <c r="H185" s="452"/>
      <c r="I185" s="452"/>
    </row>
    <row r="186" spans="1:9" ht="12.75" x14ac:dyDescent="0.2">
      <c r="A186" s="455"/>
      <c r="B186" s="452"/>
      <c r="C186" s="452"/>
      <c r="D186" s="452"/>
      <c r="E186" s="452"/>
      <c r="F186" s="452"/>
      <c r="G186" s="452"/>
      <c r="H186" s="452"/>
      <c r="I186" s="452"/>
    </row>
    <row r="187" spans="1:9" ht="12.75" x14ac:dyDescent="0.2">
      <c r="A187" s="455"/>
      <c r="B187" s="452"/>
      <c r="C187" s="452"/>
      <c r="D187" s="452"/>
      <c r="E187" s="452"/>
      <c r="F187" s="452"/>
      <c r="G187" s="452"/>
      <c r="H187" s="452"/>
      <c r="I187" s="452"/>
    </row>
    <row r="188" spans="1:9" ht="12.75" x14ac:dyDescent="0.2">
      <c r="A188" s="455"/>
      <c r="B188" s="452"/>
      <c r="C188" s="452"/>
      <c r="D188" s="452"/>
      <c r="E188" s="452"/>
      <c r="F188" s="452"/>
      <c r="G188" s="452"/>
      <c r="H188" s="452"/>
      <c r="I188" s="452"/>
    </row>
    <row r="189" spans="1:9" ht="12.75" x14ac:dyDescent="0.2">
      <c r="A189" s="455"/>
      <c r="B189" s="452"/>
      <c r="C189" s="452"/>
      <c r="D189" s="452"/>
      <c r="E189" s="452"/>
      <c r="F189" s="452"/>
      <c r="G189" s="452"/>
      <c r="H189" s="452"/>
      <c r="I189" s="452"/>
    </row>
    <row r="190" spans="1:9" ht="12.75" x14ac:dyDescent="0.2">
      <c r="A190" s="455"/>
      <c r="B190" s="452"/>
      <c r="C190" s="452"/>
      <c r="D190" s="452"/>
      <c r="E190" s="452"/>
      <c r="F190" s="452"/>
      <c r="G190" s="452"/>
      <c r="H190" s="452"/>
      <c r="I190" s="452"/>
    </row>
    <row r="191" spans="1:9" ht="12.75" x14ac:dyDescent="0.2">
      <c r="A191" s="455"/>
      <c r="B191" s="452"/>
      <c r="C191" s="452"/>
      <c r="D191" s="452"/>
      <c r="E191" s="452"/>
      <c r="F191" s="452"/>
      <c r="G191" s="452"/>
      <c r="H191" s="452"/>
      <c r="I191" s="452"/>
    </row>
    <row r="192" spans="1:9" ht="12.75" x14ac:dyDescent="0.2">
      <c r="A192" s="455"/>
      <c r="B192" s="452"/>
      <c r="C192" s="452"/>
      <c r="D192" s="452"/>
      <c r="E192" s="452"/>
      <c r="F192" s="452"/>
      <c r="G192" s="452"/>
      <c r="H192" s="452"/>
      <c r="I192" s="452"/>
    </row>
    <row r="193" spans="1:9" ht="12.75" x14ac:dyDescent="0.2">
      <c r="A193" s="455"/>
      <c r="B193" s="452"/>
      <c r="C193" s="452"/>
      <c r="D193" s="452"/>
      <c r="E193" s="452"/>
      <c r="F193" s="452"/>
      <c r="G193" s="452"/>
      <c r="H193" s="452"/>
      <c r="I193" s="452"/>
    </row>
    <row r="194" spans="1:9" ht="12.75" x14ac:dyDescent="0.2">
      <c r="A194" s="455"/>
      <c r="B194" s="452"/>
      <c r="C194" s="452"/>
      <c r="D194" s="452"/>
      <c r="E194" s="452"/>
      <c r="F194" s="452"/>
      <c r="G194" s="452"/>
      <c r="H194" s="452"/>
      <c r="I194" s="452"/>
    </row>
    <row r="195" spans="1:9" ht="12.75" x14ac:dyDescent="0.2">
      <c r="A195" s="455"/>
      <c r="B195" s="452"/>
      <c r="C195" s="452"/>
      <c r="D195" s="452"/>
      <c r="E195" s="452"/>
      <c r="F195" s="452"/>
      <c r="G195" s="452"/>
      <c r="H195" s="452"/>
      <c r="I195" s="452"/>
    </row>
    <row r="196" spans="1:9" ht="12.75" x14ac:dyDescent="0.2">
      <c r="A196" s="455"/>
      <c r="B196" s="452"/>
      <c r="C196" s="452"/>
      <c r="D196" s="452"/>
      <c r="E196" s="452"/>
      <c r="F196" s="452"/>
      <c r="G196" s="452"/>
      <c r="H196" s="452"/>
      <c r="I196" s="452"/>
    </row>
    <row r="197" spans="1:9" ht="12.75" x14ac:dyDescent="0.2">
      <c r="A197" s="455"/>
      <c r="B197" s="452"/>
      <c r="C197" s="452"/>
      <c r="D197" s="452"/>
      <c r="E197" s="452"/>
      <c r="F197" s="452"/>
      <c r="G197" s="452"/>
      <c r="H197" s="452"/>
      <c r="I197" s="452"/>
    </row>
    <row r="198" spans="1:9" ht="12.75" x14ac:dyDescent="0.2">
      <c r="A198" s="455"/>
      <c r="B198" s="452"/>
      <c r="C198" s="452"/>
      <c r="D198" s="452"/>
      <c r="E198" s="452"/>
      <c r="F198" s="452"/>
      <c r="G198" s="452"/>
      <c r="H198" s="452"/>
      <c r="I198" s="452"/>
    </row>
    <row r="199" spans="1:9" ht="12.75" x14ac:dyDescent="0.2">
      <c r="A199" s="455"/>
      <c r="B199" s="452"/>
      <c r="C199" s="452"/>
      <c r="D199" s="452"/>
      <c r="E199" s="452"/>
      <c r="F199" s="452"/>
      <c r="G199" s="452"/>
      <c r="H199" s="452"/>
      <c r="I199" s="452"/>
    </row>
    <row r="200" spans="1:9" ht="12.75" x14ac:dyDescent="0.2">
      <c r="A200" s="455"/>
      <c r="B200" s="452"/>
      <c r="C200" s="452"/>
      <c r="D200" s="452"/>
      <c r="E200" s="452"/>
      <c r="F200" s="452"/>
      <c r="G200" s="452"/>
      <c r="H200" s="452"/>
      <c r="I200" s="452"/>
    </row>
    <row r="201" spans="1:9" ht="12.75" x14ac:dyDescent="0.2">
      <c r="A201" s="455"/>
      <c r="B201" s="452"/>
      <c r="C201" s="452"/>
      <c r="D201" s="452"/>
      <c r="E201" s="452"/>
      <c r="F201" s="452"/>
      <c r="G201" s="452"/>
      <c r="H201" s="452"/>
      <c r="I201" s="452"/>
    </row>
    <row r="202" spans="1:9" ht="12.75" x14ac:dyDescent="0.2">
      <c r="A202" s="455"/>
      <c r="B202" s="452"/>
      <c r="C202" s="452"/>
      <c r="D202" s="452"/>
      <c r="E202" s="452"/>
      <c r="F202" s="452"/>
      <c r="G202" s="452"/>
      <c r="H202" s="452"/>
      <c r="I202" s="452"/>
    </row>
    <row r="203" spans="1:9" ht="12.75" x14ac:dyDescent="0.2">
      <c r="A203" s="455"/>
      <c r="B203" s="452"/>
      <c r="C203" s="452"/>
      <c r="D203" s="452"/>
      <c r="E203" s="452"/>
      <c r="F203" s="452"/>
      <c r="G203" s="452"/>
      <c r="H203" s="452"/>
      <c r="I203" s="452"/>
    </row>
    <row r="204" spans="1:9" ht="12.75" x14ac:dyDescent="0.2">
      <c r="A204" s="455"/>
      <c r="B204" s="452"/>
      <c r="C204" s="452"/>
      <c r="D204" s="452"/>
      <c r="E204" s="452"/>
      <c r="F204" s="452"/>
      <c r="G204" s="452"/>
      <c r="H204" s="452"/>
      <c r="I204" s="452"/>
    </row>
    <row r="205" spans="1:9" ht="12.75" x14ac:dyDescent="0.2">
      <c r="A205" s="455"/>
      <c r="B205" s="452"/>
      <c r="C205" s="452"/>
      <c r="D205" s="452"/>
      <c r="E205" s="452"/>
      <c r="F205" s="452"/>
      <c r="G205" s="452"/>
      <c r="H205" s="452"/>
      <c r="I205" s="452"/>
    </row>
    <row r="206" spans="1:9" ht="12.75" x14ac:dyDescent="0.2">
      <c r="A206" s="455"/>
      <c r="B206" s="452"/>
      <c r="C206" s="452"/>
      <c r="D206" s="452"/>
      <c r="E206" s="452"/>
      <c r="F206" s="452"/>
      <c r="G206" s="452"/>
      <c r="H206" s="452"/>
      <c r="I206" s="452"/>
    </row>
    <row r="207" spans="1:9" ht="12.75" x14ac:dyDescent="0.2">
      <c r="A207" s="455"/>
      <c r="B207" s="452"/>
      <c r="C207" s="452"/>
      <c r="D207" s="452"/>
      <c r="E207" s="452"/>
      <c r="F207" s="452"/>
      <c r="G207" s="452"/>
      <c r="H207" s="452"/>
      <c r="I207" s="452"/>
    </row>
    <row r="208" spans="1:9" ht="12.75" x14ac:dyDescent="0.2">
      <c r="A208" s="455"/>
      <c r="B208" s="452"/>
      <c r="C208" s="452"/>
      <c r="D208" s="452"/>
      <c r="E208" s="452"/>
      <c r="F208" s="452"/>
      <c r="G208" s="452"/>
      <c r="H208" s="452"/>
      <c r="I208" s="452"/>
    </row>
    <row r="209" spans="1:9" ht="12.75" x14ac:dyDescent="0.2">
      <c r="A209" s="455"/>
      <c r="B209" s="452"/>
      <c r="C209" s="452"/>
      <c r="D209" s="452"/>
      <c r="E209" s="452"/>
      <c r="F209" s="452"/>
      <c r="G209" s="452"/>
      <c r="H209" s="452"/>
      <c r="I209" s="452"/>
    </row>
    <row r="210" spans="1:9" ht="12.75" x14ac:dyDescent="0.2">
      <c r="A210" s="455"/>
      <c r="B210" s="452"/>
      <c r="C210" s="452"/>
      <c r="D210" s="452"/>
      <c r="E210" s="452"/>
      <c r="F210" s="452"/>
      <c r="G210" s="452"/>
      <c r="H210" s="452"/>
      <c r="I210" s="452"/>
    </row>
    <row r="211" spans="1:9" ht="12.75" x14ac:dyDescent="0.2">
      <c r="A211" s="455"/>
      <c r="B211" s="452"/>
      <c r="C211" s="452"/>
      <c r="D211" s="452"/>
      <c r="E211" s="452"/>
      <c r="F211" s="452"/>
      <c r="G211" s="452"/>
      <c r="H211" s="452"/>
      <c r="I211" s="452"/>
    </row>
    <row r="212" spans="1:9" ht="12.75" x14ac:dyDescent="0.2">
      <c r="A212" s="455"/>
      <c r="B212" s="452"/>
      <c r="C212" s="452"/>
      <c r="D212" s="452"/>
      <c r="E212" s="452"/>
      <c r="F212" s="452"/>
      <c r="G212" s="452"/>
      <c r="H212" s="452"/>
      <c r="I212" s="452"/>
    </row>
    <row r="213" spans="1:9" ht="12.75" x14ac:dyDescent="0.2">
      <c r="A213" s="455"/>
      <c r="B213" s="452"/>
      <c r="C213" s="452"/>
      <c r="D213" s="452"/>
      <c r="E213" s="452"/>
      <c r="F213" s="452"/>
      <c r="G213" s="452"/>
      <c r="H213" s="452"/>
      <c r="I213" s="452"/>
    </row>
    <row r="214" spans="1:9" ht="12.75" x14ac:dyDescent="0.2">
      <c r="A214" s="455"/>
      <c r="B214" s="452"/>
      <c r="C214" s="452"/>
      <c r="D214" s="452"/>
      <c r="E214" s="452"/>
      <c r="F214" s="452"/>
      <c r="G214" s="452"/>
      <c r="H214" s="452"/>
      <c r="I214" s="452"/>
    </row>
    <row r="215" spans="1:9" ht="12.75" x14ac:dyDescent="0.2">
      <c r="A215" s="455"/>
      <c r="B215" s="452"/>
      <c r="C215" s="452"/>
      <c r="D215" s="452"/>
      <c r="E215" s="452"/>
      <c r="F215" s="452"/>
      <c r="G215" s="452"/>
      <c r="H215" s="452"/>
      <c r="I215" s="452"/>
    </row>
    <row r="216" spans="1:9" ht="12.75" x14ac:dyDescent="0.2">
      <c r="A216" s="455"/>
      <c r="B216" s="452"/>
      <c r="C216" s="452"/>
      <c r="D216" s="452"/>
      <c r="E216" s="452"/>
      <c r="F216" s="452"/>
      <c r="G216" s="452"/>
      <c r="H216" s="452"/>
      <c r="I216" s="452"/>
    </row>
    <row r="217" spans="1:9" ht="12.75" x14ac:dyDescent="0.2">
      <c r="A217" s="455"/>
      <c r="B217" s="452"/>
      <c r="C217" s="452"/>
      <c r="D217" s="452"/>
      <c r="E217" s="452"/>
      <c r="F217" s="452"/>
      <c r="G217" s="452"/>
      <c r="H217" s="452"/>
      <c r="I217" s="452"/>
    </row>
    <row r="218" spans="1:9" ht="12.75" x14ac:dyDescent="0.2">
      <c r="A218" s="455"/>
      <c r="B218" s="452"/>
      <c r="C218" s="452"/>
      <c r="D218" s="452"/>
      <c r="E218" s="452"/>
      <c r="F218" s="452"/>
      <c r="G218" s="452"/>
      <c r="H218" s="452"/>
      <c r="I218" s="452"/>
    </row>
    <row r="219" spans="1:9" ht="12.75" x14ac:dyDescent="0.2">
      <c r="A219" s="455"/>
      <c r="B219" s="452"/>
      <c r="C219" s="452"/>
      <c r="D219" s="452"/>
      <c r="E219" s="452"/>
      <c r="F219" s="452"/>
      <c r="G219" s="452"/>
      <c r="H219" s="452"/>
      <c r="I219" s="452"/>
    </row>
    <row r="220" spans="1:9" ht="12.75" x14ac:dyDescent="0.2">
      <c r="A220" s="455"/>
      <c r="B220" s="452"/>
      <c r="C220" s="452"/>
      <c r="D220" s="452"/>
      <c r="E220" s="452"/>
      <c r="F220" s="452"/>
      <c r="G220" s="452"/>
      <c r="H220" s="452"/>
      <c r="I220" s="452"/>
    </row>
    <row r="221" spans="1:9" ht="12.75" x14ac:dyDescent="0.2">
      <c r="A221" s="455"/>
      <c r="B221" s="452"/>
      <c r="C221" s="452"/>
      <c r="D221" s="452"/>
      <c r="E221" s="452"/>
      <c r="F221" s="452"/>
      <c r="G221" s="452"/>
      <c r="H221" s="452"/>
      <c r="I221" s="452"/>
    </row>
    <row r="222" spans="1:9" ht="12.75" x14ac:dyDescent="0.2">
      <c r="A222" s="455"/>
      <c r="B222" s="452"/>
      <c r="C222" s="452"/>
      <c r="D222" s="452"/>
      <c r="E222" s="452"/>
      <c r="F222" s="452"/>
      <c r="G222" s="452"/>
      <c r="H222" s="452"/>
      <c r="I222" s="452"/>
    </row>
    <row r="223" spans="1:9" ht="12.75" x14ac:dyDescent="0.2">
      <c r="A223" s="455"/>
      <c r="B223" s="452"/>
      <c r="C223" s="452"/>
      <c r="D223" s="452"/>
      <c r="E223" s="452"/>
      <c r="F223" s="452"/>
      <c r="G223" s="452"/>
      <c r="H223" s="452"/>
      <c r="I223" s="452"/>
    </row>
    <row r="224" spans="1:9" ht="12.75" x14ac:dyDescent="0.2">
      <c r="A224" s="455"/>
      <c r="B224" s="452"/>
      <c r="C224" s="452"/>
      <c r="D224" s="452"/>
      <c r="E224" s="452"/>
      <c r="F224" s="452"/>
      <c r="G224" s="452"/>
      <c r="H224" s="452"/>
      <c r="I224" s="452"/>
    </row>
    <row r="225" spans="1:9" ht="12.75" x14ac:dyDescent="0.2">
      <c r="A225" s="455"/>
      <c r="B225" s="452"/>
      <c r="C225" s="452"/>
      <c r="D225" s="452"/>
      <c r="E225" s="452"/>
      <c r="F225" s="452"/>
      <c r="G225" s="452"/>
      <c r="H225" s="452"/>
      <c r="I225" s="452"/>
    </row>
    <row r="226" spans="1:9" ht="12.75" x14ac:dyDescent="0.2">
      <c r="A226" s="455"/>
      <c r="B226" s="452"/>
      <c r="C226" s="452"/>
      <c r="D226" s="452"/>
      <c r="E226" s="452"/>
      <c r="F226" s="452"/>
      <c r="G226" s="452"/>
      <c r="H226" s="452"/>
      <c r="I226" s="452"/>
    </row>
    <row r="227" spans="1:9" ht="12.75" x14ac:dyDescent="0.2">
      <c r="A227" s="455"/>
      <c r="B227" s="452"/>
      <c r="C227" s="452"/>
      <c r="D227" s="452"/>
      <c r="E227" s="452"/>
      <c r="F227" s="452"/>
      <c r="G227" s="452"/>
      <c r="H227" s="452"/>
      <c r="I227" s="452"/>
    </row>
    <row r="228" spans="1:9" ht="12.75" x14ac:dyDescent="0.2">
      <c r="A228" s="455"/>
      <c r="B228" s="452"/>
      <c r="C228" s="452"/>
      <c r="D228" s="452"/>
      <c r="E228" s="452"/>
      <c r="F228" s="452"/>
      <c r="G228" s="452"/>
      <c r="H228" s="452"/>
      <c r="I228" s="452"/>
    </row>
    <row r="229" spans="1:9" ht="12.75" x14ac:dyDescent="0.2">
      <c r="A229" s="455"/>
      <c r="B229" s="452"/>
      <c r="C229" s="452"/>
      <c r="D229" s="452"/>
      <c r="E229" s="452"/>
      <c r="F229" s="452"/>
      <c r="G229" s="452"/>
      <c r="H229" s="452"/>
      <c r="I229" s="452"/>
    </row>
    <row r="230" spans="1:9" ht="12.75" x14ac:dyDescent="0.2">
      <c r="A230" s="455"/>
      <c r="B230" s="452"/>
      <c r="C230" s="452"/>
      <c r="D230" s="452"/>
      <c r="E230" s="452"/>
      <c r="F230" s="452"/>
      <c r="G230" s="452"/>
      <c r="H230" s="452"/>
      <c r="I230" s="452"/>
    </row>
    <row r="231" spans="1:9" ht="12.75" x14ac:dyDescent="0.2">
      <c r="A231" s="455"/>
      <c r="B231" s="452"/>
      <c r="C231" s="452"/>
      <c r="D231" s="452"/>
      <c r="E231" s="452"/>
      <c r="F231" s="452"/>
      <c r="G231" s="452"/>
      <c r="H231" s="452"/>
      <c r="I231" s="452"/>
    </row>
    <row r="232" spans="1:9" ht="12.75" x14ac:dyDescent="0.2">
      <c r="A232" s="455"/>
      <c r="B232" s="452"/>
      <c r="C232" s="452"/>
      <c r="D232" s="452"/>
      <c r="E232" s="452"/>
      <c r="F232" s="452"/>
      <c r="G232" s="452"/>
      <c r="H232" s="452"/>
      <c r="I232" s="452"/>
    </row>
    <row r="233" spans="1:9" ht="12.75" x14ac:dyDescent="0.2">
      <c r="A233" s="455"/>
      <c r="B233" s="452"/>
      <c r="C233" s="452"/>
      <c r="D233" s="452"/>
      <c r="E233" s="452"/>
      <c r="F233" s="452"/>
      <c r="G233" s="452"/>
      <c r="H233" s="452"/>
      <c r="I233" s="452"/>
    </row>
    <row r="234" spans="1:9" ht="12.75" x14ac:dyDescent="0.2">
      <c r="A234" s="455"/>
      <c r="B234" s="452"/>
      <c r="C234" s="452"/>
      <c r="D234" s="452"/>
      <c r="E234" s="452"/>
      <c r="F234" s="452"/>
      <c r="G234" s="452"/>
      <c r="H234" s="452"/>
      <c r="I234" s="452"/>
    </row>
    <row r="235" spans="1:9" ht="12.75" x14ac:dyDescent="0.2">
      <c r="A235" s="455"/>
      <c r="B235" s="452"/>
      <c r="C235" s="452"/>
      <c r="D235" s="452"/>
      <c r="E235" s="452"/>
      <c r="F235" s="452"/>
      <c r="G235" s="452"/>
      <c r="H235" s="452"/>
      <c r="I235" s="452"/>
    </row>
    <row r="236" spans="1:9" ht="12.75" x14ac:dyDescent="0.2">
      <c r="A236" s="455"/>
      <c r="B236" s="452"/>
      <c r="C236" s="452"/>
      <c r="D236" s="452"/>
      <c r="E236" s="452"/>
      <c r="F236" s="452"/>
      <c r="G236" s="452"/>
      <c r="H236" s="452"/>
      <c r="I236" s="452"/>
    </row>
    <row r="237" spans="1:9" ht="12.75" x14ac:dyDescent="0.2">
      <c r="A237" s="455"/>
      <c r="B237" s="452"/>
      <c r="C237" s="452"/>
      <c r="D237" s="452"/>
      <c r="E237" s="452"/>
      <c r="F237" s="452"/>
      <c r="G237" s="452"/>
      <c r="H237" s="452"/>
      <c r="I237" s="452"/>
    </row>
    <row r="238" spans="1:9" ht="12.75" x14ac:dyDescent="0.2">
      <c r="A238" s="455"/>
      <c r="B238" s="452"/>
      <c r="C238" s="452"/>
      <c r="D238" s="452"/>
      <c r="E238" s="452"/>
      <c r="F238" s="452"/>
      <c r="G238" s="452"/>
      <c r="H238" s="452"/>
      <c r="I238" s="452"/>
    </row>
    <row r="239" spans="1:9" ht="12.75" x14ac:dyDescent="0.2">
      <c r="A239" s="455"/>
      <c r="B239" s="452"/>
      <c r="C239" s="452"/>
      <c r="D239" s="452"/>
      <c r="E239" s="452"/>
      <c r="F239" s="452"/>
      <c r="G239" s="452"/>
      <c r="H239" s="452"/>
      <c r="I239" s="452"/>
    </row>
    <row r="240" spans="1:9" ht="12.75" x14ac:dyDescent="0.2">
      <c r="A240" s="455"/>
      <c r="B240" s="452"/>
      <c r="C240" s="452"/>
      <c r="D240" s="452"/>
      <c r="E240" s="452"/>
      <c r="F240" s="452"/>
      <c r="G240" s="452"/>
      <c r="H240" s="452"/>
      <c r="I240" s="452"/>
    </row>
    <row r="241" spans="1:9" ht="12.75" x14ac:dyDescent="0.2">
      <c r="A241" s="455"/>
      <c r="B241" s="452"/>
      <c r="C241" s="452"/>
      <c r="D241" s="452"/>
      <c r="E241" s="452"/>
      <c r="F241" s="452"/>
      <c r="G241" s="452"/>
      <c r="H241" s="452"/>
      <c r="I241" s="452"/>
    </row>
    <row r="242" spans="1:9" ht="12.75" x14ac:dyDescent="0.2">
      <c r="A242" s="455"/>
      <c r="B242" s="452"/>
      <c r="C242" s="452"/>
      <c r="D242" s="452"/>
      <c r="E242" s="452"/>
      <c r="F242" s="452"/>
      <c r="G242" s="452"/>
      <c r="H242" s="452"/>
      <c r="I242" s="452"/>
    </row>
    <row r="243" spans="1:9" ht="12.75" x14ac:dyDescent="0.2">
      <c r="A243" s="455"/>
      <c r="B243" s="452"/>
      <c r="C243" s="452"/>
      <c r="D243" s="452"/>
      <c r="E243" s="452"/>
      <c r="F243" s="452"/>
      <c r="G243" s="452"/>
      <c r="H243" s="452"/>
      <c r="I243" s="452"/>
    </row>
    <row r="244" spans="1:9" ht="12.75" x14ac:dyDescent="0.2">
      <c r="A244" s="455"/>
      <c r="B244" s="452"/>
      <c r="C244" s="452"/>
      <c r="D244" s="452"/>
      <c r="E244" s="452"/>
      <c r="F244" s="452"/>
      <c r="G244" s="452"/>
      <c r="H244" s="452"/>
      <c r="I244" s="452"/>
    </row>
    <row r="245" spans="1:9" ht="12.75" x14ac:dyDescent="0.2">
      <c r="A245" s="455"/>
      <c r="B245" s="452"/>
      <c r="C245" s="452"/>
      <c r="D245" s="452"/>
      <c r="E245" s="452"/>
      <c r="F245" s="452"/>
      <c r="G245" s="452"/>
      <c r="H245" s="452"/>
      <c r="I245" s="452"/>
    </row>
    <row r="246" spans="1:9" ht="12.75" x14ac:dyDescent="0.2">
      <c r="A246" s="455"/>
      <c r="B246" s="452"/>
      <c r="C246" s="452"/>
      <c r="D246" s="452"/>
      <c r="E246" s="452"/>
      <c r="F246" s="452"/>
      <c r="G246" s="452"/>
      <c r="H246" s="452"/>
      <c r="I246" s="452"/>
    </row>
    <row r="247" spans="1:9" ht="12.75" x14ac:dyDescent="0.2">
      <c r="A247" s="455"/>
      <c r="B247" s="452"/>
      <c r="C247" s="452"/>
      <c r="D247" s="452"/>
      <c r="E247" s="452"/>
      <c r="F247" s="452"/>
      <c r="G247" s="452"/>
      <c r="H247" s="452"/>
      <c r="I247" s="452"/>
    </row>
    <row r="248" spans="1:9" ht="12.75" x14ac:dyDescent="0.2">
      <c r="A248" s="455"/>
      <c r="B248" s="452"/>
      <c r="C248" s="452"/>
      <c r="D248" s="452"/>
      <c r="E248" s="452"/>
      <c r="F248" s="452"/>
      <c r="G248" s="452"/>
      <c r="H248" s="452"/>
      <c r="I248" s="452"/>
    </row>
    <row r="249" spans="1:9" ht="12.75" x14ac:dyDescent="0.2">
      <c r="A249" s="455"/>
      <c r="B249" s="452"/>
      <c r="C249" s="452"/>
      <c r="D249" s="452"/>
      <c r="E249" s="452"/>
      <c r="F249" s="452"/>
      <c r="G249" s="452"/>
      <c r="H249" s="452"/>
      <c r="I249" s="452"/>
    </row>
    <row r="250" spans="1:9" ht="12.75" x14ac:dyDescent="0.2">
      <c r="A250" s="455"/>
      <c r="B250" s="452"/>
      <c r="C250" s="452"/>
      <c r="D250" s="452"/>
      <c r="E250" s="452"/>
      <c r="F250" s="452"/>
      <c r="G250" s="452"/>
      <c r="H250" s="452"/>
      <c r="I250" s="452"/>
    </row>
    <row r="251" spans="1:9" ht="12.75" x14ac:dyDescent="0.2">
      <c r="A251" s="455"/>
      <c r="B251" s="452"/>
      <c r="C251" s="452"/>
      <c r="D251" s="452"/>
      <c r="E251" s="452"/>
      <c r="F251" s="452"/>
      <c r="G251" s="452"/>
      <c r="H251" s="452"/>
      <c r="I251" s="452"/>
    </row>
    <row r="252" spans="1:9" ht="12.75" x14ac:dyDescent="0.2">
      <c r="A252" s="455"/>
      <c r="B252" s="452"/>
      <c r="C252" s="452"/>
      <c r="D252" s="452"/>
      <c r="E252" s="452"/>
      <c r="F252" s="452"/>
      <c r="G252" s="452"/>
      <c r="H252" s="452"/>
      <c r="I252" s="452"/>
    </row>
    <row r="253" spans="1:9" ht="12.75" x14ac:dyDescent="0.2">
      <c r="A253" s="455"/>
      <c r="B253" s="452"/>
      <c r="C253" s="452"/>
      <c r="D253" s="452"/>
      <c r="E253" s="452"/>
      <c r="F253" s="452"/>
      <c r="G253" s="452"/>
      <c r="H253" s="452"/>
      <c r="I253" s="452"/>
    </row>
    <row r="254" spans="1:9" ht="12.75" x14ac:dyDescent="0.2">
      <c r="A254" s="455"/>
      <c r="B254" s="452"/>
      <c r="C254" s="452"/>
      <c r="D254" s="452"/>
      <c r="E254" s="452"/>
      <c r="F254" s="452"/>
      <c r="G254" s="452"/>
      <c r="H254" s="452"/>
      <c r="I254" s="452"/>
    </row>
    <row r="255" spans="1:9" ht="12.75" x14ac:dyDescent="0.2">
      <c r="A255" s="455"/>
      <c r="B255" s="452"/>
      <c r="C255" s="452"/>
      <c r="D255" s="452"/>
      <c r="E255" s="452"/>
      <c r="F255" s="452"/>
      <c r="G255" s="452"/>
      <c r="H255" s="452"/>
      <c r="I255" s="452"/>
    </row>
    <row r="256" spans="1:9" ht="12.75" x14ac:dyDescent="0.2">
      <c r="A256" s="455"/>
      <c r="B256" s="452"/>
      <c r="C256" s="452"/>
      <c r="D256" s="452"/>
      <c r="E256" s="452"/>
      <c r="F256" s="452"/>
      <c r="G256" s="452"/>
      <c r="H256" s="452"/>
      <c r="I256" s="452"/>
    </row>
    <row r="257" spans="1:9" ht="12.75" x14ac:dyDescent="0.2">
      <c r="A257" s="455"/>
      <c r="B257" s="452"/>
      <c r="C257" s="452"/>
      <c r="D257" s="452"/>
      <c r="E257" s="452"/>
      <c r="F257" s="452"/>
      <c r="G257" s="452"/>
      <c r="H257" s="452"/>
      <c r="I257" s="452"/>
    </row>
    <row r="258" spans="1:9" ht="12.75" x14ac:dyDescent="0.2">
      <c r="A258" s="455"/>
      <c r="B258" s="452"/>
      <c r="C258" s="452"/>
      <c r="D258" s="452"/>
      <c r="E258" s="452"/>
      <c r="F258" s="452"/>
      <c r="G258" s="452"/>
      <c r="H258" s="452"/>
      <c r="I258" s="452"/>
    </row>
    <row r="259" spans="1:9" ht="12.75" x14ac:dyDescent="0.2">
      <c r="A259" s="455"/>
      <c r="B259" s="452"/>
      <c r="C259" s="452"/>
      <c r="D259" s="452"/>
      <c r="E259" s="452"/>
      <c r="F259" s="452"/>
      <c r="G259" s="452"/>
      <c r="H259" s="452"/>
      <c r="I259" s="452"/>
    </row>
    <row r="260" spans="1:9" ht="12.75" x14ac:dyDescent="0.2">
      <c r="A260" s="455"/>
      <c r="B260" s="452"/>
      <c r="C260" s="452"/>
      <c r="D260" s="452"/>
      <c r="E260" s="452"/>
      <c r="F260" s="452"/>
      <c r="G260" s="452"/>
      <c r="H260" s="452"/>
      <c r="I260" s="452"/>
    </row>
    <row r="261" spans="1:9" ht="12.75" x14ac:dyDescent="0.2">
      <c r="A261" s="455"/>
      <c r="B261" s="452"/>
      <c r="C261" s="452"/>
      <c r="D261" s="452"/>
      <c r="E261" s="452"/>
      <c r="F261" s="452"/>
      <c r="G261" s="452"/>
      <c r="H261" s="452"/>
      <c r="I261" s="452"/>
    </row>
    <row r="262" spans="1:9" ht="12.75" x14ac:dyDescent="0.2">
      <c r="A262" s="455"/>
      <c r="B262" s="452"/>
      <c r="C262" s="452"/>
      <c r="D262" s="452"/>
      <c r="E262" s="452"/>
      <c r="F262" s="452"/>
      <c r="G262" s="452"/>
      <c r="H262" s="452"/>
      <c r="I262" s="452"/>
    </row>
    <row r="263" spans="1:9" ht="12.75" x14ac:dyDescent="0.2">
      <c r="A263" s="455"/>
      <c r="B263" s="452"/>
      <c r="C263" s="452"/>
      <c r="D263" s="452"/>
      <c r="E263" s="452"/>
      <c r="F263" s="452"/>
      <c r="G263" s="452"/>
      <c r="H263" s="452"/>
      <c r="I263" s="452"/>
    </row>
    <row r="264" spans="1:9" ht="12.75" x14ac:dyDescent="0.2">
      <c r="A264" s="455"/>
      <c r="B264" s="452"/>
      <c r="C264" s="452"/>
      <c r="D264" s="452"/>
      <c r="E264" s="452"/>
      <c r="F264" s="452"/>
      <c r="G264" s="452"/>
      <c r="H264" s="452"/>
      <c r="I264" s="452"/>
    </row>
    <row r="265" spans="1:9" ht="12.75" x14ac:dyDescent="0.2">
      <c r="A265" s="455"/>
      <c r="B265" s="452"/>
      <c r="C265" s="452"/>
      <c r="D265" s="452"/>
      <c r="E265" s="452"/>
      <c r="F265" s="452"/>
      <c r="G265" s="452"/>
      <c r="H265" s="452"/>
      <c r="I265" s="452"/>
    </row>
    <row r="266" spans="1:9" ht="12.75" x14ac:dyDescent="0.2">
      <c r="A266" s="455"/>
      <c r="B266" s="452"/>
      <c r="C266" s="452"/>
      <c r="D266" s="452"/>
      <c r="E266" s="452"/>
      <c r="F266" s="452"/>
      <c r="G266" s="452"/>
      <c r="H266" s="452"/>
      <c r="I266" s="452"/>
    </row>
    <row r="267" spans="1:9" ht="12.75" x14ac:dyDescent="0.2">
      <c r="A267" s="455"/>
      <c r="B267" s="452"/>
      <c r="C267" s="452"/>
      <c r="D267" s="452"/>
      <c r="E267" s="452"/>
      <c r="F267" s="452"/>
      <c r="G267" s="452"/>
      <c r="H267" s="452"/>
      <c r="I267" s="452"/>
    </row>
    <row r="268" spans="1:9" ht="12.75" x14ac:dyDescent="0.2">
      <c r="A268" s="455"/>
      <c r="B268" s="452"/>
      <c r="C268" s="452"/>
      <c r="D268" s="452"/>
      <c r="E268" s="452"/>
      <c r="F268" s="452"/>
      <c r="G268" s="452"/>
      <c r="H268" s="452"/>
      <c r="I268" s="452"/>
    </row>
    <row r="269" spans="1:9" ht="12.75" x14ac:dyDescent="0.2">
      <c r="A269" s="455"/>
      <c r="B269" s="452"/>
      <c r="C269" s="452"/>
      <c r="D269" s="452"/>
      <c r="E269" s="452"/>
      <c r="F269" s="452"/>
      <c r="G269" s="452"/>
      <c r="H269" s="452"/>
      <c r="I269" s="452"/>
    </row>
    <row r="270" spans="1:9" ht="12.75" x14ac:dyDescent="0.2">
      <c r="A270" s="455"/>
      <c r="B270" s="452"/>
      <c r="C270" s="452"/>
      <c r="D270" s="452"/>
      <c r="E270" s="452"/>
      <c r="F270" s="452"/>
      <c r="G270" s="452"/>
      <c r="H270" s="452"/>
      <c r="I270" s="452"/>
    </row>
    <row r="271" spans="1:9" ht="12.75" x14ac:dyDescent="0.2">
      <c r="A271" s="455"/>
      <c r="B271" s="452"/>
      <c r="C271" s="452"/>
      <c r="D271" s="452"/>
      <c r="E271" s="452"/>
      <c r="F271" s="452"/>
      <c r="G271" s="452"/>
      <c r="H271" s="452"/>
      <c r="I271" s="452"/>
    </row>
    <row r="272" spans="1:9" ht="12.75" x14ac:dyDescent="0.2">
      <c r="A272" s="455"/>
      <c r="B272" s="452"/>
      <c r="C272" s="452"/>
      <c r="D272" s="452"/>
      <c r="E272" s="452"/>
      <c r="F272" s="452"/>
      <c r="G272" s="452"/>
      <c r="H272" s="452"/>
      <c r="I272" s="452"/>
    </row>
    <row r="273" spans="1:9" ht="12.75" x14ac:dyDescent="0.2">
      <c r="A273" s="455"/>
      <c r="B273" s="452"/>
      <c r="C273" s="452"/>
      <c r="D273" s="452"/>
      <c r="E273" s="452"/>
      <c r="F273" s="452"/>
      <c r="G273" s="452"/>
      <c r="H273" s="452"/>
      <c r="I273" s="452"/>
    </row>
    <row r="274" spans="1:9" ht="12.75" x14ac:dyDescent="0.2">
      <c r="A274" s="455"/>
      <c r="B274" s="452"/>
      <c r="C274" s="452"/>
      <c r="D274" s="452"/>
      <c r="E274" s="452"/>
      <c r="F274" s="452"/>
      <c r="G274" s="452"/>
      <c r="H274" s="452"/>
      <c r="I274" s="452"/>
    </row>
    <row r="275" spans="1:9" ht="12.75" x14ac:dyDescent="0.2">
      <c r="A275" s="455"/>
      <c r="B275" s="452"/>
      <c r="C275" s="452"/>
      <c r="D275" s="452"/>
      <c r="E275" s="452"/>
      <c r="F275" s="452"/>
      <c r="G275" s="452"/>
      <c r="H275" s="452"/>
      <c r="I275" s="452"/>
    </row>
    <row r="276" spans="1:9" ht="12.75" x14ac:dyDescent="0.2">
      <c r="A276" s="455"/>
      <c r="B276" s="452"/>
      <c r="C276" s="452"/>
      <c r="D276" s="452"/>
      <c r="E276" s="452"/>
      <c r="F276" s="452"/>
      <c r="G276" s="452"/>
      <c r="H276" s="452"/>
      <c r="I276" s="452"/>
    </row>
    <row r="277" spans="1:9" ht="12.75" x14ac:dyDescent="0.2">
      <c r="A277" s="455"/>
      <c r="B277" s="452"/>
      <c r="C277" s="452"/>
      <c r="D277" s="452"/>
      <c r="E277" s="452"/>
      <c r="F277" s="452"/>
      <c r="G277" s="452"/>
      <c r="H277" s="452"/>
      <c r="I277" s="452"/>
    </row>
    <row r="278" spans="1:9" ht="12.75" x14ac:dyDescent="0.2">
      <c r="A278" s="455"/>
      <c r="B278" s="452"/>
      <c r="C278" s="452"/>
      <c r="D278" s="452"/>
      <c r="E278" s="452"/>
      <c r="F278" s="452"/>
      <c r="G278" s="452"/>
      <c r="H278" s="452"/>
      <c r="I278" s="452"/>
    </row>
    <row r="279" spans="1:9" ht="12.75" x14ac:dyDescent="0.2">
      <c r="A279" s="455"/>
      <c r="B279" s="452"/>
      <c r="C279" s="452"/>
      <c r="D279" s="452"/>
      <c r="E279" s="452"/>
      <c r="F279" s="452"/>
      <c r="G279" s="452"/>
      <c r="H279" s="452"/>
      <c r="I279" s="452"/>
    </row>
    <row r="280" spans="1:9" ht="12.75" x14ac:dyDescent="0.2">
      <c r="A280" s="455"/>
      <c r="B280" s="452"/>
      <c r="C280" s="452"/>
      <c r="D280" s="452"/>
      <c r="E280" s="452"/>
      <c r="F280" s="452"/>
      <c r="G280" s="452"/>
      <c r="H280" s="452"/>
      <c r="I280" s="452"/>
    </row>
    <row r="281" spans="1:9" ht="12.75" x14ac:dyDescent="0.2">
      <c r="A281" s="455"/>
      <c r="B281" s="452"/>
      <c r="C281" s="452"/>
      <c r="D281" s="452"/>
      <c r="E281" s="452"/>
      <c r="F281" s="452"/>
      <c r="G281" s="452"/>
      <c r="H281" s="452"/>
      <c r="I281" s="452"/>
    </row>
    <row r="282" spans="1:9" ht="12.75" x14ac:dyDescent="0.2">
      <c r="A282" s="455"/>
      <c r="B282" s="452"/>
      <c r="C282" s="452"/>
      <c r="D282" s="452"/>
      <c r="E282" s="452"/>
      <c r="F282" s="452"/>
      <c r="G282" s="452"/>
      <c r="H282" s="452"/>
      <c r="I282" s="452"/>
    </row>
    <row r="283" spans="1:9" ht="12.75" x14ac:dyDescent="0.2">
      <c r="A283" s="455"/>
      <c r="B283" s="452"/>
      <c r="C283" s="452"/>
      <c r="D283" s="452"/>
      <c r="E283" s="452"/>
      <c r="F283" s="452"/>
      <c r="G283" s="452"/>
      <c r="H283" s="452"/>
      <c r="I283" s="452"/>
    </row>
    <row r="284" spans="1:9" ht="12.75" x14ac:dyDescent="0.2">
      <c r="A284" s="455"/>
      <c r="B284" s="452"/>
      <c r="C284" s="452"/>
      <c r="D284" s="452"/>
      <c r="E284" s="452"/>
      <c r="F284" s="452"/>
      <c r="G284" s="452"/>
      <c r="H284" s="452"/>
      <c r="I284" s="452"/>
    </row>
    <row r="285" spans="1:9" ht="12.75" x14ac:dyDescent="0.2">
      <c r="A285" s="455"/>
      <c r="B285" s="452"/>
      <c r="C285" s="452"/>
      <c r="D285" s="452"/>
      <c r="E285" s="452"/>
      <c r="F285" s="452"/>
      <c r="G285" s="452"/>
      <c r="H285" s="452"/>
      <c r="I285" s="452"/>
    </row>
    <row r="286" spans="1:9" ht="12.75" x14ac:dyDescent="0.2">
      <c r="A286" s="455"/>
      <c r="B286" s="452"/>
      <c r="C286" s="452"/>
      <c r="D286" s="452"/>
      <c r="E286" s="452"/>
      <c r="F286" s="452"/>
      <c r="G286" s="452"/>
      <c r="H286" s="452"/>
      <c r="I286" s="452"/>
    </row>
    <row r="287" spans="1:9" ht="12.75" x14ac:dyDescent="0.2">
      <c r="A287" s="455"/>
      <c r="B287" s="452"/>
      <c r="C287" s="452"/>
      <c r="D287" s="452"/>
      <c r="E287" s="452"/>
      <c r="F287" s="452"/>
      <c r="G287" s="452"/>
      <c r="H287" s="452"/>
      <c r="I287" s="452"/>
    </row>
    <row r="288" spans="1:9" ht="12.75" x14ac:dyDescent="0.2">
      <c r="A288" s="455"/>
      <c r="B288" s="452"/>
      <c r="C288" s="452"/>
      <c r="D288" s="452"/>
      <c r="E288" s="452"/>
      <c r="F288" s="452"/>
      <c r="G288" s="452"/>
      <c r="H288" s="452"/>
      <c r="I288" s="452"/>
    </row>
    <row r="289" spans="1:9" ht="12.75" x14ac:dyDescent="0.2">
      <c r="A289" s="455"/>
      <c r="B289" s="452"/>
      <c r="C289" s="452"/>
      <c r="D289" s="452"/>
      <c r="E289" s="452"/>
      <c r="F289" s="452"/>
      <c r="G289" s="452"/>
      <c r="H289" s="452"/>
      <c r="I289" s="452"/>
    </row>
    <row r="290" spans="1:9" ht="12.75" x14ac:dyDescent="0.2">
      <c r="A290" s="455"/>
      <c r="B290" s="452"/>
      <c r="C290" s="452"/>
      <c r="D290" s="452"/>
      <c r="E290" s="452"/>
      <c r="F290" s="452"/>
      <c r="G290" s="452"/>
      <c r="H290" s="452"/>
      <c r="I290" s="452"/>
    </row>
    <row r="291" spans="1:9" ht="12.75" x14ac:dyDescent="0.2">
      <c r="A291" s="455"/>
      <c r="B291" s="452"/>
      <c r="C291" s="452"/>
      <c r="D291" s="452"/>
      <c r="E291" s="452"/>
      <c r="F291" s="452"/>
      <c r="G291" s="452"/>
      <c r="H291" s="452"/>
      <c r="I291" s="452"/>
    </row>
    <row r="292" spans="1:9" ht="12.75" x14ac:dyDescent="0.2">
      <c r="A292" s="455"/>
      <c r="B292" s="452"/>
      <c r="C292" s="452"/>
      <c r="D292" s="452"/>
      <c r="E292" s="452"/>
      <c r="F292" s="452"/>
      <c r="G292" s="452"/>
      <c r="H292" s="452"/>
      <c r="I292" s="452"/>
    </row>
    <row r="293" spans="1:9" ht="12.75" x14ac:dyDescent="0.2">
      <c r="A293" s="455"/>
      <c r="B293" s="452"/>
      <c r="C293" s="452"/>
      <c r="D293" s="452"/>
      <c r="E293" s="452"/>
      <c r="F293" s="452"/>
      <c r="G293" s="452"/>
      <c r="H293" s="452"/>
      <c r="I293" s="452"/>
    </row>
    <row r="294" spans="1:9" ht="12.75" x14ac:dyDescent="0.2">
      <c r="A294" s="455"/>
      <c r="B294" s="452"/>
      <c r="C294" s="452"/>
      <c r="D294" s="452"/>
      <c r="E294" s="452"/>
      <c r="F294" s="452"/>
      <c r="G294" s="452"/>
      <c r="H294" s="452"/>
      <c r="I294" s="452"/>
    </row>
    <row r="295" spans="1:9" ht="12.75" x14ac:dyDescent="0.2">
      <c r="A295" s="455"/>
      <c r="B295" s="452"/>
      <c r="C295" s="452"/>
      <c r="D295" s="452"/>
      <c r="E295" s="452"/>
      <c r="F295" s="452"/>
      <c r="G295" s="452"/>
      <c r="H295" s="452"/>
      <c r="I295" s="452"/>
    </row>
    <row r="296" spans="1:9" ht="12.75" x14ac:dyDescent="0.2">
      <c r="A296" s="455"/>
      <c r="B296" s="452"/>
      <c r="C296" s="452"/>
      <c r="D296" s="452"/>
      <c r="E296" s="452"/>
      <c r="F296" s="452"/>
      <c r="G296" s="452"/>
      <c r="H296" s="452"/>
      <c r="I296" s="452"/>
    </row>
    <row r="297" spans="1:9" ht="12.75" x14ac:dyDescent="0.2">
      <c r="A297" s="455"/>
      <c r="B297" s="452"/>
      <c r="C297" s="452"/>
      <c r="D297" s="452"/>
      <c r="E297" s="452"/>
      <c r="F297" s="452"/>
      <c r="G297" s="452"/>
      <c r="H297" s="452"/>
      <c r="I297" s="452"/>
    </row>
    <row r="298" spans="1:9" ht="12.75" x14ac:dyDescent="0.2">
      <c r="A298" s="455"/>
      <c r="B298" s="452"/>
      <c r="C298" s="452"/>
      <c r="D298" s="452"/>
      <c r="E298" s="452"/>
      <c r="F298" s="452"/>
      <c r="G298" s="452"/>
      <c r="H298" s="452"/>
      <c r="I298" s="452"/>
    </row>
    <row r="299" spans="1:9" ht="12.75" x14ac:dyDescent="0.2">
      <c r="A299" s="455"/>
      <c r="B299" s="452"/>
      <c r="C299" s="452"/>
      <c r="D299" s="452"/>
      <c r="E299" s="452"/>
      <c r="F299" s="452"/>
      <c r="G299" s="452"/>
      <c r="H299" s="452"/>
      <c r="I299" s="452"/>
    </row>
    <row r="300" spans="1:9" ht="12.75" x14ac:dyDescent="0.2">
      <c r="A300" s="455"/>
      <c r="B300" s="452"/>
      <c r="C300" s="452"/>
      <c r="D300" s="452"/>
      <c r="E300" s="452"/>
      <c r="F300" s="452"/>
      <c r="G300" s="452"/>
      <c r="H300" s="452"/>
      <c r="I300" s="452"/>
    </row>
    <row r="301" spans="1:9" ht="12.75" x14ac:dyDescent="0.2">
      <c r="A301" s="455"/>
      <c r="B301" s="452"/>
      <c r="C301" s="452"/>
      <c r="D301" s="452"/>
      <c r="E301" s="452"/>
      <c r="F301" s="452"/>
      <c r="G301" s="452"/>
      <c r="H301" s="452"/>
      <c r="I301" s="452"/>
    </row>
    <row r="302" spans="1:9" ht="12.75" x14ac:dyDescent="0.2">
      <c r="A302" s="455"/>
      <c r="B302" s="452"/>
      <c r="C302" s="452"/>
      <c r="D302" s="452"/>
      <c r="E302" s="452"/>
      <c r="F302" s="452"/>
      <c r="G302" s="452"/>
      <c r="H302" s="452"/>
      <c r="I302" s="452"/>
    </row>
    <row r="303" spans="1:9" ht="12.75" x14ac:dyDescent="0.2">
      <c r="A303" s="455"/>
      <c r="B303" s="452"/>
      <c r="C303" s="452"/>
      <c r="D303" s="452"/>
      <c r="E303" s="452"/>
      <c r="F303" s="452"/>
      <c r="G303" s="452"/>
      <c r="H303" s="452"/>
      <c r="I303" s="452"/>
    </row>
    <row r="304" spans="1:9" ht="12.75" x14ac:dyDescent="0.2">
      <c r="A304" s="455"/>
      <c r="B304" s="452"/>
      <c r="C304" s="452"/>
      <c r="D304" s="452"/>
      <c r="E304" s="452"/>
      <c r="F304" s="452"/>
      <c r="G304" s="452"/>
      <c r="H304" s="452"/>
      <c r="I304" s="452"/>
    </row>
    <row r="305" spans="1:9" ht="12.75" x14ac:dyDescent="0.2">
      <c r="A305" s="455"/>
      <c r="B305" s="452"/>
      <c r="C305" s="452"/>
      <c r="D305" s="452"/>
      <c r="E305" s="452"/>
      <c r="F305" s="452"/>
      <c r="G305" s="452"/>
      <c r="H305" s="452"/>
      <c r="I305" s="452"/>
    </row>
    <row r="306" spans="1:9" ht="12.75" x14ac:dyDescent="0.2">
      <c r="A306" s="455"/>
      <c r="B306" s="452"/>
      <c r="C306" s="452"/>
      <c r="D306" s="452"/>
      <c r="E306" s="452"/>
      <c r="F306" s="452"/>
      <c r="G306" s="452"/>
      <c r="H306" s="452"/>
      <c r="I306" s="452"/>
    </row>
    <row r="307" spans="1:9" ht="12.75" x14ac:dyDescent="0.2">
      <c r="A307" s="455"/>
      <c r="B307" s="452"/>
      <c r="C307" s="452"/>
      <c r="D307" s="452"/>
      <c r="E307" s="452"/>
      <c r="F307" s="452"/>
      <c r="G307" s="452"/>
      <c r="H307" s="452"/>
      <c r="I307" s="452"/>
    </row>
    <row r="308" spans="1:9" ht="12.75" x14ac:dyDescent="0.2">
      <c r="A308" s="455"/>
      <c r="B308" s="452"/>
      <c r="C308" s="452"/>
      <c r="D308" s="452"/>
      <c r="E308" s="452"/>
      <c r="F308" s="452"/>
      <c r="G308" s="452"/>
      <c r="H308" s="452"/>
      <c r="I308" s="452"/>
    </row>
    <row r="309" spans="1:9" ht="12.75" x14ac:dyDescent="0.2">
      <c r="A309" s="455"/>
      <c r="B309" s="452"/>
      <c r="C309" s="452"/>
      <c r="D309" s="452"/>
      <c r="E309" s="452"/>
      <c r="F309" s="452"/>
      <c r="G309" s="452"/>
      <c r="H309" s="452"/>
      <c r="I309" s="452"/>
    </row>
    <row r="310" spans="1:9" ht="12.75" x14ac:dyDescent="0.2">
      <c r="A310" s="455"/>
      <c r="B310" s="452"/>
      <c r="C310" s="452"/>
      <c r="D310" s="452"/>
      <c r="E310" s="452"/>
      <c r="F310" s="452"/>
      <c r="G310" s="452"/>
      <c r="H310" s="452"/>
      <c r="I310" s="452"/>
    </row>
    <row r="311" spans="1:9" ht="12.75" x14ac:dyDescent="0.2">
      <c r="A311" s="455"/>
      <c r="B311" s="452"/>
      <c r="C311" s="452"/>
      <c r="D311" s="452"/>
      <c r="E311" s="452"/>
      <c r="F311" s="452"/>
      <c r="G311" s="452"/>
      <c r="H311" s="452"/>
      <c r="I311" s="452"/>
    </row>
    <row r="312" spans="1:9" ht="12.75" x14ac:dyDescent="0.2">
      <c r="A312" s="455"/>
      <c r="B312" s="452"/>
      <c r="C312" s="452"/>
      <c r="D312" s="452"/>
      <c r="E312" s="452"/>
      <c r="F312" s="452"/>
      <c r="G312" s="452"/>
      <c r="H312" s="452"/>
      <c r="I312" s="452"/>
    </row>
    <row r="313" spans="1:9" ht="12.75" x14ac:dyDescent="0.2">
      <c r="A313" s="455"/>
      <c r="B313" s="452"/>
      <c r="C313" s="452"/>
      <c r="D313" s="452"/>
      <c r="E313" s="452"/>
      <c r="F313" s="452"/>
      <c r="G313" s="452"/>
      <c r="H313" s="452"/>
      <c r="I313" s="452"/>
    </row>
    <row r="314" spans="1:9" ht="12.75" x14ac:dyDescent="0.2">
      <c r="A314" s="455"/>
      <c r="B314" s="452"/>
      <c r="C314" s="452"/>
      <c r="D314" s="452"/>
      <c r="E314" s="452"/>
      <c r="F314" s="452"/>
      <c r="G314" s="452"/>
      <c r="H314" s="452"/>
      <c r="I314" s="452"/>
    </row>
    <row r="315" spans="1:9" ht="12.75" x14ac:dyDescent="0.2">
      <c r="A315" s="455"/>
      <c r="B315" s="452"/>
      <c r="C315" s="452"/>
      <c r="D315" s="452"/>
      <c r="E315" s="452"/>
      <c r="F315" s="452"/>
      <c r="G315" s="452"/>
      <c r="H315" s="452"/>
      <c r="I315" s="452"/>
    </row>
    <row r="316" spans="1:9" ht="12.75" x14ac:dyDescent="0.2">
      <c r="A316" s="455"/>
      <c r="B316" s="452"/>
      <c r="C316" s="452"/>
      <c r="D316" s="452"/>
      <c r="E316" s="452"/>
      <c r="F316" s="452"/>
      <c r="G316" s="452"/>
      <c r="H316" s="452"/>
      <c r="I316" s="452"/>
    </row>
    <row r="317" spans="1:9" ht="12.75" x14ac:dyDescent="0.2">
      <c r="A317" s="455"/>
      <c r="B317" s="452"/>
      <c r="C317" s="452"/>
      <c r="D317" s="452"/>
      <c r="E317" s="452"/>
      <c r="F317" s="452"/>
      <c r="G317" s="452"/>
      <c r="H317" s="452"/>
      <c r="I317" s="452"/>
    </row>
    <row r="318" spans="1:9" ht="12.75" x14ac:dyDescent="0.2">
      <c r="A318" s="455"/>
      <c r="B318" s="452"/>
      <c r="C318" s="452"/>
      <c r="D318" s="452"/>
      <c r="E318" s="452"/>
      <c r="F318" s="452"/>
      <c r="G318" s="452"/>
      <c r="H318" s="452"/>
      <c r="I318" s="452"/>
    </row>
    <row r="319" spans="1:9" ht="12.75" x14ac:dyDescent="0.2">
      <c r="A319" s="455"/>
      <c r="B319" s="452"/>
      <c r="C319" s="452"/>
      <c r="D319" s="452"/>
      <c r="E319" s="452"/>
      <c r="F319" s="452"/>
      <c r="G319" s="452"/>
      <c r="H319" s="452"/>
      <c r="I319" s="452"/>
    </row>
    <row r="320" spans="1:9" ht="12.75" x14ac:dyDescent="0.2">
      <c r="A320" s="455"/>
      <c r="B320" s="452"/>
      <c r="C320" s="452"/>
      <c r="D320" s="452"/>
      <c r="E320" s="452"/>
      <c r="F320" s="452"/>
      <c r="G320" s="452"/>
      <c r="H320" s="452"/>
      <c r="I320" s="452"/>
    </row>
    <row r="321" spans="1:9" ht="12.75" x14ac:dyDescent="0.2">
      <c r="A321" s="455"/>
      <c r="B321" s="452"/>
      <c r="C321" s="452"/>
      <c r="D321" s="452"/>
      <c r="E321" s="452"/>
      <c r="F321" s="452"/>
      <c r="G321" s="452"/>
      <c r="H321" s="452"/>
      <c r="I321" s="452"/>
    </row>
    <row r="322" spans="1:9" ht="12.75" x14ac:dyDescent="0.2">
      <c r="A322" s="455"/>
      <c r="B322" s="452"/>
      <c r="C322" s="452"/>
      <c r="D322" s="452"/>
      <c r="E322" s="452"/>
      <c r="F322" s="452"/>
      <c r="G322" s="452"/>
      <c r="H322" s="452"/>
      <c r="I322" s="452"/>
    </row>
    <row r="323" spans="1:9" ht="12.75" x14ac:dyDescent="0.2">
      <c r="A323" s="455"/>
      <c r="B323" s="452"/>
      <c r="C323" s="452"/>
      <c r="D323" s="452"/>
      <c r="E323" s="452"/>
      <c r="F323" s="452"/>
      <c r="G323" s="452"/>
      <c r="H323" s="452"/>
      <c r="I323" s="452"/>
    </row>
    <row r="324" spans="1:9" ht="12.75" x14ac:dyDescent="0.2">
      <c r="A324" s="455"/>
      <c r="B324" s="452"/>
      <c r="C324" s="452"/>
      <c r="D324" s="452"/>
      <c r="E324" s="452"/>
      <c r="F324" s="452"/>
      <c r="G324" s="452"/>
      <c r="H324" s="452"/>
      <c r="I324" s="452"/>
    </row>
    <row r="325" spans="1:9" ht="12.75" x14ac:dyDescent="0.2">
      <c r="A325" s="455"/>
      <c r="B325" s="452"/>
      <c r="C325" s="452"/>
      <c r="D325" s="452"/>
      <c r="E325" s="452"/>
      <c r="F325" s="452"/>
      <c r="G325" s="452"/>
      <c r="H325" s="452"/>
      <c r="I325" s="452"/>
    </row>
    <row r="326" spans="1:9" ht="12.75" x14ac:dyDescent="0.2">
      <c r="A326" s="455"/>
      <c r="B326" s="452"/>
      <c r="C326" s="452"/>
      <c r="D326" s="452"/>
      <c r="E326" s="452"/>
      <c r="F326" s="452"/>
      <c r="G326" s="452"/>
      <c r="H326" s="452"/>
      <c r="I326" s="452"/>
    </row>
    <row r="327" spans="1:9" ht="12.75" x14ac:dyDescent="0.2">
      <c r="A327" s="455"/>
      <c r="B327" s="452"/>
      <c r="C327" s="452"/>
      <c r="D327" s="452"/>
      <c r="E327" s="452"/>
      <c r="F327" s="452"/>
      <c r="G327" s="452"/>
      <c r="H327" s="452"/>
      <c r="I327" s="452"/>
    </row>
    <row r="328" spans="1:9" ht="12.75" x14ac:dyDescent="0.2">
      <c r="A328" s="455"/>
      <c r="B328" s="452"/>
      <c r="C328" s="452"/>
      <c r="D328" s="452"/>
      <c r="E328" s="452"/>
      <c r="F328" s="452"/>
      <c r="G328" s="452"/>
      <c r="H328" s="452"/>
      <c r="I328" s="452"/>
    </row>
    <row r="329" spans="1:9" ht="12.75" x14ac:dyDescent="0.2">
      <c r="A329" s="455"/>
      <c r="B329" s="452"/>
      <c r="C329" s="452"/>
      <c r="D329" s="452"/>
      <c r="E329" s="452"/>
      <c r="F329" s="452"/>
      <c r="G329" s="452"/>
      <c r="H329" s="452"/>
      <c r="I329" s="452"/>
    </row>
    <row r="330" spans="1:9" ht="12.75" x14ac:dyDescent="0.2">
      <c r="A330" s="455"/>
      <c r="B330" s="452"/>
      <c r="C330" s="452"/>
      <c r="D330" s="452"/>
      <c r="E330" s="452"/>
      <c r="F330" s="452"/>
      <c r="G330" s="452"/>
      <c r="H330" s="452"/>
      <c r="I330" s="452"/>
    </row>
    <row r="331" spans="1:9" ht="12.75" x14ac:dyDescent="0.2">
      <c r="A331" s="455"/>
      <c r="B331" s="452"/>
      <c r="C331" s="452"/>
      <c r="D331" s="452"/>
      <c r="E331" s="452"/>
      <c r="F331" s="452"/>
      <c r="G331" s="452"/>
      <c r="H331" s="452"/>
      <c r="I331" s="452"/>
    </row>
    <row r="332" spans="1:9" ht="12.75" x14ac:dyDescent="0.2">
      <c r="A332" s="455"/>
      <c r="B332" s="452"/>
      <c r="C332" s="452"/>
      <c r="D332" s="452"/>
      <c r="E332" s="452"/>
      <c r="F332" s="452"/>
      <c r="G332" s="452"/>
      <c r="H332" s="452"/>
      <c r="I332" s="452"/>
    </row>
    <row r="333" spans="1:9" ht="12.75" x14ac:dyDescent="0.2">
      <c r="A333" s="455"/>
      <c r="B333" s="452"/>
      <c r="C333" s="452"/>
      <c r="D333" s="452"/>
      <c r="E333" s="452"/>
      <c r="F333" s="452"/>
      <c r="G333" s="452"/>
      <c r="H333" s="452"/>
      <c r="I333" s="452"/>
    </row>
    <row r="334" spans="1:9" ht="12.75" x14ac:dyDescent="0.2">
      <c r="A334" s="455"/>
      <c r="B334" s="452"/>
      <c r="C334" s="452"/>
      <c r="D334" s="452"/>
      <c r="E334" s="452"/>
      <c r="F334" s="452"/>
      <c r="G334" s="452"/>
      <c r="H334" s="452"/>
      <c r="I334" s="452"/>
    </row>
    <row r="335" spans="1:9" ht="12.75" x14ac:dyDescent="0.2">
      <c r="A335" s="455"/>
      <c r="B335" s="452"/>
      <c r="C335" s="452"/>
      <c r="D335" s="452"/>
      <c r="E335" s="452"/>
      <c r="F335" s="452"/>
      <c r="G335" s="452"/>
      <c r="H335" s="452"/>
      <c r="I335" s="452"/>
    </row>
    <row r="336" spans="1:9" ht="12.75" x14ac:dyDescent="0.2">
      <c r="A336" s="455"/>
      <c r="B336" s="452"/>
      <c r="C336" s="452"/>
      <c r="D336" s="452"/>
      <c r="E336" s="452"/>
      <c r="F336" s="452"/>
      <c r="G336" s="452"/>
      <c r="H336" s="452"/>
      <c r="I336" s="452"/>
    </row>
    <row r="337" spans="1:9" ht="12.75" x14ac:dyDescent="0.2">
      <c r="A337" s="455"/>
      <c r="B337" s="452"/>
      <c r="C337" s="452"/>
      <c r="D337" s="452"/>
      <c r="E337" s="452"/>
      <c r="F337" s="452"/>
      <c r="G337" s="452"/>
      <c r="H337" s="452"/>
      <c r="I337" s="452"/>
    </row>
    <row r="338" spans="1:9" ht="12.75" x14ac:dyDescent="0.2">
      <c r="A338" s="455"/>
      <c r="B338" s="452"/>
      <c r="C338" s="452"/>
      <c r="D338" s="452"/>
      <c r="E338" s="452"/>
      <c r="F338" s="452"/>
      <c r="G338" s="452"/>
      <c r="H338" s="452"/>
      <c r="I338" s="452"/>
    </row>
    <row r="339" spans="1:9" ht="12.75" x14ac:dyDescent="0.2">
      <c r="A339" s="455"/>
      <c r="B339" s="452"/>
      <c r="C339" s="452"/>
      <c r="D339" s="452"/>
      <c r="E339" s="452"/>
      <c r="F339" s="452"/>
      <c r="G339" s="452"/>
      <c r="H339" s="452"/>
      <c r="I339" s="452"/>
    </row>
    <row r="340" spans="1:9" ht="12.75" x14ac:dyDescent="0.2">
      <c r="A340" s="455"/>
      <c r="B340" s="452"/>
      <c r="C340" s="452"/>
      <c r="D340" s="452"/>
      <c r="E340" s="452"/>
      <c r="F340" s="452"/>
      <c r="G340" s="452"/>
      <c r="H340" s="452"/>
      <c r="I340" s="452"/>
    </row>
    <row r="341" spans="1:9" ht="12.75" x14ac:dyDescent="0.2">
      <c r="A341" s="455"/>
      <c r="B341" s="452"/>
      <c r="C341" s="452"/>
      <c r="D341" s="452"/>
      <c r="E341" s="452"/>
      <c r="F341" s="452"/>
      <c r="G341" s="452"/>
      <c r="H341" s="452"/>
      <c r="I341" s="452"/>
    </row>
    <row r="342" spans="1:9" ht="12.75" x14ac:dyDescent="0.2">
      <c r="A342" s="455"/>
      <c r="B342" s="452"/>
      <c r="C342" s="452"/>
      <c r="D342" s="452"/>
      <c r="E342" s="452"/>
      <c r="F342" s="452"/>
      <c r="G342" s="452"/>
      <c r="H342" s="452"/>
      <c r="I342" s="452"/>
    </row>
    <row r="343" spans="1:9" ht="12.75" x14ac:dyDescent="0.2">
      <c r="A343" s="455"/>
      <c r="B343" s="452"/>
      <c r="C343" s="452"/>
      <c r="D343" s="452"/>
      <c r="E343" s="452"/>
      <c r="F343" s="452"/>
      <c r="G343" s="452"/>
      <c r="H343" s="452"/>
      <c r="I343" s="452"/>
    </row>
    <row r="344" spans="1:9" ht="12.75" x14ac:dyDescent="0.2">
      <c r="A344" s="455"/>
      <c r="B344" s="452"/>
      <c r="C344" s="452"/>
      <c r="D344" s="452"/>
      <c r="E344" s="452"/>
      <c r="F344" s="452"/>
      <c r="G344" s="452"/>
      <c r="H344" s="452"/>
      <c r="I344" s="452"/>
    </row>
    <row r="345" spans="1:9" ht="12.75" x14ac:dyDescent="0.2">
      <c r="A345" s="455"/>
      <c r="B345" s="452"/>
      <c r="C345" s="452"/>
      <c r="D345" s="452"/>
      <c r="E345" s="452"/>
      <c r="F345" s="452"/>
      <c r="G345" s="452"/>
      <c r="H345" s="452"/>
      <c r="I345" s="452"/>
    </row>
    <row r="346" spans="1:9" ht="12.75" x14ac:dyDescent="0.2">
      <c r="A346" s="455"/>
      <c r="B346" s="452"/>
      <c r="C346" s="452"/>
      <c r="D346" s="452"/>
      <c r="E346" s="452"/>
      <c r="F346" s="452"/>
      <c r="G346" s="452"/>
      <c r="H346" s="452"/>
      <c r="I346" s="452"/>
    </row>
    <row r="347" spans="1:9" ht="12.75" x14ac:dyDescent="0.2">
      <c r="A347" s="455"/>
      <c r="B347" s="452"/>
      <c r="C347" s="452"/>
      <c r="D347" s="452"/>
      <c r="E347" s="452"/>
      <c r="F347" s="452"/>
      <c r="G347" s="452"/>
      <c r="H347" s="452"/>
      <c r="I347" s="452"/>
    </row>
    <row r="348" spans="1:9" ht="12.75" x14ac:dyDescent="0.2">
      <c r="A348" s="455"/>
      <c r="B348" s="452"/>
      <c r="C348" s="452"/>
      <c r="D348" s="452"/>
      <c r="E348" s="452"/>
      <c r="F348" s="452"/>
      <c r="G348" s="452"/>
      <c r="H348" s="452"/>
      <c r="I348" s="452"/>
    </row>
    <row r="349" spans="1:9" ht="12.75" x14ac:dyDescent="0.2">
      <c r="A349" s="455"/>
      <c r="B349" s="452"/>
      <c r="C349" s="452"/>
      <c r="D349" s="452"/>
      <c r="E349" s="452"/>
      <c r="F349" s="452"/>
      <c r="G349" s="452"/>
      <c r="H349" s="452"/>
      <c r="I349" s="452"/>
    </row>
    <row r="350" spans="1:9" ht="12.75" x14ac:dyDescent="0.2">
      <c r="A350" s="455"/>
      <c r="B350" s="452"/>
      <c r="C350" s="452"/>
      <c r="D350" s="452"/>
      <c r="E350" s="452"/>
      <c r="F350" s="452"/>
      <c r="G350" s="452"/>
      <c r="H350" s="452"/>
      <c r="I350" s="452"/>
    </row>
    <row r="351" spans="1:9" ht="12.75" x14ac:dyDescent="0.2">
      <c r="A351" s="455"/>
      <c r="B351" s="452"/>
      <c r="C351" s="452"/>
      <c r="D351" s="452"/>
      <c r="E351" s="452"/>
      <c r="F351" s="452"/>
      <c r="G351" s="452"/>
      <c r="H351" s="452"/>
      <c r="I351" s="452"/>
    </row>
    <row r="352" spans="1:9" ht="12.75" x14ac:dyDescent="0.2">
      <c r="A352" s="455"/>
      <c r="B352" s="452"/>
      <c r="C352" s="452"/>
      <c r="D352" s="452"/>
      <c r="E352" s="452"/>
      <c r="F352" s="452"/>
      <c r="G352" s="452"/>
      <c r="H352" s="452"/>
      <c r="I352" s="452"/>
    </row>
    <row r="353" spans="1:9" ht="12.75" x14ac:dyDescent="0.2">
      <c r="A353" s="455"/>
      <c r="B353" s="452"/>
      <c r="C353" s="452"/>
      <c r="D353" s="452"/>
      <c r="E353" s="452"/>
      <c r="F353" s="452"/>
      <c r="G353" s="452"/>
      <c r="H353" s="452"/>
      <c r="I353" s="452"/>
    </row>
    <row r="354" spans="1:9" ht="12.75" x14ac:dyDescent="0.2">
      <c r="A354" s="455"/>
      <c r="B354" s="452"/>
      <c r="C354" s="452"/>
      <c r="D354" s="452"/>
      <c r="E354" s="452"/>
      <c r="F354" s="452"/>
      <c r="G354" s="452"/>
      <c r="H354" s="452"/>
      <c r="I354" s="452"/>
    </row>
    <row r="355" spans="1:9" ht="12.75" x14ac:dyDescent="0.2">
      <c r="A355" s="455"/>
      <c r="B355" s="452"/>
      <c r="C355" s="452"/>
      <c r="D355" s="452"/>
      <c r="E355" s="452"/>
      <c r="F355" s="452"/>
      <c r="G355" s="452"/>
      <c r="H355" s="452"/>
      <c r="I355" s="452"/>
    </row>
    <row r="356" spans="1:9" ht="12.75" x14ac:dyDescent="0.2">
      <c r="A356" s="455"/>
      <c r="B356" s="452"/>
      <c r="C356" s="452"/>
      <c r="D356" s="452"/>
      <c r="E356" s="452"/>
      <c r="F356" s="452"/>
      <c r="G356" s="452"/>
      <c r="H356" s="452"/>
      <c r="I356" s="452"/>
    </row>
    <row r="357" spans="1:9" ht="12.75" x14ac:dyDescent="0.2">
      <c r="A357" s="455"/>
      <c r="B357" s="452"/>
      <c r="C357" s="452"/>
      <c r="D357" s="452"/>
      <c r="E357" s="452"/>
      <c r="F357" s="452"/>
      <c r="G357" s="452"/>
      <c r="H357" s="452"/>
      <c r="I357" s="452"/>
    </row>
    <row r="358" spans="1:9" ht="12.75" x14ac:dyDescent="0.2">
      <c r="A358" s="455"/>
      <c r="B358" s="452"/>
      <c r="C358" s="452"/>
      <c r="D358" s="452"/>
      <c r="E358" s="452"/>
      <c r="F358" s="452"/>
      <c r="G358" s="452"/>
      <c r="H358" s="452"/>
      <c r="I358" s="452"/>
    </row>
    <row r="359" spans="1:9" ht="12.75" x14ac:dyDescent="0.2">
      <c r="A359" s="455"/>
      <c r="B359" s="452"/>
      <c r="C359" s="452"/>
      <c r="D359" s="452"/>
      <c r="E359" s="452"/>
      <c r="F359" s="452"/>
      <c r="G359" s="452"/>
      <c r="H359" s="452"/>
      <c r="I359" s="452"/>
    </row>
    <row r="360" spans="1:9" ht="12.75" x14ac:dyDescent="0.2">
      <c r="A360" s="455"/>
      <c r="B360" s="452"/>
      <c r="C360" s="452"/>
      <c r="D360" s="452"/>
      <c r="E360" s="452"/>
      <c r="F360" s="452"/>
      <c r="G360" s="452"/>
      <c r="H360" s="452"/>
      <c r="I360" s="452"/>
    </row>
    <row r="361" spans="1:9" ht="12.75" x14ac:dyDescent="0.2">
      <c r="A361" s="455"/>
      <c r="B361" s="452"/>
      <c r="C361" s="452"/>
      <c r="D361" s="452"/>
      <c r="E361" s="452"/>
      <c r="F361" s="452"/>
      <c r="G361" s="452"/>
      <c r="H361" s="452"/>
      <c r="I361" s="452"/>
    </row>
    <row r="362" spans="1:9" ht="12.75" x14ac:dyDescent="0.2">
      <c r="A362" s="455"/>
      <c r="B362" s="452"/>
      <c r="C362" s="452"/>
      <c r="D362" s="452"/>
      <c r="E362" s="452"/>
      <c r="F362" s="452"/>
      <c r="G362" s="452"/>
      <c r="H362" s="452"/>
      <c r="I362" s="452"/>
    </row>
    <row r="363" spans="1:9" ht="12.75" x14ac:dyDescent="0.2">
      <c r="A363" s="455"/>
      <c r="B363" s="452"/>
      <c r="C363" s="452"/>
      <c r="D363" s="452"/>
      <c r="E363" s="452"/>
      <c r="F363" s="452"/>
      <c r="G363" s="452"/>
      <c r="H363" s="452"/>
      <c r="I363" s="452"/>
    </row>
    <row r="364" spans="1:9" ht="12.75" x14ac:dyDescent="0.2">
      <c r="A364" s="455"/>
      <c r="B364" s="452"/>
      <c r="C364" s="452"/>
      <c r="D364" s="452"/>
      <c r="E364" s="452"/>
      <c r="F364" s="452"/>
      <c r="G364" s="452"/>
      <c r="H364" s="452"/>
      <c r="I364" s="452"/>
    </row>
    <row r="365" spans="1:9" ht="12.75" x14ac:dyDescent="0.2">
      <c r="A365" s="455"/>
      <c r="B365" s="452"/>
      <c r="C365" s="452"/>
      <c r="D365" s="452"/>
      <c r="E365" s="452"/>
      <c r="F365" s="452"/>
      <c r="G365" s="452"/>
      <c r="H365" s="452"/>
      <c r="I365" s="452"/>
    </row>
    <row r="366" spans="1:9" ht="12.75" x14ac:dyDescent="0.2">
      <c r="A366" s="455"/>
      <c r="B366" s="452"/>
      <c r="C366" s="452"/>
      <c r="D366" s="452"/>
      <c r="E366" s="452"/>
      <c r="F366" s="452"/>
      <c r="G366" s="452"/>
      <c r="H366" s="452"/>
      <c r="I366" s="452"/>
    </row>
    <row r="367" spans="1:9" ht="12.75" x14ac:dyDescent="0.2">
      <c r="A367" s="455"/>
      <c r="B367" s="452"/>
      <c r="C367" s="452"/>
      <c r="D367" s="452"/>
      <c r="E367" s="452"/>
      <c r="F367" s="452"/>
      <c r="G367" s="452"/>
      <c r="H367" s="452"/>
      <c r="I367" s="452"/>
    </row>
    <row r="368" spans="1:9" ht="12.75" x14ac:dyDescent="0.2">
      <c r="A368" s="455"/>
      <c r="B368" s="452"/>
      <c r="C368" s="452"/>
      <c r="D368" s="452"/>
      <c r="E368" s="452"/>
      <c r="F368" s="452"/>
      <c r="G368" s="452"/>
      <c r="H368" s="452"/>
      <c r="I368" s="452"/>
    </row>
    <row r="369" spans="1:9" ht="12.75" x14ac:dyDescent="0.2">
      <c r="A369" s="455"/>
      <c r="B369" s="452"/>
      <c r="C369" s="452"/>
      <c r="D369" s="452"/>
      <c r="E369" s="452"/>
      <c r="F369" s="452"/>
      <c r="G369" s="452"/>
      <c r="H369" s="452"/>
      <c r="I369" s="452"/>
    </row>
    <row r="370" spans="1:9" ht="12.75" x14ac:dyDescent="0.2">
      <c r="A370" s="455"/>
      <c r="B370" s="452"/>
      <c r="C370" s="452"/>
      <c r="D370" s="452"/>
      <c r="E370" s="452"/>
      <c r="F370" s="452"/>
      <c r="G370" s="452"/>
      <c r="H370" s="452"/>
      <c r="I370" s="452"/>
    </row>
    <row r="371" spans="1:9" ht="12.75" x14ac:dyDescent="0.2">
      <c r="A371" s="455"/>
      <c r="B371" s="452"/>
      <c r="C371" s="452"/>
      <c r="D371" s="452"/>
      <c r="E371" s="452"/>
      <c r="F371" s="452"/>
      <c r="G371" s="452"/>
      <c r="H371" s="452"/>
      <c r="I371" s="452"/>
    </row>
    <row r="372" spans="1:9" ht="12.75" x14ac:dyDescent="0.2">
      <c r="A372" s="455"/>
      <c r="B372" s="452"/>
      <c r="C372" s="452"/>
      <c r="D372" s="452"/>
      <c r="E372" s="452"/>
      <c r="F372" s="452"/>
      <c r="G372" s="452"/>
      <c r="H372" s="452"/>
      <c r="I372" s="452"/>
    </row>
    <row r="373" spans="1:9" ht="12.75" x14ac:dyDescent="0.2">
      <c r="A373" s="455"/>
      <c r="B373" s="452"/>
      <c r="C373" s="452"/>
      <c r="D373" s="452"/>
      <c r="E373" s="452"/>
      <c r="F373" s="452"/>
      <c r="G373" s="452"/>
      <c r="H373" s="452"/>
      <c r="I373" s="452"/>
    </row>
    <row r="374" spans="1:9" ht="12.75" x14ac:dyDescent="0.2">
      <c r="A374" s="455"/>
      <c r="B374" s="452"/>
      <c r="C374" s="452"/>
      <c r="D374" s="452"/>
      <c r="E374" s="452"/>
      <c r="F374" s="452"/>
      <c r="G374" s="452"/>
      <c r="H374" s="452"/>
      <c r="I374" s="452"/>
    </row>
    <row r="375" spans="1:9" ht="12.75" x14ac:dyDescent="0.2">
      <c r="A375" s="455"/>
      <c r="B375" s="452"/>
      <c r="C375" s="452"/>
      <c r="D375" s="452"/>
      <c r="E375" s="452"/>
      <c r="F375" s="452"/>
      <c r="G375" s="452"/>
      <c r="H375" s="452"/>
      <c r="I375" s="452"/>
    </row>
    <row r="376" spans="1:9" ht="12.75" x14ac:dyDescent="0.2">
      <c r="A376" s="455"/>
      <c r="B376" s="452"/>
      <c r="C376" s="452"/>
      <c r="D376" s="452"/>
      <c r="E376" s="452"/>
      <c r="F376" s="452"/>
      <c r="G376" s="452"/>
      <c r="H376" s="452"/>
      <c r="I376" s="452"/>
    </row>
    <row r="377" spans="1:9" ht="12.75" x14ac:dyDescent="0.2">
      <c r="A377" s="455"/>
      <c r="B377" s="452"/>
      <c r="C377" s="452"/>
      <c r="D377" s="452"/>
      <c r="E377" s="452"/>
      <c r="F377" s="452"/>
      <c r="G377" s="452"/>
      <c r="H377" s="452"/>
      <c r="I377" s="452"/>
    </row>
    <row r="378" spans="1:9" ht="12.75" x14ac:dyDescent="0.2">
      <c r="A378" s="455"/>
      <c r="B378" s="452"/>
      <c r="C378" s="452"/>
      <c r="D378" s="452"/>
      <c r="E378" s="452"/>
      <c r="F378" s="452"/>
      <c r="G378" s="452"/>
      <c r="H378" s="452"/>
      <c r="I378" s="452"/>
    </row>
    <row r="379" spans="1:9" ht="12.75" x14ac:dyDescent="0.2">
      <c r="A379" s="455"/>
      <c r="B379" s="452"/>
      <c r="C379" s="452"/>
      <c r="D379" s="452"/>
      <c r="E379" s="452"/>
      <c r="F379" s="452"/>
      <c r="G379" s="452"/>
      <c r="H379" s="452"/>
      <c r="I379" s="452"/>
    </row>
    <row r="380" spans="1:9" ht="12.75" x14ac:dyDescent="0.2">
      <c r="A380" s="455"/>
      <c r="B380" s="452"/>
      <c r="C380" s="452"/>
      <c r="D380" s="452"/>
      <c r="E380" s="452"/>
      <c r="F380" s="452"/>
      <c r="G380" s="452"/>
      <c r="H380" s="452"/>
      <c r="I380" s="452"/>
    </row>
    <row r="381" spans="1:9" ht="12.75" x14ac:dyDescent="0.2">
      <c r="A381" s="455"/>
      <c r="B381" s="452"/>
      <c r="C381" s="452"/>
      <c r="D381" s="452"/>
      <c r="E381" s="452"/>
      <c r="F381" s="452"/>
      <c r="G381" s="452"/>
      <c r="H381" s="452"/>
      <c r="I381" s="452"/>
    </row>
    <row r="382" spans="1:9" ht="12.75" x14ac:dyDescent="0.2">
      <c r="A382" s="455"/>
      <c r="B382" s="452"/>
      <c r="C382" s="452"/>
      <c r="D382" s="452"/>
      <c r="E382" s="452"/>
      <c r="F382" s="452"/>
      <c r="G382" s="452"/>
      <c r="H382" s="452"/>
      <c r="I382" s="452"/>
    </row>
    <row r="383" spans="1:9" ht="12.75" x14ac:dyDescent="0.2">
      <c r="A383" s="455"/>
      <c r="B383" s="452"/>
      <c r="C383" s="452"/>
      <c r="D383" s="452"/>
      <c r="E383" s="452"/>
      <c r="F383" s="452"/>
      <c r="G383" s="452"/>
      <c r="H383" s="452"/>
      <c r="I383" s="452"/>
    </row>
    <row r="384" spans="1:9" ht="12.75" x14ac:dyDescent="0.2">
      <c r="A384" s="455"/>
      <c r="B384" s="452"/>
      <c r="C384" s="452"/>
      <c r="D384" s="452"/>
      <c r="E384" s="452"/>
      <c r="F384" s="452"/>
      <c r="G384" s="452"/>
      <c r="H384" s="452"/>
      <c r="I384" s="452"/>
    </row>
    <row r="385" spans="1:9" ht="12.75" x14ac:dyDescent="0.2">
      <c r="A385" s="455"/>
      <c r="B385" s="452"/>
      <c r="C385" s="452"/>
      <c r="D385" s="452"/>
      <c r="E385" s="452"/>
      <c r="F385" s="452"/>
      <c r="G385" s="452"/>
      <c r="H385" s="452"/>
      <c r="I385" s="452"/>
    </row>
    <row r="386" spans="1:9" ht="12.75" x14ac:dyDescent="0.2">
      <c r="A386" s="455"/>
      <c r="B386" s="452"/>
      <c r="C386" s="452"/>
      <c r="D386" s="452"/>
      <c r="E386" s="452"/>
      <c r="F386" s="452"/>
      <c r="G386" s="452"/>
      <c r="H386" s="452"/>
      <c r="I386" s="452"/>
    </row>
    <row r="387" spans="1:9" ht="12.75" x14ac:dyDescent="0.2">
      <c r="A387" s="455"/>
      <c r="B387" s="452"/>
      <c r="C387" s="452"/>
      <c r="D387" s="452"/>
      <c r="E387" s="452"/>
      <c r="F387" s="452"/>
      <c r="G387" s="452"/>
      <c r="H387" s="452"/>
      <c r="I387" s="452"/>
    </row>
    <row r="388" spans="1:9" ht="12.75" x14ac:dyDescent="0.2">
      <c r="A388" s="455"/>
      <c r="B388" s="452"/>
      <c r="C388" s="452"/>
      <c r="D388" s="452"/>
      <c r="E388" s="452"/>
      <c r="F388" s="452"/>
      <c r="G388" s="452"/>
      <c r="H388" s="452"/>
      <c r="I388" s="452"/>
    </row>
    <row r="389" spans="1:9" ht="12.75" x14ac:dyDescent="0.2">
      <c r="A389" s="455"/>
      <c r="B389" s="452"/>
      <c r="C389" s="452"/>
      <c r="D389" s="452"/>
      <c r="E389" s="452"/>
      <c r="F389" s="452"/>
      <c r="G389" s="452"/>
      <c r="H389" s="452"/>
      <c r="I389" s="452"/>
    </row>
    <row r="390" spans="1:9" ht="12.75" x14ac:dyDescent="0.2">
      <c r="A390" s="455"/>
      <c r="B390" s="452"/>
      <c r="C390" s="452"/>
      <c r="D390" s="452"/>
      <c r="E390" s="452"/>
      <c r="F390" s="452"/>
      <c r="G390" s="452"/>
      <c r="H390" s="452"/>
      <c r="I390" s="452"/>
    </row>
    <row r="391" spans="1:9" ht="12.75" x14ac:dyDescent="0.2">
      <c r="A391" s="455"/>
      <c r="B391" s="452"/>
      <c r="C391" s="452"/>
      <c r="D391" s="452"/>
      <c r="E391" s="452"/>
      <c r="F391" s="452"/>
      <c r="G391" s="452"/>
      <c r="H391" s="452"/>
      <c r="I391" s="452"/>
    </row>
    <row r="392" spans="1:9" ht="12.75" x14ac:dyDescent="0.2">
      <c r="A392" s="455"/>
      <c r="B392" s="452"/>
      <c r="C392" s="452"/>
      <c r="D392" s="452"/>
      <c r="E392" s="452"/>
      <c r="F392" s="452"/>
      <c r="G392" s="452"/>
      <c r="H392" s="452"/>
      <c r="I392" s="452"/>
    </row>
    <row r="393" spans="1:9" ht="12.75" x14ac:dyDescent="0.2">
      <c r="A393" s="455"/>
      <c r="B393" s="452"/>
      <c r="C393" s="452"/>
      <c r="D393" s="452"/>
      <c r="E393" s="452"/>
      <c r="F393" s="452"/>
      <c r="G393" s="452"/>
      <c r="H393" s="452"/>
      <c r="I393" s="452"/>
    </row>
    <row r="394" spans="1:9" ht="12.75" x14ac:dyDescent="0.2">
      <c r="A394" s="455"/>
      <c r="B394" s="452"/>
      <c r="C394" s="452"/>
      <c r="D394" s="452"/>
      <c r="E394" s="452"/>
      <c r="F394" s="452"/>
      <c r="G394" s="452"/>
      <c r="H394" s="452"/>
      <c r="I394" s="452"/>
    </row>
    <row r="395" spans="1:9" ht="12.75" x14ac:dyDescent="0.2">
      <c r="A395" s="455"/>
      <c r="B395" s="452"/>
      <c r="C395" s="452"/>
      <c r="D395" s="452"/>
      <c r="E395" s="452"/>
      <c r="F395" s="452"/>
      <c r="G395" s="452"/>
      <c r="H395" s="452"/>
      <c r="I395" s="452"/>
    </row>
    <row r="396" spans="1:9" ht="12.75" x14ac:dyDescent="0.2">
      <c r="A396" s="455"/>
      <c r="B396" s="452"/>
      <c r="C396" s="452"/>
      <c r="D396" s="452"/>
      <c r="E396" s="452"/>
      <c r="F396" s="452"/>
      <c r="G396" s="452"/>
      <c r="H396" s="452"/>
      <c r="I396" s="452"/>
    </row>
    <row r="397" spans="1:9" ht="12.75" x14ac:dyDescent="0.2">
      <c r="A397" s="455"/>
      <c r="B397" s="452"/>
      <c r="C397" s="452"/>
      <c r="D397" s="452"/>
      <c r="E397" s="452"/>
      <c r="F397" s="452"/>
      <c r="G397" s="452"/>
      <c r="H397" s="452"/>
      <c r="I397" s="452"/>
    </row>
    <row r="398" spans="1:9" ht="12.75" x14ac:dyDescent="0.2">
      <c r="A398" s="455"/>
      <c r="B398" s="452"/>
      <c r="C398" s="452"/>
      <c r="D398" s="452"/>
      <c r="E398" s="452"/>
      <c r="F398" s="452"/>
      <c r="G398" s="452"/>
      <c r="H398" s="452"/>
      <c r="I398" s="452"/>
    </row>
    <row r="399" spans="1:9" ht="12.75" x14ac:dyDescent="0.2">
      <c r="A399" s="455"/>
      <c r="B399" s="452"/>
      <c r="C399" s="452"/>
      <c r="D399" s="452"/>
      <c r="E399" s="452"/>
      <c r="F399" s="452"/>
      <c r="G399" s="452"/>
      <c r="H399" s="452"/>
      <c r="I399" s="452"/>
    </row>
    <row r="400" spans="1:9" ht="12.75" x14ac:dyDescent="0.2">
      <c r="A400" s="455"/>
      <c r="B400" s="452"/>
      <c r="C400" s="452"/>
      <c r="D400" s="452"/>
      <c r="E400" s="452"/>
      <c r="F400" s="452"/>
      <c r="G400" s="452"/>
      <c r="H400" s="452"/>
      <c r="I400" s="452"/>
    </row>
    <row r="401" spans="1:9" ht="12.75" x14ac:dyDescent="0.2">
      <c r="A401" s="455"/>
      <c r="B401" s="452"/>
      <c r="C401" s="452"/>
      <c r="D401" s="452"/>
      <c r="E401" s="452"/>
      <c r="F401" s="452"/>
      <c r="G401" s="452"/>
      <c r="H401" s="452"/>
      <c r="I401" s="452"/>
    </row>
    <row r="402" spans="1:9" ht="12.75" x14ac:dyDescent="0.2">
      <c r="A402" s="455"/>
      <c r="B402" s="452"/>
      <c r="C402" s="452"/>
      <c r="D402" s="452"/>
      <c r="E402" s="452"/>
      <c r="F402" s="452"/>
      <c r="G402" s="452"/>
      <c r="H402" s="452"/>
      <c r="I402" s="452"/>
    </row>
    <row r="403" spans="1:9" ht="12.75" x14ac:dyDescent="0.2">
      <c r="A403" s="455"/>
      <c r="B403" s="452"/>
      <c r="C403" s="452"/>
      <c r="D403" s="452"/>
      <c r="E403" s="452"/>
      <c r="F403" s="452"/>
      <c r="G403" s="452"/>
      <c r="H403" s="452"/>
      <c r="I403" s="452"/>
    </row>
    <row r="404" spans="1:9" ht="12.75" x14ac:dyDescent="0.2">
      <c r="A404" s="455"/>
      <c r="B404" s="452"/>
      <c r="C404" s="452"/>
      <c r="D404" s="452"/>
      <c r="E404" s="452"/>
      <c r="F404" s="452"/>
      <c r="G404" s="452"/>
      <c r="H404" s="452"/>
      <c r="I404" s="452"/>
    </row>
    <row r="405" spans="1:9" ht="12.75" x14ac:dyDescent="0.2">
      <c r="A405" s="455"/>
      <c r="B405" s="452"/>
      <c r="C405" s="452"/>
      <c r="D405" s="452"/>
      <c r="E405" s="452"/>
      <c r="F405" s="452"/>
      <c r="G405" s="452"/>
      <c r="H405" s="452"/>
      <c r="I405" s="452"/>
    </row>
    <row r="406" spans="1:9" ht="12.75" x14ac:dyDescent="0.2">
      <c r="A406" s="455"/>
      <c r="B406" s="452"/>
      <c r="C406" s="452"/>
      <c r="D406" s="452"/>
      <c r="E406" s="452"/>
      <c r="F406" s="452"/>
      <c r="G406" s="452"/>
      <c r="H406" s="452"/>
      <c r="I406" s="452"/>
    </row>
    <row r="407" spans="1:9" ht="12.75" x14ac:dyDescent="0.2">
      <c r="A407" s="455"/>
      <c r="B407" s="452"/>
      <c r="C407" s="452"/>
      <c r="D407" s="452"/>
      <c r="E407" s="452"/>
      <c r="F407" s="452"/>
      <c r="G407" s="452"/>
      <c r="H407" s="452"/>
      <c r="I407" s="452"/>
    </row>
    <row r="408" spans="1:9" ht="12.75" x14ac:dyDescent="0.2">
      <c r="A408" s="455"/>
      <c r="B408" s="452"/>
      <c r="C408" s="452"/>
      <c r="D408" s="452"/>
      <c r="E408" s="452"/>
      <c r="F408" s="452"/>
      <c r="G408" s="452"/>
      <c r="H408" s="452"/>
      <c r="I408" s="452"/>
    </row>
    <row r="409" spans="1:9" ht="12.75" x14ac:dyDescent="0.2">
      <c r="A409" s="455"/>
      <c r="B409" s="452"/>
      <c r="C409" s="452"/>
      <c r="D409" s="452"/>
      <c r="E409" s="452"/>
      <c r="F409" s="452"/>
      <c r="G409" s="452"/>
      <c r="H409" s="452"/>
      <c r="I409" s="452"/>
    </row>
    <row r="410" spans="1:9" ht="12.75" x14ac:dyDescent="0.2">
      <c r="A410" s="455"/>
      <c r="B410" s="452"/>
      <c r="C410" s="452"/>
      <c r="D410" s="452"/>
      <c r="E410" s="452"/>
      <c r="F410" s="452"/>
      <c r="G410" s="452"/>
      <c r="H410" s="452"/>
      <c r="I410" s="452"/>
    </row>
    <row r="411" spans="1:9" ht="12.75" x14ac:dyDescent="0.2">
      <c r="A411" s="455"/>
      <c r="B411" s="452"/>
      <c r="C411" s="452"/>
      <c r="D411" s="452"/>
      <c r="E411" s="452"/>
      <c r="F411" s="452"/>
      <c r="G411" s="452"/>
      <c r="H411" s="452"/>
      <c r="I411" s="452"/>
    </row>
    <row r="412" spans="1:9" ht="12.75" x14ac:dyDescent="0.2">
      <c r="A412" s="455"/>
      <c r="B412" s="452"/>
      <c r="C412" s="452"/>
      <c r="D412" s="452"/>
      <c r="E412" s="452"/>
      <c r="F412" s="452"/>
      <c r="G412" s="452"/>
      <c r="H412" s="452"/>
      <c r="I412" s="452"/>
    </row>
    <row r="413" spans="1:9" ht="12.75" x14ac:dyDescent="0.2">
      <c r="A413" s="455"/>
      <c r="B413" s="452"/>
      <c r="C413" s="452"/>
      <c r="D413" s="452"/>
      <c r="E413" s="452"/>
      <c r="F413" s="452"/>
      <c r="G413" s="452"/>
      <c r="H413" s="452"/>
      <c r="I413" s="452"/>
    </row>
    <row r="414" spans="1:9" ht="12.75" x14ac:dyDescent="0.2">
      <c r="A414" s="455"/>
      <c r="B414" s="452"/>
      <c r="C414" s="452"/>
      <c r="D414" s="452"/>
      <c r="E414" s="452"/>
      <c r="F414" s="452"/>
      <c r="G414" s="452"/>
      <c r="H414" s="452"/>
      <c r="I414" s="452"/>
    </row>
    <row r="415" spans="1:9" ht="12.75" x14ac:dyDescent="0.2">
      <c r="A415" s="455"/>
      <c r="B415" s="452"/>
      <c r="C415" s="452"/>
      <c r="D415" s="452"/>
      <c r="E415" s="452"/>
      <c r="F415" s="452"/>
      <c r="G415" s="452"/>
      <c r="H415" s="452"/>
      <c r="I415" s="452"/>
    </row>
    <row r="416" spans="1:9" ht="12.75" x14ac:dyDescent="0.2">
      <c r="A416" s="455"/>
      <c r="B416" s="452"/>
      <c r="C416" s="452"/>
      <c r="D416" s="452"/>
      <c r="E416" s="452"/>
      <c r="F416" s="452"/>
      <c r="G416" s="452"/>
      <c r="H416" s="452"/>
      <c r="I416" s="452"/>
    </row>
    <row r="417" spans="1:9" ht="12.75" x14ac:dyDescent="0.2">
      <c r="A417" s="455"/>
      <c r="B417" s="452"/>
      <c r="C417" s="452"/>
      <c r="D417" s="452"/>
      <c r="E417" s="452"/>
      <c r="F417" s="452"/>
      <c r="G417" s="452"/>
      <c r="H417" s="452"/>
      <c r="I417" s="452"/>
    </row>
    <row r="418" spans="1:9" ht="12.75" x14ac:dyDescent="0.2">
      <c r="A418" s="455"/>
      <c r="B418" s="452"/>
      <c r="C418" s="452"/>
      <c r="D418" s="452"/>
      <c r="E418" s="452"/>
      <c r="F418" s="452"/>
      <c r="G418" s="452"/>
      <c r="H418" s="452"/>
      <c r="I418" s="452"/>
    </row>
    <row r="419" spans="1:9" ht="12.75" x14ac:dyDescent="0.2">
      <c r="A419" s="455"/>
      <c r="B419" s="452"/>
      <c r="C419" s="452"/>
      <c r="D419" s="452"/>
      <c r="E419" s="452"/>
      <c r="F419" s="452"/>
      <c r="G419" s="452"/>
      <c r="H419" s="452"/>
      <c r="I419" s="452"/>
    </row>
    <row r="420" spans="1:9" ht="12.75" x14ac:dyDescent="0.2">
      <c r="A420" s="455"/>
      <c r="B420" s="452"/>
      <c r="C420" s="452"/>
      <c r="D420" s="452"/>
      <c r="E420" s="452"/>
      <c r="F420" s="452"/>
      <c r="G420" s="452"/>
      <c r="H420" s="452"/>
      <c r="I420" s="452"/>
    </row>
    <row r="421" spans="1:9" ht="12.75" x14ac:dyDescent="0.2">
      <c r="A421" s="455"/>
      <c r="B421" s="452"/>
      <c r="C421" s="452"/>
      <c r="D421" s="452"/>
      <c r="E421" s="452"/>
      <c r="F421" s="452"/>
      <c r="G421" s="452"/>
      <c r="H421" s="452"/>
      <c r="I421" s="452"/>
    </row>
    <row r="422" spans="1:9" ht="12.75" x14ac:dyDescent="0.2">
      <c r="A422" s="455"/>
      <c r="B422" s="452"/>
      <c r="C422" s="452"/>
      <c r="D422" s="452"/>
      <c r="E422" s="452"/>
      <c r="F422" s="452"/>
      <c r="G422" s="452"/>
      <c r="H422" s="452"/>
      <c r="I422" s="452"/>
    </row>
    <row r="423" spans="1:9" ht="12.75" x14ac:dyDescent="0.2">
      <c r="A423" s="455"/>
      <c r="B423" s="452"/>
      <c r="C423" s="452"/>
      <c r="D423" s="452"/>
      <c r="E423" s="452"/>
      <c r="F423" s="452"/>
      <c r="G423" s="452"/>
      <c r="H423" s="452"/>
      <c r="I423" s="452"/>
    </row>
    <row r="424" spans="1:9" ht="12.75" x14ac:dyDescent="0.2">
      <c r="A424" s="455"/>
      <c r="B424" s="452"/>
      <c r="C424" s="452"/>
      <c r="D424" s="452"/>
      <c r="E424" s="452"/>
      <c r="F424" s="452"/>
      <c r="G424" s="452"/>
      <c r="H424" s="452"/>
      <c r="I424" s="452"/>
    </row>
    <row r="425" spans="1:9" ht="12.75" x14ac:dyDescent="0.2">
      <c r="A425" s="455"/>
      <c r="B425" s="452"/>
      <c r="C425" s="452"/>
      <c r="D425" s="452"/>
      <c r="E425" s="452"/>
      <c r="F425" s="452"/>
      <c r="G425" s="452"/>
      <c r="H425" s="452"/>
      <c r="I425" s="452"/>
    </row>
    <row r="426" spans="1:9" ht="12.75" x14ac:dyDescent="0.2">
      <c r="A426" s="455"/>
      <c r="B426" s="452"/>
      <c r="C426" s="452"/>
      <c r="D426" s="452"/>
      <c r="E426" s="452"/>
      <c r="F426" s="452"/>
      <c r="G426" s="452"/>
      <c r="H426" s="452"/>
      <c r="I426" s="452"/>
    </row>
    <row r="427" spans="1:9" ht="12.75" x14ac:dyDescent="0.2">
      <c r="A427" s="455"/>
      <c r="B427" s="452"/>
      <c r="C427" s="452"/>
      <c r="D427" s="452"/>
      <c r="E427" s="452"/>
      <c r="F427" s="452"/>
      <c r="G427" s="452"/>
      <c r="H427" s="452"/>
      <c r="I427" s="452"/>
    </row>
    <row r="428" spans="1:9" ht="12.75" x14ac:dyDescent="0.2">
      <c r="A428" s="455"/>
      <c r="B428" s="452"/>
      <c r="C428" s="452"/>
      <c r="D428" s="452"/>
      <c r="E428" s="452"/>
      <c r="F428" s="452"/>
      <c r="G428" s="452"/>
      <c r="H428" s="452"/>
      <c r="I428" s="452"/>
    </row>
    <row r="429" spans="1:9" ht="12.75" x14ac:dyDescent="0.2">
      <c r="A429" s="455"/>
      <c r="B429" s="452"/>
      <c r="C429" s="452"/>
      <c r="D429" s="452"/>
      <c r="E429" s="452"/>
      <c r="F429" s="452"/>
      <c r="G429" s="452"/>
      <c r="H429" s="452"/>
      <c r="I429" s="452"/>
    </row>
    <row r="430" spans="1:9" ht="12.75" x14ac:dyDescent="0.2">
      <c r="A430" s="455"/>
      <c r="B430" s="452"/>
      <c r="C430" s="452"/>
      <c r="D430" s="452"/>
      <c r="E430" s="452"/>
      <c r="F430" s="452"/>
      <c r="G430" s="452"/>
      <c r="H430" s="452"/>
      <c r="I430" s="452"/>
    </row>
    <row r="431" spans="1:9" ht="12.75" x14ac:dyDescent="0.2">
      <c r="A431" s="455"/>
      <c r="B431" s="452"/>
      <c r="C431" s="452"/>
      <c r="D431" s="452"/>
      <c r="E431" s="452"/>
      <c r="F431" s="452"/>
      <c r="G431" s="452"/>
      <c r="H431" s="452"/>
      <c r="I431" s="452"/>
    </row>
    <row r="432" spans="1:9" ht="12.75" x14ac:dyDescent="0.2">
      <c r="A432" s="455"/>
      <c r="B432" s="452"/>
      <c r="C432" s="452"/>
      <c r="D432" s="452"/>
      <c r="E432" s="452"/>
      <c r="F432" s="452"/>
      <c r="G432" s="452"/>
      <c r="H432" s="452"/>
      <c r="I432" s="452"/>
    </row>
    <row r="433" spans="1:9" ht="12.75" x14ac:dyDescent="0.2">
      <c r="A433" s="455"/>
      <c r="B433" s="452"/>
      <c r="C433" s="452"/>
      <c r="D433" s="452"/>
      <c r="E433" s="452"/>
      <c r="F433" s="452"/>
      <c r="G433" s="452"/>
      <c r="H433" s="452"/>
      <c r="I433" s="452"/>
    </row>
    <row r="434" spans="1:9" ht="12.75" x14ac:dyDescent="0.2">
      <c r="A434" s="455"/>
      <c r="B434" s="452"/>
      <c r="C434" s="452"/>
      <c r="D434" s="452"/>
      <c r="E434" s="452"/>
      <c r="F434" s="452"/>
      <c r="G434" s="452"/>
      <c r="H434" s="452"/>
      <c r="I434" s="452"/>
    </row>
    <row r="435" spans="1:9" ht="12.75" x14ac:dyDescent="0.2">
      <c r="A435" s="455"/>
      <c r="B435" s="452"/>
      <c r="C435" s="452"/>
      <c r="D435" s="452"/>
      <c r="E435" s="452"/>
      <c r="F435" s="452"/>
      <c r="G435" s="452"/>
      <c r="H435" s="452"/>
      <c r="I435" s="452"/>
    </row>
    <row r="436" spans="1:9" ht="12.75" x14ac:dyDescent="0.2">
      <c r="A436" s="455"/>
      <c r="B436" s="452"/>
      <c r="C436" s="452"/>
      <c r="D436" s="452"/>
      <c r="E436" s="452"/>
      <c r="F436" s="452"/>
      <c r="G436" s="452"/>
      <c r="H436" s="452"/>
      <c r="I436" s="452"/>
    </row>
    <row r="437" spans="1:9" ht="12.75" x14ac:dyDescent="0.2">
      <c r="A437" s="455"/>
      <c r="B437" s="452"/>
      <c r="C437" s="452"/>
      <c r="D437" s="452"/>
      <c r="E437" s="452"/>
      <c r="F437" s="452"/>
      <c r="G437" s="452"/>
      <c r="H437" s="452"/>
      <c r="I437" s="452"/>
    </row>
    <row r="438" spans="1:9" ht="12.75" x14ac:dyDescent="0.2">
      <c r="A438" s="455"/>
      <c r="B438" s="452"/>
      <c r="C438" s="452"/>
      <c r="D438" s="452"/>
      <c r="E438" s="452"/>
      <c r="F438" s="452"/>
      <c r="G438" s="452"/>
      <c r="H438" s="452"/>
      <c r="I438" s="452"/>
    </row>
    <row r="439" spans="1:9" ht="12.75" x14ac:dyDescent="0.2">
      <c r="A439" s="455"/>
      <c r="B439" s="452"/>
      <c r="C439" s="452"/>
      <c r="D439" s="452"/>
      <c r="E439" s="452"/>
      <c r="F439" s="452"/>
      <c r="G439" s="452"/>
      <c r="H439" s="452"/>
      <c r="I439" s="452"/>
    </row>
    <row r="440" spans="1:9" ht="12.75" x14ac:dyDescent="0.2">
      <c r="A440" s="455"/>
      <c r="B440" s="452"/>
      <c r="C440" s="452"/>
      <c r="D440" s="452"/>
      <c r="E440" s="452"/>
      <c r="F440" s="452"/>
      <c r="G440" s="452"/>
      <c r="H440" s="452"/>
      <c r="I440" s="452"/>
    </row>
    <row r="441" spans="1:9" ht="12.75" x14ac:dyDescent="0.2">
      <c r="A441" s="455"/>
      <c r="B441" s="452"/>
      <c r="C441" s="452"/>
      <c r="D441" s="452"/>
      <c r="E441" s="452"/>
      <c r="F441" s="452"/>
      <c r="G441" s="452"/>
      <c r="H441" s="452"/>
      <c r="I441" s="452"/>
    </row>
    <row r="442" spans="1:9" ht="12.75" x14ac:dyDescent="0.2">
      <c r="A442" s="455"/>
      <c r="B442" s="452"/>
      <c r="C442" s="452"/>
      <c r="D442" s="452"/>
      <c r="E442" s="452"/>
      <c r="F442" s="452"/>
      <c r="G442" s="452"/>
      <c r="H442" s="452"/>
      <c r="I442" s="452"/>
    </row>
    <row r="443" spans="1:9" ht="12.75" x14ac:dyDescent="0.2">
      <c r="A443" s="455"/>
      <c r="B443" s="452"/>
      <c r="C443" s="452"/>
      <c r="D443" s="452"/>
      <c r="E443" s="452"/>
      <c r="F443" s="452"/>
      <c r="G443" s="452"/>
      <c r="H443" s="452"/>
      <c r="I443" s="452"/>
    </row>
    <row r="444" spans="1:9" ht="12.75" x14ac:dyDescent="0.2">
      <c r="A444" s="455"/>
      <c r="B444" s="452"/>
      <c r="C444" s="452"/>
      <c r="D444" s="452"/>
      <c r="E444" s="452"/>
      <c r="F444" s="452"/>
      <c r="G444" s="452"/>
      <c r="H444" s="452"/>
      <c r="I444" s="452"/>
    </row>
    <row r="445" spans="1:9" ht="12.75" x14ac:dyDescent="0.2">
      <c r="A445" s="455"/>
      <c r="B445" s="452"/>
      <c r="C445" s="452"/>
      <c r="D445" s="452"/>
      <c r="E445" s="452"/>
      <c r="F445" s="452"/>
      <c r="G445" s="452"/>
      <c r="H445" s="452"/>
      <c r="I445" s="452"/>
    </row>
    <row r="446" spans="1:9" ht="12.75" x14ac:dyDescent="0.2">
      <c r="A446" s="455"/>
      <c r="B446" s="452"/>
      <c r="C446" s="452"/>
      <c r="D446" s="452"/>
      <c r="E446" s="452"/>
      <c r="F446" s="452"/>
      <c r="G446" s="452"/>
      <c r="H446" s="452"/>
      <c r="I446" s="452"/>
    </row>
    <row r="447" spans="1:9" ht="12.75" x14ac:dyDescent="0.2">
      <c r="A447" s="455"/>
      <c r="B447" s="452"/>
      <c r="C447" s="452"/>
      <c r="D447" s="452"/>
      <c r="E447" s="452"/>
      <c r="F447" s="452"/>
      <c r="G447" s="452"/>
      <c r="H447" s="452"/>
      <c r="I447" s="452"/>
    </row>
    <row r="448" spans="1:9" ht="12.75" x14ac:dyDescent="0.2">
      <c r="A448" s="455"/>
      <c r="B448" s="452"/>
      <c r="C448" s="452"/>
      <c r="D448" s="452"/>
      <c r="E448" s="452"/>
      <c r="F448" s="452"/>
      <c r="G448" s="452"/>
      <c r="H448" s="452"/>
      <c r="I448" s="452"/>
    </row>
    <row r="449" spans="1:9" ht="12.75" x14ac:dyDescent="0.2">
      <c r="A449" s="455"/>
      <c r="B449" s="452"/>
      <c r="C449" s="452"/>
      <c r="D449" s="452"/>
      <c r="E449" s="452"/>
      <c r="F449" s="452"/>
      <c r="G449" s="452"/>
      <c r="H449" s="452"/>
      <c r="I449" s="452"/>
    </row>
    <row r="450" spans="1:9" ht="12.75" x14ac:dyDescent="0.2">
      <c r="A450" s="455"/>
      <c r="B450" s="452"/>
      <c r="C450" s="452"/>
      <c r="D450" s="452"/>
      <c r="E450" s="452"/>
      <c r="F450" s="452"/>
      <c r="G450" s="452"/>
      <c r="H450" s="452"/>
      <c r="I450" s="452"/>
    </row>
    <row r="451" spans="1:9" ht="12.75" x14ac:dyDescent="0.2">
      <c r="A451" s="455"/>
      <c r="B451" s="452"/>
      <c r="C451" s="452"/>
      <c r="D451" s="452"/>
      <c r="E451" s="452"/>
      <c r="F451" s="452"/>
      <c r="G451" s="452"/>
      <c r="H451" s="452"/>
      <c r="I451" s="452"/>
    </row>
    <row r="452" spans="1:9" ht="12.75" x14ac:dyDescent="0.2">
      <c r="A452" s="455"/>
      <c r="B452" s="452"/>
      <c r="C452" s="452"/>
      <c r="D452" s="452"/>
      <c r="E452" s="452"/>
      <c r="F452" s="452"/>
      <c r="G452" s="452"/>
      <c r="H452" s="452"/>
      <c r="I452" s="452"/>
    </row>
    <row r="453" spans="1:9" ht="12.75" x14ac:dyDescent="0.2">
      <c r="A453" s="455"/>
      <c r="B453" s="452"/>
      <c r="C453" s="452"/>
      <c r="D453" s="452"/>
      <c r="E453" s="452"/>
      <c r="F453" s="452"/>
      <c r="G453" s="452"/>
      <c r="H453" s="452"/>
      <c r="I453" s="452"/>
    </row>
    <row r="454" spans="1:9" ht="12.75" x14ac:dyDescent="0.2">
      <c r="A454" s="455"/>
      <c r="B454" s="452"/>
      <c r="C454" s="452"/>
      <c r="D454" s="452"/>
      <c r="E454" s="452"/>
      <c r="F454" s="452"/>
      <c r="G454" s="452"/>
      <c r="H454" s="452"/>
      <c r="I454" s="452"/>
    </row>
    <row r="455" spans="1:9" ht="12.75" x14ac:dyDescent="0.2">
      <c r="A455" s="455"/>
      <c r="B455" s="452"/>
      <c r="C455" s="452"/>
      <c r="D455" s="452"/>
      <c r="E455" s="452"/>
      <c r="F455" s="452"/>
      <c r="G455" s="452"/>
      <c r="H455" s="452"/>
      <c r="I455" s="452"/>
    </row>
    <row r="456" spans="1:9" ht="12.75" x14ac:dyDescent="0.2">
      <c r="A456" s="455"/>
      <c r="B456" s="452"/>
      <c r="C456" s="452"/>
      <c r="D456" s="452"/>
      <c r="E456" s="452"/>
      <c r="F456" s="452"/>
      <c r="G456" s="452"/>
      <c r="H456" s="452"/>
      <c r="I456" s="452"/>
    </row>
    <row r="457" spans="1:9" ht="12.75" x14ac:dyDescent="0.2">
      <c r="A457" s="455"/>
      <c r="B457" s="452"/>
      <c r="C457" s="452"/>
      <c r="D457" s="452"/>
      <c r="E457" s="452"/>
      <c r="F457" s="452"/>
      <c r="G457" s="452"/>
      <c r="H457" s="452"/>
      <c r="I457" s="452"/>
    </row>
    <row r="458" spans="1:9" ht="12.75" x14ac:dyDescent="0.2">
      <c r="A458" s="455"/>
      <c r="B458" s="452"/>
      <c r="C458" s="452"/>
      <c r="D458" s="452"/>
      <c r="E458" s="452"/>
      <c r="F458" s="452"/>
      <c r="G458" s="452"/>
      <c r="H458" s="452"/>
      <c r="I458" s="452"/>
    </row>
    <row r="459" spans="1:9" ht="12.75" x14ac:dyDescent="0.2">
      <c r="A459" s="455"/>
      <c r="B459" s="452"/>
      <c r="C459" s="452"/>
      <c r="D459" s="452"/>
      <c r="E459" s="452"/>
      <c r="F459" s="452"/>
      <c r="G459" s="452"/>
      <c r="H459" s="452"/>
      <c r="I459" s="452"/>
    </row>
    <row r="460" spans="1:9" ht="12.75" x14ac:dyDescent="0.2">
      <c r="A460" s="455"/>
      <c r="B460" s="452"/>
      <c r="C460" s="452"/>
      <c r="D460" s="452"/>
      <c r="E460" s="452"/>
      <c r="F460" s="452"/>
      <c r="G460" s="452"/>
      <c r="H460" s="452"/>
      <c r="I460" s="452"/>
    </row>
    <row r="461" spans="1:9" ht="12.75" x14ac:dyDescent="0.2">
      <c r="A461" s="455"/>
      <c r="B461" s="452"/>
      <c r="C461" s="452"/>
      <c r="D461" s="452"/>
      <c r="E461" s="452"/>
      <c r="F461" s="452"/>
      <c r="G461" s="452"/>
      <c r="H461" s="452"/>
      <c r="I461" s="452"/>
    </row>
    <row r="462" spans="1:9" ht="12.75" x14ac:dyDescent="0.2">
      <c r="A462" s="455"/>
      <c r="B462" s="452"/>
      <c r="C462" s="452"/>
      <c r="D462" s="452"/>
      <c r="E462" s="452"/>
      <c r="F462" s="452"/>
      <c r="G462" s="452"/>
      <c r="H462" s="452"/>
      <c r="I462" s="452"/>
    </row>
    <row r="463" spans="1:9" ht="12.75" x14ac:dyDescent="0.2">
      <c r="A463" s="455"/>
      <c r="B463" s="452"/>
      <c r="C463" s="452"/>
      <c r="D463" s="452"/>
      <c r="E463" s="452"/>
      <c r="F463" s="452"/>
      <c r="G463" s="452"/>
      <c r="H463" s="452"/>
      <c r="I463" s="452"/>
    </row>
    <row r="464" spans="1:9" ht="12.75" x14ac:dyDescent="0.2">
      <c r="A464" s="455"/>
      <c r="B464" s="452"/>
      <c r="C464" s="452"/>
      <c r="D464" s="452"/>
      <c r="E464" s="452"/>
      <c r="F464" s="452"/>
      <c r="G464" s="452"/>
      <c r="H464" s="452"/>
      <c r="I464" s="452"/>
    </row>
    <row r="465" spans="1:9" ht="12.75" x14ac:dyDescent="0.2">
      <c r="A465" s="455"/>
      <c r="B465" s="452"/>
      <c r="C465" s="452"/>
      <c r="D465" s="452"/>
      <c r="E465" s="452"/>
      <c r="F465" s="452"/>
      <c r="G465" s="452"/>
      <c r="H465" s="452"/>
      <c r="I465" s="452"/>
    </row>
    <row r="466" spans="1:9" ht="12.75" x14ac:dyDescent="0.2">
      <c r="A466" s="455"/>
      <c r="B466" s="452"/>
      <c r="C466" s="452"/>
      <c r="D466" s="452"/>
      <c r="E466" s="452"/>
      <c r="F466" s="452"/>
      <c r="G466" s="452"/>
      <c r="H466" s="452"/>
      <c r="I466" s="452"/>
    </row>
    <row r="467" spans="1:9" ht="12.75" x14ac:dyDescent="0.2">
      <c r="A467" s="455"/>
      <c r="B467" s="452"/>
      <c r="C467" s="452"/>
      <c r="D467" s="452"/>
      <c r="E467" s="452"/>
      <c r="F467" s="452"/>
      <c r="G467" s="452"/>
      <c r="H467" s="452"/>
      <c r="I467" s="452"/>
    </row>
    <row r="468" spans="1:9" ht="12.75" x14ac:dyDescent="0.2">
      <c r="A468" s="455"/>
      <c r="B468" s="452"/>
      <c r="C468" s="452"/>
      <c r="D468" s="452"/>
      <c r="E468" s="452"/>
      <c r="F468" s="452"/>
      <c r="G468" s="452"/>
      <c r="H468" s="452"/>
      <c r="I468" s="452"/>
    </row>
    <row r="469" spans="1:9" ht="12.75" x14ac:dyDescent="0.2">
      <c r="A469" s="455"/>
      <c r="B469" s="452"/>
      <c r="C469" s="452"/>
      <c r="D469" s="452"/>
      <c r="E469" s="452"/>
      <c r="F469" s="452"/>
      <c r="G469" s="452"/>
      <c r="H469" s="452"/>
      <c r="I469" s="452"/>
    </row>
    <row r="470" spans="1:9" ht="12.75" x14ac:dyDescent="0.2">
      <c r="A470" s="455"/>
      <c r="B470" s="452"/>
      <c r="C470" s="452"/>
      <c r="D470" s="452"/>
      <c r="E470" s="452"/>
      <c r="F470" s="452"/>
      <c r="G470" s="452"/>
      <c r="H470" s="452"/>
      <c r="I470" s="452"/>
    </row>
    <row r="471" spans="1:9" ht="12.75" x14ac:dyDescent="0.2">
      <c r="A471" s="455"/>
      <c r="B471" s="452"/>
      <c r="C471" s="452"/>
      <c r="D471" s="452"/>
      <c r="E471" s="452"/>
      <c r="F471" s="452"/>
      <c r="G471" s="452"/>
      <c r="H471" s="452"/>
      <c r="I471" s="452"/>
    </row>
    <row r="472" spans="1:9" ht="12.75" x14ac:dyDescent="0.2">
      <c r="A472" s="455"/>
      <c r="B472" s="452"/>
      <c r="C472" s="452"/>
      <c r="D472" s="452"/>
      <c r="E472" s="452"/>
      <c r="F472" s="452"/>
      <c r="G472" s="452"/>
      <c r="H472" s="452"/>
      <c r="I472" s="452"/>
    </row>
    <row r="473" spans="1:9" ht="12.75" x14ac:dyDescent="0.2">
      <c r="A473" s="455"/>
      <c r="B473" s="452"/>
      <c r="C473" s="452"/>
      <c r="D473" s="452"/>
      <c r="E473" s="452"/>
      <c r="F473" s="452"/>
      <c r="G473" s="452"/>
      <c r="H473" s="452"/>
      <c r="I473" s="452"/>
    </row>
    <row r="474" spans="1:9" ht="12.75" x14ac:dyDescent="0.2">
      <c r="A474" s="455"/>
      <c r="B474" s="452"/>
      <c r="C474" s="452"/>
      <c r="D474" s="452"/>
      <c r="E474" s="452"/>
      <c r="F474" s="452"/>
      <c r="G474" s="452"/>
      <c r="H474" s="452"/>
      <c r="I474" s="452"/>
    </row>
    <row r="475" spans="1:9" ht="12.75" x14ac:dyDescent="0.2">
      <c r="A475" s="455"/>
      <c r="B475" s="452"/>
      <c r="C475" s="452"/>
      <c r="D475" s="452"/>
      <c r="E475" s="452"/>
      <c r="F475" s="452"/>
      <c r="G475" s="452"/>
      <c r="H475" s="452"/>
      <c r="I475" s="452"/>
    </row>
    <row r="476" spans="1:9" ht="12.75" x14ac:dyDescent="0.2">
      <c r="A476" s="455"/>
      <c r="B476" s="452"/>
      <c r="C476" s="452"/>
      <c r="D476" s="452"/>
      <c r="E476" s="452"/>
      <c r="F476" s="452"/>
      <c r="G476" s="452"/>
      <c r="H476" s="452"/>
      <c r="I476" s="452"/>
    </row>
    <row r="477" spans="1:9" ht="12.75" x14ac:dyDescent="0.2">
      <c r="A477" s="455"/>
      <c r="B477" s="452"/>
      <c r="C477" s="452"/>
      <c r="D477" s="452"/>
      <c r="E477" s="452"/>
      <c r="F477" s="452"/>
      <c r="G477" s="452"/>
      <c r="H477" s="452"/>
      <c r="I477" s="452"/>
    </row>
    <row r="478" spans="1:9" ht="12.75" x14ac:dyDescent="0.2">
      <c r="A478" s="455"/>
      <c r="B478" s="452"/>
      <c r="C478" s="452"/>
      <c r="D478" s="452"/>
      <c r="E478" s="452"/>
      <c r="F478" s="452"/>
      <c r="G478" s="452"/>
      <c r="H478" s="452"/>
      <c r="I478" s="452"/>
    </row>
    <row r="479" spans="1:9" ht="12.75" x14ac:dyDescent="0.2">
      <c r="A479" s="455"/>
      <c r="B479" s="452"/>
      <c r="C479" s="452"/>
      <c r="D479" s="452"/>
      <c r="E479" s="452"/>
      <c r="F479" s="452"/>
      <c r="G479" s="452"/>
      <c r="H479" s="452"/>
      <c r="I479" s="452"/>
    </row>
    <row r="480" spans="1:9" ht="12.75" x14ac:dyDescent="0.2">
      <c r="A480" s="455"/>
      <c r="B480" s="452"/>
      <c r="C480" s="452"/>
      <c r="D480" s="452"/>
      <c r="E480" s="452"/>
      <c r="F480" s="452"/>
      <c r="G480" s="452"/>
      <c r="H480" s="452"/>
      <c r="I480" s="452"/>
    </row>
    <row r="481" spans="1:9" ht="12.75" x14ac:dyDescent="0.2">
      <c r="A481" s="455"/>
      <c r="B481" s="452"/>
      <c r="C481" s="452"/>
      <c r="D481" s="452"/>
      <c r="E481" s="452"/>
      <c r="F481" s="452"/>
      <c r="G481" s="452"/>
      <c r="H481" s="452"/>
      <c r="I481" s="452"/>
    </row>
    <row r="482" spans="1:9" ht="12.75" x14ac:dyDescent="0.2">
      <c r="A482" s="455"/>
      <c r="B482" s="452"/>
      <c r="C482" s="452"/>
      <c r="D482" s="452"/>
      <c r="E482" s="452"/>
      <c r="F482" s="452"/>
      <c r="G482" s="452"/>
      <c r="H482" s="452"/>
      <c r="I482" s="452"/>
    </row>
    <row r="483" spans="1:9" ht="12.75" x14ac:dyDescent="0.2">
      <c r="A483" s="455"/>
      <c r="B483" s="452"/>
      <c r="C483" s="452"/>
      <c r="D483" s="452"/>
      <c r="E483" s="452"/>
      <c r="F483" s="452"/>
      <c r="G483" s="452"/>
      <c r="H483" s="452"/>
      <c r="I483" s="452"/>
    </row>
    <row r="484" spans="1:9" ht="12.75" x14ac:dyDescent="0.2">
      <c r="A484" s="455"/>
      <c r="B484" s="452"/>
      <c r="C484" s="452"/>
      <c r="D484" s="452"/>
      <c r="E484" s="452"/>
      <c r="F484" s="452"/>
      <c r="G484" s="452"/>
      <c r="H484" s="452"/>
      <c r="I484" s="452"/>
    </row>
    <row r="485" spans="1:9" ht="12.75" x14ac:dyDescent="0.2">
      <c r="A485" s="455"/>
      <c r="B485" s="452"/>
      <c r="C485" s="452"/>
      <c r="D485" s="452"/>
      <c r="E485" s="452"/>
      <c r="F485" s="452"/>
      <c r="G485" s="452"/>
      <c r="H485" s="452"/>
      <c r="I485" s="452"/>
    </row>
    <row r="486" spans="1:9" ht="12.75" x14ac:dyDescent="0.2">
      <c r="A486" s="455"/>
      <c r="B486" s="452"/>
      <c r="C486" s="452"/>
      <c r="D486" s="452"/>
      <c r="E486" s="452"/>
      <c r="F486" s="452"/>
      <c r="G486" s="452"/>
      <c r="H486" s="452"/>
      <c r="I486" s="452"/>
    </row>
    <row r="487" spans="1:9" ht="12.75" x14ac:dyDescent="0.2">
      <c r="A487" s="455"/>
      <c r="B487" s="452"/>
      <c r="C487" s="452"/>
      <c r="D487" s="452"/>
      <c r="E487" s="452"/>
      <c r="F487" s="452"/>
      <c r="G487" s="452"/>
      <c r="H487" s="452"/>
      <c r="I487" s="452"/>
    </row>
    <row r="488" spans="1:9" ht="12.75" x14ac:dyDescent="0.2">
      <c r="A488" s="455"/>
      <c r="B488" s="452"/>
      <c r="C488" s="452"/>
      <c r="D488" s="452"/>
      <c r="E488" s="452"/>
      <c r="F488" s="452"/>
      <c r="G488" s="452"/>
      <c r="H488" s="452"/>
      <c r="I488" s="452"/>
    </row>
    <row r="489" spans="1:9" ht="12.75" x14ac:dyDescent="0.2">
      <c r="A489" s="455"/>
      <c r="B489" s="452"/>
      <c r="C489" s="452"/>
      <c r="D489" s="452"/>
      <c r="E489" s="452"/>
      <c r="F489" s="452"/>
      <c r="G489" s="452"/>
      <c r="H489" s="452"/>
      <c r="I489" s="452"/>
    </row>
    <row r="490" spans="1:9" ht="12.75" x14ac:dyDescent="0.2">
      <c r="A490" s="455"/>
      <c r="B490" s="452"/>
      <c r="C490" s="452"/>
      <c r="D490" s="452"/>
      <c r="E490" s="452"/>
      <c r="F490" s="452"/>
      <c r="G490" s="452"/>
      <c r="H490" s="452"/>
      <c r="I490" s="452"/>
    </row>
    <row r="491" spans="1:9" ht="12.75" x14ac:dyDescent="0.2">
      <c r="A491" s="455"/>
      <c r="B491" s="452"/>
      <c r="C491" s="452"/>
      <c r="D491" s="452"/>
      <c r="E491" s="452"/>
      <c r="F491" s="452"/>
      <c r="G491" s="452"/>
      <c r="H491" s="452"/>
      <c r="I491" s="452"/>
    </row>
    <row r="492" spans="1:9" ht="12.75" x14ac:dyDescent="0.2">
      <c r="A492" s="455"/>
      <c r="B492" s="452"/>
      <c r="C492" s="452"/>
      <c r="D492" s="452"/>
      <c r="E492" s="452"/>
      <c r="F492" s="452"/>
      <c r="G492" s="452"/>
      <c r="H492" s="452"/>
      <c r="I492" s="452"/>
    </row>
    <row r="493" spans="1:9" ht="12.75" x14ac:dyDescent="0.2">
      <c r="A493" s="455"/>
      <c r="B493" s="452"/>
      <c r="C493" s="452"/>
      <c r="D493" s="452"/>
      <c r="E493" s="452"/>
      <c r="F493" s="452"/>
      <c r="G493" s="452"/>
      <c r="H493" s="452"/>
      <c r="I493" s="452"/>
    </row>
    <row r="494" spans="1:9" ht="12.75" x14ac:dyDescent="0.2">
      <c r="A494" s="455"/>
      <c r="B494" s="452"/>
      <c r="C494" s="452"/>
      <c r="D494" s="452"/>
      <c r="E494" s="452"/>
      <c r="F494" s="452"/>
      <c r="G494" s="452"/>
      <c r="H494" s="452"/>
      <c r="I494" s="452"/>
    </row>
    <row r="495" spans="1:9" ht="12.75" x14ac:dyDescent="0.2">
      <c r="A495" s="455"/>
      <c r="B495" s="452"/>
      <c r="C495" s="452"/>
      <c r="D495" s="452"/>
      <c r="E495" s="452"/>
      <c r="F495" s="452"/>
      <c r="G495" s="452"/>
      <c r="H495" s="452"/>
      <c r="I495" s="452"/>
    </row>
    <row r="496" spans="1:9" ht="12.75" x14ac:dyDescent="0.2">
      <c r="A496" s="455"/>
      <c r="B496" s="452"/>
      <c r="C496" s="452"/>
      <c r="D496" s="452"/>
      <c r="E496" s="452"/>
      <c r="F496" s="452"/>
      <c r="G496" s="452"/>
      <c r="H496" s="452"/>
      <c r="I496" s="452"/>
    </row>
    <row r="497" spans="1:9" ht="12.75" x14ac:dyDescent="0.2">
      <c r="A497" s="455"/>
      <c r="B497" s="452"/>
      <c r="C497" s="452"/>
      <c r="D497" s="452"/>
      <c r="E497" s="452"/>
      <c r="F497" s="452"/>
      <c r="G497" s="452"/>
      <c r="H497" s="452"/>
      <c r="I497" s="452"/>
    </row>
    <row r="498" spans="1:9" ht="12.75" x14ac:dyDescent="0.2">
      <c r="A498" s="455"/>
      <c r="B498" s="452"/>
      <c r="C498" s="452"/>
      <c r="D498" s="452"/>
      <c r="E498" s="452"/>
      <c r="F498" s="452"/>
      <c r="G498" s="452"/>
      <c r="H498" s="452"/>
      <c r="I498" s="452"/>
    </row>
    <row r="499" spans="1:9" ht="12.75" x14ac:dyDescent="0.2">
      <c r="A499" s="455"/>
      <c r="B499" s="452"/>
      <c r="C499" s="452"/>
      <c r="D499" s="452"/>
      <c r="E499" s="452"/>
      <c r="F499" s="452"/>
      <c r="G499" s="452"/>
      <c r="H499" s="452"/>
      <c r="I499" s="452"/>
    </row>
    <row r="500" spans="1:9" ht="12.75" x14ac:dyDescent="0.2">
      <c r="A500" s="455"/>
      <c r="B500" s="452"/>
      <c r="C500" s="452"/>
      <c r="D500" s="452"/>
      <c r="E500" s="452"/>
      <c r="F500" s="452"/>
      <c r="G500" s="452"/>
      <c r="H500" s="452"/>
      <c r="I500" s="452"/>
    </row>
    <row r="501" spans="1:9" ht="12.75" x14ac:dyDescent="0.2">
      <c r="A501" s="455"/>
      <c r="B501" s="452"/>
      <c r="C501" s="452"/>
      <c r="D501" s="452"/>
      <c r="E501" s="452"/>
      <c r="F501" s="452"/>
      <c r="G501" s="452"/>
      <c r="H501" s="452"/>
      <c r="I501" s="452"/>
    </row>
    <row r="502" spans="1:9" ht="12.75" x14ac:dyDescent="0.2">
      <c r="A502" s="455"/>
      <c r="B502" s="452"/>
      <c r="C502" s="452"/>
      <c r="D502" s="452"/>
      <c r="E502" s="452"/>
      <c r="F502" s="452"/>
      <c r="G502" s="452"/>
      <c r="H502" s="452"/>
      <c r="I502" s="452"/>
    </row>
    <row r="503" spans="1:9" ht="12.75" x14ac:dyDescent="0.2">
      <c r="A503" s="455"/>
      <c r="B503" s="452"/>
      <c r="C503" s="452"/>
      <c r="D503" s="452"/>
      <c r="E503" s="452"/>
      <c r="F503" s="452"/>
      <c r="G503" s="452"/>
      <c r="H503" s="452"/>
      <c r="I503" s="452"/>
    </row>
    <row r="504" spans="1:9" ht="12.75" x14ac:dyDescent="0.2">
      <c r="A504" s="455"/>
      <c r="B504" s="452"/>
      <c r="C504" s="452"/>
      <c r="D504" s="452"/>
      <c r="E504" s="452"/>
      <c r="F504" s="452"/>
      <c r="G504" s="452"/>
      <c r="H504" s="452"/>
      <c r="I504" s="452"/>
    </row>
    <row r="505" spans="1:9" ht="12.75" x14ac:dyDescent="0.2">
      <c r="A505" s="455"/>
      <c r="B505" s="452"/>
      <c r="C505" s="452"/>
      <c r="D505" s="452"/>
      <c r="E505" s="452"/>
      <c r="F505" s="452"/>
      <c r="G505" s="452"/>
      <c r="H505" s="452"/>
      <c r="I505" s="452"/>
    </row>
    <row r="506" spans="1:9" ht="12.75" x14ac:dyDescent="0.2">
      <c r="A506" s="455"/>
      <c r="B506" s="452"/>
      <c r="C506" s="452"/>
      <c r="D506" s="452"/>
      <c r="E506" s="452"/>
      <c r="F506" s="452"/>
      <c r="G506" s="452"/>
      <c r="H506" s="452"/>
      <c r="I506" s="452"/>
    </row>
    <row r="507" spans="1:9" ht="12.75" x14ac:dyDescent="0.2">
      <c r="A507" s="455"/>
      <c r="B507" s="452"/>
      <c r="C507" s="452"/>
      <c r="D507" s="452"/>
      <c r="E507" s="452"/>
      <c r="F507" s="452"/>
      <c r="G507" s="452"/>
      <c r="H507" s="452"/>
      <c r="I507" s="452"/>
    </row>
    <row r="508" spans="1:9" ht="12.75" x14ac:dyDescent="0.2">
      <c r="A508" s="455"/>
      <c r="B508" s="452"/>
      <c r="C508" s="452"/>
      <c r="D508" s="452"/>
      <c r="E508" s="452"/>
      <c r="F508" s="452"/>
      <c r="G508" s="452"/>
      <c r="H508" s="452"/>
      <c r="I508" s="452"/>
    </row>
    <row r="509" spans="1:9" ht="12.75" x14ac:dyDescent="0.2">
      <c r="A509" s="455"/>
      <c r="B509" s="452"/>
      <c r="C509" s="452"/>
      <c r="D509" s="452"/>
      <c r="E509" s="452"/>
      <c r="F509" s="452"/>
      <c r="G509" s="452"/>
      <c r="H509" s="452"/>
      <c r="I509" s="452"/>
    </row>
    <row r="510" spans="1:9" ht="12.75" x14ac:dyDescent="0.2">
      <c r="A510" s="455"/>
      <c r="B510" s="452"/>
      <c r="C510" s="452"/>
      <c r="D510" s="452"/>
      <c r="E510" s="452"/>
      <c r="F510" s="452"/>
      <c r="G510" s="452"/>
      <c r="H510" s="452"/>
      <c r="I510" s="452"/>
    </row>
    <row r="511" spans="1:9" ht="12.75" x14ac:dyDescent="0.2">
      <c r="A511" s="455"/>
      <c r="B511" s="452"/>
      <c r="C511" s="452"/>
      <c r="D511" s="452"/>
      <c r="E511" s="452"/>
      <c r="F511" s="452"/>
      <c r="G511" s="452"/>
      <c r="H511" s="452"/>
      <c r="I511" s="452"/>
    </row>
    <row r="512" spans="1:9" ht="12.75" x14ac:dyDescent="0.2">
      <c r="A512" s="455"/>
      <c r="B512" s="452"/>
      <c r="C512" s="452"/>
      <c r="D512" s="452"/>
      <c r="E512" s="452"/>
      <c r="F512" s="452"/>
      <c r="G512" s="452"/>
      <c r="H512" s="452"/>
      <c r="I512" s="452"/>
    </row>
    <row r="513" spans="1:9" ht="12.75" x14ac:dyDescent="0.2">
      <c r="A513" s="455"/>
      <c r="B513" s="452"/>
      <c r="C513" s="452"/>
      <c r="D513" s="452"/>
      <c r="E513" s="452"/>
      <c r="F513" s="452"/>
      <c r="G513" s="452"/>
      <c r="H513" s="452"/>
      <c r="I513" s="452"/>
    </row>
    <row r="514" spans="1:9" ht="12.75" x14ac:dyDescent="0.2">
      <c r="A514" s="455"/>
      <c r="B514" s="452"/>
      <c r="C514" s="452"/>
      <c r="D514" s="452"/>
      <c r="E514" s="452"/>
      <c r="F514" s="452"/>
      <c r="G514" s="452"/>
      <c r="H514" s="452"/>
      <c r="I514" s="452"/>
    </row>
    <row r="515" spans="1:9" ht="12.75" x14ac:dyDescent="0.2">
      <c r="A515" s="455"/>
      <c r="B515" s="452"/>
      <c r="C515" s="452"/>
      <c r="D515" s="452"/>
      <c r="E515" s="452"/>
      <c r="F515" s="452"/>
      <c r="G515" s="452"/>
      <c r="H515" s="452"/>
      <c r="I515" s="452"/>
    </row>
    <row r="516" spans="1:9" ht="12.75" x14ac:dyDescent="0.2">
      <c r="A516" s="455"/>
      <c r="B516" s="452"/>
      <c r="C516" s="452"/>
      <c r="D516" s="452"/>
      <c r="E516" s="452"/>
      <c r="F516" s="452"/>
      <c r="G516" s="452"/>
      <c r="H516" s="452"/>
      <c r="I516" s="452"/>
    </row>
    <row r="517" spans="1:9" ht="12.75" x14ac:dyDescent="0.2">
      <c r="A517" s="455"/>
      <c r="B517" s="452"/>
      <c r="C517" s="452"/>
      <c r="D517" s="452"/>
      <c r="E517" s="452"/>
      <c r="F517" s="452"/>
      <c r="G517" s="452"/>
      <c r="H517" s="452"/>
      <c r="I517" s="452"/>
    </row>
    <row r="518" spans="1:9" ht="12.75" x14ac:dyDescent="0.2">
      <c r="A518" s="455"/>
      <c r="B518" s="452"/>
      <c r="C518" s="452"/>
      <c r="D518" s="452"/>
      <c r="E518" s="452"/>
      <c r="F518" s="452"/>
      <c r="G518" s="452"/>
      <c r="H518" s="452"/>
      <c r="I518" s="452"/>
    </row>
    <row r="519" spans="1:9" ht="12.75" x14ac:dyDescent="0.2">
      <c r="A519" s="455"/>
      <c r="B519" s="452"/>
      <c r="C519" s="452"/>
      <c r="D519" s="452"/>
      <c r="E519" s="452"/>
      <c r="F519" s="452"/>
      <c r="G519" s="452"/>
      <c r="H519" s="452"/>
      <c r="I519" s="452"/>
    </row>
    <row r="520" spans="1:9" ht="12.75" x14ac:dyDescent="0.2">
      <c r="A520" s="455"/>
      <c r="B520" s="452"/>
      <c r="C520" s="452"/>
      <c r="D520" s="452"/>
      <c r="E520" s="452"/>
      <c r="F520" s="452"/>
      <c r="G520" s="452"/>
      <c r="H520" s="452"/>
      <c r="I520" s="452"/>
    </row>
    <row r="521" spans="1:9" ht="12.75" x14ac:dyDescent="0.2">
      <c r="A521" s="455"/>
      <c r="B521" s="452"/>
      <c r="C521" s="452"/>
      <c r="D521" s="452"/>
      <c r="E521" s="452"/>
      <c r="F521" s="452"/>
      <c r="G521" s="452"/>
      <c r="H521" s="452"/>
      <c r="I521" s="452"/>
    </row>
    <row r="522" spans="1:9" ht="12.75" x14ac:dyDescent="0.2">
      <c r="A522" s="455"/>
      <c r="B522" s="452"/>
      <c r="C522" s="452"/>
      <c r="D522" s="452"/>
      <c r="E522" s="452"/>
      <c r="F522" s="452"/>
      <c r="G522" s="452"/>
      <c r="H522" s="452"/>
      <c r="I522" s="452"/>
    </row>
    <row r="523" spans="1:9" ht="12.75" x14ac:dyDescent="0.2">
      <c r="A523" s="455"/>
      <c r="B523" s="452"/>
      <c r="C523" s="452"/>
      <c r="D523" s="452"/>
      <c r="E523" s="452"/>
      <c r="F523" s="452"/>
      <c r="G523" s="452"/>
      <c r="H523" s="452"/>
      <c r="I523" s="452"/>
    </row>
    <row r="524" spans="1:9" ht="12.75" x14ac:dyDescent="0.2">
      <c r="A524" s="455"/>
      <c r="B524" s="452"/>
      <c r="C524" s="452"/>
      <c r="D524" s="452"/>
      <c r="E524" s="452"/>
      <c r="F524" s="452"/>
      <c r="G524" s="452"/>
      <c r="H524" s="452"/>
      <c r="I524" s="452"/>
    </row>
    <row r="525" spans="1:9" ht="12.75" x14ac:dyDescent="0.2">
      <c r="A525" s="455"/>
      <c r="B525" s="452"/>
      <c r="C525" s="452"/>
      <c r="D525" s="452"/>
      <c r="E525" s="452"/>
      <c r="F525" s="452"/>
      <c r="G525" s="452"/>
      <c r="H525" s="452"/>
      <c r="I525" s="452"/>
    </row>
    <row r="526" spans="1:9" ht="12.75" x14ac:dyDescent="0.2">
      <c r="A526" s="455"/>
      <c r="B526" s="452"/>
      <c r="C526" s="452"/>
      <c r="D526" s="452"/>
      <c r="E526" s="452"/>
      <c r="F526" s="452"/>
      <c r="G526" s="452"/>
      <c r="H526" s="452"/>
      <c r="I526" s="452"/>
    </row>
    <row r="527" spans="1:9" ht="12.75" x14ac:dyDescent="0.2">
      <c r="A527" s="455"/>
      <c r="B527" s="452"/>
      <c r="C527" s="452"/>
      <c r="D527" s="452"/>
      <c r="E527" s="452"/>
      <c r="F527" s="452"/>
      <c r="G527" s="452"/>
      <c r="H527" s="452"/>
      <c r="I527" s="452"/>
    </row>
    <row r="528" spans="1:9" ht="12.75" x14ac:dyDescent="0.2">
      <c r="A528" s="455"/>
      <c r="B528" s="452"/>
      <c r="C528" s="452"/>
      <c r="D528" s="452"/>
      <c r="E528" s="452"/>
      <c r="F528" s="452"/>
      <c r="G528" s="452"/>
      <c r="H528" s="452"/>
      <c r="I528" s="452"/>
    </row>
    <row r="529" spans="1:9" ht="12.75" x14ac:dyDescent="0.2">
      <c r="A529" s="455"/>
      <c r="B529" s="452"/>
      <c r="C529" s="452"/>
      <c r="D529" s="452"/>
      <c r="E529" s="452"/>
      <c r="F529" s="452"/>
      <c r="G529" s="452"/>
      <c r="H529" s="452"/>
      <c r="I529" s="452"/>
    </row>
    <row r="530" spans="1:9" ht="12.75" x14ac:dyDescent="0.2">
      <c r="A530" s="455"/>
      <c r="B530" s="452"/>
      <c r="C530" s="452"/>
      <c r="D530" s="452"/>
      <c r="E530" s="452"/>
      <c r="F530" s="452"/>
      <c r="G530" s="452"/>
      <c r="H530" s="452"/>
      <c r="I530" s="452"/>
    </row>
    <row r="531" spans="1:9" ht="12.75" x14ac:dyDescent="0.2">
      <c r="A531" s="455"/>
      <c r="B531" s="452"/>
      <c r="C531" s="452"/>
      <c r="D531" s="452"/>
      <c r="E531" s="452"/>
      <c r="F531" s="452"/>
      <c r="G531" s="452"/>
      <c r="H531" s="452"/>
      <c r="I531" s="452"/>
    </row>
    <row r="532" spans="1:9" ht="12.75" x14ac:dyDescent="0.2">
      <c r="A532" s="455"/>
      <c r="B532" s="452"/>
      <c r="C532" s="452"/>
      <c r="D532" s="452"/>
      <c r="E532" s="452"/>
      <c r="F532" s="452"/>
      <c r="G532" s="452"/>
      <c r="H532" s="452"/>
      <c r="I532" s="452"/>
    </row>
    <row r="533" spans="1:9" ht="12.75" x14ac:dyDescent="0.2">
      <c r="A533" s="455"/>
      <c r="B533" s="452"/>
      <c r="C533" s="452"/>
      <c r="D533" s="452"/>
      <c r="E533" s="452"/>
      <c r="F533" s="452"/>
      <c r="G533" s="452"/>
      <c r="H533" s="452"/>
      <c r="I533" s="452"/>
    </row>
    <row r="534" spans="1:9" ht="12.75" x14ac:dyDescent="0.2">
      <c r="A534" s="455"/>
      <c r="B534" s="452"/>
      <c r="C534" s="452"/>
      <c r="D534" s="452"/>
      <c r="E534" s="452"/>
      <c r="F534" s="452"/>
      <c r="G534" s="452"/>
      <c r="H534" s="452"/>
      <c r="I534" s="452"/>
    </row>
    <row r="535" spans="1:9" ht="12.75" x14ac:dyDescent="0.2">
      <c r="A535" s="455"/>
      <c r="B535" s="452"/>
      <c r="C535" s="452"/>
      <c r="D535" s="452"/>
      <c r="E535" s="452"/>
      <c r="F535" s="452"/>
      <c r="G535" s="452"/>
      <c r="H535" s="452"/>
      <c r="I535" s="452"/>
    </row>
    <row r="536" spans="1:9" ht="12.75" x14ac:dyDescent="0.2">
      <c r="A536" s="455"/>
      <c r="B536" s="452"/>
      <c r="C536" s="452"/>
      <c r="D536" s="452"/>
      <c r="E536" s="452"/>
      <c r="F536" s="452"/>
      <c r="G536" s="452"/>
      <c r="H536" s="452"/>
      <c r="I536" s="452"/>
    </row>
    <row r="537" spans="1:9" ht="12.75" x14ac:dyDescent="0.2">
      <c r="A537" s="455"/>
      <c r="B537" s="452"/>
      <c r="C537" s="452"/>
      <c r="D537" s="452"/>
      <c r="E537" s="452"/>
      <c r="F537" s="452"/>
      <c r="G537" s="452"/>
      <c r="H537" s="452"/>
      <c r="I537" s="452"/>
    </row>
    <row r="538" spans="1:9" ht="12.75" x14ac:dyDescent="0.2">
      <c r="A538" s="455"/>
      <c r="B538" s="452"/>
      <c r="C538" s="452"/>
      <c r="D538" s="452"/>
      <c r="E538" s="452"/>
      <c r="F538" s="452"/>
      <c r="G538" s="452"/>
      <c r="H538" s="452"/>
      <c r="I538" s="452"/>
    </row>
    <row r="539" spans="1:9" ht="12.75" x14ac:dyDescent="0.2">
      <c r="A539" s="455"/>
      <c r="B539" s="452"/>
      <c r="C539" s="452"/>
      <c r="D539" s="452"/>
      <c r="E539" s="452"/>
      <c r="F539" s="452"/>
      <c r="G539" s="452"/>
      <c r="H539" s="452"/>
      <c r="I539" s="452"/>
    </row>
    <row r="540" spans="1:9" ht="12.75" x14ac:dyDescent="0.2">
      <c r="A540" s="455"/>
      <c r="B540" s="452"/>
      <c r="C540" s="452"/>
      <c r="D540" s="452"/>
      <c r="E540" s="452"/>
      <c r="F540" s="452"/>
      <c r="G540" s="452"/>
      <c r="H540" s="452"/>
      <c r="I540" s="452"/>
    </row>
    <row r="541" spans="1:9" ht="12.75" x14ac:dyDescent="0.2">
      <c r="A541" s="455"/>
      <c r="B541" s="452"/>
      <c r="C541" s="452"/>
      <c r="D541" s="452"/>
      <c r="E541" s="452"/>
      <c r="F541" s="452"/>
      <c r="G541" s="452"/>
      <c r="H541" s="452"/>
      <c r="I541" s="452"/>
    </row>
    <row r="542" spans="1:9" ht="12.75" x14ac:dyDescent="0.2">
      <c r="A542" s="455"/>
      <c r="B542" s="452"/>
      <c r="C542" s="452"/>
      <c r="D542" s="452"/>
      <c r="E542" s="452"/>
      <c r="F542" s="452"/>
      <c r="G542" s="452"/>
      <c r="H542" s="452"/>
      <c r="I542" s="452"/>
    </row>
    <row r="543" spans="1:9" ht="12.75" x14ac:dyDescent="0.2">
      <c r="A543" s="455"/>
      <c r="B543" s="452"/>
      <c r="C543" s="452"/>
      <c r="D543" s="452"/>
      <c r="E543" s="452"/>
      <c r="F543" s="452"/>
      <c r="G543" s="452"/>
      <c r="H543" s="452"/>
      <c r="I543" s="452"/>
    </row>
    <row r="544" spans="1:9" ht="12.75" x14ac:dyDescent="0.2">
      <c r="A544" s="455"/>
      <c r="B544" s="452"/>
      <c r="C544" s="452"/>
      <c r="D544" s="452"/>
      <c r="E544" s="452"/>
      <c r="F544" s="452"/>
      <c r="G544" s="452"/>
      <c r="H544" s="452"/>
      <c r="I544" s="452"/>
    </row>
    <row r="545" spans="1:9" ht="12.75" x14ac:dyDescent="0.2">
      <c r="A545" s="455"/>
      <c r="B545" s="452"/>
      <c r="C545" s="452"/>
      <c r="D545" s="452"/>
      <c r="E545" s="452"/>
      <c r="F545" s="452"/>
      <c r="G545" s="452"/>
      <c r="H545" s="452"/>
      <c r="I545" s="452"/>
    </row>
    <row r="546" spans="1:9" ht="12.75" x14ac:dyDescent="0.2">
      <c r="A546" s="455"/>
      <c r="B546" s="452"/>
      <c r="C546" s="452"/>
      <c r="D546" s="452"/>
      <c r="E546" s="452"/>
      <c r="F546" s="452"/>
      <c r="G546" s="452"/>
      <c r="H546" s="452"/>
      <c r="I546" s="452"/>
    </row>
    <row r="547" spans="1:9" ht="12.75" x14ac:dyDescent="0.2">
      <c r="A547" s="455"/>
      <c r="B547" s="452"/>
      <c r="C547" s="452"/>
      <c r="D547" s="452"/>
      <c r="E547" s="452"/>
      <c r="F547" s="452"/>
      <c r="G547" s="452"/>
      <c r="H547" s="452"/>
      <c r="I547" s="452"/>
    </row>
    <row r="548" spans="1:9" ht="12.75" x14ac:dyDescent="0.2">
      <c r="A548" s="455"/>
      <c r="B548" s="452"/>
      <c r="C548" s="452"/>
      <c r="D548" s="452"/>
      <c r="E548" s="452"/>
      <c r="F548" s="452"/>
      <c r="G548" s="452"/>
      <c r="H548" s="452"/>
      <c r="I548" s="452"/>
    </row>
    <row r="549" spans="1:9" ht="12.75" x14ac:dyDescent="0.2">
      <c r="A549" s="455"/>
      <c r="B549" s="452"/>
      <c r="C549" s="452"/>
      <c r="D549" s="452"/>
      <c r="E549" s="452"/>
      <c r="F549" s="452"/>
      <c r="G549" s="452"/>
      <c r="H549" s="452"/>
      <c r="I549" s="452"/>
    </row>
    <row r="550" spans="1:9" ht="12.75" x14ac:dyDescent="0.2">
      <c r="A550" s="455"/>
      <c r="B550" s="452"/>
      <c r="C550" s="452"/>
      <c r="D550" s="452"/>
      <c r="E550" s="452"/>
      <c r="F550" s="452"/>
      <c r="G550" s="452"/>
      <c r="H550" s="452"/>
      <c r="I550" s="452"/>
    </row>
    <row r="551" spans="1:9" ht="12.75" x14ac:dyDescent="0.2">
      <c r="A551" s="455"/>
      <c r="B551" s="452"/>
      <c r="C551" s="452"/>
      <c r="D551" s="452"/>
      <c r="E551" s="452"/>
      <c r="F551" s="452"/>
      <c r="G551" s="452"/>
      <c r="H551" s="452"/>
      <c r="I551" s="452"/>
    </row>
    <row r="552" spans="1:9" ht="12.75" x14ac:dyDescent="0.2">
      <c r="A552" s="455"/>
      <c r="B552" s="452"/>
      <c r="C552" s="452"/>
      <c r="D552" s="452"/>
      <c r="E552" s="452"/>
      <c r="F552" s="452"/>
      <c r="G552" s="452"/>
      <c r="H552" s="452"/>
      <c r="I552" s="452"/>
    </row>
    <row r="553" spans="1:9" ht="12.75" x14ac:dyDescent="0.2">
      <c r="A553" s="455"/>
      <c r="B553" s="452"/>
      <c r="C553" s="452"/>
      <c r="D553" s="452"/>
      <c r="E553" s="452"/>
      <c r="F553" s="452"/>
      <c r="G553" s="452"/>
      <c r="H553" s="452"/>
      <c r="I553" s="452"/>
    </row>
    <row r="554" spans="1:9" ht="12.75" x14ac:dyDescent="0.2">
      <c r="A554" s="455"/>
      <c r="B554" s="452"/>
      <c r="C554" s="452"/>
      <c r="D554" s="452"/>
      <c r="E554" s="452"/>
      <c r="F554" s="452"/>
      <c r="G554" s="452"/>
      <c r="H554" s="452"/>
      <c r="I554" s="452"/>
    </row>
    <row r="555" spans="1:9" ht="12.75" x14ac:dyDescent="0.2">
      <c r="A555" s="455"/>
      <c r="B555" s="452"/>
      <c r="C555" s="452"/>
      <c r="D555" s="452"/>
      <c r="E555" s="452"/>
      <c r="F555" s="452"/>
      <c r="G555" s="452"/>
      <c r="H555" s="452"/>
      <c r="I555" s="452"/>
    </row>
    <row r="556" spans="1:9" ht="12.75" x14ac:dyDescent="0.2">
      <c r="A556" s="455"/>
      <c r="B556" s="452"/>
      <c r="C556" s="452"/>
      <c r="D556" s="452"/>
      <c r="E556" s="452"/>
      <c r="F556" s="452"/>
      <c r="G556" s="452"/>
      <c r="H556" s="452"/>
      <c r="I556" s="452"/>
    </row>
    <row r="557" spans="1:9" ht="12.75" x14ac:dyDescent="0.2">
      <c r="A557" s="455"/>
      <c r="B557" s="452"/>
      <c r="C557" s="452"/>
      <c r="D557" s="452"/>
      <c r="E557" s="452"/>
      <c r="F557" s="452"/>
      <c r="G557" s="452"/>
      <c r="H557" s="452"/>
      <c r="I557" s="452"/>
    </row>
    <row r="558" spans="1:9" ht="12.75" x14ac:dyDescent="0.2">
      <c r="A558" s="455"/>
      <c r="B558" s="452"/>
      <c r="C558" s="452"/>
      <c r="D558" s="452"/>
      <c r="E558" s="452"/>
      <c r="F558" s="452"/>
      <c r="G558" s="452"/>
      <c r="H558" s="452"/>
      <c r="I558" s="452"/>
    </row>
    <row r="559" spans="1:9" ht="12.75" x14ac:dyDescent="0.2">
      <c r="A559" s="455"/>
      <c r="B559" s="452"/>
      <c r="C559" s="452"/>
      <c r="D559" s="452"/>
      <c r="E559" s="452"/>
      <c r="F559" s="452"/>
      <c r="G559" s="452"/>
      <c r="H559" s="452"/>
      <c r="I559" s="452"/>
    </row>
    <row r="560" spans="1:9" ht="12.75" x14ac:dyDescent="0.2">
      <c r="A560" s="455"/>
      <c r="B560" s="452"/>
      <c r="C560" s="452"/>
      <c r="D560" s="452"/>
      <c r="E560" s="452"/>
      <c r="F560" s="452"/>
      <c r="G560" s="452"/>
      <c r="H560" s="452"/>
      <c r="I560" s="452"/>
    </row>
    <row r="561" spans="1:9" ht="12.75" x14ac:dyDescent="0.2">
      <c r="A561" s="455"/>
      <c r="B561" s="452"/>
      <c r="C561" s="452"/>
      <c r="D561" s="452"/>
      <c r="E561" s="452"/>
      <c r="F561" s="452"/>
      <c r="G561" s="452"/>
      <c r="H561" s="452"/>
      <c r="I561" s="452"/>
    </row>
    <row r="562" spans="1:9" ht="12.75" x14ac:dyDescent="0.2">
      <c r="A562" s="455"/>
      <c r="B562" s="452"/>
      <c r="C562" s="452"/>
      <c r="D562" s="452"/>
      <c r="E562" s="452"/>
      <c r="F562" s="452"/>
      <c r="G562" s="452"/>
      <c r="H562" s="452"/>
      <c r="I562" s="452"/>
    </row>
    <row r="563" spans="1:9" ht="12.75" x14ac:dyDescent="0.2">
      <c r="A563" s="455"/>
      <c r="B563" s="452"/>
      <c r="C563" s="452"/>
      <c r="D563" s="452"/>
      <c r="E563" s="452"/>
      <c r="F563" s="452"/>
      <c r="G563" s="452"/>
      <c r="H563" s="452"/>
      <c r="I563" s="452"/>
    </row>
    <row r="564" spans="1:9" ht="12.75" x14ac:dyDescent="0.2">
      <c r="A564" s="455"/>
      <c r="B564" s="452"/>
      <c r="C564" s="452"/>
      <c r="D564" s="452"/>
      <c r="E564" s="452"/>
      <c r="F564" s="452"/>
      <c r="G564" s="452"/>
      <c r="H564" s="452"/>
      <c r="I564" s="452"/>
    </row>
    <row r="565" spans="1:9" ht="12.75" x14ac:dyDescent="0.2">
      <c r="A565" s="455"/>
      <c r="B565" s="452"/>
      <c r="C565" s="452"/>
      <c r="D565" s="452"/>
      <c r="E565" s="452"/>
      <c r="F565" s="452"/>
      <c r="G565" s="452"/>
      <c r="H565" s="452"/>
      <c r="I565" s="452"/>
    </row>
    <row r="566" spans="1:9" ht="12.75" x14ac:dyDescent="0.2">
      <c r="A566" s="455"/>
      <c r="B566" s="452"/>
      <c r="C566" s="452"/>
      <c r="D566" s="452"/>
      <c r="E566" s="452"/>
      <c r="F566" s="452"/>
      <c r="G566" s="452"/>
      <c r="H566" s="452"/>
      <c r="I566" s="452"/>
    </row>
    <row r="567" spans="1:9" ht="12.75" x14ac:dyDescent="0.2">
      <c r="A567" s="455"/>
      <c r="B567" s="452"/>
      <c r="C567" s="452"/>
      <c r="D567" s="452"/>
      <c r="E567" s="452"/>
      <c r="F567" s="452"/>
      <c r="G567" s="452"/>
      <c r="H567" s="452"/>
      <c r="I567" s="452"/>
    </row>
    <row r="568" spans="1:9" ht="12.75" x14ac:dyDescent="0.2">
      <c r="A568" s="455"/>
      <c r="B568" s="452"/>
      <c r="C568" s="452"/>
      <c r="D568" s="452"/>
      <c r="E568" s="452"/>
      <c r="F568" s="452"/>
      <c r="G568" s="452"/>
      <c r="H568" s="452"/>
      <c r="I568" s="452"/>
    </row>
    <row r="569" spans="1:9" ht="12.75" x14ac:dyDescent="0.2">
      <c r="A569" s="455"/>
      <c r="B569" s="452"/>
      <c r="C569" s="452"/>
      <c r="D569" s="452"/>
      <c r="E569" s="452"/>
      <c r="F569" s="452"/>
      <c r="G569" s="452"/>
      <c r="H569" s="452"/>
      <c r="I569" s="452"/>
    </row>
    <row r="570" spans="1:9" ht="12.75" x14ac:dyDescent="0.2">
      <c r="A570" s="455"/>
      <c r="B570" s="452"/>
      <c r="C570" s="452"/>
      <c r="D570" s="452"/>
      <c r="E570" s="452"/>
      <c r="F570" s="452"/>
      <c r="G570" s="452"/>
      <c r="H570" s="452"/>
      <c r="I570" s="452"/>
    </row>
    <row r="571" spans="1:9" ht="12.75" x14ac:dyDescent="0.2">
      <c r="A571" s="455"/>
      <c r="B571" s="452"/>
      <c r="C571" s="452"/>
      <c r="D571" s="452"/>
      <c r="E571" s="452"/>
      <c r="F571" s="452"/>
      <c r="G571" s="452"/>
      <c r="H571" s="452"/>
      <c r="I571" s="452"/>
    </row>
    <row r="572" spans="1:9" ht="12.75" x14ac:dyDescent="0.2">
      <c r="A572" s="455"/>
      <c r="B572" s="452"/>
      <c r="C572" s="452"/>
      <c r="D572" s="452"/>
      <c r="E572" s="452"/>
      <c r="F572" s="452"/>
      <c r="G572" s="452"/>
      <c r="H572" s="452"/>
      <c r="I572" s="452"/>
    </row>
    <row r="573" spans="1:9" ht="12.75" x14ac:dyDescent="0.2">
      <c r="A573" s="455"/>
      <c r="B573" s="452"/>
      <c r="C573" s="452"/>
      <c r="D573" s="452"/>
      <c r="E573" s="452"/>
      <c r="F573" s="452"/>
      <c r="G573" s="452"/>
      <c r="H573" s="452"/>
      <c r="I573" s="452"/>
    </row>
    <row r="574" spans="1:9" ht="12.75" x14ac:dyDescent="0.2">
      <c r="A574" s="455"/>
      <c r="B574" s="452"/>
      <c r="C574" s="452"/>
      <c r="D574" s="452"/>
      <c r="E574" s="452"/>
      <c r="F574" s="452"/>
      <c r="G574" s="452"/>
      <c r="H574" s="452"/>
      <c r="I574" s="452"/>
    </row>
    <row r="575" spans="1:9" ht="12.75" x14ac:dyDescent="0.2">
      <c r="A575" s="455"/>
      <c r="B575" s="452"/>
      <c r="C575" s="452"/>
      <c r="D575" s="452"/>
      <c r="E575" s="452"/>
      <c r="F575" s="452"/>
      <c r="G575" s="452"/>
      <c r="H575" s="452"/>
      <c r="I575" s="452"/>
    </row>
    <row r="576" spans="1:9" ht="12.75" x14ac:dyDescent="0.2">
      <c r="A576" s="455"/>
      <c r="B576" s="452"/>
      <c r="C576" s="452"/>
      <c r="D576" s="452"/>
      <c r="E576" s="452"/>
      <c r="F576" s="452"/>
      <c r="G576" s="452"/>
      <c r="H576" s="452"/>
      <c r="I576" s="452"/>
    </row>
    <row r="577" spans="1:9" ht="12.75" x14ac:dyDescent="0.2">
      <c r="A577" s="455"/>
      <c r="B577" s="452"/>
      <c r="C577" s="452"/>
      <c r="D577" s="452"/>
      <c r="E577" s="452"/>
      <c r="F577" s="452"/>
      <c r="G577" s="452"/>
      <c r="H577" s="452"/>
      <c r="I577" s="452"/>
    </row>
    <row r="578" spans="1:9" ht="12.75" x14ac:dyDescent="0.2">
      <c r="A578" s="455"/>
      <c r="B578" s="452"/>
      <c r="C578" s="452"/>
      <c r="D578" s="452"/>
      <c r="E578" s="452"/>
      <c r="F578" s="452"/>
      <c r="G578" s="452"/>
      <c r="H578" s="452"/>
      <c r="I578" s="452"/>
    </row>
    <row r="579" spans="1:9" ht="12.75" x14ac:dyDescent="0.2">
      <c r="A579" s="455"/>
      <c r="B579" s="452"/>
      <c r="C579" s="452"/>
      <c r="D579" s="452"/>
      <c r="E579" s="452"/>
      <c r="F579" s="452"/>
      <c r="G579" s="452"/>
      <c r="H579" s="452"/>
      <c r="I579" s="452"/>
    </row>
    <row r="580" spans="1:9" ht="12.75" x14ac:dyDescent="0.2">
      <c r="A580" s="455"/>
      <c r="B580" s="452"/>
      <c r="C580" s="452"/>
      <c r="D580" s="452"/>
      <c r="E580" s="452"/>
      <c r="F580" s="452"/>
      <c r="G580" s="452"/>
      <c r="H580" s="452"/>
      <c r="I580" s="452"/>
    </row>
    <row r="581" spans="1:9" ht="12.75" x14ac:dyDescent="0.2">
      <c r="A581" s="455"/>
      <c r="B581" s="452"/>
      <c r="C581" s="452"/>
      <c r="D581" s="452"/>
      <c r="E581" s="452"/>
      <c r="F581" s="452"/>
      <c r="G581" s="452"/>
      <c r="H581" s="452"/>
      <c r="I581" s="452"/>
    </row>
    <row r="582" spans="1:9" ht="12.75" x14ac:dyDescent="0.2">
      <c r="A582" s="455"/>
      <c r="B582" s="452"/>
      <c r="C582" s="452"/>
      <c r="D582" s="452"/>
      <c r="E582" s="452"/>
      <c r="F582" s="452"/>
      <c r="G582" s="452"/>
      <c r="H582" s="452"/>
      <c r="I582" s="452"/>
    </row>
    <row r="583" spans="1:9" ht="12.75" x14ac:dyDescent="0.2">
      <c r="A583" s="455"/>
      <c r="B583" s="452"/>
      <c r="C583" s="452"/>
      <c r="D583" s="452"/>
      <c r="E583" s="452"/>
      <c r="F583" s="452"/>
      <c r="G583" s="452"/>
      <c r="H583" s="452"/>
      <c r="I583" s="452"/>
    </row>
    <row r="584" spans="1:9" ht="12.75" x14ac:dyDescent="0.2">
      <c r="A584" s="455"/>
      <c r="B584" s="452"/>
      <c r="C584" s="452"/>
      <c r="D584" s="452"/>
      <c r="E584" s="452"/>
      <c r="F584" s="452"/>
      <c r="G584" s="452"/>
      <c r="H584" s="452"/>
      <c r="I584" s="452"/>
    </row>
    <row r="585" spans="1:9" ht="12.75" x14ac:dyDescent="0.2">
      <c r="A585" s="455"/>
      <c r="B585" s="452"/>
      <c r="C585" s="452"/>
      <c r="D585" s="452"/>
      <c r="E585" s="452"/>
      <c r="F585" s="452"/>
      <c r="G585" s="452"/>
      <c r="H585" s="452"/>
      <c r="I585" s="452"/>
    </row>
    <row r="586" spans="1:9" ht="12.75" x14ac:dyDescent="0.2">
      <c r="A586" s="455"/>
      <c r="B586" s="452"/>
      <c r="C586" s="452"/>
      <c r="D586" s="452"/>
      <c r="E586" s="452"/>
      <c r="F586" s="452"/>
      <c r="G586" s="452"/>
      <c r="H586" s="452"/>
      <c r="I586" s="452"/>
    </row>
    <row r="587" spans="1:9" ht="12.75" x14ac:dyDescent="0.2">
      <c r="A587" s="455"/>
      <c r="B587" s="452"/>
      <c r="C587" s="452"/>
      <c r="D587" s="452"/>
      <c r="E587" s="452"/>
      <c r="F587" s="452"/>
      <c r="G587" s="452"/>
      <c r="H587" s="452"/>
      <c r="I587" s="452"/>
    </row>
    <row r="588" spans="1:9" ht="12.75" x14ac:dyDescent="0.2">
      <c r="A588" s="455"/>
      <c r="B588" s="452"/>
      <c r="C588" s="452"/>
      <c r="D588" s="452"/>
      <c r="E588" s="452"/>
      <c r="F588" s="452"/>
      <c r="G588" s="452"/>
      <c r="H588" s="452"/>
      <c r="I588" s="452"/>
    </row>
    <row r="589" spans="1:9" ht="12.75" x14ac:dyDescent="0.2">
      <c r="A589" s="455"/>
      <c r="B589" s="452"/>
      <c r="C589" s="452"/>
      <c r="D589" s="452"/>
      <c r="E589" s="452"/>
      <c r="F589" s="452"/>
      <c r="G589" s="452"/>
      <c r="H589" s="452"/>
      <c r="I589" s="452"/>
    </row>
    <row r="590" spans="1:9" ht="12.75" x14ac:dyDescent="0.2">
      <c r="A590" s="455"/>
      <c r="B590" s="452"/>
      <c r="C590" s="452"/>
      <c r="D590" s="452"/>
      <c r="E590" s="452"/>
      <c r="F590" s="452"/>
      <c r="G590" s="452"/>
      <c r="H590" s="452"/>
      <c r="I590" s="452"/>
    </row>
    <row r="591" spans="1:9" ht="12.75" x14ac:dyDescent="0.2">
      <c r="A591" s="455"/>
      <c r="B591" s="452"/>
      <c r="C591" s="452"/>
      <c r="D591" s="452"/>
      <c r="E591" s="452"/>
      <c r="F591" s="452"/>
      <c r="G591" s="452"/>
      <c r="H591" s="452"/>
      <c r="I591" s="452"/>
    </row>
    <row r="592" spans="1:9" ht="12.75" x14ac:dyDescent="0.2">
      <c r="A592" s="455"/>
      <c r="B592" s="452"/>
      <c r="C592" s="452"/>
      <c r="D592" s="452"/>
      <c r="E592" s="452"/>
      <c r="F592" s="452"/>
      <c r="G592" s="452"/>
      <c r="H592" s="452"/>
      <c r="I592" s="452"/>
    </row>
    <row r="593" spans="1:9" ht="12.75" x14ac:dyDescent="0.2">
      <c r="A593" s="455"/>
      <c r="B593" s="452"/>
      <c r="C593" s="452"/>
      <c r="D593" s="452"/>
      <c r="E593" s="452"/>
      <c r="F593" s="452"/>
      <c r="G593" s="452"/>
      <c r="H593" s="452"/>
      <c r="I593" s="452"/>
    </row>
    <row r="594" spans="1:9" ht="12.75" x14ac:dyDescent="0.2">
      <c r="A594" s="455"/>
      <c r="B594" s="452"/>
      <c r="C594" s="452"/>
      <c r="D594" s="452"/>
      <c r="E594" s="452"/>
      <c r="F594" s="452"/>
      <c r="G594" s="452"/>
      <c r="H594" s="452"/>
      <c r="I594" s="452"/>
    </row>
    <row r="595" spans="1:9" ht="12.75" x14ac:dyDescent="0.2">
      <c r="A595" s="455"/>
      <c r="B595" s="452"/>
      <c r="C595" s="452"/>
      <c r="D595" s="452"/>
      <c r="E595" s="452"/>
      <c r="F595" s="452"/>
      <c r="G595" s="452"/>
      <c r="H595" s="452"/>
      <c r="I595" s="452"/>
    </row>
    <row r="596" spans="1:9" ht="12.75" x14ac:dyDescent="0.2">
      <c r="A596" s="455"/>
      <c r="B596" s="452"/>
      <c r="C596" s="452"/>
      <c r="D596" s="452"/>
      <c r="E596" s="452"/>
      <c r="F596" s="452"/>
      <c r="G596" s="452"/>
      <c r="H596" s="452"/>
      <c r="I596" s="452"/>
    </row>
    <row r="597" spans="1:9" ht="12.75" x14ac:dyDescent="0.2">
      <c r="A597" s="455"/>
      <c r="B597" s="452"/>
      <c r="C597" s="452"/>
      <c r="D597" s="452"/>
      <c r="E597" s="452"/>
      <c r="F597" s="452"/>
      <c r="G597" s="452"/>
      <c r="H597" s="452"/>
      <c r="I597" s="452"/>
    </row>
    <row r="598" spans="1:9" ht="12.75" x14ac:dyDescent="0.2">
      <c r="A598" s="455"/>
      <c r="B598" s="452"/>
      <c r="C598" s="452"/>
      <c r="D598" s="452"/>
      <c r="E598" s="452"/>
      <c r="F598" s="452"/>
      <c r="G598" s="452"/>
      <c r="H598" s="452"/>
      <c r="I598" s="452"/>
    </row>
    <row r="599" spans="1:9" ht="12.75" x14ac:dyDescent="0.2">
      <c r="A599" s="455"/>
      <c r="B599" s="452"/>
      <c r="C599" s="452"/>
      <c r="D599" s="452"/>
      <c r="E599" s="452"/>
      <c r="F599" s="452"/>
      <c r="G599" s="452"/>
      <c r="H599" s="452"/>
      <c r="I599" s="452"/>
    </row>
    <row r="600" spans="1:9" ht="12.75" x14ac:dyDescent="0.2">
      <c r="A600" s="455"/>
      <c r="B600" s="452"/>
      <c r="C600" s="452"/>
      <c r="D600" s="452"/>
      <c r="E600" s="452"/>
      <c r="F600" s="452"/>
      <c r="G600" s="452"/>
      <c r="H600" s="452"/>
      <c r="I600" s="452"/>
    </row>
    <row r="601" spans="1:9" ht="12.75" x14ac:dyDescent="0.2">
      <c r="A601" s="455"/>
      <c r="B601" s="452"/>
      <c r="C601" s="452"/>
      <c r="D601" s="452"/>
      <c r="E601" s="452"/>
      <c r="F601" s="452"/>
      <c r="G601" s="452"/>
      <c r="H601" s="452"/>
      <c r="I601" s="452"/>
    </row>
    <row r="602" spans="1:9" ht="12.75" x14ac:dyDescent="0.2">
      <c r="A602" s="455"/>
      <c r="B602" s="452"/>
      <c r="C602" s="452"/>
      <c r="D602" s="452"/>
      <c r="E602" s="452"/>
      <c r="F602" s="452"/>
      <c r="G602" s="452"/>
      <c r="H602" s="452"/>
      <c r="I602" s="452"/>
    </row>
    <row r="603" spans="1:9" ht="12.75" x14ac:dyDescent="0.2">
      <c r="A603" s="455"/>
      <c r="B603" s="452"/>
      <c r="C603" s="452"/>
      <c r="D603" s="452"/>
      <c r="E603" s="452"/>
      <c r="F603" s="452"/>
      <c r="G603" s="452"/>
      <c r="H603" s="452"/>
      <c r="I603" s="452"/>
    </row>
    <row r="604" spans="1:9" ht="12.75" x14ac:dyDescent="0.2">
      <c r="A604" s="455"/>
      <c r="B604" s="452"/>
      <c r="C604" s="452"/>
      <c r="D604" s="452"/>
      <c r="E604" s="452"/>
      <c r="F604" s="452"/>
      <c r="G604" s="452"/>
      <c r="H604" s="452"/>
      <c r="I604" s="452"/>
    </row>
    <row r="605" spans="1:9" ht="12.75" x14ac:dyDescent="0.2">
      <c r="A605" s="455"/>
      <c r="B605" s="452"/>
      <c r="C605" s="452"/>
      <c r="D605" s="452"/>
      <c r="E605" s="452"/>
      <c r="F605" s="452"/>
      <c r="G605" s="452"/>
      <c r="H605" s="452"/>
      <c r="I605" s="452"/>
    </row>
    <row r="606" spans="1:9" ht="12.75" x14ac:dyDescent="0.2">
      <c r="A606" s="455"/>
      <c r="B606" s="452"/>
      <c r="C606" s="452"/>
      <c r="D606" s="452"/>
      <c r="E606" s="452"/>
      <c r="F606" s="452"/>
      <c r="G606" s="452"/>
      <c r="H606" s="452"/>
      <c r="I606" s="452"/>
    </row>
    <row r="607" spans="1:9" ht="12.75" x14ac:dyDescent="0.2">
      <c r="A607" s="455"/>
      <c r="B607" s="452"/>
      <c r="C607" s="452"/>
      <c r="D607" s="452"/>
      <c r="E607" s="452"/>
      <c r="F607" s="452"/>
      <c r="G607" s="452"/>
      <c r="H607" s="452"/>
      <c r="I607" s="452"/>
    </row>
    <row r="608" spans="1:9" ht="12.75" x14ac:dyDescent="0.2">
      <c r="A608" s="455"/>
      <c r="B608" s="452"/>
      <c r="C608" s="452"/>
      <c r="D608" s="452"/>
      <c r="E608" s="452"/>
      <c r="F608" s="452"/>
      <c r="G608" s="452"/>
      <c r="H608" s="452"/>
      <c r="I608" s="452"/>
    </row>
    <row r="609" spans="1:9" ht="12.75" x14ac:dyDescent="0.2">
      <c r="A609" s="455"/>
      <c r="B609" s="452"/>
      <c r="C609" s="452"/>
      <c r="D609" s="452"/>
      <c r="E609" s="452"/>
      <c r="F609" s="452"/>
      <c r="G609" s="452"/>
      <c r="H609" s="452"/>
      <c r="I609" s="452"/>
    </row>
    <row r="610" spans="1:9" ht="12.75" x14ac:dyDescent="0.2">
      <c r="A610" s="455"/>
      <c r="B610" s="452"/>
      <c r="C610" s="452"/>
      <c r="D610" s="452"/>
      <c r="E610" s="452"/>
      <c r="F610" s="452"/>
      <c r="G610" s="452"/>
      <c r="H610" s="452"/>
      <c r="I610" s="452"/>
    </row>
    <row r="611" spans="1:9" ht="12.75" x14ac:dyDescent="0.2">
      <c r="A611" s="455"/>
      <c r="B611" s="452"/>
      <c r="C611" s="452"/>
      <c r="D611" s="452"/>
      <c r="E611" s="452"/>
      <c r="F611" s="452"/>
      <c r="G611" s="452"/>
      <c r="H611" s="452"/>
      <c r="I611" s="452"/>
    </row>
    <row r="612" spans="1:9" ht="12.75" x14ac:dyDescent="0.2">
      <c r="A612" s="455"/>
      <c r="B612" s="452"/>
      <c r="C612" s="452"/>
      <c r="D612" s="452"/>
      <c r="E612" s="452"/>
      <c r="F612" s="452"/>
      <c r="G612" s="452"/>
      <c r="H612" s="452"/>
      <c r="I612" s="452"/>
    </row>
    <row r="613" spans="1:9" ht="12.75" x14ac:dyDescent="0.2">
      <c r="A613" s="455"/>
      <c r="B613" s="452"/>
      <c r="C613" s="452"/>
      <c r="D613" s="452"/>
      <c r="E613" s="452"/>
      <c r="F613" s="452"/>
      <c r="G613" s="452"/>
      <c r="H613" s="452"/>
      <c r="I613" s="452"/>
    </row>
    <row r="614" spans="1:9" ht="12.75" x14ac:dyDescent="0.2">
      <c r="A614" s="455"/>
      <c r="B614" s="452"/>
      <c r="C614" s="452"/>
      <c r="D614" s="452"/>
      <c r="E614" s="452"/>
      <c r="F614" s="452"/>
      <c r="G614" s="452"/>
      <c r="H614" s="452"/>
      <c r="I614" s="452"/>
    </row>
    <row r="615" spans="1:9" ht="12.75" x14ac:dyDescent="0.2">
      <c r="A615" s="455"/>
      <c r="B615" s="452"/>
      <c r="C615" s="452"/>
      <c r="D615" s="452"/>
      <c r="E615" s="452"/>
      <c r="F615" s="452"/>
      <c r="G615" s="452"/>
      <c r="H615" s="452"/>
      <c r="I615" s="452"/>
    </row>
    <row r="616" spans="1:9" ht="12.75" x14ac:dyDescent="0.2">
      <c r="A616" s="455"/>
      <c r="B616" s="452"/>
      <c r="C616" s="452"/>
      <c r="D616" s="452"/>
      <c r="E616" s="452"/>
      <c r="F616" s="452"/>
      <c r="G616" s="452"/>
      <c r="H616" s="452"/>
      <c r="I616" s="452"/>
    </row>
    <row r="617" spans="1:9" ht="12.75" x14ac:dyDescent="0.2">
      <c r="A617" s="455"/>
      <c r="B617" s="452"/>
      <c r="C617" s="452"/>
      <c r="D617" s="452"/>
      <c r="E617" s="452"/>
      <c r="F617" s="452"/>
      <c r="G617" s="452"/>
      <c r="H617" s="452"/>
      <c r="I617" s="452"/>
    </row>
    <row r="618" spans="1:9" ht="12.75" x14ac:dyDescent="0.2">
      <c r="A618" s="455"/>
      <c r="B618" s="452"/>
      <c r="C618" s="452"/>
      <c r="D618" s="452"/>
      <c r="E618" s="452"/>
      <c r="F618" s="452"/>
      <c r="G618" s="452"/>
      <c r="H618" s="452"/>
      <c r="I618" s="452"/>
    </row>
    <row r="619" spans="1:9" ht="12.75" x14ac:dyDescent="0.2">
      <c r="A619" s="455"/>
      <c r="B619" s="452"/>
      <c r="C619" s="452"/>
      <c r="D619" s="452"/>
      <c r="E619" s="452"/>
      <c r="F619" s="452"/>
      <c r="G619" s="452"/>
      <c r="H619" s="452"/>
      <c r="I619" s="452"/>
    </row>
    <row r="620" spans="1:9" ht="12.75" x14ac:dyDescent="0.2">
      <c r="A620" s="455"/>
      <c r="B620" s="452"/>
      <c r="C620" s="452"/>
      <c r="D620" s="452"/>
      <c r="E620" s="452"/>
      <c r="F620" s="452"/>
      <c r="G620" s="452"/>
      <c r="H620" s="452"/>
      <c r="I620" s="452"/>
    </row>
    <row r="621" spans="1:9" ht="12.75" x14ac:dyDescent="0.2">
      <c r="A621" s="455"/>
      <c r="B621" s="452"/>
      <c r="C621" s="452"/>
      <c r="D621" s="452"/>
      <c r="E621" s="452"/>
      <c r="F621" s="452"/>
      <c r="G621" s="452"/>
      <c r="H621" s="452"/>
      <c r="I621" s="452"/>
    </row>
    <row r="622" spans="1:9" ht="12.75" x14ac:dyDescent="0.2">
      <c r="A622" s="455"/>
      <c r="B622" s="452"/>
      <c r="C622" s="452"/>
      <c r="D622" s="452"/>
      <c r="E622" s="452"/>
      <c r="F622" s="452"/>
      <c r="G622" s="452"/>
      <c r="H622" s="452"/>
      <c r="I622" s="452"/>
    </row>
    <row r="623" spans="1:9" ht="12.75" x14ac:dyDescent="0.2">
      <c r="A623" s="455"/>
      <c r="B623" s="452"/>
      <c r="C623" s="452"/>
      <c r="D623" s="452"/>
      <c r="E623" s="452"/>
      <c r="F623" s="452"/>
      <c r="G623" s="452"/>
      <c r="H623" s="452"/>
      <c r="I623" s="452"/>
    </row>
    <row r="624" spans="1:9" ht="12.75" x14ac:dyDescent="0.2">
      <c r="A624" s="455"/>
      <c r="B624" s="452"/>
      <c r="C624" s="452"/>
      <c r="D624" s="452"/>
      <c r="E624" s="452"/>
      <c r="F624" s="452"/>
      <c r="G624" s="452"/>
      <c r="H624" s="452"/>
      <c r="I624" s="452"/>
    </row>
    <row r="625" spans="1:9" ht="12.75" x14ac:dyDescent="0.2">
      <c r="A625" s="455"/>
      <c r="B625" s="452"/>
      <c r="C625" s="452"/>
      <c r="D625" s="452"/>
      <c r="E625" s="452"/>
      <c r="F625" s="452"/>
      <c r="G625" s="452"/>
      <c r="H625" s="452"/>
      <c r="I625" s="452"/>
    </row>
    <row r="626" spans="1:9" ht="12.75" x14ac:dyDescent="0.2">
      <c r="A626" s="455"/>
      <c r="B626" s="452"/>
      <c r="C626" s="452"/>
      <c r="D626" s="452"/>
      <c r="E626" s="452"/>
      <c r="F626" s="452"/>
      <c r="G626" s="452"/>
      <c r="H626" s="452"/>
      <c r="I626" s="452"/>
    </row>
    <row r="627" spans="1:9" ht="12.75" x14ac:dyDescent="0.2">
      <c r="A627" s="455"/>
      <c r="B627" s="452"/>
      <c r="C627" s="452"/>
      <c r="D627" s="452"/>
      <c r="E627" s="452"/>
      <c r="F627" s="452"/>
      <c r="G627" s="452"/>
      <c r="H627" s="452"/>
      <c r="I627" s="452"/>
    </row>
    <row r="628" spans="1:9" ht="12.75" x14ac:dyDescent="0.2">
      <c r="A628" s="455"/>
      <c r="B628" s="452"/>
      <c r="C628" s="452"/>
      <c r="D628" s="452"/>
      <c r="E628" s="452"/>
      <c r="F628" s="452"/>
      <c r="G628" s="452"/>
      <c r="H628" s="452"/>
      <c r="I628" s="452"/>
    </row>
    <row r="629" spans="1:9" ht="12.75" x14ac:dyDescent="0.2">
      <c r="A629" s="455"/>
      <c r="B629" s="452"/>
      <c r="C629" s="452"/>
      <c r="D629" s="452"/>
      <c r="E629" s="452"/>
      <c r="F629" s="452"/>
      <c r="G629" s="452"/>
      <c r="H629" s="452"/>
      <c r="I629" s="452"/>
    </row>
    <row r="630" spans="1:9" ht="12.75" x14ac:dyDescent="0.2">
      <c r="A630" s="455"/>
      <c r="B630" s="452"/>
      <c r="C630" s="452"/>
      <c r="D630" s="452"/>
      <c r="E630" s="452"/>
      <c r="F630" s="452"/>
      <c r="G630" s="452"/>
      <c r="H630" s="452"/>
      <c r="I630" s="452"/>
    </row>
    <row r="631" spans="1:9" ht="12.75" x14ac:dyDescent="0.2">
      <c r="A631" s="455"/>
      <c r="B631" s="452"/>
      <c r="C631" s="452"/>
      <c r="D631" s="452"/>
      <c r="E631" s="452"/>
      <c r="F631" s="452"/>
      <c r="G631" s="452"/>
      <c r="H631" s="452"/>
      <c r="I631" s="452"/>
    </row>
    <row r="632" spans="1:9" ht="12.75" x14ac:dyDescent="0.2">
      <c r="A632" s="455"/>
      <c r="B632" s="452"/>
      <c r="C632" s="452"/>
      <c r="D632" s="452"/>
      <c r="E632" s="452"/>
      <c r="F632" s="452"/>
      <c r="G632" s="452"/>
      <c r="H632" s="452"/>
      <c r="I632" s="452"/>
    </row>
    <row r="633" spans="1:9" ht="12.75" x14ac:dyDescent="0.2">
      <c r="A633" s="455"/>
      <c r="B633" s="452"/>
      <c r="C633" s="452"/>
      <c r="D633" s="452"/>
      <c r="E633" s="452"/>
      <c r="F633" s="452"/>
      <c r="G633" s="452"/>
      <c r="H633" s="452"/>
      <c r="I633" s="452"/>
    </row>
    <row r="634" spans="1:9" ht="12.75" x14ac:dyDescent="0.2">
      <c r="A634" s="455"/>
      <c r="B634" s="452"/>
      <c r="C634" s="452"/>
      <c r="D634" s="452"/>
      <c r="E634" s="452"/>
      <c r="F634" s="452"/>
      <c r="G634" s="452"/>
      <c r="H634" s="452"/>
      <c r="I634" s="452"/>
    </row>
    <row r="635" spans="1:9" ht="12.75" x14ac:dyDescent="0.2">
      <c r="A635" s="455"/>
      <c r="B635" s="452"/>
      <c r="C635" s="452"/>
      <c r="D635" s="452"/>
      <c r="E635" s="452"/>
      <c r="F635" s="452"/>
      <c r="G635" s="452"/>
      <c r="H635" s="452"/>
      <c r="I635" s="452"/>
    </row>
    <row r="636" spans="1:9" ht="12.75" x14ac:dyDescent="0.2">
      <c r="A636" s="455"/>
      <c r="B636" s="452"/>
      <c r="C636" s="452"/>
      <c r="D636" s="452"/>
      <c r="E636" s="452"/>
      <c r="F636" s="452"/>
      <c r="G636" s="452"/>
      <c r="H636" s="452"/>
      <c r="I636" s="452"/>
    </row>
    <row r="637" spans="1:9" ht="12.75" x14ac:dyDescent="0.2">
      <c r="A637" s="455"/>
      <c r="B637" s="452"/>
      <c r="C637" s="452"/>
      <c r="D637" s="452"/>
      <c r="E637" s="452"/>
      <c r="F637" s="452"/>
      <c r="G637" s="452"/>
      <c r="H637" s="452"/>
      <c r="I637" s="452"/>
    </row>
    <row r="638" spans="1:9" ht="12.75" x14ac:dyDescent="0.2">
      <c r="A638" s="455"/>
      <c r="B638" s="452"/>
      <c r="C638" s="452"/>
      <c r="D638" s="452"/>
      <c r="E638" s="452"/>
      <c r="F638" s="452"/>
      <c r="G638" s="452"/>
      <c r="H638" s="452"/>
      <c r="I638" s="452"/>
    </row>
    <row r="639" spans="1:9" ht="12.75" x14ac:dyDescent="0.2">
      <c r="A639" s="455"/>
      <c r="B639" s="452"/>
      <c r="C639" s="452"/>
      <c r="D639" s="452"/>
      <c r="E639" s="452"/>
      <c r="F639" s="452"/>
      <c r="G639" s="452"/>
      <c r="H639" s="452"/>
      <c r="I639" s="452"/>
    </row>
    <row r="640" spans="1:9" ht="12.75" x14ac:dyDescent="0.2">
      <c r="A640" s="455"/>
      <c r="B640" s="452"/>
      <c r="C640" s="452"/>
      <c r="D640" s="452"/>
      <c r="E640" s="452"/>
      <c r="F640" s="452"/>
      <c r="G640" s="452"/>
      <c r="H640" s="452"/>
      <c r="I640" s="452"/>
    </row>
    <row r="641" spans="1:9" ht="12.75" x14ac:dyDescent="0.2">
      <c r="A641" s="455"/>
      <c r="B641" s="452"/>
      <c r="C641" s="452"/>
      <c r="D641" s="452"/>
      <c r="E641" s="452"/>
      <c r="F641" s="452"/>
      <c r="G641" s="452"/>
      <c r="H641" s="452"/>
      <c r="I641" s="452"/>
    </row>
    <row r="642" spans="1:9" ht="12.75" x14ac:dyDescent="0.2">
      <c r="A642" s="455"/>
      <c r="B642" s="452"/>
      <c r="C642" s="452"/>
      <c r="D642" s="452"/>
      <c r="E642" s="452"/>
      <c r="F642" s="452"/>
      <c r="G642" s="452"/>
      <c r="H642" s="452"/>
      <c r="I642" s="452"/>
    </row>
    <row r="643" spans="1:9" ht="12.75" x14ac:dyDescent="0.2">
      <c r="A643" s="455"/>
      <c r="B643" s="452"/>
      <c r="C643" s="452"/>
      <c r="D643" s="452"/>
      <c r="E643" s="452"/>
      <c r="F643" s="452"/>
      <c r="G643" s="452"/>
      <c r="H643" s="452"/>
      <c r="I643" s="452"/>
    </row>
    <row r="644" spans="1:9" ht="12.75" x14ac:dyDescent="0.2">
      <c r="A644" s="455"/>
      <c r="B644" s="452"/>
      <c r="C644" s="452"/>
      <c r="D644" s="452"/>
      <c r="E644" s="452"/>
      <c r="F644" s="452"/>
      <c r="G644" s="452"/>
      <c r="H644" s="452"/>
      <c r="I644" s="452"/>
    </row>
    <row r="645" spans="1:9" ht="12.75" x14ac:dyDescent="0.2">
      <c r="A645" s="455"/>
      <c r="B645" s="452"/>
      <c r="C645" s="452"/>
      <c r="D645" s="452"/>
      <c r="E645" s="452"/>
      <c r="F645" s="452"/>
      <c r="G645" s="452"/>
      <c r="H645" s="452"/>
      <c r="I645" s="452"/>
    </row>
    <row r="646" spans="1:9" ht="12.75" x14ac:dyDescent="0.2">
      <c r="A646" s="455"/>
      <c r="B646" s="452"/>
      <c r="C646" s="452"/>
      <c r="D646" s="452"/>
      <c r="E646" s="452"/>
      <c r="F646" s="452"/>
      <c r="G646" s="452"/>
      <c r="H646" s="452"/>
      <c r="I646" s="452"/>
    </row>
    <row r="647" spans="1:9" ht="12.75" x14ac:dyDescent="0.2">
      <c r="A647" s="455"/>
      <c r="B647" s="452"/>
      <c r="C647" s="452"/>
      <c r="D647" s="452"/>
      <c r="E647" s="452"/>
      <c r="F647" s="452"/>
      <c r="G647" s="452"/>
      <c r="H647" s="452"/>
      <c r="I647" s="452"/>
    </row>
    <row r="648" spans="1:9" ht="12.75" x14ac:dyDescent="0.2">
      <c r="A648" s="455"/>
      <c r="B648" s="452"/>
      <c r="C648" s="452"/>
      <c r="D648" s="452"/>
      <c r="E648" s="452"/>
      <c r="F648" s="452"/>
      <c r="G648" s="452"/>
      <c r="H648" s="452"/>
      <c r="I648" s="452"/>
    </row>
    <row r="649" spans="1:9" ht="12.75" x14ac:dyDescent="0.2">
      <c r="A649" s="455"/>
      <c r="B649" s="452"/>
      <c r="C649" s="452"/>
      <c r="D649" s="452"/>
      <c r="E649" s="452"/>
      <c r="F649" s="452"/>
      <c r="G649" s="452"/>
      <c r="H649" s="452"/>
      <c r="I649" s="452"/>
    </row>
    <row r="650" spans="1:9" ht="12.75" x14ac:dyDescent="0.2">
      <c r="A650" s="455"/>
      <c r="B650" s="452"/>
      <c r="C650" s="452"/>
      <c r="D650" s="452"/>
      <c r="E650" s="452"/>
      <c r="F650" s="452"/>
      <c r="G650" s="452"/>
      <c r="H650" s="452"/>
      <c r="I650" s="452"/>
    </row>
    <row r="651" spans="1:9" ht="12.75" x14ac:dyDescent="0.2">
      <c r="A651" s="455"/>
      <c r="B651" s="452"/>
      <c r="C651" s="452"/>
      <c r="D651" s="452"/>
      <c r="E651" s="452"/>
      <c r="F651" s="452"/>
      <c r="G651" s="452"/>
      <c r="H651" s="452"/>
      <c r="I651" s="452"/>
    </row>
    <row r="652" spans="1:9" ht="12.75" x14ac:dyDescent="0.2">
      <c r="A652" s="455"/>
      <c r="B652" s="452"/>
      <c r="C652" s="452"/>
      <c r="D652" s="452"/>
      <c r="E652" s="452"/>
      <c r="F652" s="452"/>
      <c r="G652" s="452"/>
      <c r="H652" s="452"/>
      <c r="I652" s="452"/>
    </row>
    <row r="653" spans="1:9" ht="12.75" x14ac:dyDescent="0.2">
      <c r="A653" s="455"/>
      <c r="B653" s="452"/>
      <c r="C653" s="452"/>
      <c r="D653" s="452"/>
      <c r="E653" s="452"/>
      <c r="F653" s="452"/>
      <c r="G653" s="452"/>
      <c r="H653" s="452"/>
      <c r="I653" s="452"/>
    </row>
    <row r="654" spans="1:9" ht="12.75" x14ac:dyDescent="0.2">
      <c r="A654" s="455"/>
      <c r="B654" s="452"/>
      <c r="C654" s="452"/>
      <c r="D654" s="452"/>
      <c r="E654" s="452"/>
      <c r="F654" s="452"/>
      <c r="G654" s="452"/>
      <c r="H654" s="452"/>
      <c r="I654" s="452"/>
    </row>
    <row r="655" spans="1:9" ht="12.75" x14ac:dyDescent="0.2">
      <c r="A655" s="455"/>
      <c r="B655" s="452"/>
      <c r="C655" s="452"/>
      <c r="D655" s="452"/>
      <c r="E655" s="452"/>
      <c r="F655" s="452"/>
      <c r="G655" s="452"/>
      <c r="H655" s="452"/>
      <c r="I655" s="452"/>
    </row>
    <row r="656" spans="1:9" ht="12.75" x14ac:dyDescent="0.2">
      <c r="A656" s="455"/>
      <c r="B656" s="452"/>
      <c r="C656" s="452"/>
      <c r="D656" s="452"/>
      <c r="E656" s="452"/>
      <c r="F656" s="452"/>
      <c r="G656" s="452"/>
      <c r="H656" s="452"/>
      <c r="I656" s="452"/>
    </row>
    <row r="657" spans="1:9" ht="12.75" x14ac:dyDescent="0.2">
      <c r="A657" s="455"/>
      <c r="B657" s="452"/>
      <c r="C657" s="452"/>
      <c r="D657" s="452"/>
      <c r="E657" s="452"/>
      <c r="F657" s="452"/>
      <c r="G657" s="452"/>
      <c r="H657" s="452"/>
      <c r="I657" s="452"/>
    </row>
    <row r="658" spans="1:9" ht="12.75" x14ac:dyDescent="0.2">
      <c r="A658" s="455"/>
      <c r="B658" s="452"/>
      <c r="C658" s="452"/>
      <c r="D658" s="452"/>
      <c r="E658" s="452"/>
      <c r="F658" s="452"/>
      <c r="G658" s="452"/>
      <c r="H658" s="452"/>
      <c r="I658" s="452"/>
    </row>
    <row r="659" spans="1:9" ht="12.75" x14ac:dyDescent="0.2">
      <c r="A659" s="455"/>
      <c r="B659" s="452"/>
      <c r="C659" s="452"/>
      <c r="D659" s="452"/>
      <c r="E659" s="452"/>
      <c r="F659" s="452"/>
      <c r="G659" s="452"/>
      <c r="H659" s="452"/>
      <c r="I659" s="452"/>
    </row>
    <row r="660" spans="1:9" ht="12.75" x14ac:dyDescent="0.2">
      <c r="A660" s="455"/>
      <c r="B660" s="452"/>
      <c r="C660" s="452"/>
      <c r="D660" s="452"/>
      <c r="E660" s="452"/>
      <c r="F660" s="452"/>
      <c r="G660" s="452"/>
      <c r="H660" s="452"/>
      <c r="I660" s="452"/>
    </row>
    <row r="661" spans="1:9" ht="12.75" x14ac:dyDescent="0.2">
      <c r="A661" s="455"/>
      <c r="B661" s="452"/>
      <c r="C661" s="452"/>
      <c r="D661" s="452"/>
      <c r="E661" s="452"/>
      <c r="F661" s="452"/>
      <c r="G661" s="452"/>
      <c r="H661" s="452"/>
      <c r="I661" s="452"/>
    </row>
    <row r="662" spans="1:9" ht="12.75" x14ac:dyDescent="0.2">
      <c r="A662" s="455"/>
      <c r="B662" s="452"/>
      <c r="C662" s="452"/>
      <c r="D662" s="452"/>
      <c r="E662" s="452"/>
      <c r="F662" s="452"/>
      <c r="G662" s="452"/>
      <c r="H662" s="452"/>
      <c r="I662" s="452"/>
    </row>
    <row r="663" spans="1:9" ht="12.75" x14ac:dyDescent="0.2">
      <c r="A663" s="455"/>
      <c r="B663" s="452"/>
      <c r="C663" s="452"/>
      <c r="D663" s="452"/>
      <c r="E663" s="452"/>
      <c r="F663" s="452"/>
      <c r="G663" s="452"/>
      <c r="H663" s="452"/>
      <c r="I663" s="452"/>
    </row>
    <row r="664" spans="1:9" ht="12.75" x14ac:dyDescent="0.2">
      <c r="A664" s="455"/>
      <c r="B664" s="452"/>
      <c r="C664" s="452"/>
      <c r="D664" s="452"/>
      <c r="E664" s="452"/>
      <c r="F664" s="452"/>
      <c r="G664" s="452"/>
      <c r="H664" s="452"/>
      <c r="I664" s="452"/>
    </row>
    <row r="665" spans="1:9" ht="12.75" x14ac:dyDescent="0.2">
      <c r="A665" s="455"/>
      <c r="B665" s="452"/>
      <c r="C665" s="452"/>
      <c r="D665" s="452"/>
      <c r="E665" s="452"/>
      <c r="F665" s="452"/>
      <c r="G665" s="452"/>
      <c r="H665" s="452"/>
      <c r="I665" s="452"/>
    </row>
    <row r="666" spans="1:9" ht="12.75" x14ac:dyDescent="0.2">
      <c r="A666" s="455"/>
      <c r="B666" s="452"/>
      <c r="C666" s="452"/>
      <c r="D666" s="452"/>
      <c r="E666" s="452"/>
      <c r="F666" s="452"/>
      <c r="G666" s="452"/>
      <c r="H666" s="452"/>
      <c r="I666" s="452"/>
    </row>
    <row r="667" spans="1:9" ht="12.75" x14ac:dyDescent="0.2">
      <c r="A667" s="455"/>
      <c r="B667" s="452"/>
      <c r="C667" s="452"/>
      <c r="D667" s="452"/>
      <c r="E667" s="452"/>
      <c r="F667" s="452"/>
      <c r="G667" s="452"/>
      <c r="H667" s="452"/>
      <c r="I667" s="452"/>
    </row>
    <row r="668" spans="1:9" ht="12.75" x14ac:dyDescent="0.2">
      <c r="A668" s="455"/>
      <c r="B668" s="452"/>
      <c r="C668" s="452"/>
      <c r="D668" s="452"/>
      <c r="E668" s="452"/>
      <c r="F668" s="452"/>
      <c r="G668" s="452"/>
      <c r="H668" s="452"/>
      <c r="I668" s="452"/>
    </row>
    <row r="669" spans="1:9" ht="12.75" x14ac:dyDescent="0.2">
      <c r="A669" s="455"/>
      <c r="B669" s="452"/>
      <c r="C669" s="452"/>
      <c r="D669" s="452"/>
      <c r="E669" s="452"/>
      <c r="F669" s="452"/>
      <c r="G669" s="452"/>
      <c r="H669" s="452"/>
      <c r="I669" s="452"/>
    </row>
    <row r="670" spans="1:9" ht="12.75" x14ac:dyDescent="0.2">
      <c r="A670" s="455"/>
      <c r="B670" s="452"/>
      <c r="C670" s="452"/>
      <c r="D670" s="452"/>
      <c r="E670" s="452"/>
      <c r="F670" s="452"/>
      <c r="G670" s="452"/>
      <c r="H670" s="452"/>
      <c r="I670" s="452"/>
    </row>
    <row r="671" spans="1:9" ht="12.75" x14ac:dyDescent="0.2">
      <c r="A671" s="455"/>
      <c r="B671" s="452"/>
      <c r="C671" s="452"/>
      <c r="D671" s="452"/>
      <c r="E671" s="452"/>
      <c r="F671" s="452"/>
      <c r="G671" s="452"/>
      <c r="H671" s="452"/>
      <c r="I671" s="452"/>
    </row>
    <row r="672" spans="1:9" ht="12.75" x14ac:dyDescent="0.2">
      <c r="A672" s="455"/>
      <c r="B672" s="452"/>
      <c r="C672" s="452"/>
      <c r="D672" s="452"/>
      <c r="E672" s="452"/>
      <c r="F672" s="452"/>
      <c r="G672" s="452"/>
      <c r="H672" s="452"/>
      <c r="I672" s="452"/>
    </row>
    <row r="673" spans="1:9" ht="12.75" x14ac:dyDescent="0.2">
      <c r="A673" s="455"/>
      <c r="B673" s="452"/>
      <c r="C673" s="452"/>
      <c r="D673" s="452"/>
      <c r="E673" s="452"/>
      <c r="F673" s="452"/>
      <c r="G673" s="452"/>
      <c r="H673" s="452"/>
      <c r="I673" s="452"/>
    </row>
    <row r="674" spans="1:9" ht="12.75" x14ac:dyDescent="0.2">
      <c r="A674" s="455"/>
      <c r="B674" s="452"/>
      <c r="C674" s="452"/>
      <c r="D674" s="452"/>
      <c r="E674" s="452"/>
      <c r="F674" s="452"/>
      <c r="G674" s="452"/>
      <c r="H674" s="452"/>
      <c r="I674" s="452"/>
    </row>
    <row r="675" spans="1:9" ht="12.75" x14ac:dyDescent="0.2">
      <c r="A675" s="455"/>
      <c r="B675" s="452"/>
      <c r="C675" s="452"/>
      <c r="D675" s="452"/>
      <c r="E675" s="452"/>
      <c r="F675" s="452"/>
      <c r="G675" s="452"/>
      <c r="H675" s="452"/>
      <c r="I675" s="452"/>
    </row>
    <row r="676" spans="1:9" ht="12.75" x14ac:dyDescent="0.2">
      <c r="A676" s="455"/>
      <c r="B676" s="452"/>
      <c r="C676" s="452"/>
      <c r="D676" s="452"/>
      <c r="E676" s="452"/>
      <c r="F676" s="452"/>
      <c r="G676" s="452"/>
      <c r="H676" s="452"/>
      <c r="I676" s="452"/>
    </row>
    <row r="677" spans="1:9" ht="12.75" x14ac:dyDescent="0.2">
      <c r="A677" s="455"/>
      <c r="B677" s="452"/>
      <c r="C677" s="452"/>
      <c r="D677" s="452"/>
      <c r="E677" s="452"/>
      <c r="F677" s="452"/>
      <c r="G677" s="452"/>
      <c r="H677" s="452"/>
      <c r="I677" s="452"/>
    </row>
    <row r="678" spans="1:9" ht="12.75" x14ac:dyDescent="0.2">
      <c r="A678" s="455"/>
      <c r="B678" s="452"/>
      <c r="C678" s="452"/>
      <c r="D678" s="452"/>
      <c r="E678" s="452"/>
      <c r="F678" s="452"/>
      <c r="G678" s="452"/>
      <c r="H678" s="452"/>
      <c r="I678" s="452"/>
    </row>
    <row r="679" spans="1:9" ht="12.75" x14ac:dyDescent="0.2">
      <c r="A679" s="455"/>
      <c r="B679" s="452"/>
      <c r="C679" s="452"/>
      <c r="D679" s="452"/>
      <c r="E679" s="452"/>
      <c r="F679" s="452"/>
      <c r="G679" s="452"/>
      <c r="H679" s="452"/>
      <c r="I679" s="452"/>
    </row>
    <row r="680" spans="1:9" ht="12.75" x14ac:dyDescent="0.2">
      <c r="A680" s="455"/>
      <c r="B680" s="452"/>
      <c r="C680" s="452"/>
      <c r="D680" s="452"/>
      <c r="E680" s="452"/>
      <c r="F680" s="452"/>
      <c r="G680" s="452"/>
      <c r="H680" s="452"/>
      <c r="I680" s="452"/>
    </row>
    <row r="681" spans="1:9" ht="12.75" x14ac:dyDescent="0.2">
      <c r="A681" s="455"/>
      <c r="B681" s="452"/>
      <c r="C681" s="452"/>
      <c r="D681" s="452"/>
      <c r="E681" s="452"/>
      <c r="F681" s="452"/>
      <c r="G681" s="452"/>
      <c r="H681" s="452"/>
      <c r="I681" s="452"/>
    </row>
    <row r="682" spans="1:9" ht="12.75" x14ac:dyDescent="0.2">
      <c r="A682" s="455"/>
      <c r="B682" s="452"/>
      <c r="C682" s="452"/>
      <c r="D682" s="452"/>
      <c r="E682" s="452"/>
      <c r="F682" s="452"/>
      <c r="G682" s="452"/>
      <c r="H682" s="452"/>
      <c r="I682" s="452"/>
    </row>
    <row r="683" spans="1:9" ht="12.75" x14ac:dyDescent="0.2">
      <c r="A683" s="455"/>
      <c r="B683" s="452"/>
      <c r="C683" s="452"/>
      <c r="D683" s="452"/>
      <c r="E683" s="452"/>
      <c r="F683" s="452"/>
      <c r="G683" s="452"/>
      <c r="H683" s="452"/>
      <c r="I683" s="452"/>
    </row>
    <row r="684" spans="1:9" ht="12.75" x14ac:dyDescent="0.2">
      <c r="A684" s="455"/>
      <c r="B684" s="452"/>
      <c r="C684" s="452"/>
      <c r="D684" s="452"/>
      <c r="E684" s="452"/>
      <c r="F684" s="452"/>
      <c r="G684" s="452"/>
      <c r="H684" s="452"/>
      <c r="I684" s="452"/>
    </row>
    <row r="685" spans="1:9" ht="12.75" x14ac:dyDescent="0.2">
      <c r="A685" s="455"/>
      <c r="B685" s="452"/>
      <c r="C685" s="452"/>
      <c r="D685" s="452"/>
      <c r="E685" s="452"/>
      <c r="F685" s="452"/>
      <c r="G685" s="452"/>
      <c r="H685" s="452"/>
      <c r="I685" s="452"/>
    </row>
    <row r="686" spans="1:9" ht="12.75" x14ac:dyDescent="0.2">
      <c r="A686" s="455"/>
      <c r="B686" s="452"/>
      <c r="C686" s="452"/>
      <c r="D686" s="452"/>
      <c r="E686" s="452"/>
      <c r="F686" s="452"/>
      <c r="G686" s="452"/>
      <c r="H686" s="452"/>
      <c r="I686" s="452"/>
    </row>
    <row r="687" spans="1:9" ht="12.75" x14ac:dyDescent="0.2">
      <c r="A687" s="455"/>
      <c r="B687" s="452"/>
      <c r="C687" s="452"/>
      <c r="D687" s="452"/>
      <c r="E687" s="452"/>
      <c r="F687" s="452"/>
      <c r="G687" s="452"/>
      <c r="H687" s="452"/>
      <c r="I687" s="452"/>
    </row>
    <row r="688" spans="1:9" ht="12.75" x14ac:dyDescent="0.2">
      <c r="A688" s="455"/>
      <c r="B688" s="452"/>
      <c r="C688" s="452"/>
      <c r="D688" s="452"/>
      <c r="E688" s="452"/>
      <c r="F688" s="452"/>
      <c r="G688" s="452"/>
      <c r="H688" s="452"/>
      <c r="I688" s="452"/>
    </row>
    <row r="689" spans="1:9" ht="12.75" x14ac:dyDescent="0.2">
      <c r="A689" s="455"/>
      <c r="B689" s="452"/>
      <c r="C689" s="452"/>
      <c r="D689" s="452"/>
      <c r="E689" s="452"/>
      <c r="F689" s="452"/>
      <c r="G689" s="452"/>
      <c r="H689" s="452"/>
      <c r="I689" s="452"/>
    </row>
    <row r="690" spans="1:9" ht="12.75" x14ac:dyDescent="0.2">
      <c r="A690" s="455"/>
      <c r="B690" s="452"/>
      <c r="C690" s="452"/>
      <c r="D690" s="452"/>
      <c r="E690" s="452"/>
      <c r="F690" s="452"/>
      <c r="G690" s="452"/>
      <c r="H690" s="452"/>
      <c r="I690" s="452"/>
    </row>
    <row r="691" spans="1:9" ht="12.75" x14ac:dyDescent="0.2">
      <c r="A691" s="455"/>
      <c r="B691" s="452"/>
      <c r="C691" s="452"/>
      <c r="D691" s="452"/>
      <c r="E691" s="452"/>
      <c r="F691" s="452"/>
      <c r="G691" s="452"/>
      <c r="H691" s="452"/>
      <c r="I691" s="452"/>
    </row>
    <row r="692" spans="1:9" ht="12.75" x14ac:dyDescent="0.2">
      <c r="A692" s="455"/>
      <c r="B692" s="452"/>
      <c r="C692" s="452"/>
      <c r="D692" s="452"/>
      <c r="E692" s="452"/>
      <c r="F692" s="452"/>
      <c r="G692" s="452"/>
      <c r="H692" s="452"/>
      <c r="I692" s="452"/>
    </row>
    <row r="693" spans="1:9" ht="12.75" x14ac:dyDescent="0.2">
      <c r="A693" s="455"/>
      <c r="B693" s="452"/>
      <c r="C693" s="452"/>
      <c r="D693" s="452"/>
      <c r="E693" s="452"/>
      <c r="F693" s="452"/>
      <c r="G693" s="452"/>
      <c r="H693" s="452"/>
      <c r="I693" s="452"/>
    </row>
    <row r="694" spans="1:9" ht="12.75" x14ac:dyDescent="0.2">
      <c r="A694" s="455"/>
      <c r="B694" s="452"/>
      <c r="C694" s="452"/>
      <c r="D694" s="452"/>
      <c r="E694" s="452"/>
      <c r="F694" s="452"/>
      <c r="G694" s="452"/>
      <c r="H694" s="452"/>
      <c r="I694" s="452"/>
    </row>
    <row r="695" spans="1:9" ht="12.75" x14ac:dyDescent="0.2">
      <c r="A695" s="455"/>
      <c r="B695" s="452"/>
      <c r="C695" s="452"/>
      <c r="D695" s="452"/>
      <c r="E695" s="452"/>
      <c r="F695" s="452"/>
      <c r="G695" s="452"/>
      <c r="H695" s="452"/>
      <c r="I695" s="452"/>
    </row>
    <row r="696" spans="1:9" ht="12.75" x14ac:dyDescent="0.2">
      <c r="A696" s="455"/>
      <c r="B696" s="452"/>
      <c r="C696" s="452"/>
      <c r="D696" s="452"/>
      <c r="E696" s="452"/>
      <c r="F696" s="452"/>
      <c r="G696" s="452"/>
      <c r="H696" s="452"/>
      <c r="I696" s="452"/>
    </row>
    <row r="697" spans="1:9" ht="12.75" x14ac:dyDescent="0.2">
      <c r="A697" s="455"/>
      <c r="B697" s="452"/>
      <c r="C697" s="452"/>
      <c r="D697" s="452"/>
      <c r="E697" s="452"/>
      <c r="F697" s="452"/>
      <c r="G697" s="452"/>
      <c r="H697" s="452"/>
      <c r="I697" s="452"/>
    </row>
    <row r="698" spans="1:9" ht="12.75" x14ac:dyDescent="0.2">
      <c r="A698" s="455"/>
      <c r="B698" s="452"/>
      <c r="C698" s="452"/>
      <c r="D698" s="452"/>
      <c r="E698" s="452"/>
      <c r="F698" s="452"/>
      <c r="G698" s="452"/>
      <c r="H698" s="452"/>
      <c r="I698" s="452"/>
    </row>
    <row r="699" spans="1:9" ht="12.75" x14ac:dyDescent="0.2">
      <c r="A699" s="455"/>
      <c r="B699" s="452"/>
      <c r="C699" s="452"/>
      <c r="D699" s="452"/>
      <c r="E699" s="452"/>
      <c r="F699" s="452"/>
      <c r="G699" s="452"/>
      <c r="H699" s="452"/>
      <c r="I699" s="452"/>
    </row>
    <row r="700" spans="1:9" ht="12.75" x14ac:dyDescent="0.2">
      <c r="A700" s="455"/>
      <c r="B700" s="452"/>
      <c r="C700" s="452"/>
      <c r="D700" s="452"/>
      <c r="E700" s="452"/>
      <c r="F700" s="452"/>
      <c r="G700" s="452"/>
      <c r="H700" s="452"/>
      <c r="I700" s="452"/>
    </row>
    <row r="701" spans="1:9" ht="12.75" x14ac:dyDescent="0.2">
      <c r="A701" s="455"/>
      <c r="B701" s="452"/>
      <c r="C701" s="452"/>
      <c r="D701" s="452"/>
      <c r="E701" s="452"/>
      <c r="F701" s="452"/>
      <c r="G701" s="452"/>
      <c r="H701" s="452"/>
      <c r="I701" s="452"/>
    </row>
    <row r="702" spans="1:9" ht="12.75" x14ac:dyDescent="0.2">
      <c r="A702" s="455"/>
      <c r="B702" s="452"/>
      <c r="C702" s="452"/>
      <c r="D702" s="452"/>
      <c r="E702" s="452"/>
      <c r="F702" s="452"/>
      <c r="G702" s="452"/>
      <c r="H702" s="452"/>
      <c r="I702" s="452"/>
    </row>
    <row r="703" spans="1:9" ht="12.75" x14ac:dyDescent="0.2">
      <c r="A703" s="455"/>
      <c r="B703" s="452"/>
      <c r="C703" s="452"/>
      <c r="D703" s="452"/>
      <c r="E703" s="452"/>
      <c r="F703" s="452"/>
      <c r="G703" s="452"/>
      <c r="H703" s="452"/>
      <c r="I703" s="452"/>
    </row>
    <row r="704" spans="1:9" ht="12.75" x14ac:dyDescent="0.2">
      <c r="A704" s="455"/>
      <c r="B704" s="452"/>
      <c r="C704" s="452"/>
      <c r="D704" s="452"/>
      <c r="E704" s="452"/>
      <c r="F704" s="452"/>
      <c r="G704" s="452"/>
      <c r="H704" s="452"/>
      <c r="I704" s="452"/>
    </row>
    <row r="705" spans="1:9" ht="12.75" x14ac:dyDescent="0.2">
      <c r="A705" s="455"/>
      <c r="B705" s="452"/>
      <c r="C705" s="452"/>
      <c r="D705" s="452"/>
      <c r="E705" s="452"/>
      <c r="F705" s="452"/>
      <c r="G705" s="452"/>
      <c r="H705" s="452"/>
      <c r="I705" s="452"/>
    </row>
    <row r="706" spans="1:9" ht="12.75" x14ac:dyDescent="0.2">
      <c r="A706" s="455"/>
      <c r="B706" s="452"/>
      <c r="C706" s="452"/>
      <c r="D706" s="452"/>
      <c r="E706" s="452"/>
      <c r="F706" s="452"/>
      <c r="G706" s="452"/>
      <c r="H706" s="452"/>
      <c r="I706" s="452"/>
    </row>
    <row r="707" spans="1:9" ht="12.75" x14ac:dyDescent="0.2">
      <c r="A707" s="455"/>
      <c r="B707" s="452"/>
      <c r="C707" s="452"/>
      <c r="D707" s="452"/>
      <c r="E707" s="452"/>
      <c r="F707" s="452"/>
      <c r="G707" s="452"/>
      <c r="H707" s="452"/>
      <c r="I707" s="452"/>
    </row>
    <row r="708" spans="1:9" ht="12.75" x14ac:dyDescent="0.2">
      <c r="A708" s="455"/>
      <c r="B708" s="452"/>
      <c r="C708" s="452"/>
      <c r="D708" s="452"/>
      <c r="E708" s="452"/>
      <c r="F708" s="452"/>
      <c r="G708" s="452"/>
      <c r="H708" s="452"/>
      <c r="I708" s="452"/>
    </row>
    <row r="709" spans="1:9" ht="12.75" x14ac:dyDescent="0.2">
      <c r="A709" s="455"/>
      <c r="B709" s="452"/>
      <c r="C709" s="452"/>
      <c r="D709" s="452"/>
      <c r="E709" s="452"/>
      <c r="F709" s="452"/>
      <c r="G709" s="452"/>
      <c r="H709" s="452"/>
      <c r="I709" s="452"/>
    </row>
    <row r="710" spans="1:9" ht="12.75" x14ac:dyDescent="0.2">
      <c r="A710" s="455"/>
      <c r="B710" s="452"/>
      <c r="C710" s="452"/>
      <c r="D710" s="452"/>
      <c r="E710" s="452"/>
      <c r="F710" s="452"/>
      <c r="G710" s="452"/>
      <c r="H710" s="452"/>
      <c r="I710" s="452"/>
    </row>
    <row r="711" spans="1:9" ht="12.75" x14ac:dyDescent="0.2">
      <c r="A711" s="455"/>
      <c r="B711" s="452"/>
      <c r="C711" s="452"/>
      <c r="D711" s="452"/>
      <c r="E711" s="452"/>
      <c r="F711" s="452"/>
      <c r="G711" s="452"/>
      <c r="H711" s="452"/>
      <c r="I711" s="452"/>
    </row>
    <row r="712" spans="1:9" ht="12.75" x14ac:dyDescent="0.2">
      <c r="A712" s="455"/>
      <c r="B712" s="452"/>
      <c r="C712" s="452"/>
      <c r="D712" s="452"/>
      <c r="E712" s="452"/>
      <c r="F712" s="452"/>
      <c r="G712" s="452"/>
      <c r="H712" s="452"/>
      <c r="I712" s="452"/>
    </row>
    <row r="713" spans="1:9" ht="12.75" x14ac:dyDescent="0.2">
      <c r="A713" s="455"/>
      <c r="B713" s="452"/>
      <c r="C713" s="452"/>
      <c r="D713" s="452"/>
      <c r="E713" s="452"/>
      <c r="F713" s="452"/>
      <c r="G713" s="452"/>
      <c r="H713" s="452"/>
      <c r="I713" s="452"/>
    </row>
    <row r="714" spans="1:9" ht="12.75" x14ac:dyDescent="0.2">
      <c r="A714" s="455"/>
      <c r="B714" s="452"/>
      <c r="C714" s="452"/>
      <c r="D714" s="452"/>
      <c r="E714" s="452"/>
      <c r="F714" s="452"/>
      <c r="G714" s="452"/>
      <c r="H714" s="452"/>
      <c r="I714" s="452"/>
    </row>
    <row r="715" spans="1:9" ht="12.75" x14ac:dyDescent="0.2">
      <c r="A715" s="455"/>
      <c r="B715" s="452"/>
      <c r="C715" s="452"/>
      <c r="D715" s="452"/>
      <c r="E715" s="452"/>
      <c r="F715" s="452"/>
      <c r="G715" s="452"/>
      <c r="H715" s="452"/>
      <c r="I715" s="452"/>
    </row>
    <row r="716" spans="1:9" ht="12.75" x14ac:dyDescent="0.2">
      <c r="A716" s="455"/>
      <c r="B716" s="452"/>
      <c r="C716" s="452"/>
      <c r="D716" s="452"/>
      <c r="E716" s="452"/>
      <c r="F716" s="452"/>
      <c r="G716" s="452"/>
      <c r="H716" s="452"/>
      <c r="I716" s="452"/>
    </row>
    <row r="717" spans="1:9" ht="12.75" x14ac:dyDescent="0.2">
      <c r="A717" s="455"/>
      <c r="B717" s="452"/>
      <c r="C717" s="452"/>
      <c r="D717" s="452"/>
      <c r="E717" s="452"/>
      <c r="F717" s="452"/>
      <c r="G717" s="452"/>
      <c r="H717" s="452"/>
      <c r="I717" s="452"/>
    </row>
    <row r="718" spans="1:9" ht="12.75" x14ac:dyDescent="0.2">
      <c r="A718" s="455"/>
      <c r="B718" s="452"/>
      <c r="C718" s="452"/>
      <c r="D718" s="452"/>
      <c r="E718" s="452"/>
      <c r="F718" s="452"/>
      <c r="G718" s="452"/>
      <c r="H718" s="452"/>
      <c r="I718" s="452"/>
    </row>
    <row r="719" spans="1:9" ht="12.75" x14ac:dyDescent="0.2">
      <c r="A719" s="455"/>
      <c r="B719" s="452"/>
      <c r="C719" s="452"/>
      <c r="D719" s="452"/>
      <c r="E719" s="452"/>
      <c r="F719" s="452"/>
      <c r="G719" s="452"/>
      <c r="H719" s="452"/>
      <c r="I719" s="452"/>
    </row>
    <row r="720" spans="1:9" ht="12.75" x14ac:dyDescent="0.2">
      <c r="A720" s="455"/>
      <c r="B720" s="452"/>
      <c r="C720" s="452"/>
      <c r="D720" s="452"/>
      <c r="E720" s="452"/>
      <c r="F720" s="452"/>
      <c r="G720" s="452"/>
      <c r="H720" s="452"/>
      <c r="I720" s="452"/>
    </row>
    <row r="721" spans="1:9" ht="12.75" x14ac:dyDescent="0.2">
      <c r="A721" s="455"/>
      <c r="B721" s="452"/>
      <c r="C721" s="452"/>
      <c r="D721" s="452"/>
      <c r="E721" s="452"/>
      <c r="F721" s="452"/>
      <c r="G721" s="452"/>
      <c r="H721" s="452"/>
      <c r="I721" s="452"/>
    </row>
    <row r="722" spans="1:9" ht="12.75" x14ac:dyDescent="0.2">
      <c r="A722" s="455"/>
      <c r="B722" s="452"/>
      <c r="C722" s="452"/>
      <c r="D722" s="452"/>
      <c r="E722" s="452"/>
      <c r="F722" s="452"/>
      <c r="G722" s="452"/>
      <c r="H722" s="452"/>
      <c r="I722" s="452"/>
    </row>
    <row r="723" spans="1:9" ht="12.75" x14ac:dyDescent="0.2">
      <c r="A723" s="455"/>
      <c r="B723" s="452"/>
      <c r="C723" s="452"/>
      <c r="D723" s="452"/>
      <c r="E723" s="452"/>
      <c r="F723" s="452"/>
      <c r="G723" s="452"/>
      <c r="H723" s="452"/>
      <c r="I723" s="452"/>
    </row>
    <row r="724" spans="1:9" ht="12.75" x14ac:dyDescent="0.2">
      <c r="A724" s="455"/>
      <c r="B724" s="452"/>
      <c r="C724" s="452"/>
      <c r="D724" s="452"/>
      <c r="E724" s="452"/>
      <c r="F724" s="452"/>
      <c r="G724" s="452"/>
      <c r="H724" s="452"/>
      <c r="I724" s="452"/>
    </row>
    <row r="725" spans="1:9" ht="12.75" x14ac:dyDescent="0.2">
      <c r="A725" s="455"/>
      <c r="B725" s="452"/>
      <c r="C725" s="452"/>
      <c r="D725" s="452"/>
      <c r="E725" s="452"/>
      <c r="F725" s="452"/>
      <c r="G725" s="452"/>
      <c r="H725" s="452"/>
      <c r="I725" s="452"/>
    </row>
    <row r="726" spans="1:9" ht="12.75" x14ac:dyDescent="0.2">
      <c r="A726" s="455"/>
      <c r="B726" s="452"/>
      <c r="C726" s="452"/>
      <c r="D726" s="452"/>
      <c r="E726" s="452"/>
      <c r="F726" s="452"/>
      <c r="G726" s="452"/>
      <c r="H726" s="452"/>
      <c r="I726" s="452"/>
    </row>
    <row r="727" spans="1:9" ht="12.75" x14ac:dyDescent="0.2">
      <c r="A727" s="455"/>
      <c r="B727" s="452"/>
      <c r="C727" s="452"/>
      <c r="D727" s="452"/>
      <c r="E727" s="452"/>
      <c r="F727" s="452"/>
      <c r="G727" s="452"/>
      <c r="H727" s="452"/>
      <c r="I727" s="452"/>
    </row>
    <row r="728" spans="1:9" ht="12.75" x14ac:dyDescent="0.2">
      <c r="A728" s="455"/>
      <c r="B728" s="452"/>
      <c r="C728" s="452"/>
      <c r="D728" s="452"/>
      <c r="E728" s="452"/>
      <c r="F728" s="452"/>
      <c r="G728" s="452"/>
      <c r="H728" s="452"/>
      <c r="I728" s="452"/>
    </row>
    <row r="729" spans="1:9" ht="12.75" x14ac:dyDescent="0.2">
      <c r="A729" s="455"/>
      <c r="B729" s="452"/>
      <c r="C729" s="452"/>
      <c r="D729" s="452"/>
      <c r="E729" s="452"/>
      <c r="F729" s="452"/>
      <c r="G729" s="452"/>
      <c r="H729" s="452"/>
      <c r="I729" s="452"/>
    </row>
    <row r="730" spans="1:9" ht="12.75" x14ac:dyDescent="0.2">
      <c r="A730" s="455"/>
      <c r="B730" s="452"/>
      <c r="C730" s="452"/>
      <c r="D730" s="452"/>
      <c r="E730" s="452"/>
      <c r="F730" s="452"/>
      <c r="G730" s="452"/>
      <c r="H730" s="452"/>
      <c r="I730" s="452"/>
    </row>
    <row r="731" spans="1:9" ht="12.75" x14ac:dyDescent="0.2">
      <c r="A731" s="455"/>
      <c r="B731" s="452"/>
      <c r="C731" s="452"/>
      <c r="D731" s="452"/>
      <c r="E731" s="452"/>
      <c r="F731" s="452"/>
      <c r="G731" s="452"/>
      <c r="H731" s="452"/>
      <c r="I731" s="452"/>
    </row>
    <row r="732" spans="1:9" ht="12.75" x14ac:dyDescent="0.2">
      <c r="A732" s="455"/>
      <c r="B732" s="452"/>
      <c r="C732" s="452"/>
      <c r="D732" s="452"/>
      <c r="E732" s="452"/>
      <c r="F732" s="452"/>
      <c r="G732" s="452"/>
      <c r="H732" s="452"/>
      <c r="I732" s="452"/>
    </row>
    <row r="733" spans="1:9" ht="12.75" x14ac:dyDescent="0.2">
      <c r="A733" s="455"/>
      <c r="B733" s="452"/>
      <c r="C733" s="452"/>
      <c r="D733" s="452"/>
      <c r="E733" s="452"/>
      <c r="F733" s="452"/>
      <c r="G733" s="452"/>
      <c r="H733" s="452"/>
      <c r="I733" s="452"/>
    </row>
    <row r="734" spans="1:9" ht="12.75" x14ac:dyDescent="0.2">
      <c r="A734" s="455"/>
      <c r="B734" s="452"/>
      <c r="C734" s="452"/>
      <c r="D734" s="452"/>
      <c r="E734" s="452"/>
      <c r="F734" s="452"/>
      <c r="G734" s="452"/>
      <c r="H734" s="452"/>
      <c r="I734" s="452"/>
    </row>
    <row r="735" spans="1:9" ht="12.75" x14ac:dyDescent="0.2">
      <c r="A735" s="455"/>
      <c r="B735" s="452"/>
      <c r="C735" s="452"/>
      <c r="D735" s="452"/>
      <c r="E735" s="452"/>
      <c r="F735" s="452"/>
      <c r="G735" s="452"/>
      <c r="H735" s="452"/>
      <c r="I735" s="452"/>
    </row>
    <row r="736" spans="1:9" ht="12.75" x14ac:dyDescent="0.2">
      <c r="A736" s="455"/>
      <c r="B736" s="452"/>
      <c r="C736" s="452"/>
      <c r="D736" s="452"/>
      <c r="E736" s="452"/>
      <c r="F736" s="452"/>
      <c r="G736" s="452"/>
      <c r="H736" s="452"/>
      <c r="I736" s="452"/>
    </row>
    <row r="737" spans="1:9" ht="12.75" x14ac:dyDescent="0.2">
      <c r="A737" s="455"/>
      <c r="B737" s="452"/>
      <c r="C737" s="452"/>
      <c r="D737" s="452"/>
      <c r="E737" s="452"/>
      <c r="F737" s="452"/>
      <c r="G737" s="452"/>
      <c r="H737" s="452"/>
      <c r="I737" s="452"/>
    </row>
    <row r="738" spans="1:9" ht="12.75" x14ac:dyDescent="0.2">
      <c r="A738" s="455"/>
      <c r="B738" s="452"/>
      <c r="C738" s="452"/>
      <c r="D738" s="452"/>
      <c r="E738" s="452"/>
      <c r="F738" s="452"/>
      <c r="G738" s="452"/>
      <c r="H738" s="452"/>
      <c r="I738" s="452"/>
    </row>
    <row r="739" spans="1:9" ht="12.75" x14ac:dyDescent="0.2">
      <c r="A739" s="455"/>
      <c r="B739" s="452"/>
      <c r="C739" s="452"/>
      <c r="D739" s="452"/>
      <c r="E739" s="452"/>
      <c r="F739" s="452"/>
      <c r="G739" s="452"/>
      <c r="H739" s="452"/>
      <c r="I739" s="452"/>
    </row>
    <row r="740" spans="1:9" ht="12.75" x14ac:dyDescent="0.2">
      <c r="A740" s="455"/>
      <c r="B740" s="452"/>
      <c r="C740" s="452"/>
      <c r="D740" s="452"/>
      <c r="E740" s="452"/>
      <c r="F740" s="452"/>
      <c r="G740" s="452"/>
      <c r="H740" s="452"/>
      <c r="I740" s="452"/>
    </row>
    <row r="741" spans="1:9" ht="12.75" x14ac:dyDescent="0.2">
      <c r="A741" s="455"/>
      <c r="B741" s="452"/>
      <c r="C741" s="452"/>
      <c r="D741" s="452"/>
      <c r="E741" s="452"/>
      <c r="F741" s="452"/>
      <c r="G741" s="452"/>
      <c r="H741" s="452"/>
      <c r="I741" s="452"/>
    </row>
    <row r="742" spans="1:9" ht="12.75" x14ac:dyDescent="0.2">
      <c r="A742" s="455"/>
      <c r="B742" s="452"/>
      <c r="C742" s="452"/>
      <c r="D742" s="452"/>
      <c r="E742" s="452"/>
      <c r="F742" s="452"/>
      <c r="G742" s="452"/>
      <c r="H742" s="452"/>
      <c r="I742" s="452"/>
    </row>
    <row r="743" spans="1:9" ht="12.75" x14ac:dyDescent="0.2">
      <c r="A743" s="455"/>
      <c r="B743" s="452"/>
      <c r="C743" s="452"/>
      <c r="D743" s="452"/>
      <c r="E743" s="452"/>
      <c r="F743" s="452"/>
      <c r="G743" s="452"/>
      <c r="H743" s="452"/>
      <c r="I743" s="452"/>
    </row>
    <row r="744" spans="1:9" ht="12.75" x14ac:dyDescent="0.2">
      <c r="A744" s="455"/>
      <c r="B744" s="452"/>
      <c r="C744" s="452"/>
      <c r="D744" s="452"/>
      <c r="E744" s="452"/>
      <c r="F744" s="452"/>
      <c r="G744" s="452"/>
      <c r="H744" s="452"/>
      <c r="I744" s="452"/>
    </row>
    <row r="745" spans="1:9" ht="12.75" x14ac:dyDescent="0.2">
      <c r="A745" s="455"/>
      <c r="B745" s="452"/>
      <c r="C745" s="452"/>
      <c r="D745" s="452"/>
      <c r="E745" s="452"/>
      <c r="F745" s="452"/>
      <c r="G745" s="452"/>
      <c r="H745" s="452"/>
      <c r="I745" s="452"/>
    </row>
    <row r="746" spans="1:9" ht="12.75" x14ac:dyDescent="0.2">
      <c r="A746" s="455"/>
      <c r="B746" s="452"/>
      <c r="C746" s="452"/>
      <c r="D746" s="452"/>
      <c r="E746" s="452"/>
      <c r="F746" s="452"/>
      <c r="G746" s="452"/>
      <c r="H746" s="452"/>
      <c r="I746" s="452"/>
    </row>
    <row r="747" spans="1:9" ht="12.75" x14ac:dyDescent="0.2">
      <c r="A747" s="455"/>
      <c r="B747" s="452"/>
      <c r="C747" s="452"/>
      <c r="D747" s="452"/>
      <c r="E747" s="452"/>
      <c r="F747" s="452"/>
      <c r="G747" s="452"/>
      <c r="H747" s="452"/>
      <c r="I747" s="452"/>
    </row>
    <row r="748" spans="1:9" ht="12.75" x14ac:dyDescent="0.2">
      <c r="A748" s="455"/>
      <c r="B748" s="452"/>
      <c r="C748" s="452"/>
      <c r="D748" s="452"/>
      <c r="E748" s="452"/>
      <c r="F748" s="452"/>
      <c r="G748" s="452"/>
      <c r="H748" s="452"/>
      <c r="I748" s="452"/>
    </row>
    <row r="749" spans="1:9" ht="12.75" x14ac:dyDescent="0.2">
      <c r="A749" s="455"/>
      <c r="B749" s="452"/>
      <c r="C749" s="452"/>
      <c r="D749" s="452"/>
      <c r="E749" s="452"/>
      <c r="F749" s="452"/>
      <c r="G749" s="452"/>
      <c r="H749" s="452"/>
      <c r="I749" s="452"/>
    </row>
    <row r="750" spans="1:9" ht="12.75" x14ac:dyDescent="0.2">
      <c r="A750" s="455"/>
      <c r="B750" s="452"/>
      <c r="C750" s="452"/>
      <c r="D750" s="452"/>
      <c r="E750" s="452"/>
      <c r="F750" s="452"/>
      <c r="G750" s="452"/>
      <c r="H750" s="452"/>
      <c r="I750" s="452"/>
    </row>
    <row r="751" spans="1:9" ht="12.75" x14ac:dyDescent="0.2">
      <c r="A751" s="455"/>
      <c r="B751" s="452"/>
      <c r="C751" s="452"/>
      <c r="D751" s="452"/>
      <c r="E751" s="452"/>
      <c r="F751" s="452"/>
      <c r="G751" s="452"/>
      <c r="H751" s="452"/>
      <c r="I751" s="452"/>
    </row>
    <row r="752" spans="1:9" ht="12.75" x14ac:dyDescent="0.2">
      <c r="A752" s="455"/>
      <c r="B752" s="452"/>
      <c r="C752" s="452"/>
      <c r="D752" s="452"/>
      <c r="E752" s="452"/>
      <c r="F752" s="452"/>
      <c r="G752" s="452"/>
      <c r="H752" s="452"/>
      <c r="I752" s="452"/>
    </row>
    <row r="753" spans="1:9" ht="12.75" x14ac:dyDescent="0.2">
      <c r="A753" s="455"/>
      <c r="B753" s="452"/>
      <c r="C753" s="452"/>
      <c r="D753" s="452"/>
      <c r="E753" s="452"/>
      <c r="F753" s="452"/>
      <c r="G753" s="452"/>
      <c r="H753" s="452"/>
      <c r="I753" s="452"/>
    </row>
    <row r="754" spans="1:9" ht="12.75" x14ac:dyDescent="0.2">
      <c r="A754" s="455"/>
      <c r="B754" s="452"/>
      <c r="C754" s="452"/>
      <c r="D754" s="452"/>
      <c r="E754" s="452"/>
      <c r="F754" s="452"/>
      <c r="G754" s="452"/>
      <c r="H754" s="452"/>
      <c r="I754" s="452"/>
    </row>
    <row r="755" spans="1:9" ht="12.75" x14ac:dyDescent="0.2">
      <c r="A755" s="455"/>
      <c r="B755" s="452"/>
      <c r="C755" s="452"/>
      <c r="D755" s="452"/>
      <c r="E755" s="452"/>
      <c r="F755" s="452"/>
      <c r="G755" s="452"/>
      <c r="H755" s="452"/>
      <c r="I755" s="452"/>
    </row>
    <row r="756" spans="1:9" ht="12.75" x14ac:dyDescent="0.2">
      <c r="A756" s="455"/>
      <c r="B756" s="452"/>
      <c r="C756" s="452"/>
      <c r="D756" s="452"/>
      <c r="E756" s="452"/>
      <c r="F756" s="452"/>
      <c r="G756" s="452"/>
      <c r="H756" s="452"/>
      <c r="I756" s="452"/>
    </row>
    <row r="757" spans="1:9" ht="12.75" x14ac:dyDescent="0.2">
      <c r="A757" s="455"/>
      <c r="B757" s="452"/>
      <c r="C757" s="452"/>
      <c r="D757" s="452"/>
      <c r="E757" s="452"/>
      <c r="F757" s="452"/>
      <c r="G757" s="452"/>
      <c r="H757" s="452"/>
      <c r="I757" s="452"/>
    </row>
    <row r="758" spans="1:9" ht="12.75" x14ac:dyDescent="0.2">
      <c r="A758" s="455"/>
      <c r="B758" s="452"/>
      <c r="C758" s="452"/>
      <c r="D758" s="452"/>
      <c r="E758" s="452"/>
      <c r="F758" s="452"/>
      <c r="G758" s="452"/>
      <c r="H758" s="452"/>
      <c r="I758" s="452"/>
    </row>
    <row r="759" spans="1:9" ht="12.75" x14ac:dyDescent="0.2">
      <c r="A759" s="455"/>
      <c r="B759" s="452"/>
      <c r="C759" s="452"/>
      <c r="D759" s="452"/>
      <c r="E759" s="452"/>
      <c r="F759" s="452"/>
      <c r="G759" s="452"/>
      <c r="H759" s="452"/>
      <c r="I759" s="452"/>
    </row>
    <row r="760" spans="1:9" ht="12.75" x14ac:dyDescent="0.2">
      <c r="A760" s="455"/>
      <c r="B760" s="452"/>
      <c r="C760" s="452"/>
      <c r="D760" s="452"/>
      <c r="E760" s="452"/>
      <c r="F760" s="452"/>
      <c r="G760" s="452"/>
      <c r="H760" s="452"/>
      <c r="I760" s="452"/>
    </row>
    <row r="761" spans="1:9" ht="12.75" x14ac:dyDescent="0.2">
      <c r="A761" s="455"/>
      <c r="B761" s="452"/>
      <c r="C761" s="452"/>
      <c r="D761" s="452"/>
      <c r="E761" s="452"/>
      <c r="F761" s="452"/>
      <c r="G761" s="452"/>
      <c r="H761" s="452"/>
      <c r="I761" s="452"/>
    </row>
    <row r="762" spans="1:9" ht="12.75" x14ac:dyDescent="0.2">
      <c r="A762" s="455"/>
      <c r="B762" s="452"/>
      <c r="C762" s="452"/>
      <c r="D762" s="452"/>
      <c r="E762" s="452"/>
      <c r="F762" s="452"/>
      <c r="G762" s="452"/>
      <c r="H762" s="452"/>
      <c r="I762" s="452"/>
    </row>
    <row r="763" spans="1:9" ht="12.75" x14ac:dyDescent="0.2">
      <c r="A763" s="455"/>
      <c r="B763" s="452"/>
      <c r="C763" s="452"/>
      <c r="D763" s="452"/>
      <c r="E763" s="452"/>
      <c r="F763" s="452"/>
      <c r="G763" s="452"/>
      <c r="H763" s="452"/>
      <c r="I763" s="452"/>
    </row>
    <row r="764" spans="1:9" ht="12.75" x14ac:dyDescent="0.2">
      <c r="A764" s="455"/>
      <c r="B764" s="452"/>
      <c r="C764" s="452"/>
      <c r="D764" s="452"/>
      <c r="E764" s="452"/>
      <c r="F764" s="452"/>
      <c r="G764" s="452"/>
      <c r="H764" s="452"/>
      <c r="I764" s="452"/>
    </row>
    <row r="765" spans="1:9" ht="12.75" x14ac:dyDescent="0.2">
      <c r="A765" s="455"/>
      <c r="B765" s="452"/>
      <c r="C765" s="452"/>
      <c r="D765" s="452"/>
      <c r="E765" s="452"/>
      <c r="F765" s="452"/>
      <c r="G765" s="452"/>
      <c r="H765" s="452"/>
      <c r="I765" s="452"/>
    </row>
    <row r="766" spans="1:9" ht="12.75" x14ac:dyDescent="0.2">
      <c r="A766" s="455"/>
      <c r="B766" s="452"/>
      <c r="C766" s="452"/>
      <c r="D766" s="452"/>
      <c r="E766" s="452"/>
      <c r="F766" s="452"/>
      <c r="G766" s="452"/>
      <c r="H766" s="452"/>
      <c r="I766" s="452"/>
    </row>
    <row r="767" spans="1:9" ht="12.75" x14ac:dyDescent="0.2">
      <c r="A767" s="455"/>
      <c r="B767" s="452"/>
      <c r="C767" s="452"/>
      <c r="D767" s="452"/>
      <c r="E767" s="452"/>
      <c r="F767" s="452"/>
      <c r="G767" s="452"/>
      <c r="H767" s="452"/>
      <c r="I767" s="452"/>
    </row>
    <row r="768" spans="1:9" ht="12.75" x14ac:dyDescent="0.2">
      <c r="A768" s="455"/>
      <c r="B768" s="452"/>
      <c r="C768" s="452"/>
      <c r="D768" s="452"/>
      <c r="E768" s="452"/>
      <c r="F768" s="452"/>
      <c r="G768" s="452"/>
      <c r="H768" s="452"/>
      <c r="I768" s="452"/>
    </row>
    <row r="769" spans="1:9" ht="12.75" x14ac:dyDescent="0.2">
      <c r="A769" s="455"/>
      <c r="B769" s="452"/>
      <c r="C769" s="452"/>
      <c r="D769" s="452"/>
      <c r="E769" s="452"/>
      <c r="F769" s="452"/>
      <c r="G769" s="452"/>
      <c r="H769" s="452"/>
      <c r="I769" s="452"/>
    </row>
    <row r="770" spans="1:9" ht="12.75" x14ac:dyDescent="0.2">
      <c r="A770" s="455"/>
      <c r="B770" s="452"/>
      <c r="C770" s="452"/>
      <c r="D770" s="452"/>
      <c r="E770" s="452"/>
      <c r="F770" s="452"/>
      <c r="G770" s="452"/>
      <c r="H770" s="452"/>
      <c r="I770" s="452"/>
    </row>
    <row r="771" spans="1:9" ht="12.75" x14ac:dyDescent="0.2">
      <c r="A771" s="455"/>
      <c r="B771" s="452"/>
      <c r="C771" s="452"/>
      <c r="D771" s="452"/>
      <c r="E771" s="452"/>
      <c r="F771" s="452"/>
      <c r="G771" s="452"/>
      <c r="H771" s="452"/>
      <c r="I771" s="452"/>
    </row>
    <row r="772" spans="1:9" ht="12.75" x14ac:dyDescent="0.2">
      <c r="A772" s="455"/>
      <c r="B772" s="452"/>
      <c r="C772" s="452"/>
      <c r="D772" s="452"/>
      <c r="E772" s="452"/>
      <c r="F772" s="452"/>
      <c r="G772" s="452"/>
      <c r="H772" s="452"/>
      <c r="I772" s="452"/>
    </row>
    <row r="773" spans="1:9" ht="12.75" x14ac:dyDescent="0.2">
      <c r="A773" s="455"/>
      <c r="B773" s="452"/>
      <c r="C773" s="452"/>
      <c r="D773" s="452"/>
      <c r="E773" s="452"/>
      <c r="F773" s="452"/>
      <c r="G773" s="452"/>
      <c r="H773" s="452"/>
      <c r="I773" s="452"/>
    </row>
    <row r="774" spans="1:9" ht="12.75" x14ac:dyDescent="0.2">
      <c r="A774" s="455"/>
      <c r="B774" s="452"/>
      <c r="C774" s="452"/>
      <c r="D774" s="452"/>
      <c r="E774" s="452"/>
      <c r="F774" s="452"/>
      <c r="G774" s="452"/>
      <c r="H774" s="452"/>
      <c r="I774" s="452"/>
    </row>
    <row r="775" spans="1:9" ht="12.75" x14ac:dyDescent="0.2">
      <c r="A775" s="455"/>
      <c r="B775" s="452"/>
      <c r="C775" s="452"/>
      <c r="D775" s="452"/>
      <c r="E775" s="452"/>
      <c r="F775" s="452"/>
      <c r="G775" s="452"/>
      <c r="H775" s="452"/>
      <c r="I775" s="452"/>
    </row>
    <row r="776" spans="1:9" ht="12.75" x14ac:dyDescent="0.2">
      <c r="A776" s="455"/>
      <c r="B776" s="452"/>
      <c r="C776" s="452"/>
      <c r="D776" s="452"/>
      <c r="E776" s="452"/>
      <c r="F776" s="452"/>
      <c r="G776" s="452"/>
      <c r="H776" s="452"/>
      <c r="I776" s="452"/>
    </row>
    <row r="777" spans="1:9" ht="12.75" x14ac:dyDescent="0.2">
      <c r="A777" s="455"/>
      <c r="B777" s="452"/>
      <c r="C777" s="452"/>
      <c r="D777" s="452"/>
      <c r="E777" s="452"/>
      <c r="F777" s="452"/>
      <c r="G777" s="452"/>
      <c r="H777" s="452"/>
      <c r="I777" s="452"/>
    </row>
    <row r="778" spans="1:9" ht="12.75" x14ac:dyDescent="0.2">
      <c r="A778" s="455"/>
      <c r="B778" s="452"/>
      <c r="C778" s="452"/>
      <c r="D778" s="452"/>
      <c r="E778" s="452"/>
      <c r="F778" s="452"/>
      <c r="G778" s="452"/>
      <c r="H778" s="452"/>
      <c r="I778" s="452"/>
    </row>
    <row r="779" spans="1:9" ht="12.75" x14ac:dyDescent="0.2">
      <c r="A779" s="455"/>
      <c r="B779" s="452"/>
      <c r="C779" s="452"/>
      <c r="D779" s="452"/>
      <c r="E779" s="452"/>
      <c r="F779" s="452"/>
      <c r="G779" s="452"/>
      <c r="H779" s="452"/>
      <c r="I779" s="452"/>
    </row>
    <row r="780" spans="1:9" ht="12.75" x14ac:dyDescent="0.2">
      <c r="A780" s="455"/>
      <c r="B780" s="452"/>
      <c r="C780" s="452"/>
      <c r="D780" s="452"/>
      <c r="E780" s="452"/>
      <c r="F780" s="452"/>
      <c r="G780" s="452"/>
      <c r="H780" s="452"/>
      <c r="I780" s="452"/>
    </row>
    <row r="781" spans="1:9" ht="12.75" x14ac:dyDescent="0.2">
      <c r="A781" s="455"/>
      <c r="B781" s="452"/>
      <c r="C781" s="452"/>
      <c r="D781" s="452"/>
      <c r="E781" s="452"/>
      <c r="F781" s="452"/>
      <c r="G781" s="452"/>
      <c r="H781" s="452"/>
      <c r="I781" s="452"/>
    </row>
    <row r="782" spans="1:9" ht="12.75" x14ac:dyDescent="0.2">
      <c r="A782" s="455"/>
      <c r="B782" s="452"/>
      <c r="C782" s="452"/>
      <c r="D782" s="452"/>
      <c r="E782" s="452"/>
      <c r="F782" s="452"/>
      <c r="G782" s="452"/>
      <c r="H782" s="452"/>
      <c r="I782" s="452"/>
    </row>
    <row r="783" spans="1:9" ht="12.75" x14ac:dyDescent="0.2">
      <c r="A783" s="455"/>
      <c r="B783" s="452"/>
      <c r="C783" s="452"/>
      <c r="D783" s="452"/>
      <c r="E783" s="452"/>
      <c r="F783" s="452"/>
      <c r="G783" s="452"/>
      <c r="H783" s="452"/>
      <c r="I783" s="452"/>
    </row>
    <row r="784" spans="1:9" ht="12.75" x14ac:dyDescent="0.2">
      <c r="A784" s="455"/>
      <c r="B784" s="452"/>
      <c r="C784" s="452"/>
      <c r="D784" s="452"/>
      <c r="E784" s="452"/>
      <c r="F784" s="452"/>
      <c r="G784" s="452"/>
      <c r="H784" s="452"/>
      <c r="I784" s="452"/>
    </row>
    <row r="785" spans="1:9" ht="12.75" x14ac:dyDescent="0.2">
      <c r="A785" s="455"/>
      <c r="B785" s="452"/>
      <c r="C785" s="452"/>
      <c r="D785" s="452"/>
      <c r="E785" s="452"/>
      <c r="F785" s="452"/>
      <c r="G785" s="452"/>
      <c r="H785" s="452"/>
      <c r="I785" s="452"/>
    </row>
    <row r="786" spans="1:9" ht="12.75" x14ac:dyDescent="0.2">
      <c r="A786" s="455"/>
      <c r="B786" s="452"/>
      <c r="C786" s="452"/>
      <c r="D786" s="452"/>
      <c r="E786" s="452"/>
      <c r="F786" s="452"/>
      <c r="G786" s="452"/>
      <c r="H786" s="452"/>
      <c r="I786" s="452"/>
    </row>
    <row r="787" spans="1:9" ht="12.75" x14ac:dyDescent="0.2">
      <c r="A787" s="455"/>
      <c r="B787" s="452"/>
      <c r="C787" s="452"/>
      <c r="D787" s="452"/>
      <c r="E787" s="452"/>
      <c r="F787" s="452"/>
      <c r="G787" s="452"/>
      <c r="H787" s="452"/>
      <c r="I787" s="452"/>
    </row>
    <row r="788" spans="1:9" ht="12.75" x14ac:dyDescent="0.2">
      <c r="A788" s="455"/>
      <c r="B788" s="452"/>
      <c r="C788" s="452"/>
      <c r="D788" s="452"/>
      <c r="E788" s="452"/>
      <c r="F788" s="452"/>
      <c r="G788" s="452"/>
      <c r="H788" s="452"/>
      <c r="I788" s="452"/>
    </row>
    <row r="789" spans="1:9" ht="12.75" x14ac:dyDescent="0.2">
      <c r="A789" s="455"/>
      <c r="B789" s="452"/>
      <c r="C789" s="452"/>
      <c r="D789" s="452"/>
      <c r="E789" s="452"/>
      <c r="F789" s="452"/>
      <c r="G789" s="452"/>
      <c r="H789" s="452"/>
      <c r="I789" s="452"/>
    </row>
    <row r="790" spans="1:9" ht="12.75" x14ac:dyDescent="0.2">
      <c r="A790" s="455"/>
      <c r="B790" s="452"/>
      <c r="C790" s="452"/>
      <c r="D790" s="452"/>
      <c r="E790" s="452"/>
      <c r="F790" s="452"/>
      <c r="G790" s="452"/>
      <c r="H790" s="452"/>
      <c r="I790" s="452"/>
    </row>
    <row r="791" spans="1:9" ht="12.75" x14ac:dyDescent="0.2">
      <c r="A791" s="455"/>
      <c r="B791" s="452"/>
      <c r="C791" s="452"/>
      <c r="D791" s="452"/>
      <c r="E791" s="452"/>
      <c r="F791" s="452"/>
      <c r="G791" s="452"/>
      <c r="H791" s="452"/>
      <c r="I791" s="452"/>
    </row>
    <row r="792" spans="1:9" ht="12.75" x14ac:dyDescent="0.2">
      <c r="A792" s="455"/>
      <c r="B792" s="452"/>
      <c r="C792" s="452"/>
      <c r="D792" s="452"/>
      <c r="E792" s="452"/>
      <c r="F792" s="452"/>
      <c r="G792" s="452"/>
      <c r="H792" s="452"/>
      <c r="I792" s="452"/>
    </row>
    <row r="793" spans="1:9" ht="12.75" x14ac:dyDescent="0.2">
      <c r="A793" s="455"/>
      <c r="B793" s="452"/>
      <c r="C793" s="452"/>
      <c r="D793" s="452"/>
      <c r="E793" s="452"/>
      <c r="F793" s="452"/>
      <c r="G793" s="452"/>
      <c r="H793" s="452"/>
      <c r="I793" s="452"/>
    </row>
    <row r="794" spans="1:9" ht="12.75" x14ac:dyDescent="0.2">
      <c r="A794" s="455"/>
      <c r="B794" s="452"/>
      <c r="C794" s="452"/>
      <c r="D794" s="452"/>
      <c r="E794" s="452"/>
      <c r="F794" s="452"/>
      <c r="G794" s="452"/>
      <c r="H794" s="452"/>
      <c r="I794" s="452"/>
    </row>
    <row r="795" spans="1:9" ht="12.75" x14ac:dyDescent="0.2">
      <c r="A795" s="455"/>
      <c r="B795" s="452"/>
      <c r="C795" s="452"/>
      <c r="D795" s="452"/>
      <c r="E795" s="452"/>
      <c r="F795" s="452"/>
      <c r="G795" s="452"/>
      <c r="H795" s="452"/>
      <c r="I795" s="452"/>
    </row>
    <row r="796" spans="1:9" ht="12.75" x14ac:dyDescent="0.2">
      <c r="A796" s="455"/>
      <c r="B796" s="452"/>
      <c r="C796" s="452"/>
      <c r="D796" s="452"/>
      <c r="E796" s="452"/>
      <c r="F796" s="452"/>
      <c r="G796" s="452"/>
      <c r="H796" s="452"/>
      <c r="I796" s="452"/>
    </row>
    <row r="797" spans="1:9" ht="12.75" x14ac:dyDescent="0.2">
      <c r="A797" s="455"/>
      <c r="B797" s="452"/>
      <c r="C797" s="452"/>
      <c r="D797" s="452"/>
      <c r="E797" s="452"/>
      <c r="F797" s="452"/>
      <c r="G797" s="452"/>
      <c r="H797" s="452"/>
      <c r="I797" s="452"/>
    </row>
    <row r="798" spans="1:9" ht="12.75" x14ac:dyDescent="0.2">
      <c r="A798" s="455"/>
      <c r="B798" s="452"/>
      <c r="C798" s="452"/>
      <c r="D798" s="452"/>
      <c r="E798" s="452"/>
      <c r="F798" s="452"/>
      <c r="G798" s="452"/>
      <c r="H798" s="452"/>
      <c r="I798" s="452"/>
    </row>
    <row r="799" spans="1:9" ht="12.75" x14ac:dyDescent="0.2">
      <c r="A799" s="455"/>
      <c r="B799" s="452"/>
      <c r="C799" s="452"/>
      <c r="D799" s="452"/>
      <c r="E799" s="452"/>
      <c r="F799" s="452"/>
      <c r="G799" s="452"/>
      <c r="H799" s="452"/>
      <c r="I799" s="452"/>
    </row>
    <row r="800" spans="1:9" ht="12.75" x14ac:dyDescent="0.2">
      <c r="A800" s="455"/>
      <c r="B800" s="452"/>
      <c r="C800" s="452"/>
      <c r="D800" s="452"/>
      <c r="E800" s="452"/>
      <c r="F800" s="452"/>
      <c r="G800" s="452"/>
      <c r="H800" s="452"/>
      <c r="I800" s="452"/>
    </row>
    <row r="801" spans="1:9" ht="12.75" x14ac:dyDescent="0.2">
      <c r="A801" s="455"/>
      <c r="B801" s="452"/>
      <c r="C801" s="452"/>
      <c r="D801" s="452"/>
      <c r="E801" s="452"/>
      <c r="F801" s="452"/>
      <c r="G801" s="452"/>
      <c r="H801" s="452"/>
      <c r="I801" s="452"/>
    </row>
    <row r="802" spans="1:9" ht="12.75" x14ac:dyDescent="0.2">
      <c r="A802" s="455"/>
      <c r="B802" s="452"/>
      <c r="C802" s="452"/>
      <c r="D802" s="452"/>
      <c r="E802" s="452"/>
      <c r="F802" s="452"/>
      <c r="G802" s="452"/>
      <c r="H802" s="452"/>
      <c r="I802" s="452"/>
    </row>
    <row r="803" spans="1:9" ht="12.75" x14ac:dyDescent="0.2">
      <c r="A803" s="455"/>
      <c r="B803" s="452"/>
      <c r="C803" s="452"/>
      <c r="D803" s="452"/>
      <c r="E803" s="452"/>
      <c r="F803" s="452"/>
      <c r="G803" s="452"/>
      <c r="H803" s="452"/>
      <c r="I803" s="452"/>
    </row>
    <row r="804" spans="1:9" ht="12.75" x14ac:dyDescent="0.2">
      <c r="A804" s="455"/>
      <c r="B804" s="452"/>
      <c r="C804" s="452"/>
      <c r="D804" s="452"/>
      <c r="E804" s="452"/>
      <c r="F804" s="452"/>
      <c r="G804" s="452"/>
      <c r="H804" s="452"/>
      <c r="I804" s="452"/>
    </row>
    <row r="805" spans="1:9" ht="12.75" x14ac:dyDescent="0.2">
      <c r="A805" s="455"/>
      <c r="B805" s="452"/>
      <c r="C805" s="452"/>
      <c r="D805" s="452"/>
      <c r="E805" s="452"/>
      <c r="F805" s="452"/>
      <c r="G805" s="452"/>
      <c r="H805" s="452"/>
      <c r="I805" s="452"/>
    </row>
    <row r="806" spans="1:9" ht="12.75" x14ac:dyDescent="0.2">
      <c r="A806" s="455"/>
      <c r="B806" s="452"/>
      <c r="C806" s="452"/>
      <c r="D806" s="452"/>
      <c r="E806" s="452"/>
      <c r="F806" s="452"/>
      <c r="G806" s="452"/>
      <c r="H806" s="452"/>
      <c r="I806" s="452"/>
    </row>
    <row r="807" spans="1:9" ht="12.75" x14ac:dyDescent="0.2">
      <c r="A807" s="455"/>
      <c r="B807" s="452"/>
      <c r="C807" s="452"/>
      <c r="D807" s="452"/>
      <c r="E807" s="452"/>
      <c r="F807" s="452"/>
      <c r="G807" s="452"/>
      <c r="H807" s="452"/>
      <c r="I807" s="452"/>
    </row>
    <row r="808" spans="1:9" ht="12.75" x14ac:dyDescent="0.2">
      <c r="A808" s="455"/>
      <c r="B808" s="452"/>
      <c r="C808" s="452"/>
      <c r="D808" s="452"/>
      <c r="E808" s="452"/>
      <c r="F808" s="452"/>
      <c r="G808" s="452"/>
      <c r="H808" s="452"/>
      <c r="I808" s="452"/>
    </row>
    <row r="809" spans="1:9" ht="12.75" x14ac:dyDescent="0.2">
      <c r="A809" s="455"/>
      <c r="B809" s="452"/>
      <c r="C809" s="452"/>
      <c r="D809" s="452"/>
      <c r="E809" s="452"/>
      <c r="F809" s="452"/>
      <c r="G809" s="452"/>
      <c r="H809" s="452"/>
      <c r="I809" s="452"/>
    </row>
    <row r="810" spans="1:9" ht="12.75" x14ac:dyDescent="0.2">
      <c r="A810" s="455"/>
      <c r="B810" s="452"/>
      <c r="C810" s="452"/>
      <c r="D810" s="452"/>
      <c r="E810" s="452"/>
      <c r="F810" s="452"/>
      <c r="G810" s="452"/>
      <c r="H810" s="452"/>
      <c r="I810" s="452"/>
    </row>
    <row r="811" spans="1:9" ht="12.75" x14ac:dyDescent="0.2">
      <c r="A811" s="455"/>
      <c r="B811" s="452"/>
      <c r="C811" s="452"/>
      <c r="D811" s="452"/>
      <c r="E811" s="452"/>
      <c r="F811" s="452"/>
      <c r="G811" s="452"/>
      <c r="H811" s="452"/>
      <c r="I811" s="452"/>
    </row>
    <row r="812" spans="1:9" ht="12.75" x14ac:dyDescent="0.2">
      <c r="A812" s="455"/>
      <c r="B812" s="452"/>
      <c r="C812" s="452"/>
      <c r="D812" s="452"/>
      <c r="E812" s="452"/>
      <c r="F812" s="452"/>
      <c r="G812" s="452"/>
      <c r="H812" s="452"/>
      <c r="I812" s="452"/>
    </row>
    <row r="813" spans="1:9" ht="12.75" x14ac:dyDescent="0.2">
      <c r="A813" s="455"/>
      <c r="B813" s="452"/>
      <c r="C813" s="452"/>
      <c r="D813" s="452"/>
      <c r="E813" s="452"/>
      <c r="F813" s="452"/>
      <c r="G813" s="452"/>
      <c r="H813" s="452"/>
      <c r="I813" s="452"/>
    </row>
    <row r="814" spans="1:9" ht="12.75" x14ac:dyDescent="0.2">
      <c r="A814" s="455"/>
      <c r="B814" s="452"/>
      <c r="C814" s="452"/>
      <c r="D814" s="452"/>
      <c r="E814" s="452"/>
      <c r="F814" s="452"/>
      <c r="G814" s="452"/>
      <c r="H814" s="452"/>
      <c r="I814" s="452"/>
    </row>
    <row r="815" spans="1:9" ht="12.75" x14ac:dyDescent="0.2">
      <c r="A815" s="455"/>
      <c r="B815" s="452"/>
      <c r="C815" s="452"/>
      <c r="D815" s="452"/>
      <c r="E815" s="452"/>
      <c r="F815" s="452"/>
      <c r="G815" s="452"/>
      <c r="H815" s="452"/>
      <c r="I815" s="452"/>
    </row>
    <row r="816" spans="1:9" ht="12.75" x14ac:dyDescent="0.2">
      <c r="A816" s="455"/>
      <c r="B816" s="452"/>
      <c r="C816" s="452"/>
      <c r="D816" s="452"/>
      <c r="E816" s="452"/>
      <c r="F816" s="452"/>
      <c r="G816" s="452"/>
      <c r="H816" s="452"/>
      <c r="I816" s="452"/>
    </row>
    <row r="817" spans="1:9" ht="12.75" x14ac:dyDescent="0.2">
      <c r="A817" s="455"/>
      <c r="B817" s="452"/>
      <c r="C817" s="452"/>
      <c r="D817" s="452"/>
      <c r="E817" s="452"/>
      <c r="F817" s="452"/>
      <c r="G817" s="452"/>
      <c r="H817" s="452"/>
      <c r="I817" s="452"/>
    </row>
    <row r="818" spans="1:9" ht="12.75" x14ac:dyDescent="0.2">
      <c r="A818" s="455"/>
      <c r="B818" s="452"/>
      <c r="C818" s="452"/>
      <c r="D818" s="452"/>
      <c r="E818" s="452"/>
      <c r="F818" s="452"/>
      <c r="G818" s="452"/>
      <c r="H818" s="452"/>
      <c r="I818" s="452"/>
    </row>
    <row r="819" spans="1:9" ht="12.75" x14ac:dyDescent="0.2">
      <c r="A819" s="455"/>
      <c r="B819" s="452"/>
      <c r="C819" s="452"/>
      <c r="D819" s="452"/>
      <c r="E819" s="452"/>
      <c r="F819" s="452"/>
      <c r="G819" s="452"/>
      <c r="H819" s="452"/>
      <c r="I819" s="452"/>
    </row>
    <row r="820" spans="1:9" ht="12.75" x14ac:dyDescent="0.2">
      <c r="A820" s="455"/>
      <c r="B820" s="452"/>
      <c r="C820" s="452"/>
      <c r="D820" s="452"/>
      <c r="E820" s="452"/>
      <c r="F820" s="452"/>
      <c r="G820" s="452"/>
      <c r="H820" s="452"/>
      <c r="I820" s="452"/>
    </row>
    <row r="821" spans="1:9" ht="12.75" x14ac:dyDescent="0.2">
      <c r="A821" s="455"/>
      <c r="B821" s="452"/>
      <c r="C821" s="452"/>
      <c r="D821" s="452"/>
      <c r="E821" s="452"/>
      <c r="F821" s="452"/>
      <c r="G821" s="452"/>
      <c r="H821" s="452"/>
      <c r="I821" s="452"/>
    </row>
    <row r="822" spans="1:9" ht="12.75" x14ac:dyDescent="0.2">
      <c r="A822" s="455"/>
      <c r="B822" s="452"/>
      <c r="C822" s="452"/>
      <c r="D822" s="452"/>
      <c r="E822" s="452"/>
      <c r="F822" s="452"/>
      <c r="G822" s="452"/>
      <c r="H822" s="452"/>
      <c r="I822" s="452"/>
    </row>
    <row r="823" spans="1:9" ht="12.75" x14ac:dyDescent="0.2">
      <c r="A823" s="455"/>
      <c r="B823" s="452"/>
      <c r="C823" s="452"/>
      <c r="D823" s="452"/>
      <c r="E823" s="452"/>
      <c r="F823" s="452"/>
      <c r="G823" s="452"/>
      <c r="H823" s="452"/>
      <c r="I823" s="452"/>
    </row>
    <row r="824" spans="1:9" ht="12.75" x14ac:dyDescent="0.2">
      <c r="A824" s="455"/>
      <c r="B824" s="452"/>
      <c r="C824" s="452"/>
      <c r="D824" s="452"/>
      <c r="E824" s="452"/>
      <c r="F824" s="452"/>
      <c r="G824" s="452"/>
      <c r="H824" s="452"/>
      <c r="I824" s="452"/>
    </row>
    <row r="825" spans="1:9" ht="12.75" x14ac:dyDescent="0.2">
      <c r="A825" s="455"/>
      <c r="B825" s="452"/>
      <c r="C825" s="452"/>
      <c r="D825" s="452"/>
      <c r="E825" s="452"/>
      <c r="F825" s="452"/>
      <c r="G825" s="452"/>
      <c r="H825" s="452"/>
      <c r="I825" s="452"/>
    </row>
    <row r="826" spans="1:9" ht="12.75" x14ac:dyDescent="0.2">
      <c r="A826" s="455"/>
      <c r="B826" s="452"/>
      <c r="C826" s="452"/>
      <c r="D826" s="452"/>
      <c r="E826" s="452"/>
      <c r="F826" s="452"/>
      <c r="G826" s="452"/>
      <c r="H826" s="452"/>
      <c r="I826" s="452"/>
    </row>
    <row r="827" spans="1:9" ht="12.75" x14ac:dyDescent="0.2">
      <c r="A827" s="455"/>
      <c r="B827" s="452"/>
      <c r="C827" s="452"/>
      <c r="D827" s="452"/>
      <c r="E827" s="452"/>
      <c r="F827" s="452"/>
      <c r="G827" s="452"/>
      <c r="H827" s="452"/>
      <c r="I827" s="452"/>
    </row>
    <row r="828" spans="1:9" ht="12.75" x14ac:dyDescent="0.2">
      <c r="A828" s="455"/>
      <c r="B828" s="452"/>
      <c r="C828" s="452"/>
      <c r="D828" s="452"/>
      <c r="E828" s="452"/>
      <c r="F828" s="452"/>
      <c r="G828" s="452"/>
      <c r="H828" s="452"/>
      <c r="I828" s="452"/>
    </row>
    <row r="829" spans="1:9" ht="12.75" x14ac:dyDescent="0.2">
      <c r="A829" s="455"/>
      <c r="B829" s="452"/>
      <c r="C829" s="452"/>
      <c r="D829" s="452"/>
      <c r="E829" s="452"/>
      <c r="F829" s="452"/>
      <c r="G829" s="452"/>
      <c r="H829" s="452"/>
      <c r="I829" s="452"/>
    </row>
    <row r="830" spans="1:9" ht="12.75" x14ac:dyDescent="0.2">
      <c r="A830" s="455"/>
      <c r="B830" s="452"/>
      <c r="C830" s="452"/>
      <c r="D830" s="452"/>
      <c r="E830" s="452"/>
      <c r="F830" s="452"/>
      <c r="G830" s="452"/>
      <c r="H830" s="452"/>
      <c r="I830" s="452"/>
    </row>
    <row r="831" spans="1:9" ht="12.75" x14ac:dyDescent="0.2">
      <c r="A831" s="455"/>
      <c r="B831" s="452"/>
      <c r="C831" s="452"/>
      <c r="D831" s="452"/>
      <c r="E831" s="452"/>
      <c r="F831" s="452"/>
      <c r="G831" s="452"/>
      <c r="H831" s="452"/>
      <c r="I831" s="452"/>
    </row>
    <row r="832" spans="1:9" ht="12.75" x14ac:dyDescent="0.2">
      <c r="A832" s="455"/>
      <c r="B832" s="452"/>
      <c r="C832" s="452"/>
      <c r="D832" s="452"/>
      <c r="E832" s="452"/>
      <c r="F832" s="452"/>
      <c r="G832" s="452"/>
      <c r="H832" s="452"/>
      <c r="I832" s="452"/>
    </row>
    <row r="833" spans="1:9" ht="12.75" x14ac:dyDescent="0.2">
      <c r="A833" s="455"/>
      <c r="B833" s="452"/>
      <c r="C833" s="452"/>
      <c r="D833" s="452"/>
      <c r="E833" s="452"/>
      <c r="F833" s="452"/>
      <c r="G833" s="452"/>
      <c r="H833" s="452"/>
      <c r="I833" s="452"/>
    </row>
    <row r="834" spans="1:9" ht="12.75" x14ac:dyDescent="0.2">
      <c r="A834" s="455"/>
      <c r="B834" s="452"/>
      <c r="C834" s="452"/>
      <c r="D834" s="452"/>
      <c r="E834" s="452"/>
      <c r="F834" s="452"/>
      <c r="G834" s="452"/>
      <c r="H834" s="452"/>
      <c r="I834" s="452"/>
    </row>
    <row r="835" spans="1:9" ht="12.75" x14ac:dyDescent="0.2">
      <c r="A835" s="455"/>
      <c r="B835" s="452"/>
      <c r="C835" s="452"/>
      <c r="D835" s="452"/>
      <c r="E835" s="452"/>
      <c r="F835" s="452"/>
      <c r="G835" s="452"/>
      <c r="H835" s="452"/>
      <c r="I835" s="452"/>
    </row>
    <row r="836" spans="1:9" ht="12.75" x14ac:dyDescent="0.2">
      <c r="A836" s="455"/>
      <c r="B836" s="452"/>
      <c r="C836" s="452"/>
      <c r="D836" s="452"/>
      <c r="E836" s="452"/>
      <c r="F836" s="452"/>
      <c r="G836" s="452"/>
      <c r="H836" s="452"/>
      <c r="I836" s="452"/>
    </row>
    <row r="837" spans="1:9" ht="12.75" x14ac:dyDescent="0.2">
      <c r="A837" s="455"/>
      <c r="B837" s="452"/>
      <c r="C837" s="452"/>
      <c r="D837" s="452"/>
      <c r="E837" s="452"/>
      <c r="F837" s="452"/>
      <c r="G837" s="452"/>
      <c r="H837" s="452"/>
      <c r="I837" s="452"/>
    </row>
    <row r="838" spans="1:9" ht="12.75" x14ac:dyDescent="0.2">
      <c r="A838" s="455"/>
      <c r="B838" s="452"/>
      <c r="C838" s="452"/>
      <c r="D838" s="452"/>
      <c r="E838" s="452"/>
      <c r="F838" s="452"/>
      <c r="G838" s="452"/>
      <c r="H838" s="452"/>
      <c r="I838" s="452"/>
    </row>
    <row r="839" spans="1:9" ht="12.75" x14ac:dyDescent="0.2">
      <c r="A839" s="455"/>
      <c r="B839" s="452"/>
      <c r="C839" s="452"/>
      <c r="D839" s="452"/>
      <c r="E839" s="452"/>
      <c r="F839" s="452"/>
      <c r="G839" s="452"/>
      <c r="H839" s="452"/>
      <c r="I839" s="452"/>
    </row>
    <row r="840" spans="1:9" ht="12.75" x14ac:dyDescent="0.2">
      <c r="A840" s="455"/>
      <c r="B840" s="452"/>
      <c r="C840" s="452"/>
      <c r="D840" s="452"/>
      <c r="E840" s="452"/>
      <c r="F840" s="452"/>
      <c r="G840" s="452"/>
      <c r="H840" s="452"/>
      <c r="I840" s="452"/>
    </row>
    <row r="841" spans="1:9" ht="12.75" x14ac:dyDescent="0.2">
      <c r="A841" s="455"/>
      <c r="B841" s="452"/>
      <c r="C841" s="452"/>
      <c r="D841" s="452"/>
      <c r="E841" s="452"/>
      <c r="F841" s="452"/>
      <c r="G841" s="452"/>
      <c r="H841" s="452"/>
      <c r="I841" s="452"/>
    </row>
    <row r="842" spans="1:9" ht="12.75" x14ac:dyDescent="0.2">
      <c r="A842" s="455"/>
      <c r="B842" s="452"/>
      <c r="C842" s="452"/>
      <c r="D842" s="452"/>
      <c r="E842" s="452"/>
      <c r="F842" s="452"/>
      <c r="G842" s="452"/>
      <c r="H842" s="452"/>
      <c r="I842" s="452"/>
    </row>
    <row r="843" spans="1:9" ht="12.75" x14ac:dyDescent="0.2">
      <c r="A843" s="455"/>
      <c r="B843" s="452"/>
      <c r="C843" s="452"/>
      <c r="D843" s="452"/>
      <c r="E843" s="452"/>
      <c r="F843" s="452"/>
      <c r="G843" s="452"/>
      <c r="H843" s="452"/>
      <c r="I843" s="452"/>
    </row>
    <row r="844" spans="1:9" ht="12.75" x14ac:dyDescent="0.2">
      <c r="A844" s="455"/>
      <c r="B844" s="452"/>
      <c r="C844" s="452"/>
      <c r="D844" s="452"/>
      <c r="E844" s="452"/>
      <c r="F844" s="452"/>
      <c r="G844" s="452"/>
      <c r="H844" s="452"/>
      <c r="I844" s="452"/>
    </row>
    <row r="845" spans="1:9" ht="12.75" x14ac:dyDescent="0.2">
      <c r="A845" s="455"/>
      <c r="B845" s="452"/>
      <c r="C845" s="452"/>
      <c r="D845" s="452"/>
      <c r="E845" s="452"/>
      <c r="F845" s="452"/>
      <c r="G845" s="452"/>
      <c r="H845" s="452"/>
      <c r="I845" s="452"/>
    </row>
    <row r="846" spans="1:9" ht="12.75" x14ac:dyDescent="0.2">
      <c r="A846" s="455"/>
      <c r="B846" s="452"/>
      <c r="C846" s="452"/>
      <c r="D846" s="452"/>
      <c r="E846" s="452"/>
      <c r="F846" s="452"/>
      <c r="G846" s="452"/>
      <c r="H846" s="452"/>
      <c r="I846" s="452"/>
    </row>
    <row r="847" spans="1:9" ht="12.75" x14ac:dyDescent="0.2">
      <c r="A847" s="455"/>
      <c r="B847" s="452"/>
      <c r="C847" s="452"/>
      <c r="D847" s="452"/>
      <c r="E847" s="452"/>
      <c r="F847" s="452"/>
      <c r="G847" s="452"/>
      <c r="H847" s="452"/>
      <c r="I847" s="452"/>
    </row>
    <row r="848" spans="1:9" ht="12.75" x14ac:dyDescent="0.2">
      <c r="A848" s="455"/>
      <c r="B848" s="452"/>
      <c r="C848" s="452"/>
      <c r="D848" s="452"/>
      <c r="E848" s="452"/>
      <c r="F848" s="452"/>
      <c r="G848" s="452"/>
      <c r="H848" s="452"/>
      <c r="I848" s="452"/>
    </row>
    <row r="849" spans="1:9" ht="12.75" x14ac:dyDescent="0.2">
      <c r="A849" s="455"/>
      <c r="B849" s="452"/>
      <c r="C849" s="452"/>
      <c r="D849" s="452"/>
      <c r="E849" s="452"/>
      <c r="F849" s="452"/>
      <c r="G849" s="452"/>
      <c r="H849" s="452"/>
      <c r="I849" s="452"/>
    </row>
    <row r="850" spans="1:9" ht="12.75" x14ac:dyDescent="0.2">
      <c r="A850" s="455"/>
      <c r="B850" s="452"/>
      <c r="C850" s="452"/>
      <c r="D850" s="452"/>
      <c r="E850" s="452"/>
      <c r="F850" s="452"/>
      <c r="G850" s="452"/>
      <c r="H850" s="452"/>
      <c r="I850" s="452"/>
    </row>
    <row r="851" spans="1:9" ht="12.75" x14ac:dyDescent="0.2">
      <c r="A851" s="455"/>
      <c r="B851" s="452"/>
      <c r="C851" s="452"/>
      <c r="D851" s="452"/>
      <c r="E851" s="452"/>
      <c r="F851" s="452"/>
      <c r="G851" s="452"/>
      <c r="H851" s="452"/>
      <c r="I851" s="452"/>
    </row>
    <row r="852" spans="1:9" ht="12.75" x14ac:dyDescent="0.2">
      <c r="A852" s="455"/>
      <c r="B852" s="452"/>
      <c r="C852" s="452"/>
      <c r="D852" s="452"/>
      <c r="E852" s="452"/>
      <c r="F852" s="452"/>
      <c r="G852" s="452"/>
      <c r="H852" s="452"/>
      <c r="I852" s="452"/>
    </row>
    <row r="853" spans="1:9" ht="12.75" x14ac:dyDescent="0.2">
      <c r="A853" s="455"/>
      <c r="B853" s="452"/>
      <c r="C853" s="452"/>
      <c r="D853" s="452"/>
      <c r="E853" s="452"/>
      <c r="F853" s="452"/>
      <c r="G853" s="452"/>
      <c r="H853" s="452"/>
      <c r="I853" s="452"/>
    </row>
    <row r="854" spans="1:9" ht="12.75" x14ac:dyDescent="0.2">
      <c r="A854" s="455"/>
      <c r="B854" s="452"/>
      <c r="C854" s="452"/>
      <c r="D854" s="452"/>
      <c r="E854" s="452"/>
      <c r="F854" s="452"/>
      <c r="G854" s="452"/>
      <c r="H854" s="452"/>
      <c r="I854" s="452"/>
    </row>
    <row r="855" spans="1:9" ht="12.75" x14ac:dyDescent="0.2">
      <c r="A855" s="455"/>
      <c r="B855" s="452"/>
      <c r="C855" s="452"/>
      <c r="D855" s="452"/>
      <c r="E855" s="452"/>
      <c r="F855" s="452"/>
      <c r="G855" s="452"/>
      <c r="H855" s="452"/>
      <c r="I855" s="452"/>
    </row>
    <row r="856" spans="1:9" ht="12.75" x14ac:dyDescent="0.2">
      <c r="A856" s="455"/>
      <c r="B856" s="452"/>
      <c r="C856" s="452"/>
      <c r="D856" s="452"/>
      <c r="E856" s="452"/>
      <c r="F856" s="452"/>
      <c r="G856" s="452"/>
      <c r="H856" s="452"/>
      <c r="I856" s="452"/>
    </row>
    <row r="857" spans="1:9" ht="12.75" x14ac:dyDescent="0.2">
      <c r="A857" s="455"/>
      <c r="B857" s="452"/>
      <c r="C857" s="452"/>
      <c r="D857" s="452"/>
      <c r="E857" s="452"/>
      <c r="F857" s="452"/>
      <c r="G857" s="452"/>
      <c r="H857" s="452"/>
      <c r="I857" s="452"/>
    </row>
    <row r="858" spans="1:9" ht="12.75" x14ac:dyDescent="0.2">
      <c r="A858" s="455"/>
      <c r="B858" s="452"/>
      <c r="C858" s="452"/>
      <c r="D858" s="452"/>
      <c r="E858" s="452"/>
      <c r="F858" s="452"/>
      <c r="G858" s="452"/>
      <c r="H858" s="452"/>
      <c r="I858" s="452"/>
    </row>
    <row r="859" spans="1:9" ht="12.75" x14ac:dyDescent="0.2">
      <c r="A859" s="455"/>
      <c r="B859" s="452"/>
      <c r="C859" s="452"/>
      <c r="D859" s="452"/>
      <c r="E859" s="452"/>
      <c r="F859" s="452"/>
      <c r="G859" s="452"/>
      <c r="H859" s="452"/>
      <c r="I859" s="452"/>
    </row>
    <row r="860" spans="1:9" ht="12.75" x14ac:dyDescent="0.2">
      <c r="A860" s="455"/>
      <c r="B860" s="452"/>
      <c r="C860" s="452"/>
      <c r="D860" s="452"/>
      <c r="E860" s="452"/>
      <c r="F860" s="452"/>
      <c r="G860" s="452"/>
      <c r="H860" s="452"/>
      <c r="I860" s="452"/>
    </row>
    <row r="861" spans="1:9" ht="12.75" x14ac:dyDescent="0.2">
      <c r="A861" s="455"/>
      <c r="B861" s="452"/>
      <c r="C861" s="452"/>
      <c r="D861" s="452"/>
      <c r="E861" s="452"/>
      <c r="F861" s="452"/>
      <c r="G861" s="452"/>
      <c r="H861" s="452"/>
      <c r="I861" s="452"/>
    </row>
    <row r="862" spans="1:9" ht="12.75" x14ac:dyDescent="0.2">
      <c r="A862" s="455"/>
      <c r="B862" s="452"/>
      <c r="C862" s="452"/>
      <c r="D862" s="452"/>
      <c r="E862" s="452"/>
      <c r="F862" s="452"/>
      <c r="G862" s="452"/>
      <c r="H862" s="452"/>
      <c r="I862" s="452"/>
    </row>
    <row r="863" spans="1:9" ht="12.75" x14ac:dyDescent="0.2">
      <c r="A863" s="455"/>
      <c r="B863" s="452"/>
      <c r="C863" s="452"/>
      <c r="D863" s="452"/>
      <c r="E863" s="452"/>
      <c r="F863" s="452"/>
      <c r="G863" s="452"/>
      <c r="H863" s="452"/>
      <c r="I863" s="452"/>
    </row>
    <row r="864" spans="1:9" ht="12.75" x14ac:dyDescent="0.2">
      <c r="A864" s="455"/>
      <c r="B864" s="452"/>
      <c r="C864" s="452"/>
      <c r="D864" s="452"/>
      <c r="E864" s="452"/>
      <c r="F864" s="452"/>
      <c r="G864" s="452"/>
      <c r="H864" s="452"/>
      <c r="I864" s="452"/>
    </row>
    <row r="865" spans="1:9" ht="12.75" x14ac:dyDescent="0.2">
      <c r="A865" s="455"/>
      <c r="B865" s="452"/>
      <c r="C865" s="452"/>
      <c r="D865" s="452"/>
      <c r="E865" s="452"/>
      <c r="F865" s="452"/>
      <c r="G865" s="452"/>
      <c r="H865" s="452"/>
      <c r="I865" s="452"/>
    </row>
    <row r="866" spans="1:9" ht="12.75" x14ac:dyDescent="0.2">
      <c r="A866" s="455"/>
      <c r="B866" s="452"/>
      <c r="C866" s="452"/>
      <c r="D866" s="452"/>
      <c r="E866" s="452"/>
      <c r="F866" s="452"/>
      <c r="G866" s="452"/>
      <c r="H866" s="452"/>
      <c r="I866" s="452"/>
    </row>
    <row r="867" spans="1:9" ht="12.75" x14ac:dyDescent="0.2">
      <c r="A867" s="455"/>
      <c r="B867" s="452"/>
      <c r="C867" s="452"/>
      <c r="D867" s="452"/>
      <c r="E867" s="452"/>
      <c r="F867" s="452"/>
      <c r="G867" s="452"/>
      <c r="H867" s="452"/>
      <c r="I867" s="452"/>
    </row>
    <row r="868" spans="1:9" ht="12.75" x14ac:dyDescent="0.2">
      <c r="A868" s="455"/>
      <c r="B868" s="452"/>
      <c r="C868" s="452"/>
      <c r="D868" s="452"/>
      <c r="E868" s="452"/>
      <c r="F868" s="452"/>
      <c r="G868" s="452"/>
      <c r="H868" s="452"/>
      <c r="I868" s="452"/>
    </row>
    <row r="869" spans="1:9" ht="12.75" x14ac:dyDescent="0.2">
      <c r="A869" s="455"/>
      <c r="B869" s="452"/>
      <c r="C869" s="452"/>
      <c r="D869" s="452"/>
      <c r="E869" s="452"/>
      <c r="F869" s="452"/>
      <c r="G869" s="452"/>
      <c r="H869" s="452"/>
      <c r="I869" s="452"/>
    </row>
    <row r="870" spans="1:9" ht="12.75" x14ac:dyDescent="0.2">
      <c r="A870" s="455"/>
      <c r="B870" s="452"/>
      <c r="C870" s="452"/>
      <c r="D870" s="452"/>
      <c r="E870" s="452"/>
      <c r="F870" s="452"/>
      <c r="G870" s="452"/>
      <c r="H870" s="452"/>
      <c r="I870" s="452"/>
    </row>
    <row r="871" spans="1:9" ht="12.75" x14ac:dyDescent="0.2">
      <c r="A871" s="455"/>
      <c r="B871" s="452"/>
      <c r="C871" s="452"/>
      <c r="D871" s="452"/>
      <c r="E871" s="452"/>
      <c r="F871" s="452"/>
      <c r="G871" s="452"/>
      <c r="H871" s="452"/>
      <c r="I871" s="452"/>
    </row>
    <row r="872" spans="1:9" ht="12.75" x14ac:dyDescent="0.2">
      <c r="A872" s="455"/>
      <c r="B872" s="452"/>
      <c r="C872" s="452"/>
      <c r="D872" s="452"/>
      <c r="E872" s="452"/>
      <c r="F872" s="452"/>
      <c r="G872" s="452"/>
      <c r="H872" s="452"/>
      <c r="I872" s="452"/>
    </row>
    <row r="873" spans="1:9" ht="12.75" x14ac:dyDescent="0.2">
      <c r="A873" s="455"/>
      <c r="B873" s="452"/>
      <c r="C873" s="452"/>
      <c r="D873" s="452"/>
      <c r="E873" s="452"/>
      <c r="F873" s="452"/>
      <c r="G873" s="452"/>
      <c r="H873" s="452"/>
      <c r="I873" s="452"/>
    </row>
    <row r="874" spans="1:9" ht="12.75" x14ac:dyDescent="0.2">
      <c r="A874" s="455"/>
      <c r="B874" s="452"/>
      <c r="C874" s="452"/>
      <c r="D874" s="452"/>
      <c r="E874" s="452"/>
      <c r="F874" s="452"/>
      <c r="G874" s="452"/>
      <c r="H874" s="452"/>
      <c r="I874" s="452"/>
    </row>
    <row r="875" spans="1:9" ht="12.75" x14ac:dyDescent="0.2">
      <c r="A875" s="455"/>
      <c r="B875" s="452"/>
      <c r="C875" s="452"/>
      <c r="D875" s="452"/>
      <c r="E875" s="452"/>
      <c r="F875" s="452"/>
      <c r="G875" s="452"/>
      <c r="H875" s="452"/>
      <c r="I875" s="452"/>
    </row>
    <row r="876" spans="1:9" ht="12.75" x14ac:dyDescent="0.2">
      <c r="A876" s="455"/>
      <c r="B876" s="452"/>
      <c r="C876" s="452"/>
      <c r="D876" s="452"/>
      <c r="E876" s="452"/>
      <c r="F876" s="452"/>
      <c r="G876" s="452"/>
      <c r="H876" s="452"/>
      <c r="I876" s="452"/>
    </row>
    <row r="877" spans="1:9" ht="12.75" x14ac:dyDescent="0.2">
      <c r="A877" s="455"/>
      <c r="B877" s="452"/>
      <c r="C877" s="452"/>
      <c r="D877" s="452"/>
      <c r="E877" s="452"/>
      <c r="F877" s="452"/>
      <c r="G877" s="452"/>
      <c r="H877" s="452"/>
      <c r="I877" s="452"/>
    </row>
    <row r="878" spans="1:9" ht="12.75" x14ac:dyDescent="0.2">
      <c r="A878" s="455"/>
      <c r="B878" s="452"/>
      <c r="C878" s="452"/>
      <c r="D878" s="452"/>
      <c r="E878" s="452"/>
      <c r="F878" s="452"/>
      <c r="G878" s="452"/>
      <c r="H878" s="452"/>
      <c r="I878" s="452"/>
    </row>
    <row r="879" spans="1:9" ht="12.75" x14ac:dyDescent="0.2">
      <c r="A879" s="455"/>
      <c r="B879" s="452"/>
      <c r="C879" s="452"/>
      <c r="D879" s="452"/>
      <c r="E879" s="452"/>
      <c r="F879" s="452"/>
      <c r="G879" s="452"/>
      <c r="H879" s="452"/>
      <c r="I879" s="452"/>
    </row>
    <row r="880" spans="1:9" ht="12.75" x14ac:dyDescent="0.2">
      <c r="A880" s="455"/>
      <c r="B880" s="452"/>
      <c r="C880" s="452"/>
      <c r="D880" s="452"/>
      <c r="E880" s="452"/>
      <c r="F880" s="452"/>
      <c r="G880" s="452"/>
      <c r="H880" s="452"/>
      <c r="I880" s="452"/>
    </row>
    <row r="881" spans="1:9" ht="12.75" x14ac:dyDescent="0.2">
      <c r="A881" s="455"/>
      <c r="B881" s="452"/>
      <c r="C881" s="452"/>
      <c r="D881" s="452"/>
      <c r="E881" s="452"/>
      <c r="F881" s="452"/>
      <c r="G881" s="452"/>
      <c r="H881" s="452"/>
      <c r="I881" s="452"/>
    </row>
    <row r="882" spans="1:9" ht="12.75" x14ac:dyDescent="0.2">
      <c r="A882" s="455"/>
      <c r="B882" s="452"/>
      <c r="C882" s="452"/>
      <c r="D882" s="452"/>
      <c r="E882" s="452"/>
      <c r="F882" s="452"/>
      <c r="G882" s="452"/>
      <c r="H882" s="452"/>
      <c r="I882" s="452"/>
    </row>
    <row r="883" spans="1:9" ht="12.75" x14ac:dyDescent="0.2">
      <c r="A883" s="455"/>
      <c r="B883" s="452"/>
      <c r="C883" s="452"/>
      <c r="D883" s="452"/>
      <c r="E883" s="452"/>
      <c r="F883" s="452"/>
      <c r="G883" s="452"/>
      <c r="H883" s="452"/>
      <c r="I883" s="452"/>
    </row>
    <row r="884" spans="1:9" ht="12.75" x14ac:dyDescent="0.2">
      <c r="A884" s="455"/>
      <c r="B884" s="452"/>
      <c r="C884" s="452"/>
      <c r="D884" s="452"/>
      <c r="E884" s="452"/>
      <c r="F884" s="452"/>
      <c r="G884" s="452"/>
      <c r="H884" s="452"/>
      <c r="I884" s="452"/>
    </row>
    <row r="885" spans="1:9" ht="12.75" x14ac:dyDescent="0.2">
      <c r="A885" s="455"/>
      <c r="B885" s="452"/>
      <c r="C885" s="452"/>
      <c r="D885" s="452"/>
      <c r="E885" s="452"/>
      <c r="F885" s="452"/>
      <c r="G885" s="452"/>
      <c r="H885" s="452"/>
      <c r="I885" s="452"/>
    </row>
    <row r="886" spans="1:9" ht="12.75" x14ac:dyDescent="0.2">
      <c r="A886" s="455"/>
      <c r="B886" s="452"/>
      <c r="C886" s="452"/>
      <c r="D886" s="452"/>
      <c r="E886" s="452"/>
      <c r="F886" s="452"/>
      <c r="G886" s="452"/>
      <c r="H886" s="452"/>
      <c r="I886" s="452"/>
    </row>
    <row r="887" spans="1:9" ht="12.75" x14ac:dyDescent="0.2">
      <c r="A887" s="455"/>
      <c r="B887" s="452"/>
      <c r="C887" s="452"/>
      <c r="D887" s="452"/>
      <c r="E887" s="452"/>
      <c r="F887" s="452"/>
      <c r="G887" s="452"/>
      <c r="H887" s="452"/>
      <c r="I887" s="452"/>
    </row>
    <row r="888" spans="1:9" ht="12.75" x14ac:dyDescent="0.2">
      <c r="A888" s="455"/>
      <c r="B888" s="452"/>
      <c r="C888" s="452"/>
      <c r="D888" s="452"/>
      <c r="E888" s="452"/>
      <c r="F888" s="452"/>
      <c r="G888" s="452"/>
      <c r="H888" s="452"/>
      <c r="I888" s="452"/>
    </row>
    <row r="889" spans="1:9" ht="12.75" x14ac:dyDescent="0.2">
      <c r="A889" s="455"/>
      <c r="B889" s="452"/>
      <c r="C889" s="452"/>
      <c r="D889" s="452"/>
      <c r="E889" s="452"/>
      <c r="F889" s="452"/>
      <c r="G889" s="452"/>
      <c r="H889" s="452"/>
      <c r="I889" s="452"/>
    </row>
    <row r="890" spans="1:9" ht="12.75" x14ac:dyDescent="0.2">
      <c r="A890" s="455"/>
      <c r="B890" s="452"/>
      <c r="C890" s="452"/>
      <c r="D890" s="452"/>
      <c r="E890" s="452"/>
      <c r="F890" s="452"/>
      <c r="G890" s="452"/>
      <c r="H890" s="452"/>
      <c r="I890" s="452"/>
    </row>
    <row r="891" spans="1:9" ht="12.75" x14ac:dyDescent="0.2">
      <c r="A891" s="455"/>
      <c r="B891" s="452"/>
      <c r="C891" s="452"/>
      <c r="D891" s="452"/>
      <c r="E891" s="452"/>
      <c r="F891" s="452"/>
      <c r="G891" s="452"/>
      <c r="H891" s="452"/>
      <c r="I891" s="452"/>
    </row>
    <row r="892" spans="1:9" ht="12.75" x14ac:dyDescent="0.2">
      <c r="A892" s="455"/>
      <c r="B892" s="452"/>
      <c r="C892" s="452"/>
      <c r="D892" s="452"/>
      <c r="E892" s="452"/>
      <c r="F892" s="452"/>
      <c r="G892" s="452"/>
      <c r="H892" s="452"/>
      <c r="I892" s="452"/>
    </row>
    <row r="893" spans="1:9" ht="12.75" x14ac:dyDescent="0.2">
      <c r="A893" s="455"/>
      <c r="B893" s="452"/>
      <c r="C893" s="452"/>
      <c r="D893" s="452"/>
      <c r="E893" s="452"/>
      <c r="F893" s="452"/>
      <c r="G893" s="452"/>
      <c r="H893" s="452"/>
      <c r="I893" s="452"/>
    </row>
    <row r="894" spans="1:9" ht="12.75" x14ac:dyDescent="0.2">
      <c r="A894" s="455"/>
      <c r="B894" s="452"/>
      <c r="C894" s="452"/>
      <c r="D894" s="452"/>
      <c r="E894" s="452"/>
      <c r="F894" s="452"/>
      <c r="G894" s="452"/>
      <c r="H894" s="452"/>
      <c r="I894" s="452"/>
    </row>
    <row r="895" spans="1:9" ht="12.75" x14ac:dyDescent="0.2">
      <c r="A895" s="455"/>
      <c r="B895" s="452"/>
      <c r="C895" s="452"/>
      <c r="D895" s="452"/>
      <c r="E895" s="452"/>
      <c r="F895" s="452"/>
      <c r="G895" s="452"/>
      <c r="H895" s="452"/>
      <c r="I895" s="452"/>
    </row>
    <row r="896" spans="1:9" ht="12.75" x14ac:dyDescent="0.2">
      <c r="A896" s="455"/>
      <c r="B896" s="452"/>
      <c r="C896" s="452"/>
      <c r="D896" s="452"/>
      <c r="E896" s="452"/>
      <c r="F896" s="452"/>
      <c r="G896" s="452"/>
      <c r="H896" s="452"/>
      <c r="I896" s="452"/>
    </row>
    <row r="897" spans="1:9" ht="12.75" x14ac:dyDescent="0.2">
      <c r="A897" s="455"/>
      <c r="B897" s="452"/>
      <c r="C897" s="452"/>
      <c r="D897" s="452"/>
      <c r="E897" s="452"/>
      <c r="F897" s="452"/>
      <c r="G897" s="452"/>
      <c r="H897" s="452"/>
      <c r="I897" s="452"/>
    </row>
    <row r="898" spans="1:9" ht="12.75" x14ac:dyDescent="0.2">
      <c r="A898" s="455"/>
      <c r="B898" s="452"/>
      <c r="C898" s="452"/>
      <c r="D898" s="452"/>
      <c r="E898" s="452"/>
      <c r="F898" s="452"/>
      <c r="G898" s="452"/>
      <c r="H898" s="452"/>
      <c r="I898" s="452"/>
    </row>
    <row r="899" spans="1:9" ht="12.75" x14ac:dyDescent="0.2">
      <c r="A899" s="455"/>
      <c r="B899" s="452"/>
      <c r="C899" s="452"/>
      <c r="D899" s="452"/>
      <c r="E899" s="452"/>
      <c r="F899" s="452"/>
      <c r="G899" s="452"/>
      <c r="H899" s="452"/>
      <c r="I899" s="452"/>
    </row>
    <row r="900" spans="1:9" ht="12.75" x14ac:dyDescent="0.2">
      <c r="A900" s="455"/>
      <c r="B900" s="452"/>
      <c r="C900" s="452"/>
      <c r="D900" s="452"/>
      <c r="E900" s="452"/>
      <c r="F900" s="452"/>
      <c r="G900" s="452"/>
      <c r="H900" s="452"/>
      <c r="I900" s="452"/>
    </row>
    <row r="901" spans="1:9" ht="12.75" x14ac:dyDescent="0.2">
      <c r="A901" s="455"/>
      <c r="B901" s="452"/>
      <c r="C901" s="452"/>
      <c r="D901" s="452"/>
      <c r="E901" s="452"/>
      <c r="F901" s="452"/>
      <c r="G901" s="452"/>
      <c r="H901" s="452"/>
      <c r="I901" s="452"/>
    </row>
    <row r="902" spans="1:9" ht="12.75" x14ac:dyDescent="0.2">
      <c r="A902" s="455"/>
      <c r="B902" s="452"/>
      <c r="C902" s="452"/>
      <c r="D902" s="452"/>
      <c r="E902" s="452"/>
      <c r="F902" s="452"/>
      <c r="G902" s="452"/>
      <c r="H902" s="452"/>
      <c r="I902" s="452"/>
    </row>
    <row r="903" spans="1:9" ht="12.75" x14ac:dyDescent="0.2">
      <c r="A903" s="455"/>
      <c r="B903" s="452"/>
      <c r="C903" s="452"/>
      <c r="D903" s="452"/>
      <c r="E903" s="452"/>
      <c r="F903" s="452"/>
      <c r="G903" s="452"/>
      <c r="H903" s="452"/>
      <c r="I903" s="452"/>
    </row>
    <row r="904" spans="1:9" ht="12.75" x14ac:dyDescent="0.2">
      <c r="A904" s="455"/>
      <c r="B904" s="452"/>
      <c r="C904" s="452"/>
      <c r="D904" s="452"/>
      <c r="E904" s="452"/>
      <c r="F904" s="452"/>
      <c r="G904" s="452"/>
      <c r="H904" s="452"/>
      <c r="I904" s="452"/>
    </row>
    <row r="905" spans="1:9" ht="12.75" x14ac:dyDescent="0.2">
      <c r="A905" s="455"/>
      <c r="B905" s="452"/>
      <c r="C905" s="452"/>
      <c r="D905" s="452"/>
      <c r="E905" s="452"/>
      <c r="F905" s="452"/>
      <c r="G905" s="452"/>
      <c r="H905" s="452"/>
      <c r="I905" s="452"/>
    </row>
    <row r="906" spans="1:9" ht="12.75" x14ac:dyDescent="0.2">
      <c r="A906" s="455"/>
      <c r="B906" s="452"/>
      <c r="C906" s="452"/>
      <c r="D906" s="452"/>
      <c r="E906" s="452"/>
      <c r="F906" s="452"/>
      <c r="G906" s="452"/>
      <c r="H906" s="452"/>
      <c r="I906" s="452"/>
    </row>
    <row r="907" spans="1:9" ht="12.75" x14ac:dyDescent="0.2">
      <c r="A907" s="455"/>
      <c r="B907" s="452"/>
      <c r="C907" s="452"/>
      <c r="D907" s="452"/>
      <c r="E907" s="452"/>
      <c r="F907" s="452"/>
      <c r="G907" s="452"/>
      <c r="H907" s="452"/>
      <c r="I907" s="452"/>
    </row>
    <row r="908" spans="1:9" ht="12.75" x14ac:dyDescent="0.2">
      <c r="A908" s="455"/>
      <c r="B908" s="452"/>
      <c r="C908" s="452"/>
      <c r="D908" s="452"/>
      <c r="E908" s="452"/>
      <c r="F908" s="452"/>
      <c r="G908" s="452"/>
      <c r="H908" s="452"/>
      <c r="I908" s="452"/>
    </row>
    <row r="909" spans="1:9" ht="12.75" x14ac:dyDescent="0.2">
      <c r="A909" s="455"/>
      <c r="B909" s="452"/>
      <c r="C909" s="452"/>
      <c r="D909" s="452"/>
      <c r="E909" s="452"/>
      <c r="F909" s="452"/>
      <c r="G909" s="452"/>
      <c r="H909" s="452"/>
      <c r="I909" s="452"/>
    </row>
    <row r="910" spans="1:9" ht="12.75" x14ac:dyDescent="0.2">
      <c r="A910" s="455"/>
      <c r="B910" s="452"/>
      <c r="C910" s="452"/>
      <c r="D910" s="452"/>
      <c r="E910" s="452"/>
      <c r="F910" s="452"/>
      <c r="G910" s="452"/>
      <c r="H910" s="452"/>
      <c r="I910" s="452"/>
    </row>
    <row r="911" spans="1:9" ht="12.75" x14ac:dyDescent="0.2">
      <c r="A911" s="455"/>
      <c r="B911" s="452"/>
      <c r="C911" s="452"/>
      <c r="D911" s="452"/>
      <c r="E911" s="452"/>
      <c r="F911" s="452"/>
      <c r="G911" s="452"/>
      <c r="H911" s="452"/>
      <c r="I911" s="452"/>
    </row>
    <row r="912" spans="1:9" ht="12.75" x14ac:dyDescent="0.2">
      <c r="A912" s="455"/>
      <c r="B912" s="452"/>
      <c r="C912" s="452"/>
      <c r="D912" s="452"/>
      <c r="E912" s="452"/>
      <c r="F912" s="452"/>
      <c r="G912" s="452"/>
      <c r="H912" s="452"/>
      <c r="I912" s="452"/>
    </row>
    <row r="913" spans="1:9" ht="12.75" x14ac:dyDescent="0.2">
      <c r="A913" s="455"/>
      <c r="B913" s="452"/>
      <c r="C913" s="452"/>
      <c r="D913" s="452"/>
      <c r="E913" s="452"/>
      <c r="F913" s="452"/>
      <c r="G913" s="452"/>
      <c r="H913" s="452"/>
      <c r="I913" s="452"/>
    </row>
    <row r="914" spans="1:9" ht="12.75" x14ac:dyDescent="0.2">
      <c r="A914" s="455"/>
      <c r="B914" s="452"/>
      <c r="C914" s="452"/>
      <c r="D914" s="452"/>
      <c r="E914" s="452"/>
      <c r="F914" s="452"/>
      <c r="G914" s="452"/>
      <c r="H914" s="452"/>
      <c r="I914" s="452"/>
    </row>
    <row r="915" spans="1:9" ht="12.75" x14ac:dyDescent="0.2">
      <c r="A915" s="455"/>
      <c r="B915" s="452"/>
      <c r="C915" s="452"/>
      <c r="D915" s="452"/>
      <c r="E915" s="452"/>
      <c r="F915" s="452"/>
      <c r="G915" s="452"/>
      <c r="H915" s="452"/>
      <c r="I915" s="452"/>
    </row>
    <row r="916" spans="1:9" ht="12.75" x14ac:dyDescent="0.2">
      <c r="A916" s="455"/>
      <c r="B916" s="452"/>
      <c r="C916" s="452"/>
      <c r="D916" s="452"/>
      <c r="E916" s="452"/>
      <c r="F916" s="452"/>
      <c r="G916" s="452"/>
      <c r="H916" s="452"/>
      <c r="I916" s="452"/>
    </row>
    <row r="917" spans="1:9" ht="12.75" x14ac:dyDescent="0.2">
      <c r="A917" s="455"/>
      <c r="B917" s="452"/>
      <c r="C917" s="452"/>
      <c r="D917" s="452"/>
      <c r="E917" s="452"/>
      <c r="F917" s="452"/>
      <c r="G917" s="452"/>
      <c r="H917" s="452"/>
      <c r="I917" s="452"/>
    </row>
    <row r="918" spans="1:9" ht="12.75" x14ac:dyDescent="0.2">
      <c r="A918" s="455"/>
      <c r="B918" s="452"/>
      <c r="C918" s="452"/>
      <c r="D918" s="452"/>
      <c r="E918" s="452"/>
      <c r="F918" s="452"/>
      <c r="G918" s="452"/>
      <c r="H918" s="452"/>
      <c r="I918" s="452"/>
    </row>
    <row r="919" spans="1:9" ht="12.75" x14ac:dyDescent="0.2">
      <c r="A919" s="455"/>
      <c r="B919" s="452"/>
      <c r="C919" s="452"/>
      <c r="D919" s="452"/>
      <c r="E919" s="452"/>
      <c r="F919" s="452"/>
      <c r="G919" s="452"/>
      <c r="H919" s="452"/>
      <c r="I919" s="452"/>
    </row>
    <row r="920" spans="1:9" ht="12.75" x14ac:dyDescent="0.2">
      <c r="A920" s="455"/>
      <c r="B920" s="452"/>
      <c r="C920" s="452"/>
      <c r="D920" s="452"/>
      <c r="E920" s="452"/>
      <c r="F920" s="452"/>
      <c r="G920" s="452"/>
      <c r="H920" s="452"/>
      <c r="I920" s="452"/>
    </row>
    <row r="921" spans="1:9" ht="12.75" x14ac:dyDescent="0.2">
      <c r="A921" s="455"/>
      <c r="B921" s="452"/>
      <c r="C921" s="452"/>
      <c r="D921" s="452"/>
      <c r="E921" s="452"/>
      <c r="F921" s="452"/>
      <c r="G921" s="452"/>
      <c r="H921" s="452"/>
      <c r="I921" s="452"/>
    </row>
    <row r="922" spans="1:9" ht="12.75" x14ac:dyDescent="0.2">
      <c r="A922" s="455"/>
      <c r="B922" s="452"/>
      <c r="C922" s="452"/>
      <c r="D922" s="452"/>
      <c r="E922" s="452"/>
      <c r="F922" s="452"/>
      <c r="G922" s="452"/>
      <c r="H922" s="452"/>
      <c r="I922" s="452"/>
    </row>
    <row r="923" spans="1:9" ht="12.75" x14ac:dyDescent="0.2">
      <c r="A923" s="455"/>
      <c r="B923" s="452"/>
      <c r="C923" s="452"/>
      <c r="D923" s="452"/>
      <c r="E923" s="452"/>
      <c r="F923" s="452"/>
      <c r="G923" s="452"/>
      <c r="H923" s="452"/>
      <c r="I923" s="452"/>
    </row>
    <row r="924" spans="1:9" ht="12.75" x14ac:dyDescent="0.2">
      <c r="A924" s="455"/>
      <c r="B924" s="452"/>
      <c r="C924" s="452"/>
      <c r="D924" s="452"/>
      <c r="E924" s="452"/>
      <c r="F924" s="452"/>
      <c r="G924" s="452"/>
      <c r="H924" s="452"/>
      <c r="I924" s="452"/>
    </row>
    <row r="925" spans="1:9" ht="12.75" x14ac:dyDescent="0.2">
      <c r="A925" s="455"/>
      <c r="B925" s="452"/>
      <c r="C925" s="452"/>
      <c r="D925" s="452"/>
      <c r="E925" s="452"/>
      <c r="F925" s="452"/>
      <c r="G925" s="452"/>
      <c r="H925" s="452"/>
      <c r="I925" s="452"/>
    </row>
    <row r="926" spans="1:9" ht="12.75" x14ac:dyDescent="0.2">
      <c r="A926" s="455"/>
      <c r="B926" s="452"/>
      <c r="C926" s="452"/>
      <c r="D926" s="452"/>
      <c r="E926" s="452"/>
      <c r="F926" s="452"/>
      <c r="G926" s="452"/>
      <c r="H926" s="452"/>
      <c r="I926" s="452"/>
    </row>
    <row r="927" spans="1:9" ht="12.75" x14ac:dyDescent="0.2">
      <c r="A927" s="455"/>
      <c r="B927" s="452"/>
      <c r="C927" s="452"/>
      <c r="D927" s="452"/>
      <c r="E927" s="452"/>
      <c r="F927" s="452"/>
      <c r="G927" s="452"/>
      <c r="H927" s="452"/>
      <c r="I927" s="452"/>
    </row>
    <row r="928" spans="1:9" ht="12.75" x14ac:dyDescent="0.2">
      <c r="A928" s="455"/>
      <c r="B928" s="452"/>
      <c r="C928" s="452"/>
      <c r="D928" s="452"/>
      <c r="E928" s="452"/>
      <c r="F928" s="452"/>
      <c r="G928" s="452"/>
      <c r="H928" s="452"/>
      <c r="I928" s="452"/>
    </row>
    <row r="929" spans="1:9" ht="12.75" x14ac:dyDescent="0.2">
      <c r="A929" s="455"/>
      <c r="B929" s="452"/>
      <c r="C929" s="452"/>
      <c r="D929" s="452"/>
      <c r="E929" s="452"/>
      <c r="F929" s="452"/>
      <c r="G929" s="452"/>
      <c r="H929" s="452"/>
      <c r="I929" s="452"/>
    </row>
    <row r="930" spans="1:9" ht="12.75" x14ac:dyDescent="0.2">
      <c r="A930" s="455"/>
      <c r="B930" s="452"/>
      <c r="C930" s="452"/>
      <c r="D930" s="452"/>
      <c r="E930" s="452"/>
      <c r="F930" s="452"/>
      <c r="G930" s="452"/>
      <c r="H930" s="452"/>
      <c r="I930" s="452"/>
    </row>
    <row r="931" spans="1:9" ht="12.75" x14ac:dyDescent="0.2">
      <c r="A931" s="455"/>
      <c r="B931" s="452"/>
      <c r="C931" s="452"/>
      <c r="D931" s="452"/>
      <c r="E931" s="452"/>
      <c r="F931" s="452"/>
      <c r="G931" s="452"/>
      <c r="H931" s="452"/>
      <c r="I931" s="452"/>
    </row>
    <row r="932" spans="1:9" ht="12.75" x14ac:dyDescent="0.2">
      <c r="A932" s="455"/>
      <c r="B932" s="452"/>
      <c r="C932" s="452"/>
      <c r="D932" s="452"/>
      <c r="E932" s="452"/>
      <c r="F932" s="452"/>
      <c r="G932" s="452"/>
      <c r="H932" s="452"/>
      <c r="I932" s="452"/>
    </row>
    <row r="933" spans="1:9" ht="12.75" x14ac:dyDescent="0.2">
      <c r="A933" s="455"/>
      <c r="B933" s="452"/>
      <c r="C933" s="452"/>
      <c r="D933" s="452"/>
      <c r="E933" s="452"/>
      <c r="F933" s="452"/>
      <c r="G933" s="452"/>
      <c r="H933" s="452"/>
      <c r="I933" s="452"/>
    </row>
    <row r="934" spans="1:9" ht="12.75" x14ac:dyDescent="0.2">
      <c r="A934" s="455"/>
      <c r="B934" s="452"/>
      <c r="C934" s="452"/>
      <c r="D934" s="452"/>
      <c r="E934" s="452"/>
      <c r="F934" s="452"/>
      <c r="G934" s="452"/>
      <c r="H934" s="452"/>
      <c r="I934" s="452"/>
    </row>
    <row r="935" spans="1:9" ht="12.75" x14ac:dyDescent="0.2">
      <c r="A935" s="455"/>
      <c r="B935" s="452"/>
      <c r="C935" s="452"/>
      <c r="D935" s="452"/>
      <c r="E935" s="452"/>
      <c r="F935" s="452"/>
      <c r="G935" s="452"/>
      <c r="H935" s="452"/>
      <c r="I935" s="452"/>
    </row>
    <row r="936" spans="1:9" ht="12.75" x14ac:dyDescent="0.2">
      <c r="A936" s="455"/>
      <c r="B936" s="452"/>
      <c r="C936" s="452"/>
      <c r="D936" s="452"/>
      <c r="E936" s="452"/>
      <c r="F936" s="452"/>
      <c r="G936" s="452"/>
      <c r="H936" s="452"/>
      <c r="I936" s="452"/>
    </row>
    <row r="937" spans="1:9" ht="12.75" x14ac:dyDescent="0.2">
      <c r="A937" s="455"/>
      <c r="B937" s="452"/>
      <c r="C937" s="452"/>
      <c r="D937" s="452"/>
      <c r="E937" s="452"/>
      <c r="F937" s="452"/>
      <c r="G937" s="452"/>
      <c r="H937" s="452"/>
      <c r="I937" s="452"/>
    </row>
    <row r="938" spans="1:9" ht="12.75" x14ac:dyDescent="0.2">
      <c r="A938" s="455"/>
      <c r="B938" s="452"/>
      <c r="C938" s="452"/>
      <c r="D938" s="452"/>
      <c r="E938" s="452"/>
      <c r="F938" s="452"/>
      <c r="G938" s="452"/>
      <c r="H938" s="452"/>
      <c r="I938" s="452"/>
    </row>
    <row r="939" spans="1:9" ht="12.75" x14ac:dyDescent="0.2">
      <c r="A939" s="455"/>
      <c r="B939" s="452"/>
      <c r="C939" s="452"/>
      <c r="D939" s="452"/>
      <c r="E939" s="452"/>
      <c r="F939" s="452"/>
      <c r="G939" s="452"/>
      <c r="H939" s="452"/>
      <c r="I939" s="452"/>
    </row>
    <row r="940" spans="1:9" ht="12.75" x14ac:dyDescent="0.2">
      <c r="A940" s="455"/>
      <c r="B940" s="452"/>
      <c r="C940" s="452"/>
      <c r="D940" s="452"/>
      <c r="E940" s="452"/>
      <c r="F940" s="452"/>
      <c r="G940" s="452"/>
      <c r="H940" s="452"/>
      <c r="I940" s="452"/>
    </row>
    <row r="941" spans="1:9" ht="12.75" x14ac:dyDescent="0.2">
      <c r="A941" s="455"/>
      <c r="B941" s="452"/>
      <c r="C941" s="452"/>
      <c r="D941" s="452"/>
      <c r="E941" s="452"/>
      <c r="F941" s="452"/>
      <c r="G941" s="452"/>
      <c r="H941" s="452"/>
      <c r="I941" s="452"/>
    </row>
    <row r="942" spans="1:9" ht="12.75" x14ac:dyDescent="0.2">
      <c r="A942" s="455"/>
      <c r="B942" s="452"/>
      <c r="C942" s="452"/>
      <c r="D942" s="452"/>
      <c r="E942" s="452"/>
      <c r="F942" s="452"/>
      <c r="G942" s="452"/>
      <c r="H942" s="452"/>
      <c r="I942" s="452"/>
    </row>
    <row r="943" spans="1:9" ht="12.75" x14ac:dyDescent="0.2">
      <c r="A943" s="455"/>
      <c r="B943" s="452"/>
      <c r="C943" s="452"/>
      <c r="D943" s="452"/>
      <c r="E943" s="452"/>
      <c r="F943" s="452"/>
      <c r="G943" s="452"/>
      <c r="H943" s="452"/>
      <c r="I943" s="452"/>
    </row>
    <row r="944" spans="1:9" ht="12.75" x14ac:dyDescent="0.2">
      <c r="A944" s="455"/>
      <c r="B944" s="452"/>
      <c r="C944" s="452"/>
      <c r="D944" s="452"/>
      <c r="E944" s="452"/>
      <c r="F944" s="452"/>
      <c r="G944" s="452"/>
      <c r="H944" s="452"/>
      <c r="I944" s="452"/>
    </row>
    <row r="945" spans="1:9" ht="12.75" x14ac:dyDescent="0.2">
      <c r="A945" s="455"/>
      <c r="B945" s="452"/>
      <c r="C945" s="452"/>
      <c r="D945" s="452"/>
      <c r="E945" s="452"/>
      <c r="F945" s="452"/>
      <c r="G945" s="452"/>
      <c r="H945" s="452"/>
      <c r="I945" s="452"/>
    </row>
    <row r="946" spans="1:9" ht="12.75" x14ac:dyDescent="0.2">
      <c r="A946" s="455"/>
      <c r="B946" s="452"/>
      <c r="C946" s="452"/>
      <c r="D946" s="452"/>
      <c r="E946" s="452"/>
      <c r="F946" s="452"/>
      <c r="G946" s="452"/>
      <c r="H946" s="452"/>
      <c r="I946" s="452"/>
    </row>
    <row r="947" spans="1:9" ht="12.75" x14ac:dyDescent="0.2">
      <c r="A947" s="455"/>
      <c r="B947" s="452"/>
      <c r="C947" s="452"/>
      <c r="D947" s="452"/>
      <c r="E947" s="452"/>
      <c r="F947" s="452"/>
      <c r="G947" s="452"/>
      <c r="H947" s="452"/>
      <c r="I947" s="452"/>
    </row>
    <row r="948" spans="1:9" ht="12.75" x14ac:dyDescent="0.2">
      <c r="A948" s="455"/>
      <c r="B948" s="452"/>
      <c r="C948" s="452"/>
      <c r="D948" s="452"/>
      <c r="E948" s="452"/>
      <c r="F948" s="452"/>
      <c r="G948" s="452"/>
      <c r="H948" s="452"/>
      <c r="I948" s="452"/>
    </row>
    <row r="949" spans="1:9" ht="12.75" x14ac:dyDescent="0.2">
      <c r="A949" s="455"/>
      <c r="B949" s="452"/>
      <c r="C949" s="452"/>
      <c r="D949" s="452"/>
      <c r="E949" s="452"/>
      <c r="F949" s="452"/>
      <c r="G949" s="452"/>
      <c r="H949" s="452"/>
      <c r="I949" s="452"/>
    </row>
    <row r="950" spans="1:9" ht="12.75" x14ac:dyDescent="0.2">
      <c r="A950" s="455"/>
      <c r="B950" s="452"/>
      <c r="C950" s="452"/>
      <c r="D950" s="452"/>
      <c r="E950" s="452"/>
      <c r="F950" s="452"/>
      <c r="G950" s="452"/>
      <c r="H950" s="452"/>
      <c r="I950" s="452"/>
    </row>
    <row r="951" spans="1:9" ht="12.75" x14ac:dyDescent="0.2">
      <c r="A951" s="455"/>
      <c r="B951" s="452"/>
      <c r="C951" s="452"/>
      <c r="D951" s="452"/>
      <c r="E951" s="452"/>
      <c r="F951" s="452"/>
      <c r="G951" s="452"/>
      <c r="H951" s="452"/>
      <c r="I951" s="452"/>
    </row>
    <row r="952" spans="1:9" ht="12.75" x14ac:dyDescent="0.2">
      <c r="A952" s="455"/>
      <c r="B952" s="452"/>
      <c r="C952" s="452"/>
      <c r="D952" s="452"/>
      <c r="E952" s="452"/>
      <c r="F952" s="452"/>
      <c r="G952" s="452"/>
      <c r="H952" s="452"/>
      <c r="I952" s="452"/>
    </row>
    <row r="953" spans="1:9" ht="12.75" x14ac:dyDescent="0.2">
      <c r="A953" s="455"/>
      <c r="B953" s="452"/>
      <c r="C953" s="452"/>
      <c r="D953" s="452"/>
      <c r="E953" s="452"/>
      <c r="F953" s="452"/>
      <c r="G953" s="452"/>
      <c r="H953" s="452"/>
      <c r="I953" s="452"/>
    </row>
    <row r="954" spans="1:9" ht="12.75" x14ac:dyDescent="0.2">
      <c r="A954" s="455"/>
      <c r="B954" s="452"/>
      <c r="C954" s="452"/>
      <c r="D954" s="452"/>
      <c r="E954" s="452"/>
      <c r="F954" s="452"/>
      <c r="G954" s="452"/>
      <c r="H954" s="452"/>
      <c r="I954" s="452"/>
    </row>
    <row r="955" spans="1:9" ht="12.75" x14ac:dyDescent="0.2">
      <c r="A955" s="455"/>
      <c r="B955" s="452"/>
      <c r="C955" s="452"/>
      <c r="D955" s="452"/>
      <c r="E955" s="452"/>
      <c r="F955" s="452"/>
      <c r="G955" s="452"/>
      <c r="H955" s="452"/>
      <c r="I955" s="452"/>
    </row>
    <row r="956" spans="1:9" ht="12.75" x14ac:dyDescent="0.2">
      <c r="A956" s="455"/>
      <c r="B956" s="452"/>
      <c r="C956" s="452"/>
      <c r="D956" s="452"/>
      <c r="E956" s="452"/>
      <c r="F956" s="452"/>
      <c r="G956" s="452"/>
      <c r="H956" s="452"/>
      <c r="I956" s="452"/>
    </row>
    <row r="957" spans="1:9" ht="12.75" x14ac:dyDescent="0.2">
      <c r="A957" s="455"/>
      <c r="B957" s="452"/>
      <c r="C957" s="452"/>
      <c r="D957" s="452"/>
      <c r="E957" s="452"/>
      <c r="F957" s="452"/>
      <c r="G957" s="452"/>
      <c r="H957" s="452"/>
      <c r="I957" s="452"/>
    </row>
    <row r="958" spans="1:9" ht="12.75" x14ac:dyDescent="0.2">
      <c r="A958" s="455"/>
      <c r="B958" s="452"/>
      <c r="C958" s="452"/>
      <c r="D958" s="452"/>
      <c r="E958" s="452"/>
      <c r="F958" s="452"/>
      <c r="G958" s="452"/>
      <c r="H958" s="452"/>
      <c r="I958" s="452"/>
    </row>
    <row r="959" spans="1:9" ht="12.75" x14ac:dyDescent="0.2">
      <c r="A959" s="455"/>
      <c r="B959" s="452"/>
      <c r="C959" s="452"/>
      <c r="D959" s="452"/>
      <c r="E959" s="452"/>
      <c r="F959" s="452"/>
      <c r="G959" s="452"/>
      <c r="H959" s="452"/>
      <c r="I959" s="452"/>
    </row>
    <row r="960" spans="1:9" ht="12.75" x14ac:dyDescent="0.2">
      <c r="A960" s="455"/>
      <c r="B960" s="452"/>
      <c r="C960" s="452"/>
      <c r="D960" s="452"/>
      <c r="E960" s="452"/>
      <c r="F960" s="452"/>
      <c r="G960" s="452"/>
      <c r="H960" s="452"/>
      <c r="I960" s="452"/>
    </row>
    <row r="961" spans="1:9" ht="12.75" x14ac:dyDescent="0.2">
      <c r="A961" s="455"/>
      <c r="B961" s="452"/>
      <c r="C961" s="452"/>
      <c r="D961" s="452"/>
      <c r="E961" s="452"/>
      <c r="F961" s="452"/>
      <c r="G961" s="452"/>
      <c r="H961" s="452"/>
      <c r="I961" s="452"/>
    </row>
    <row r="962" spans="1:9" ht="12.75" x14ac:dyDescent="0.2">
      <c r="A962" s="455"/>
      <c r="B962" s="452"/>
      <c r="C962" s="452"/>
      <c r="D962" s="452"/>
      <c r="E962" s="452"/>
      <c r="F962" s="452"/>
      <c r="G962" s="452"/>
      <c r="H962" s="452"/>
      <c r="I962" s="452"/>
    </row>
    <row r="963" spans="1:9" ht="12.75" x14ac:dyDescent="0.2">
      <c r="A963" s="455"/>
      <c r="B963" s="452"/>
      <c r="C963" s="452"/>
      <c r="D963" s="452"/>
      <c r="E963" s="452"/>
      <c r="F963" s="452"/>
      <c r="G963" s="452"/>
      <c r="H963" s="452"/>
      <c r="I963" s="452"/>
    </row>
    <row r="964" spans="1:9" ht="12.75" x14ac:dyDescent="0.2">
      <c r="A964" s="455"/>
      <c r="B964" s="452"/>
      <c r="C964" s="452"/>
      <c r="D964" s="452"/>
      <c r="E964" s="452"/>
      <c r="F964" s="452"/>
      <c r="G964" s="452"/>
      <c r="H964" s="452"/>
      <c r="I964" s="452"/>
    </row>
    <row r="965" spans="1:9" ht="12.75" x14ac:dyDescent="0.2">
      <c r="A965" s="455"/>
      <c r="B965" s="452"/>
      <c r="C965" s="452"/>
      <c r="D965" s="452"/>
      <c r="E965" s="452"/>
      <c r="F965" s="452"/>
      <c r="G965" s="452"/>
      <c r="H965" s="452"/>
      <c r="I965" s="452"/>
    </row>
    <row r="966" spans="1:9" ht="12.75" x14ac:dyDescent="0.2">
      <c r="A966" s="455"/>
      <c r="B966" s="452"/>
      <c r="C966" s="452"/>
      <c r="D966" s="452"/>
      <c r="E966" s="452"/>
      <c r="F966" s="452"/>
      <c r="G966" s="452"/>
      <c r="H966" s="452"/>
      <c r="I966" s="452"/>
    </row>
    <row r="967" spans="1:9" ht="12.75" x14ac:dyDescent="0.2">
      <c r="A967" s="455"/>
      <c r="B967" s="452"/>
      <c r="C967" s="452"/>
      <c r="D967" s="452"/>
      <c r="E967" s="452"/>
      <c r="F967" s="452"/>
      <c r="G967" s="452"/>
      <c r="H967" s="452"/>
      <c r="I967" s="452"/>
    </row>
    <row r="968" spans="1:9" ht="12.75" x14ac:dyDescent="0.2">
      <c r="A968" s="455"/>
      <c r="B968" s="452"/>
      <c r="C968" s="452"/>
      <c r="D968" s="452"/>
      <c r="E968" s="452"/>
      <c r="F968" s="452"/>
      <c r="G968" s="452"/>
      <c r="H968" s="452"/>
      <c r="I968" s="452"/>
    </row>
    <row r="969" spans="1:9" ht="12.75" x14ac:dyDescent="0.2">
      <c r="A969" s="455"/>
      <c r="B969" s="452"/>
      <c r="C969" s="452"/>
      <c r="D969" s="452"/>
      <c r="E969" s="452"/>
      <c r="F969" s="452"/>
      <c r="G969" s="452"/>
      <c r="H969" s="452"/>
      <c r="I969" s="452"/>
    </row>
    <row r="970" spans="1:9" ht="12.75" x14ac:dyDescent="0.2">
      <c r="A970" s="455"/>
      <c r="B970" s="452"/>
      <c r="C970" s="452"/>
      <c r="D970" s="452"/>
      <c r="E970" s="452"/>
      <c r="F970" s="452"/>
      <c r="G970" s="452"/>
      <c r="H970" s="452"/>
      <c r="I970" s="452"/>
    </row>
    <row r="971" spans="1:9" ht="12.75" x14ac:dyDescent="0.2">
      <c r="A971" s="455"/>
      <c r="B971" s="452"/>
      <c r="C971" s="452"/>
      <c r="D971" s="452"/>
      <c r="E971" s="452"/>
      <c r="F971" s="452"/>
      <c r="G971" s="452"/>
      <c r="H971" s="452"/>
      <c r="I971" s="452"/>
    </row>
    <row r="972" spans="1:9" ht="12.75" x14ac:dyDescent="0.2">
      <c r="A972" s="455"/>
      <c r="B972" s="452"/>
      <c r="C972" s="452"/>
      <c r="D972" s="452"/>
      <c r="E972" s="452"/>
      <c r="F972" s="452"/>
      <c r="G972" s="452"/>
      <c r="H972" s="452"/>
      <c r="I972" s="452"/>
    </row>
    <row r="973" spans="1:9" ht="12.75" x14ac:dyDescent="0.2">
      <c r="A973" s="455"/>
      <c r="B973" s="452"/>
      <c r="C973" s="452"/>
      <c r="D973" s="452"/>
      <c r="E973" s="452"/>
      <c r="F973" s="452"/>
      <c r="G973" s="452"/>
      <c r="H973" s="452"/>
      <c r="I973" s="452"/>
    </row>
    <row r="974" spans="1:9" ht="12.75" x14ac:dyDescent="0.2">
      <c r="A974" s="455"/>
      <c r="B974" s="452"/>
      <c r="C974" s="452"/>
      <c r="D974" s="452"/>
      <c r="E974" s="452"/>
      <c r="F974" s="452"/>
      <c r="G974" s="452"/>
      <c r="H974" s="452"/>
      <c r="I974" s="452"/>
    </row>
    <row r="975" spans="1:9" ht="12.75" x14ac:dyDescent="0.2">
      <c r="A975" s="455"/>
      <c r="B975" s="452"/>
      <c r="C975" s="452"/>
      <c r="D975" s="452"/>
      <c r="E975" s="452"/>
      <c r="F975" s="452"/>
      <c r="G975" s="452"/>
      <c r="H975" s="452"/>
      <c r="I975" s="452"/>
    </row>
    <row r="976" spans="1:9" ht="12.75" x14ac:dyDescent="0.2">
      <c r="A976" s="455"/>
      <c r="B976" s="452"/>
      <c r="C976" s="452"/>
      <c r="D976" s="452"/>
      <c r="E976" s="452"/>
      <c r="F976" s="452"/>
      <c r="G976" s="452"/>
      <c r="H976" s="452"/>
      <c r="I976" s="452"/>
    </row>
    <row r="977" spans="1:9" ht="12.75" x14ac:dyDescent="0.2">
      <c r="A977" s="455"/>
      <c r="B977" s="452"/>
      <c r="C977" s="452"/>
      <c r="D977" s="452"/>
      <c r="E977" s="452"/>
      <c r="F977" s="452"/>
      <c r="G977" s="452"/>
      <c r="H977" s="452"/>
      <c r="I977" s="452"/>
    </row>
    <row r="978" spans="1:9" ht="12.75" x14ac:dyDescent="0.2">
      <c r="A978" s="455"/>
      <c r="B978" s="452"/>
      <c r="C978" s="452"/>
      <c r="D978" s="452"/>
      <c r="E978" s="452"/>
      <c r="F978" s="452"/>
      <c r="G978" s="452"/>
      <c r="H978" s="452"/>
      <c r="I978" s="452"/>
    </row>
    <row r="979" spans="1:9" ht="12.75" x14ac:dyDescent="0.2">
      <c r="A979" s="455"/>
      <c r="B979" s="452"/>
      <c r="C979" s="452"/>
      <c r="D979" s="452"/>
      <c r="E979" s="452"/>
      <c r="F979" s="452"/>
      <c r="G979" s="452"/>
      <c r="H979" s="452"/>
      <c r="I979" s="452"/>
    </row>
    <row r="980" spans="1:9" ht="12.75" x14ac:dyDescent="0.2">
      <c r="A980" s="455"/>
      <c r="B980" s="452"/>
      <c r="C980" s="452"/>
      <c r="D980" s="452"/>
      <c r="E980" s="452"/>
      <c r="F980" s="452"/>
      <c r="G980" s="452"/>
      <c r="H980" s="452"/>
      <c r="I980" s="452"/>
    </row>
    <row r="981" spans="1:9" ht="12.75" x14ac:dyDescent="0.2">
      <c r="A981" s="455"/>
      <c r="B981" s="452"/>
      <c r="C981" s="452"/>
      <c r="D981" s="452"/>
      <c r="E981" s="452"/>
      <c r="F981" s="452"/>
      <c r="G981" s="452"/>
      <c r="H981" s="452"/>
      <c r="I981" s="452"/>
    </row>
    <row r="982" spans="1:9" ht="12.75" x14ac:dyDescent="0.2">
      <c r="A982" s="455"/>
      <c r="B982" s="452"/>
      <c r="C982" s="452"/>
      <c r="D982" s="452"/>
      <c r="E982" s="452"/>
      <c r="F982" s="452"/>
      <c r="G982" s="452"/>
      <c r="H982" s="452"/>
      <c r="I982" s="452"/>
    </row>
    <row r="983" spans="1:9" ht="12.75" x14ac:dyDescent="0.2">
      <c r="A983" s="455"/>
      <c r="B983" s="452"/>
      <c r="C983" s="452"/>
      <c r="D983" s="452"/>
      <c r="E983" s="452"/>
      <c r="F983" s="452"/>
      <c r="G983" s="452"/>
      <c r="H983" s="452"/>
      <c r="I983" s="452"/>
    </row>
    <row r="984" spans="1:9" ht="12.75" x14ac:dyDescent="0.2">
      <c r="A984" s="455"/>
      <c r="B984" s="452"/>
      <c r="C984" s="452"/>
      <c r="D984" s="452"/>
      <c r="E984" s="452"/>
      <c r="F984" s="452"/>
      <c r="G984" s="452"/>
      <c r="H984" s="452"/>
      <c r="I984" s="452"/>
    </row>
    <row r="985" spans="1:9" ht="12.75" x14ac:dyDescent="0.2">
      <c r="A985" s="455"/>
      <c r="B985" s="452"/>
      <c r="C985" s="452"/>
      <c r="D985" s="452"/>
      <c r="E985" s="452"/>
      <c r="F985" s="452"/>
      <c r="G985" s="452"/>
      <c r="H985" s="452"/>
      <c r="I985" s="452"/>
    </row>
    <row r="986" spans="1:9" ht="12.75" x14ac:dyDescent="0.2">
      <c r="A986" s="455"/>
      <c r="B986" s="452"/>
      <c r="C986" s="452"/>
      <c r="D986" s="452"/>
      <c r="E986" s="452"/>
      <c r="F986" s="452"/>
      <c r="G986" s="452"/>
      <c r="H986" s="452"/>
      <c r="I986" s="452"/>
    </row>
    <row r="987" spans="1:9" ht="12.75" x14ac:dyDescent="0.2">
      <c r="A987" s="455"/>
      <c r="B987" s="452"/>
      <c r="C987" s="452"/>
      <c r="D987" s="452"/>
      <c r="E987" s="452"/>
      <c r="F987" s="452"/>
      <c r="G987" s="452"/>
      <c r="H987" s="452"/>
      <c r="I987" s="452"/>
    </row>
    <row r="988" spans="1:9" ht="12.75" x14ac:dyDescent="0.2">
      <c r="A988" s="455"/>
      <c r="B988" s="452"/>
      <c r="C988" s="452"/>
      <c r="D988" s="452"/>
      <c r="E988" s="452"/>
      <c r="F988" s="452"/>
      <c r="G988" s="452"/>
      <c r="H988" s="452"/>
      <c r="I988" s="452"/>
    </row>
    <row r="989" spans="1:9" ht="12.75" x14ac:dyDescent="0.2">
      <c r="A989" s="455"/>
      <c r="B989" s="452"/>
      <c r="C989" s="452"/>
      <c r="D989" s="452"/>
      <c r="E989" s="452"/>
      <c r="F989" s="452"/>
      <c r="G989" s="452"/>
      <c r="H989" s="452"/>
      <c r="I989" s="452"/>
    </row>
    <row r="990" spans="1:9" ht="12.75" x14ac:dyDescent="0.2">
      <c r="A990" s="455"/>
      <c r="B990" s="452"/>
      <c r="C990" s="452"/>
      <c r="D990" s="452"/>
      <c r="E990" s="452"/>
      <c r="F990" s="452"/>
      <c r="G990" s="452"/>
      <c r="H990" s="452"/>
      <c r="I990" s="452"/>
    </row>
    <row r="991" spans="1:9" ht="12.75" x14ac:dyDescent="0.2">
      <c r="A991" s="455"/>
      <c r="B991" s="452"/>
      <c r="C991" s="452"/>
      <c r="D991" s="452"/>
      <c r="E991" s="452"/>
      <c r="F991" s="452"/>
      <c r="G991" s="452"/>
      <c r="H991" s="452"/>
      <c r="I991" s="452"/>
    </row>
    <row r="992" spans="1:9" ht="12.75" x14ac:dyDescent="0.2">
      <c r="A992" s="455"/>
      <c r="B992" s="452"/>
      <c r="C992" s="452"/>
      <c r="D992" s="452"/>
      <c r="E992" s="452"/>
      <c r="F992" s="452"/>
      <c r="G992" s="452"/>
      <c r="H992" s="452"/>
      <c r="I992" s="452"/>
    </row>
    <row r="993" spans="1:9" ht="12.75" x14ac:dyDescent="0.2">
      <c r="A993" s="455"/>
      <c r="B993" s="452"/>
      <c r="C993" s="452"/>
      <c r="D993" s="452"/>
      <c r="E993" s="452"/>
      <c r="F993" s="452"/>
      <c r="G993" s="452"/>
      <c r="H993" s="452"/>
      <c r="I993" s="452"/>
    </row>
    <row r="994" spans="1:9" ht="12.75" x14ac:dyDescent="0.2">
      <c r="A994" s="455"/>
      <c r="B994" s="452"/>
      <c r="C994" s="452"/>
      <c r="D994" s="452"/>
      <c r="E994" s="452"/>
      <c r="F994" s="452"/>
      <c r="G994" s="452"/>
      <c r="H994" s="452"/>
      <c r="I994" s="452"/>
    </row>
    <row r="995" spans="1:9" ht="12.75" x14ac:dyDescent="0.2">
      <c r="A995" s="455"/>
      <c r="B995" s="452"/>
      <c r="C995" s="452"/>
      <c r="D995" s="452"/>
      <c r="E995" s="452"/>
      <c r="F995" s="452"/>
      <c r="G995" s="452"/>
      <c r="H995" s="452"/>
      <c r="I995" s="452"/>
    </row>
    <row r="996" spans="1:9" ht="12.75" x14ac:dyDescent="0.2">
      <c r="A996" s="455"/>
      <c r="B996" s="452"/>
      <c r="C996" s="452"/>
      <c r="D996" s="452"/>
      <c r="E996" s="452"/>
      <c r="F996" s="452"/>
      <c r="G996" s="452"/>
      <c r="H996" s="452"/>
      <c r="I996" s="452"/>
    </row>
    <row r="997" spans="1:9" ht="12.75" x14ac:dyDescent="0.2">
      <c r="A997" s="455"/>
      <c r="B997" s="452"/>
      <c r="C997" s="452"/>
      <c r="D997" s="452"/>
      <c r="E997" s="452"/>
      <c r="F997" s="452"/>
      <c r="G997" s="452"/>
      <c r="H997" s="452"/>
      <c r="I997" s="452"/>
    </row>
    <row r="998" spans="1:9" ht="12.75" x14ac:dyDescent="0.2">
      <c r="A998" s="455"/>
      <c r="B998" s="452"/>
      <c r="C998" s="452"/>
      <c r="D998" s="452"/>
      <c r="E998" s="452"/>
      <c r="F998" s="452"/>
      <c r="G998" s="452"/>
      <c r="H998" s="452"/>
      <c r="I998" s="452"/>
    </row>
    <row r="999" spans="1:9" ht="12.75" x14ac:dyDescent="0.2">
      <c r="A999" s="455"/>
      <c r="B999" s="452"/>
      <c r="C999" s="452"/>
      <c r="D999" s="452"/>
      <c r="E999" s="452"/>
      <c r="F999" s="452"/>
      <c r="G999" s="452"/>
      <c r="H999" s="452"/>
      <c r="I999" s="452"/>
    </row>
    <row r="1000" spans="1:9" ht="12.75" x14ac:dyDescent="0.2">
      <c r="A1000" s="455"/>
      <c r="B1000" s="452"/>
      <c r="C1000" s="452"/>
      <c r="D1000" s="452"/>
      <c r="E1000" s="452"/>
      <c r="F1000" s="452"/>
      <c r="G1000" s="452"/>
      <c r="H1000" s="452"/>
      <c r="I1000" s="452"/>
    </row>
    <row r="1001" spans="1:9" ht="12.75" x14ac:dyDescent="0.2">
      <c r="A1001" s="455"/>
      <c r="B1001" s="452"/>
      <c r="C1001" s="452"/>
      <c r="D1001" s="452"/>
      <c r="E1001" s="452"/>
      <c r="F1001" s="452"/>
      <c r="G1001" s="452"/>
      <c r="H1001" s="452"/>
      <c r="I1001" s="452"/>
    </row>
    <row r="1002" spans="1:9" ht="12.75" x14ac:dyDescent="0.2">
      <c r="A1002" s="455"/>
      <c r="B1002" s="452"/>
      <c r="C1002" s="452"/>
      <c r="D1002" s="452"/>
      <c r="E1002" s="452"/>
      <c r="F1002" s="452"/>
      <c r="G1002" s="452"/>
      <c r="H1002" s="452"/>
      <c r="I1002" s="452"/>
    </row>
    <row r="1003" spans="1:9" ht="12.75" x14ac:dyDescent="0.2">
      <c r="A1003" s="455"/>
      <c r="B1003" s="452"/>
      <c r="C1003" s="452"/>
      <c r="D1003" s="452"/>
      <c r="E1003" s="452"/>
      <c r="F1003" s="452"/>
      <c r="G1003" s="452"/>
      <c r="H1003" s="452"/>
      <c r="I1003" s="452"/>
    </row>
    <row r="1004" spans="1:9" ht="12.75" x14ac:dyDescent="0.2">
      <c r="A1004" s="455"/>
      <c r="B1004" s="452"/>
      <c r="C1004" s="452"/>
      <c r="D1004" s="452"/>
      <c r="E1004" s="452"/>
      <c r="F1004" s="452"/>
      <c r="G1004" s="452"/>
      <c r="H1004" s="452"/>
      <c r="I1004" s="452"/>
    </row>
  </sheetData>
  <mergeCells count="10">
    <mergeCell ref="A23:A24"/>
    <mergeCell ref="B23:E23"/>
    <mergeCell ref="F23:I23"/>
    <mergeCell ref="A40:I40"/>
    <mergeCell ref="A1:I1"/>
    <mergeCell ref="A2:A3"/>
    <mergeCell ref="B2:E2"/>
    <mergeCell ref="F2:I2"/>
    <mergeCell ref="A19:I19"/>
    <mergeCell ref="A22:I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Assumptions</vt:lpstr>
      <vt:lpstr>BCA Summary </vt:lpstr>
      <vt:lpstr>Travel Time Savings </vt:lpstr>
      <vt:lpstr>Operation Benefits</vt:lpstr>
      <vt:lpstr>Safety Benefits</vt:lpstr>
      <vt:lpstr>Air Quality</vt:lpstr>
      <vt:lpstr>Operating and Maintenance Costs</vt:lpstr>
      <vt:lpstr>Capital Cost and RCV Calc</vt:lpstr>
      <vt:lpstr>RCV Calculator</vt:lpstr>
      <vt:lpstr>Public Crossings</vt:lpstr>
      <vt:lpstr>'Air Quality'!Print_Area</vt:lpstr>
      <vt:lpstr>'BCA Summary '!Print_Area</vt:lpstr>
      <vt:lpstr>'Capital Cost and RCV Calc'!Print_Area</vt:lpstr>
      <vt:lpstr>'Safety Benefits'!Print_Area</vt:lpstr>
    </vt:vector>
  </TitlesOfParts>
  <Company>SRF Consulting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Loos</dc:creator>
  <cp:lastModifiedBy>Nick Semeja</cp:lastModifiedBy>
  <cp:lastPrinted>2015-06-02T17:19:45Z</cp:lastPrinted>
  <dcterms:created xsi:type="dcterms:W3CDTF">2013-05-17T20:57:43Z</dcterms:created>
  <dcterms:modified xsi:type="dcterms:W3CDTF">2022-11-30T22:57:10Z</dcterms:modified>
</cp:coreProperties>
</file>