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Trans\Grant Applications\2022 Grants\CRISI\Kandiyohi County\Kandiyohi County\BCA\"/>
    </mc:Choice>
  </mc:AlternateContent>
  <xr:revisionPtr revIDLastSave="0" documentId="13_ncr:1_{DC0FDB07-0FF4-4CEA-ABDA-149A6BBFB73C}" xr6:coauthVersionLast="47" xr6:coauthVersionMax="47" xr10:uidLastSave="{00000000-0000-0000-0000-000000000000}"/>
  <bookViews>
    <workbookView xWindow="-120" yWindow="-120" windowWidth="29040" windowHeight="15990" tabRatio="851" activeTab="1" xr2:uid="{00000000-000D-0000-FFFF-FFFF00000000}"/>
  </bookViews>
  <sheets>
    <sheet name="Assumptions" sheetId="28" r:id="rId1"/>
    <sheet name="BCA Summary " sheetId="46" r:id="rId2"/>
    <sheet name="Travel Time Savings " sheetId="36" r:id="rId3"/>
    <sheet name="Operation Benefits" sheetId="44" r:id="rId4"/>
    <sheet name="Safety Benefits" sheetId="50" r:id="rId5"/>
    <sheet name="Air Quality" sheetId="47" r:id="rId6"/>
    <sheet name="Operating and Maintenance Costs" sheetId="48" r:id="rId7"/>
    <sheet name="Capital Cost and RCV Calc" sheetId="51" r:id="rId8"/>
    <sheet name="Crashes" sheetId="53" r:id="rId9"/>
    <sheet name="Collision Injury Breakdown" sheetId="52" r:id="rId10"/>
  </sheets>
  <externalReferences>
    <externalReference r:id="rId11"/>
    <externalReference r:id="rId12"/>
  </externalReferences>
  <definedNames>
    <definedName name="_Fill" localSheetId="7" hidden="1">#REF!</definedName>
    <definedName name="_Fill" hidden="1">#REF!</definedName>
    <definedName name="_Key1" localSheetId="7" hidden="1">'[1]Journal Entry'!#REF!</definedName>
    <definedName name="_Key1" hidden="1">'[1]Journal Entry'!#REF!</definedName>
    <definedName name="_Key2" localSheetId="7" hidden="1">'[1]Journal Entry'!#REF!</definedName>
    <definedName name="_Key2" hidden="1">'[1]Journal Entry'!#REF!</definedName>
    <definedName name="_Order1" hidden="1">255</definedName>
    <definedName name="_Order2" hidden="1">255</definedName>
    <definedName name="BEx3O85IKWARA6NCJOLRBRJFMEWW" hidden="1">'[2]Q2 09 Rail BS Leads'!#REF!</definedName>
    <definedName name="BEx5MLQZM68YQSKARVWTTPINFQ2C" hidden="1">'[2]Q2 09 Rail BS Leads'!#REF!</definedName>
    <definedName name="BExERWCEBKQRYWRQLYJ4UCMMKTHG" hidden="1">'[2]Q2 09 Rail BS Leads'!#REF!</definedName>
    <definedName name="BExMBYPQDG9AYDQ5E8IECVFREPO6" hidden="1">'[2]Q2 09 Rail BS Leads'!#REF!</definedName>
    <definedName name="BExQ9ZLYHWABXAA9NJDW8ZS0UQ9P" hidden="1">'[2]Q2 09 Rail BS Leads'!#REF!</definedName>
    <definedName name="BExTUY9WNSJ91GV8CP0SKJTEIV82" hidden="1">'[2]Q2 09 Rail BS Leads'!#REF!</definedName>
    <definedName name="_xlnm.Print_Area" localSheetId="5">'Air Quality'!$A$1:$AQ$52</definedName>
    <definedName name="_xlnm.Print_Area" localSheetId="1">'BCA Summary '!$A$1:$K$84</definedName>
    <definedName name="_xlnm.Print_Area" localSheetId="4">'Safety Benefits'!$A$2:$P$63</definedName>
    <definedName name="_xlnm.Print_Area" localSheetId="2">'Travel Time Savings '!$A$2:$T$92</definedName>
    <definedName name="SAPBEXhrIndnt" hidden="1">"Wide"</definedName>
    <definedName name="SAPsysID" hidden="1">"708C5W7SBKP804JT78WJ0JNKI"</definedName>
    <definedName name="SAPwbID" hidden="1">"ARS"</definedName>
    <definedName name="solver_typ" localSheetId="7" hidden="1">2</definedName>
    <definedName name="solver_typ" localSheetId="6" hidden="1">2</definedName>
    <definedName name="solver_ver" localSheetId="7" hidden="1">17</definedName>
    <definedName name="solver_ver" localSheetId="6" hidden="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50" l="1"/>
  <c r="J15" i="50" s="1"/>
  <c r="O40" i="36"/>
  <c r="O28" i="36"/>
  <c r="N28" i="36"/>
  <c r="J26" i="36"/>
  <c r="M21" i="50" s="1"/>
  <c r="L15" i="50" s="1"/>
  <c r="I26" i="36"/>
  <c r="L21" i="50" s="1"/>
  <c r="K15" i="50" s="1"/>
  <c r="N34" i="36"/>
  <c r="G8" i="48"/>
  <c r="J11" i="50"/>
  <c r="J10" i="50"/>
  <c r="J17" i="50"/>
  <c r="J18" i="50" s="1"/>
  <c r="J16" i="50"/>
  <c r="J19" i="52" l="1"/>
  <c r="J22" i="50" s="1"/>
  <c r="J23" i="50" s="1"/>
  <c r="J18" i="52"/>
  <c r="J17" i="52"/>
  <c r="J16" i="52"/>
  <c r="J15" i="52"/>
  <c r="J14" i="52"/>
  <c r="J13" i="52"/>
  <c r="J12" i="52"/>
  <c r="J11" i="52"/>
  <c r="J10" i="52"/>
  <c r="J9" i="52"/>
  <c r="J8" i="52"/>
  <c r="J7" i="52"/>
  <c r="J6" i="52"/>
  <c r="J5" i="52"/>
  <c r="J4" i="52"/>
  <c r="N42" i="36"/>
  <c r="O38" i="36"/>
  <c r="O39" i="36"/>
  <c r="O41" i="36"/>
  <c r="I30" i="36"/>
  <c r="K22" i="50" l="1"/>
  <c r="K23" i="50"/>
  <c r="O42" i="36"/>
  <c r="N27" i="36"/>
  <c r="O27" i="36"/>
  <c r="N33" i="36" s="1"/>
  <c r="N26" i="36"/>
  <c r="N32" i="36" s="1"/>
  <c r="E13" i="28"/>
  <c r="Z16" i="47"/>
  <c r="Z20" i="47" s="1"/>
  <c r="Y16" i="47"/>
  <c r="Y20" i="47" s="1"/>
  <c r="B5" i="51"/>
  <c r="L9"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M6" i="51"/>
  <c r="F7" i="51"/>
  <c r="F6" i="51"/>
  <c r="F5" i="51"/>
  <c r="H6" i="51" l="1"/>
  <c r="B6" i="51"/>
  <c r="M7" i="51"/>
  <c r="I6" i="51" s="1"/>
  <c r="N6" i="51"/>
  <c r="N7" i="51" s="1"/>
  <c r="E36" i="51" s="1"/>
  <c r="O33" i="36" l="1"/>
  <c r="Q39" i="36"/>
  <c r="Q40" i="36"/>
  <c r="Q41" i="36"/>
  <c r="Q38" i="36"/>
  <c r="P38" i="36"/>
  <c r="P39" i="36"/>
  <c r="P40" i="36"/>
  <c r="P41" i="36"/>
  <c r="I7" i="51"/>
  <c r="I8" i="51" s="1"/>
  <c r="C5" i="51"/>
  <c r="D5" i="51" s="1"/>
  <c r="H7" i="51"/>
  <c r="B7" i="51"/>
  <c r="D7" i="51" s="1"/>
  <c r="C6" i="51"/>
  <c r="D6" i="51" s="1"/>
  <c r="Q42" i="36" l="1"/>
  <c r="I27" i="36"/>
  <c r="P42" i="36"/>
  <c r="J22" i="36"/>
  <c r="L22" i="36" s="1"/>
  <c r="B8" i="51"/>
  <c r="D8" i="51" s="1"/>
  <c r="C37" i="51"/>
  <c r="J27" i="36" l="1"/>
  <c r="B9" i="51"/>
  <c r="D9" i="51" s="1"/>
  <c r="M22" i="36" l="1"/>
  <c r="K22" i="36"/>
  <c r="K16" i="50"/>
  <c r="K17" i="50"/>
  <c r="K18" i="50" s="1"/>
  <c r="J23" i="36"/>
  <c r="B10" i="51"/>
  <c r="D10" i="51" s="1"/>
  <c r="L17" i="50" l="1"/>
  <c r="L18" i="50" s="1"/>
  <c r="L16" i="50"/>
  <c r="L23" i="50"/>
  <c r="L22" i="50"/>
  <c r="B11" i="51"/>
  <c r="D11" i="51" s="1"/>
  <c r="M23" i="50" l="1"/>
  <c r="M22" i="50"/>
  <c r="B12" i="51"/>
  <c r="D12" i="51" s="1"/>
  <c r="B13" i="51" l="1"/>
  <c r="D13" i="51" s="1"/>
  <c r="B14" i="51" l="1"/>
  <c r="D14" i="51" s="1"/>
  <c r="B15" i="51" l="1"/>
  <c r="D15" i="51" s="1"/>
  <c r="B16" i="51" l="1"/>
  <c r="D16" i="51" s="1"/>
  <c r="B17" i="51" l="1"/>
  <c r="D17" i="51" s="1"/>
  <c r="B18" i="51" l="1"/>
  <c r="D18" i="51" s="1"/>
  <c r="B19" i="51" l="1"/>
  <c r="D19" i="51" s="1"/>
  <c r="B20" i="51" l="1"/>
  <c r="D20" i="51" s="1"/>
  <c r="B21" i="51" l="1"/>
  <c r="D21" i="51" s="1"/>
  <c r="B22" i="51" l="1"/>
  <c r="D22" i="51" s="1"/>
  <c r="B23" i="51" l="1"/>
  <c r="D23" i="51" s="1"/>
  <c r="B24" i="51" l="1"/>
  <c r="D24" i="51" s="1"/>
  <c r="B25" i="51" l="1"/>
  <c r="D25" i="51" s="1"/>
  <c r="B26" i="51" l="1"/>
  <c r="D26" i="51" s="1"/>
  <c r="B27" i="51" l="1"/>
  <c r="D27" i="51" s="1"/>
  <c r="B28" i="51" l="1"/>
  <c r="D28" i="51" s="1"/>
  <c r="B29" i="51" l="1"/>
  <c r="D29" i="51" s="1"/>
  <c r="B30" i="51" l="1"/>
  <c r="D30" i="51" s="1"/>
  <c r="B31" i="51" l="1"/>
  <c r="D31" i="51" s="1"/>
  <c r="B32" i="51" l="1"/>
  <c r="D32" i="51" s="1"/>
  <c r="B33" i="51" l="1"/>
  <c r="D33" i="51" s="1"/>
  <c r="B34" i="51" l="1"/>
  <c r="D34" i="51" s="1"/>
  <c r="B35" i="51" l="1"/>
  <c r="D35" i="51" s="1"/>
  <c r="B36" i="51" l="1"/>
  <c r="D36" i="51" l="1"/>
  <c r="F36" i="51"/>
  <c r="D37" i="51"/>
  <c r="F37" i="51"/>
  <c r="P83" i="46" s="1"/>
  <c r="P93" i="46" s="1"/>
  <c r="C40" i="51" l="1"/>
  <c r="E77" i="46"/>
  <c r="K23" i="36"/>
  <c r="I23" i="36"/>
  <c r="L24" i="50" l="1"/>
  <c r="K24" i="50"/>
  <c r="Z17" i="47"/>
  <c r="M24" i="50"/>
  <c r="Y17" i="47"/>
  <c r="C34" i="48"/>
  <c r="H39" i="46" s="1"/>
  <c r="C33" i="48"/>
  <c r="H38" i="46" s="1"/>
  <c r="C32" i="48"/>
  <c r="H37" i="46" s="1"/>
  <c r="C31" i="48"/>
  <c r="H36" i="46" s="1"/>
  <c r="C30" i="48"/>
  <c r="H35" i="46" s="1"/>
  <c r="C29" i="48"/>
  <c r="H34" i="46" s="1"/>
  <c r="C28" i="48"/>
  <c r="H33" i="46" s="1"/>
  <c r="C27" i="48"/>
  <c r="H32" i="46" s="1"/>
  <c r="C26" i="48"/>
  <c r="H31" i="46" s="1"/>
  <c r="C25" i="48"/>
  <c r="H30" i="46" s="1"/>
  <c r="C24" i="48"/>
  <c r="H29" i="46" s="1"/>
  <c r="C23" i="48"/>
  <c r="H28" i="46" s="1"/>
  <c r="C22" i="48"/>
  <c r="H27" i="46" s="1"/>
  <c r="C21" i="48"/>
  <c r="H26" i="46" s="1"/>
  <c r="C20" i="48"/>
  <c r="H25" i="46" s="1"/>
  <c r="C19" i="48"/>
  <c r="H24" i="46" s="1"/>
  <c r="C18" i="48"/>
  <c r="H23" i="46" s="1"/>
  <c r="C17" i="48"/>
  <c r="H22" i="46" s="1"/>
  <c r="C16" i="48"/>
  <c r="H21" i="46" s="1"/>
  <c r="C15" i="48"/>
  <c r="H20" i="46" s="1"/>
  <c r="C14" i="48"/>
  <c r="H19" i="46" s="1"/>
  <c r="C13" i="48"/>
  <c r="H18" i="46" s="1"/>
  <c r="C12" i="48"/>
  <c r="H17" i="46" s="1"/>
  <c r="C11" i="48"/>
  <c r="H16" i="46" s="1"/>
  <c r="C10" i="48"/>
  <c r="H15" i="46" s="1"/>
  <c r="C9" i="48"/>
  <c r="H14" i="46" s="1"/>
  <c r="C8" i="48"/>
  <c r="H13" i="46" s="1"/>
  <c r="C7" i="48"/>
  <c r="H12" i="46" s="1"/>
  <c r="C6" i="48"/>
  <c r="H11" i="46" s="1"/>
  <c r="C5" i="48"/>
  <c r="H10" i="46" s="1"/>
  <c r="B39" i="44" l="1"/>
  <c r="B43" i="36"/>
  <c r="B39" i="36"/>
  <c r="E14" i="28"/>
  <c r="D14" i="28"/>
  <c r="D21" i="28" s="1"/>
  <c r="D8" i="28"/>
  <c r="Y6" i="47"/>
  <c r="Y13" i="47" s="1"/>
  <c r="D9" i="28" l="1"/>
  <c r="B6" i="50"/>
  <c r="C6" i="50" s="1"/>
  <c r="B7" i="50" l="1"/>
  <c r="C7" i="50" s="1"/>
  <c r="AI26" i="47"/>
  <c r="V8" i="47" s="1"/>
  <c r="AH26" i="47"/>
  <c r="U8" i="47" s="1"/>
  <c r="AG26" i="47"/>
  <c r="T8" i="47" s="1"/>
  <c r="AF26" i="47"/>
  <c r="S8" i="47" s="1"/>
  <c r="AI25" i="47"/>
  <c r="V7" i="47" s="1"/>
  <c r="AH25" i="47"/>
  <c r="U7" i="47" s="1"/>
  <c r="AG25" i="47"/>
  <c r="T7" i="47" s="1"/>
  <c r="AF25" i="47"/>
  <c r="S7" i="47" s="1"/>
  <c r="D6" i="50" l="1"/>
  <c r="E6" i="50"/>
  <c r="B8" i="50"/>
  <c r="C8" i="50" s="1"/>
  <c r="D7" i="50" l="1"/>
  <c r="E7" i="50"/>
  <c r="B9" i="50"/>
  <c r="C9" i="50" s="1"/>
  <c r="F6" i="50"/>
  <c r="V44" i="47"/>
  <c r="V45" i="47" s="1"/>
  <c r="V46" i="47" s="1"/>
  <c r="V47" i="47" s="1"/>
  <c r="V48" i="47" s="1"/>
  <c r="V49" i="47" s="1"/>
  <c r="V50" i="47" s="1"/>
  <c r="V51" i="47" s="1"/>
  <c r="D8" i="50" l="1"/>
  <c r="E8" i="50"/>
  <c r="F8" i="50" s="1"/>
  <c r="B10" i="50"/>
  <c r="C10" i="50" s="1"/>
  <c r="F7" i="50"/>
  <c r="T44" i="47"/>
  <c r="T45" i="47" s="1"/>
  <c r="T46" i="47" s="1"/>
  <c r="T47" i="47" s="1"/>
  <c r="T48" i="47" s="1"/>
  <c r="T49" i="47" s="1"/>
  <c r="T50" i="47" s="1"/>
  <c r="T51" i="47" s="1"/>
  <c r="U44" i="47"/>
  <c r="U45" i="47" s="1"/>
  <c r="U46" i="47" s="1"/>
  <c r="U47" i="47" s="1"/>
  <c r="U48" i="47" s="1"/>
  <c r="U49" i="47" s="1"/>
  <c r="U50" i="47" s="1"/>
  <c r="U51" i="47" s="1"/>
  <c r="S44" i="47"/>
  <c r="S45" i="47" s="1"/>
  <c r="S46" i="47" s="1"/>
  <c r="S47" i="47" s="1"/>
  <c r="S48" i="47" s="1"/>
  <c r="S49" i="47" s="1"/>
  <c r="S50" i="47" s="1"/>
  <c r="S51" i="47" s="1"/>
  <c r="D9" i="50" l="1"/>
  <c r="E9" i="50"/>
  <c r="B11" i="50"/>
  <c r="C11" i="50" s="1"/>
  <c r="D10" i="50" l="1"/>
  <c r="E10" i="50"/>
  <c r="B12" i="50"/>
  <c r="C12" i="50" s="1"/>
  <c r="F9" i="50"/>
  <c r="D11" i="50" l="1"/>
  <c r="E11" i="50"/>
  <c r="B13" i="50"/>
  <c r="C13" i="50" s="1"/>
  <c r="F10" i="50"/>
  <c r="D12" i="50" l="1"/>
  <c r="E12" i="50"/>
  <c r="B14" i="50"/>
  <c r="C14" i="50" s="1"/>
  <c r="F11" i="50"/>
  <c r="D13" i="50" l="1"/>
  <c r="E13" i="50"/>
  <c r="B15" i="50"/>
  <c r="C15" i="50" s="1"/>
  <c r="F12" i="50"/>
  <c r="D14" i="50" l="1"/>
  <c r="E14" i="50"/>
  <c r="B16" i="50"/>
  <c r="C16" i="50" s="1"/>
  <c r="F13" i="50"/>
  <c r="D15" i="50" l="1"/>
  <c r="E15" i="50"/>
  <c r="B17" i="50"/>
  <c r="C17" i="50" s="1"/>
  <c r="F14" i="50"/>
  <c r="I10" i="36"/>
  <c r="D16" i="50" l="1"/>
  <c r="E16" i="50"/>
  <c r="B18" i="50"/>
  <c r="C18" i="50" s="1"/>
  <c r="F15" i="50"/>
  <c r="C35" i="48"/>
  <c r="D17" i="50" l="1"/>
  <c r="E17" i="50"/>
  <c r="B19" i="50"/>
  <c r="C19" i="50" s="1"/>
  <c r="F16" i="50"/>
  <c r="D18" i="50" l="1"/>
  <c r="E18" i="50"/>
  <c r="B20" i="50"/>
  <c r="C20" i="50" s="1"/>
  <c r="F17" i="50"/>
  <c r="B45" i="46"/>
  <c r="C45" i="46" s="1"/>
  <c r="D19" i="50" l="1"/>
  <c r="E19" i="50"/>
  <c r="B21" i="50"/>
  <c r="C21" i="50" s="1"/>
  <c r="F18" i="50"/>
  <c r="B46" i="46"/>
  <c r="C46" i="46" s="1"/>
  <c r="D20" i="50" l="1"/>
  <c r="E20" i="50"/>
  <c r="B22" i="50"/>
  <c r="C22" i="50" s="1"/>
  <c r="F19" i="50"/>
  <c r="D21" i="50" l="1"/>
  <c r="E21" i="50"/>
  <c r="B23" i="50"/>
  <c r="C23" i="50" s="1"/>
  <c r="F20" i="50"/>
  <c r="D45" i="46"/>
  <c r="D22" i="50" l="1"/>
  <c r="E22" i="50"/>
  <c r="B24" i="50"/>
  <c r="C24" i="50" s="1"/>
  <c r="F21" i="50"/>
  <c r="D23" i="50" l="1"/>
  <c r="E23" i="50"/>
  <c r="B25" i="50"/>
  <c r="C25" i="50" s="1"/>
  <c r="F22" i="50"/>
  <c r="D46" i="46"/>
  <c r="D24" i="50" l="1"/>
  <c r="E24" i="50"/>
  <c r="B26" i="50"/>
  <c r="C26" i="50" s="1"/>
  <c r="F23" i="50"/>
  <c r="E25" i="50" l="1"/>
  <c r="D25" i="50"/>
  <c r="B27" i="50"/>
  <c r="C27" i="50" s="1"/>
  <c r="F24" i="50"/>
  <c r="I11" i="36"/>
  <c r="E26" i="50" l="1"/>
  <c r="D26" i="50"/>
  <c r="B28" i="50"/>
  <c r="C28" i="50" s="1"/>
  <c r="F25" i="50"/>
  <c r="I15" i="36"/>
  <c r="I14" i="36"/>
  <c r="I7" i="36"/>
  <c r="I6" i="36"/>
  <c r="I18" i="36" s="1"/>
  <c r="E27" i="50" l="1"/>
  <c r="F27" i="50" s="1"/>
  <c r="D27" i="50"/>
  <c r="B29" i="50"/>
  <c r="C29" i="50" s="1"/>
  <c r="F26" i="50"/>
  <c r="E28" i="50" l="1"/>
  <c r="D28" i="50"/>
  <c r="B30" i="50"/>
  <c r="C30" i="50" s="1"/>
  <c r="E29" i="50" l="1"/>
  <c r="D29" i="50"/>
  <c r="B31" i="50"/>
  <c r="C31" i="50" s="1"/>
  <c r="F28" i="50"/>
  <c r="E30" i="50" l="1"/>
  <c r="D30" i="50"/>
  <c r="B32" i="50"/>
  <c r="C32" i="50" s="1"/>
  <c r="F29" i="50"/>
  <c r="E31" i="50" l="1"/>
  <c r="D31" i="50"/>
  <c r="B33" i="50"/>
  <c r="C33" i="50" s="1"/>
  <c r="F30" i="50"/>
  <c r="B10" i="46"/>
  <c r="B5" i="48"/>
  <c r="D5" i="48" s="1"/>
  <c r="B5" i="47"/>
  <c r="B6" i="44"/>
  <c r="B6" i="36"/>
  <c r="C6" i="36" s="1" a="1"/>
  <c r="C6" i="36" s="1"/>
  <c r="B9" i="46" l="1"/>
  <c r="B8" i="46" s="1"/>
  <c r="I10" i="46"/>
  <c r="G10" i="46"/>
  <c r="B6" i="47"/>
  <c r="E32" i="50"/>
  <c r="D32" i="50"/>
  <c r="B34" i="50"/>
  <c r="C34" i="50" s="1"/>
  <c r="F31" i="50"/>
  <c r="B11" i="46"/>
  <c r="B7" i="47"/>
  <c r="B7" i="46"/>
  <c r="B6" i="48"/>
  <c r="D6" i="48" s="1"/>
  <c r="B12" i="46"/>
  <c r="B7" i="36"/>
  <c r="C7" i="36" s="1" a="1"/>
  <c r="C7" i="36" s="1"/>
  <c r="B7" i="44"/>
  <c r="B47" i="46"/>
  <c r="C47" i="46" s="1"/>
  <c r="I12" i="46" l="1"/>
  <c r="G12" i="46"/>
  <c r="I11" i="46"/>
  <c r="G11" i="46"/>
  <c r="E33" i="50"/>
  <c r="D33" i="50"/>
  <c r="B35" i="50"/>
  <c r="C35" i="50" s="1"/>
  <c r="F32" i="50"/>
  <c r="B8" i="47"/>
  <c r="B48" i="46"/>
  <c r="C48" i="46" s="1"/>
  <c r="D47" i="46"/>
  <c r="B7" i="48"/>
  <c r="D7" i="48" s="1"/>
  <c r="B13" i="46"/>
  <c r="B8" i="36"/>
  <c r="C8" i="36" s="1" a="1"/>
  <c r="C8" i="36" s="1"/>
  <c r="B8" i="44"/>
  <c r="I13" i="46" l="1"/>
  <c r="G13" i="46"/>
  <c r="B9" i="36"/>
  <c r="C9" i="36" s="1" a="1"/>
  <c r="C9" i="36" s="1"/>
  <c r="E34" i="50"/>
  <c r="D34" i="50"/>
  <c r="E35" i="50"/>
  <c r="D35" i="50"/>
  <c r="F33" i="50"/>
  <c r="B9" i="47"/>
  <c r="B49" i="46"/>
  <c r="C49" i="46" s="1"/>
  <c r="D48" i="46"/>
  <c r="B8" i="48"/>
  <c r="D8" i="48" s="1"/>
  <c r="B14" i="46"/>
  <c r="B9" i="44"/>
  <c r="I14" i="46" l="1"/>
  <c r="G14" i="46"/>
  <c r="B10" i="36"/>
  <c r="C10" i="36" s="1" a="1"/>
  <c r="C10" i="36" s="1"/>
  <c r="F35" i="50"/>
  <c r="D36" i="50"/>
  <c r="F34" i="50"/>
  <c r="F36" i="50" s="1"/>
  <c r="P80" i="46" s="1"/>
  <c r="P90" i="46" s="1"/>
  <c r="B10" i="47"/>
  <c r="B50" i="46"/>
  <c r="C50" i="46" s="1"/>
  <c r="D49" i="46"/>
  <c r="B9" i="48"/>
  <c r="D9" i="48" s="1"/>
  <c r="B15" i="46"/>
  <c r="B10" i="44"/>
  <c r="I15" i="46" l="1"/>
  <c r="G15" i="46"/>
  <c r="B11" i="36"/>
  <c r="C11" i="36" s="1" a="1"/>
  <c r="C11" i="36" s="1"/>
  <c r="B11" i="47"/>
  <c r="B11" i="44"/>
  <c r="B51" i="46"/>
  <c r="C51" i="46" s="1"/>
  <c r="D50" i="46"/>
  <c r="B10" i="48"/>
  <c r="D10" i="48" s="1"/>
  <c r="B16" i="46"/>
  <c r="I16" i="46" l="1"/>
  <c r="G16" i="46"/>
  <c r="B12" i="44"/>
  <c r="B12" i="36"/>
  <c r="C12" i="36" s="1" a="1"/>
  <c r="C12" i="36" s="1"/>
  <c r="B12" i="47"/>
  <c r="B52" i="46"/>
  <c r="D51" i="46"/>
  <c r="B13" i="44"/>
  <c r="B11" i="48"/>
  <c r="D11" i="48" s="1"/>
  <c r="B17" i="46"/>
  <c r="I17" i="46" l="1"/>
  <c r="G17" i="46"/>
  <c r="B53" i="46"/>
  <c r="C52" i="46"/>
  <c r="B13" i="36"/>
  <c r="C13" i="36" s="1" a="1"/>
  <c r="C13" i="36" s="1"/>
  <c r="B13" i="47"/>
  <c r="B12" i="48"/>
  <c r="D12" i="48" s="1"/>
  <c r="B14" i="44"/>
  <c r="B18" i="46"/>
  <c r="I18" i="46" l="1"/>
  <c r="G18" i="46"/>
  <c r="B54" i="46"/>
  <c r="C53" i="46"/>
  <c r="B14" i="36"/>
  <c r="C14" i="36" s="1" a="1"/>
  <c r="C14" i="36" s="1"/>
  <c r="B14" i="47"/>
  <c r="B15" i="44"/>
  <c r="B13" i="48"/>
  <c r="D13" i="48" s="1"/>
  <c r="B19" i="46"/>
  <c r="I19" i="46" l="1"/>
  <c r="G19" i="46"/>
  <c r="B55" i="46"/>
  <c r="C54" i="46"/>
  <c r="B15" i="36"/>
  <c r="C15" i="36" s="1" a="1"/>
  <c r="C15" i="36" s="1"/>
  <c r="B15" i="47"/>
  <c r="D52" i="46"/>
  <c r="B16" i="44"/>
  <c r="B14" i="48"/>
  <c r="D14" i="48" s="1"/>
  <c r="B20" i="46"/>
  <c r="I20" i="46" l="1"/>
  <c r="G20" i="46"/>
  <c r="B56" i="46"/>
  <c r="C55" i="46"/>
  <c r="B16" i="36"/>
  <c r="C16" i="36" s="1" a="1"/>
  <c r="C16" i="36" s="1"/>
  <c r="B16" i="47"/>
  <c r="B15" i="48"/>
  <c r="D15" i="48" s="1"/>
  <c r="B17" i="44"/>
  <c r="B21" i="46"/>
  <c r="I21" i="46" l="1"/>
  <c r="G21" i="46"/>
  <c r="B57" i="46"/>
  <c r="C56" i="46"/>
  <c r="B17" i="36"/>
  <c r="C17" i="36" s="1" a="1"/>
  <c r="C17" i="36" s="1"/>
  <c r="B17" i="47"/>
  <c r="B16" i="48"/>
  <c r="D16" i="48" s="1"/>
  <c r="B18" i="44"/>
  <c r="B22" i="46"/>
  <c r="I22" i="46" l="1"/>
  <c r="G22" i="46"/>
  <c r="B58" i="46"/>
  <c r="C57" i="46"/>
  <c r="B18" i="36"/>
  <c r="C18" i="36" s="1" a="1"/>
  <c r="C18" i="36" s="1"/>
  <c r="B18" i="47"/>
  <c r="B19" i="44"/>
  <c r="B17" i="48"/>
  <c r="D17" i="48" s="1"/>
  <c r="B23" i="46"/>
  <c r="I23" i="46" l="1"/>
  <c r="G23" i="46"/>
  <c r="B59" i="46"/>
  <c r="C58" i="46"/>
  <c r="B19" i="36"/>
  <c r="C19" i="36" s="1" a="1"/>
  <c r="C19" i="36" s="1"/>
  <c r="B19" i="47"/>
  <c r="B18" i="48"/>
  <c r="D18" i="48" s="1"/>
  <c r="B20" i="44"/>
  <c r="B24" i="46"/>
  <c r="I24" i="46" l="1"/>
  <c r="G24" i="46"/>
  <c r="B60" i="46"/>
  <c r="C59" i="46"/>
  <c r="B20" i="36"/>
  <c r="C20" i="36" s="1" a="1"/>
  <c r="C20" i="36" s="1"/>
  <c r="B20" i="47"/>
  <c r="B21" i="44"/>
  <c r="B19" i="48"/>
  <c r="D19" i="48" s="1"/>
  <c r="B25" i="46"/>
  <c r="I25" i="46" l="1"/>
  <c r="G25" i="46"/>
  <c r="B61" i="46"/>
  <c r="C60" i="46"/>
  <c r="B21" i="36"/>
  <c r="C21" i="36" s="1" a="1"/>
  <c r="C21" i="36" s="1"/>
  <c r="B21" i="47"/>
  <c r="B20" i="48"/>
  <c r="D20" i="48" s="1"/>
  <c r="B22" i="44"/>
  <c r="B26" i="46"/>
  <c r="I26" i="46" l="1"/>
  <c r="G26" i="46"/>
  <c r="B62" i="46"/>
  <c r="C61" i="46"/>
  <c r="B22" i="36"/>
  <c r="C22" i="36" s="1" a="1"/>
  <c r="C22" i="36" s="1"/>
  <c r="B22" i="47"/>
  <c r="B23" i="44"/>
  <c r="B21" i="48"/>
  <c r="D21" i="48" s="1"/>
  <c r="B27" i="46"/>
  <c r="I27" i="46" l="1"/>
  <c r="G27" i="46"/>
  <c r="B63" i="46"/>
  <c r="C62" i="46"/>
  <c r="B23" i="36"/>
  <c r="C23" i="36" s="1" a="1"/>
  <c r="C23" i="36" s="1"/>
  <c r="B23" i="47"/>
  <c r="B24" i="44"/>
  <c r="B22" i="48"/>
  <c r="D22" i="48" s="1"/>
  <c r="B28" i="46"/>
  <c r="I28" i="46" l="1"/>
  <c r="G28" i="46"/>
  <c r="B64" i="46"/>
  <c r="C63" i="46"/>
  <c r="B24" i="36"/>
  <c r="C24" i="36" s="1" a="1"/>
  <c r="C24" i="36" s="1"/>
  <c r="B24" i="47"/>
  <c r="B25" i="44"/>
  <c r="B23" i="48"/>
  <c r="D23" i="48" s="1"/>
  <c r="B29" i="46"/>
  <c r="I29" i="46" l="1"/>
  <c r="G29" i="46"/>
  <c r="C64" i="46"/>
  <c r="B65" i="46"/>
  <c r="B25" i="36"/>
  <c r="C25" i="36" s="1" a="1"/>
  <c r="C25" i="36" s="1"/>
  <c r="B25" i="47"/>
  <c r="B26" i="44"/>
  <c r="B24" i="48"/>
  <c r="D24" i="48" s="1"/>
  <c r="B30" i="46"/>
  <c r="I30" i="46" l="1"/>
  <c r="G30" i="46"/>
  <c r="C65" i="46"/>
  <c r="B66" i="46"/>
  <c r="B26" i="36"/>
  <c r="C26" i="36" s="1" a="1"/>
  <c r="C26" i="36" s="1"/>
  <c r="B26" i="47"/>
  <c r="B25" i="48"/>
  <c r="D25" i="48" s="1"/>
  <c r="B27" i="44"/>
  <c r="B31" i="46"/>
  <c r="I31" i="46" l="1"/>
  <c r="G31" i="46"/>
  <c r="C66" i="46"/>
  <c r="B67" i="46"/>
  <c r="B27" i="36"/>
  <c r="C27" i="36" s="1" a="1"/>
  <c r="C27" i="36" s="1"/>
  <c r="D64" i="46"/>
  <c r="D66" i="46"/>
  <c r="D65" i="46"/>
  <c r="B27" i="47"/>
  <c r="D61" i="46"/>
  <c r="D63" i="46"/>
  <c r="D55" i="46"/>
  <c r="D53" i="46"/>
  <c r="D60" i="46"/>
  <c r="D56" i="46"/>
  <c r="D58" i="46"/>
  <c r="D62" i="46"/>
  <c r="D57" i="46"/>
  <c r="D59" i="46"/>
  <c r="D54" i="46"/>
  <c r="B26" i="48"/>
  <c r="D26" i="48" s="1"/>
  <c r="B28" i="44"/>
  <c r="B32" i="46"/>
  <c r="I32" i="46" l="1"/>
  <c r="G32" i="46"/>
  <c r="C67" i="46"/>
  <c r="D67" i="46" s="1"/>
  <c r="B68" i="46"/>
  <c r="B28" i="36"/>
  <c r="C28" i="36" s="1" a="1"/>
  <c r="C28" i="36" s="1"/>
  <c r="B28" i="47"/>
  <c r="B29" i="44"/>
  <c r="B27" i="48"/>
  <c r="D27" i="48" s="1"/>
  <c r="B33" i="46"/>
  <c r="I33" i="46" l="1"/>
  <c r="G33" i="46"/>
  <c r="C68" i="46"/>
  <c r="D68" i="46" s="1"/>
  <c r="B69" i="46"/>
  <c r="B29" i="36"/>
  <c r="C29" i="36" s="1" a="1"/>
  <c r="C29" i="36" s="1"/>
  <c r="B29" i="47"/>
  <c r="B30" i="44"/>
  <c r="B28" i="48"/>
  <c r="D28" i="48" s="1"/>
  <c r="B34" i="46"/>
  <c r="I34" i="46" l="1"/>
  <c r="G34" i="46"/>
  <c r="C69" i="46"/>
  <c r="D69" i="46" s="1"/>
  <c r="B70" i="46"/>
  <c r="B30" i="36"/>
  <c r="C30" i="36" s="1" a="1"/>
  <c r="C30" i="36" s="1"/>
  <c r="B30" i="47"/>
  <c r="B29" i="48"/>
  <c r="D29" i="48" s="1"/>
  <c r="B31" i="44"/>
  <c r="B35" i="46"/>
  <c r="I35" i="46" l="1"/>
  <c r="G35" i="46"/>
  <c r="C70" i="46"/>
  <c r="D70" i="46" s="1"/>
  <c r="B71" i="46"/>
  <c r="B31" i="36"/>
  <c r="C31" i="36" s="1" a="1"/>
  <c r="C31" i="36" s="1"/>
  <c r="B31" i="47"/>
  <c r="B32" i="44"/>
  <c r="B30" i="48"/>
  <c r="D30" i="48" s="1"/>
  <c r="B36" i="46"/>
  <c r="I36" i="46" l="1"/>
  <c r="G36" i="46"/>
  <c r="B72" i="46"/>
  <c r="C71" i="46"/>
  <c r="D71" i="46" s="1"/>
  <c r="B32" i="36"/>
  <c r="C32" i="36" s="1" a="1"/>
  <c r="C32" i="36" s="1"/>
  <c r="B32" i="47"/>
  <c r="B31" i="48"/>
  <c r="D31" i="48" s="1"/>
  <c r="B33" i="44"/>
  <c r="B37" i="46"/>
  <c r="I37" i="46" l="1"/>
  <c r="G37" i="46"/>
  <c r="B73" i="46"/>
  <c r="C72" i="46"/>
  <c r="D72" i="46" s="1"/>
  <c r="B33" i="36"/>
  <c r="C33" i="36" s="1" a="1"/>
  <c r="C33" i="36" s="1"/>
  <c r="B33" i="47"/>
  <c r="B34" i="44"/>
  <c r="B32" i="48"/>
  <c r="D32" i="48" s="1"/>
  <c r="B38" i="46"/>
  <c r="I38" i="46" l="1"/>
  <c r="G38" i="46"/>
  <c r="B74" i="46"/>
  <c r="C73" i="46"/>
  <c r="D73" i="46" s="1"/>
  <c r="B34" i="36"/>
  <c r="C34" i="36" s="1" a="1"/>
  <c r="C34" i="36" s="1"/>
  <c r="B34" i="47"/>
  <c r="B33" i="48"/>
  <c r="D33" i="48" s="1"/>
  <c r="B35" i="44"/>
  <c r="B39" i="46"/>
  <c r="I39" i="46" l="1"/>
  <c r="G39" i="46"/>
  <c r="B75" i="46"/>
  <c r="C74" i="46"/>
  <c r="D74" i="46" s="1"/>
  <c r="B35" i="36"/>
  <c r="C35" i="36" s="1" a="1"/>
  <c r="C35" i="36" s="1"/>
  <c r="B34" i="48"/>
  <c r="D34" i="48" s="1"/>
  <c r="B76" i="46" l="1"/>
  <c r="C76" i="46" s="1"/>
  <c r="D76" i="46" s="1"/>
  <c r="C75" i="46"/>
  <c r="D75" i="46" s="1"/>
  <c r="D35" i="48"/>
  <c r="P82" i="46" s="1"/>
  <c r="P92" i="46" l="1"/>
  <c r="D77" i="46"/>
  <c r="C82" i="46" s="1"/>
  <c r="C88" i="46" s="1"/>
  <c r="Y21" i="47" l="1"/>
  <c r="Z21" i="47"/>
  <c r="D28" i="36"/>
  <c r="D32" i="46" s="1"/>
  <c r="D35" i="36"/>
  <c r="D39" i="46" s="1"/>
  <c r="D31" i="36"/>
  <c r="D35" i="46" s="1"/>
  <c r="D27" i="36"/>
  <c r="D31" i="46" s="1"/>
  <c r="D23" i="36"/>
  <c r="D27" i="46" s="1"/>
  <c r="D19" i="36"/>
  <c r="D23" i="46" s="1"/>
  <c r="D15" i="36"/>
  <c r="D19" i="46" s="1"/>
  <c r="D11" i="36"/>
  <c r="D15" i="46" s="1"/>
  <c r="D7" i="36"/>
  <c r="D11" i="46" s="1"/>
  <c r="D20" i="36"/>
  <c r="D24" i="46" s="1"/>
  <c r="D6" i="36"/>
  <c r="D16" i="36"/>
  <c r="D20" i="46" s="1"/>
  <c r="D34" i="36"/>
  <c r="D38" i="46" s="1"/>
  <c r="D30" i="36"/>
  <c r="D34" i="46" s="1"/>
  <c r="D26" i="36"/>
  <c r="D30" i="46" s="1"/>
  <c r="D22" i="36"/>
  <c r="D26" i="46" s="1"/>
  <c r="D18" i="36"/>
  <c r="D22" i="46" s="1"/>
  <c r="D14" i="36"/>
  <c r="D18" i="46" s="1"/>
  <c r="D10" i="36"/>
  <c r="D14" i="46" s="1"/>
  <c r="D8" i="36"/>
  <c r="D12" i="46" s="1"/>
  <c r="D24" i="36"/>
  <c r="D28" i="46" s="1"/>
  <c r="D33" i="36"/>
  <c r="D37" i="46" s="1"/>
  <c r="D29" i="36"/>
  <c r="D33" i="46" s="1"/>
  <c r="D25" i="36"/>
  <c r="D29" i="46" s="1"/>
  <c r="D21" i="36"/>
  <c r="D25" i="46" s="1"/>
  <c r="D17" i="36"/>
  <c r="D21" i="46" s="1"/>
  <c r="D13" i="36"/>
  <c r="D17" i="46" s="1"/>
  <c r="D9" i="36"/>
  <c r="D13" i="46" s="1"/>
  <c r="D12" i="36"/>
  <c r="D16" i="46" s="1"/>
  <c r="D32" i="36"/>
  <c r="D36" i="46" s="1"/>
  <c r="E6" i="36" l="1"/>
  <c r="D10" i="46"/>
  <c r="F34" i="47"/>
  <c r="C35" i="44" s="1"/>
  <c r="F33" i="47"/>
  <c r="C34" i="44" s="1"/>
  <c r="F32" i="47"/>
  <c r="C33" i="44" s="1"/>
  <c r="F31" i="47"/>
  <c r="C32" i="44" s="1"/>
  <c r="F30" i="47"/>
  <c r="C31" i="44" s="1"/>
  <c r="F29" i="47"/>
  <c r="C30" i="44" s="1"/>
  <c r="F28" i="47"/>
  <c r="C29" i="44" s="1"/>
  <c r="F27" i="47"/>
  <c r="C28" i="44" s="1"/>
  <c r="F26" i="47"/>
  <c r="C27" i="44" s="1"/>
  <c r="F25" i="47"/>
  <c r="C26" i="44" s="1"/>
  <c r="F24" i="47"/>
  <c r="C25" i="44" s="1"/>
  <c r="F23" i="47"/>
  <c r="C24" i="44" s="1"/>
  <c r="F22" i="47"/>
  <c r="C23" i="44" s="1"/>
  <c r="F21" i="47"/>
  <c r="C22" i="44" s="1"/>
  <c r="F20" i="47"/>
  <c r="C21" i="44" s="1"/>
  <c r="F19" i="47"/>
  <c r="C20" i="44" s="1"/>
  <c r="F18" i="47"/>
  <c r="C19" i="44" s="1"/>
  <c r="F17" i="47"/>
  <c r="C18" i="44" s="1"/>
  <c r="F16" i="47"/>
  <c r="C17" i="44" s="1"/>
  <c r="F15" i="47"/>
  <c r="C16" i="44" s="1"/>
  <c r="F14" i="47"/>
  <c r="C15" i="44" s="1"/>
  <c r="F13" i="47"/>
  <c r="C14" i="44" s="1"/>
  <c r="F12" i="47"/>
  <c r="C13" i="44" s="1"/>
  <c r="F11" i="47"/>
  <c r="C12" i="44" s="1"/>
  <c r="F10" i="47"/>
  <c r="C11" i="44" s="1"/>
  <c r="F9" i="47"/>
  <c r="C10" i="44" s="1"/>
  <c r="F8" i="47"/>
  <c r="C9" i="44" s="1"/>
  <c r="F7" i="47"/>
  <c r="C8" i="44" s="1"/>
  <c r="F6" i="47"/>
  <c r="C7" i="44" s="1"/>
  <c r="F5" i="47"/>
  <c r="C6" i="44" s="1"/>
  <c r="D6" i="44" s="1"/>
  <c r="E32" i="36"/>
  <c r="E12" i="36"/>
  <c r="E9" i="36"/>
  <c r="E13" i="36"/>
  <c r="E17" i="36"/>
  <c r="E21" i="36"/>
  <c r="E25" i="36"/>
  <c r="E29" i="36"/>
  <c r="E33" i="36"/>
  <c r="E24" i="36"/>
  <c r="E8" i="36"/>
  <c r="E10" i="36"/>
  <c r="E14" i="36"/>
  <c r="E18" i="36"/>
  <c r="E22" i="36"/>
  <c r="E26" i="36"/>
  <c r="E30" i="36"/>
  <c r="E34" i="36"/>
  <c r="E16" i="36"/>
  <c r="E20" i="36"/>
  <c r="E7" i="36"/>
  <c r="E11" i="36"/>
  <c r="E15" i="36"/>
  <c r="E19" i="36"/>
  <c r="E23" i="36"/>
  <c r="E27" i="36"/>
  <c r="E31" i="36"/>
  <c r="E35" i="36"/>
  <c r="E28" i="36"/>
  <c r="I8" i="47"/>
  <c r="L8" i="47" s="1"/>
  <c r="G8" i="47"/>
  <c r="J8" i="47" s="1"/>
  <c r="C8" i="47"/>
  <c r="H8" i="47"/>
  <c r="K8" i="47" s="1"/>
  <c r="D8" i="47" l="1"/>
  <c r="E8" i="47" s="1"/>
  <c r="F13" i="46" s="1"/>
  <c r="G29" i="47"/>
  <c r="J29" i="47" s="1"/>
  <c r="H29" i="47"/>
  <c r="K29" i="47" s="1"/>
  <c r="C29" i="47"/>
  <c r="I29" i="47"/>
  <c r="L29" i="47" s="1"/>
  <c r="I17" i="47"/>
  <c r="L17" i="47" s="1"/>
  <c r="G17" i="47"/>
  <c r="J17" i="47" s="1"/>
  <c r="C17" i="47"/>
  <c r="H17" i="47"/>
  <c r="K17" i="47" s="1"/>
  <c r="I26" i="47"/>
  <c r="L26" i="47" s="1"/>
  <c r="G26" i="47"/>
  <c r="J26" i="47" s="1"/>
  <c r="C26" i="47"/>
  <c r="H26" i="47"/>
  <c r="K26" i="47" s="1"/>
  <c r="G14" i="47"/>
  <c r="J14" i="47" s="1"/>
  <c r="C14" i="47"/>
  <c r="H14" i="47"/>
  <c r="K14" i="47" s="1"/>
  <c r="I14" i="47"/>
  <c r="L14" i="47" s="1"/>
  <c r="C6" i="47"/>
  <c r="H6" i="47"/>
  <c r="K6" i="47" s="1"/>
  <c r="I6" i="47"/>
  <c r="L6" i="47" s="1"/>
  <c r="G6" i="47"/>
  <c r="J6" i="47" s="1"/>
  <c r="C24" i="47"/>
  <c r="H24" i="47"/>
  <c r="K24" i="47" s="1"/>
  <c r="I24" i="47"/>
  <c r="L24" i="47" s="1"/>
  <c r="G24" i="47"/>
  <c r="J24" i="47" s="1"/>
  <c r="G12" i="47"/>
  <c r="J12" i="47" s="1"/>
  <c r="C12" i="47"/>
  <c r="H12" i="47"/>
  <c r="K12" i="47" s="1"/>
  <c r="I12" i="47"/>
  <c r="L12" i="47" s="1"/>
  <c r="G18" i="47"/>
  <c r="J18" i="47" s="1"/>
  <c r="C18" i="47"/>
  <c r="H18" i="47"/>
  <c r="K18" i="47" s="1"/>
  <c r="I18" i="47"/>
  <c r="L18" i="47" s="1"/>
  <c r="H7" i="47"/>
  <c r="K7" i="47" s="1"/>
  <c r="I7" i="47"/>
  <c r="L7" i="47" s="1"/>
  <c r="G7" i="47"/>
  <c r="J7" i="47" s="1"/>
  <c r="C7" i="47"/>
  <c r="H31" i="47"/>
  <c r="K31" i="47" s="1"/>
  <c r="I31" i="47"/>
  <c r="L31" i="47" s="1"/>
  <c r="G31" i="47"/>
  <c r="J31" i="47" s="1"/>
  <c r="C31" i="47"/>
  <c r="G9" i="47"/>
  <c r="J9" i="47" s="1"/>
  <c r="C9" i="47"/>
  <c r="H9" i="47"/>
  <c r="K9" i="47" s="1"/>
  <c r="I9" i="47"/>
  <c r="L9" i="47" s="1"/>
  <c r="I19" i="47"/>
  <c r="L19" i="47" s="1"/>
  <c r="C19" i="47"/>
  <c r="G19" i="47"/>
  <c r="J19" i="47" s="1"/>
  <c r="H19" i="47"/>
  <c r="K19" i="47" s="1"/>
  <c r="C21" i="47"/>
  <c r="H21" i="47"/>
  <c r="K21" i="47" s="1"/>
  <c r="I21" i="47"/>
  <c r="L21" i="47" s="1"/>
  <c r="G21" i="47"/>
  <c r="J21" i="47" s="1"/>
  <c r="C10" i="47"/>
  <c r="H10" i="47"/>
  <c r="K10" i="47" s="1"/>
  <c r="I10" i="47"/>
  <c r="L10" i="47" s="1"/>
  <c r="G10" i="47"/>
  <c r="J10" i="47" s="1"/>
  <c r="C33" i="47"/>
  <c r="H33" i="47"/>
  <c r="K33" i="47" s="1"/>
  <c r="I33" i="47"/>
  <c r="L33" i="47" s="1"/>
  <c r="G33" i="47"/>
  <c r="J33" i="47" s="1"/>
  <c r="H5" i="47"/>
  <c r="G5" i="47"/>
  <c r="C5" i="47"/>
  <c r="I5" i="47"/>
  <c r="C30" i="47"/>
  <c r="H30" i="47"/>
  <c r="K30" i="47" s="1"/>
  <c r="I30" i="47"/>
  <c r="L30" i="47" s="1"/>
  <c r="G30" i="47"/>
  <c r="J30" i="47" s="1"/>
  <c r="H32" i="47"/>
  <c r="K32" i="47" s="1"/>
  <c r="I32" i="47"/>
  <c r="L32" i="47" s="1"/>
  <c r="G32" i="47"/>
  <c r="J32" i="47" s="1"/>
  <c r="C32" i="47"/>
  <c r="G11" i="47"/>
  <c r="J11" i="47" s="1"/>
  <c r="H11" i="47"/>
  <c r="K11" i="47" s="1"/>
  <c r="I11" i="47"/>
  <c r="L11" i="47" s="1"/>
  <c r="C11" i="47"/>
  <c r="I13" i="47"/>
  <c r="L13" i="47" s="1"/>
  <c r="G13" i="47"/>
  <c r="J13" i="47" s="1"/>
  <c r="C13" i="47"/>
  <c r="H13" i="47"/>
  <c r="K13" i="47" s="1"/>
  <c r="H15" i="47"/>
  <c r="K15" i="47" s="1"/>
  <c r="I15" i="47"/>
  <c r="L15" i="47" s="1"/>
  <c r="G15" i="47"/>
  <c r="J15" i="47" s="1"/>
  <c r="C15" i="47"/>
  <c r="H23" i="47"/>
  <c r="K23" i="47" s="1"/>
  <c r="I23" i="47"/>
  <c r="L23" i="47" s="1"/>
  <c r="G23" i="47"/>
  <c r="J23" i="47" s="1"/>
  <c r="C23" i="47"/>
  <c r="H20" i="47"/>
  <c r="K20" i="47" s="1"/>
  <c r="I20" i="47"/>
  <c r="L20" i="47" s="1"/>
  <c r="G20" i="47"/>
  <c r="J20" i="47" s="1"/>
  <c r="C20" i="47"/>
  <c r="G27" i="47"/>
  <c r="J27" i="47" s="1"/>
  <c r="C27" i="47"/>
  <c r="H27" i="47"/>
  <c r="K27" i="47" s="1"/>
  <c r="I27" i="47"/>
  <c r="L27" i="47" s="1"/>
  <c r="C28" i="47"/>
  <c r="H28" i="47"/>
  <c r="K28" i="47" s="1"/>
  <c r="I28" i="47"/>
  <c r="L28" i="47" s="1"/>
  <c r="G28" i="47"/>
  <c r="J28" i="47" s="1"/>
  <c r="G34" i="47"/>
  <c r="J34" i="47" s="1"/>
  <c r="C34" i="47"/>
  <c r="H34" i="47"/>
  <c r="K34" i="47" s="1"/>
  <c r="I34" i="47"/>
  <c r="L34" i="47" s="1"/>
  <c r="H22" i="47"/>
  <c r="K22" i="47" s="1"/>
  <c r="I22" i="47"/>
  <c r="L22" i="47" s="1"/>
  <c r="G22" i="47"/>
  <c r="J22" i="47" s="1"/>
  <c r="C22" i="47"/>
  <c r="I25" i="47"/>
  <c r="L25" i="47" s="1"/>
  <c r="G25" i="47"/>
  <c r="J25" i="47" s="1"/>
  <c r="C25" i="47"/>
  <c r="H25" i="47"/>
  <c r="K25" i="47" s="1"/>
  <c r="G16" i="47"/>
  <c r="J16" i="47" s="1"/>
  <c r="C16" i="47"/>
  <c r="H16" i="47"/>
  <c r="K16" i="47" s="1"/>
  <c r="I16" i="47"/>
  <c r="L16" i="47" s="1"/>
  <c r="D9" i="44"/>
  <c r="E9" i="44"/>
  <c r="E36" i="36"/>
  <c r="P78" i="46" s="1"/>
  <c r="P88" i="46" s="1"/>
  <c r="L5" i="47" l="1"/>
  <c r="I35" i="47"/>
  <c r="I36" i="47" s="1"/>
  <c r="E57" i="47" s="1"/>
  <c r="C35" i="47"/>
  <c r="E54" i="47" s="1"/>
  <c r="J5" i="47"/>
  <c r="G35" i="47"/>
  <c r="G36" i="47" s="1"/>
  <c r="E55" i="47" s="1"/>
  <c r="K5" i="47"/>
  <c r="H35" i="47"/>
  <c r="H36" i="47" s="1"/>
  <c r="E56" i="47" s="1"/>
  <c r="D16" i="47"/>
  <c r="E16" i="47" s="1"/>
  <c r="F21" i="46" s="1"/>
  <c r="D25" i="47"/>
  <c r="E25" i="47" s="1"/>
  <c r="F30" i="46" s="1"/>
  <c r="D22" i="47"/>
  <c r="E22" i="47" s="1"/>
  <c r="F27" i="46" s="1"/>
  <c r="D34" i="47"/>
  <c r="E34" i="47" s="1"/>
  <c r="F39" i="46" s="1"/>
  <c r="M34" i="47"/>
  <c r="D28" i="47"/>
  <c r="E28" i="47" s="1"/>
  <c r="F33" i="46" s="1"/>
  <c r="D27" i="47"/>
  <c r="E27" i="47" s="1"/>
  <c r="F32" i="46" s="1"/>
  <c r="D20" i="47"/>
  <c r="E20" i="47" s="1"/>
  <c r="F25" i="46" s="1"/>
  <c r="D23" i="47"/>
  <c r="E23" i="47" s="1"/>
  <c r="F28" i="46" s="1"/>
  <c r="D15" i="47"/>
  <c r="E15" i="47" s="1"/>
  <c r="F20" i="46" s="1"/>
  <c r="D13" i="47"/>
  <c r="E13" i="47" s="1"/>
  <c r="F18" i="46" s="1"/>
  <c r="D11" i="47"/>
  <c r="E11" i="47" s="1"/>
  <c r="F16" i="46" s="1"/>
  <c r="D32" i="47"/>
  <c r="E32" i="47" s="1"/>
  <c r="F37" i="46" s="1"/>
  <c r="D30" i="47"/>
  <c r="E30" i="47" s="1"/>
  <c r="F35" i="46" s="1"/>
  <c r="D5" i="47"/>
  <c r="E5" i="47" s="1"/>
  <c r="F10" i="46" s="1"/>
  <c r="M5" i="47"/>
  <c r="E10" i="46" s="1"/>
  <c r="D33" i="47"/>
  <c r="E33" i="47" s="1"/>
  <c r="F38" i="46" s="1"/>
  <c r="D10" i="47"/>
  <c r="E10" i="47" s="1"/>
  <c r="F15" i="46" s="1"/>
  <c r="D21" i="47"/>
  <c r="E21" i="47" s="1"/>
  <c r="F26" i="46" s="1"/>
  <c r="D19" i="47"/>
  <c r="E19" i="47" s="1"/>
  <c r="F24" i="46" s="1"/>
  <c r="D9" i="47"/>
  <c r="E9" i="47" s="1"/>
  <c r="F14" i="46" s="1"/>
  <c r="D31" i="47"/>
  <c r="E31" i="47" s="1"/>
  <c r="F36" i="46" s="1"/>
  <c r="D7" i="47"/>
  <c r="E7" i="47" s="1"/>
  <c r="F12" i="46" s="1"/>
  <c r="D18" i="47"/>
  <c r="E18" i="47" s="1"/>
  <c r="F23" i="46" s="1"/>
  <c r="D12" i="47"/>
  <c r="E12" i="47" s="1"/>
  <c r="F17" i="46" s="1"/>
  <c r="D24" i="47"/>
  <c r="E24" i="47" s="1"/>
  <c r="F29" i="46" s="1"/>
  <c r="D6" i="47"/>
  <c r="E6" i="47" s="1"/>
  <c r="F11" i="46" s="1"/>
  <c r="D14" i="47"/>
  <c r="E14" i="47" s="1"/>
  <c r="F19" i="46" s="1"/>
  <c r="D26" i="47"/>
  <c r="E26" i="47" s="1"/>
  <c r="F31" i="46" s="1"/>
  <c r="D17" i="47"/>
  <c r="E17" i="47" s="1"/>
  <c r="F22" i="46" s="1"/>
  <c r="D29" i="47"/>
  <c r="E29" i="47" s="1"/>
  <c r="F34" i="46" s="1"/>
  <c r="D23" i="44"/>
  <c r="E23" i="44"/>
  <c r="D21" i="44"/>
  <c r="E21" i="44"/>
  <c r="E12" i="44"/>
  <c r="D12" i="44"/>
  <c r="E32" i="44"/>
  <c r="D32" i="44"/>
  <c r="D27" i="44"/>
  <c r="E27" i="44"/>
  <c r="F9" i="44"/>
  <c r="C13" i="46" s="1"/>
  <c r="D35" i="44"/>
  <c r="E35" i="44"/>
  <c r="D24" i="44"/>
  <c r="E24" i="44"/>
  <c r="E33" i="44"/>
  <c r="D33" i="44"/>
  <c r="E13" i="44"/>
  <c r="D13" i="44"/>
  <c r="E6" i="44"/>
  <c r="D22" i="44"/>
  <c r="E22" i="44"/>
  <c r="E25" i="44"/>
  <c r="D25" i="44"/>
  <c r="D18" i="44"/>
  <c r="E18" i="44"/>
  <c r="D17" i="44"/>
  <c r="E17" i="44"/>
  <c r="E29" i="44"/>
  <c r="D29" i="44"/>
  <c r="E16" i="44"/>
  <c r="D16" i="44"/>
  <c r="D31" i="44"/>
  <c r="E31" i="44"/>
  <c r="E35" i="47"/>
  <c r="E34" i="44"/>
  <c r="D34" i="44"/>
  <c r="E20" i="44"/>
  <c r="D20" i="44"/>
  <c r="E8" i="44"/>
  <c r="D8" i="44"/>
  <c r="D7" i="44"/>
  <c r="E7" i="44"/>
  <c r="E30" i="44"/>
  <c r="D30" i="44"/>
  <c r="D26" i="44"/>
  <c r="E26" i="44"/>
  <c r="E28" i="44"/>
  <c r="D28" i="44"/>
  <c r="E14" i="44"/>
  <c r="D14" i="44"/>
  <c r="M8" i="47"/>
  <c r="N5" i="47"/>
  <c r="D11" i="44"/>
  <c r="E11" i="44"/>
  <c r="D10" i="44"/>
  <c r="E10" i="44"/>
  <c r="D19" i="44"/>
  <c r="E19" i="44"/>
  <c r="E15" i="44"/>
  <c r="D15" i="44"/>
  <c r="N8" i="47" l="1"/>
  <c r="E13" i="46"/>
  <c r="N34" i="47"/>
  <c r="E39" i="46"/>
  <c r="F18" i="44"/>
  <c r="C22" i="46" s="1"/>
  <c r="F22" i="44"/>
  <c r="C26" i="46" s="1"/>
  <c r="F6" i="44"/>
  <c r="C10" i="46" s="1"/>
  <c r="F32" i="44"/>
  <c r="C36" i="46" s="1"/>
  <c r="F12" i="44"/>
  <c r="C16" i="46" s="1"/>
  <c r="M21" i="47"/>
  <c r="F13" i="44"/>
  <c r="C17" i="46" s="1"/>
  <c r="F33" i="44"/>
  <c r="C37" i="46" s="1"/>
  <c r="M22" i="47"/>
  <c r="M29" i="47"/>
  <c r="M20" i="47"/>
  <c r="M11" i="47"/>
  <c r="F7" i="44"/>
  <c r="C11" i="46" s="1"/>
  <c r="M27" i="47"/>
  <c r="M12" i="47"/>
  <c r="E17" i="46" s="1"/>
  <c r="M7" i="47"/>
  <c r="M10" i="47"/>
  <c r="E15" i="46" s="1"/>
  <c r="M15" i="47"/>
  <c r="F26" i="44"/>
  <c r="C30" i="46" s="1"/>
  <c r="F15" i="44"/>
  <c r="F14" i="44"/>
  <c r="C18" i="46" s="1"/>
  <c r="F28" i="44"/>
  <c r="F30" i="44"/>
  <c r="C34" i="46" s="1"/>
  <c r="F29" i="44"/>
  <c r="M24" i="47"/>
  <c r="E29" i="46" s="1"/>
  <c r="P34" i="47"/>
  <c r="F27" i="44"/>
  <c r="C31" i="46" s="1"/>
  <c r="F31" i="44"/>
  <c r="C35" i="46" s="1"/>
  <c r="O5" i="47"/>
  <c r="O21" i="47"/>
  <c r="O20" i="47"/>
  <c r="G33" i="44"/>
  <c r="F19" i="44"/>
  <c r="C23" i="46" s="1"/>
  <c r="F11" i="44"/>
  <c r="C15" i="46" s="1"/>
  <c r="M18" i="47"/>
  <c r="M33" i="47"/>
  <c r="M32" i="47"/>
  <c r="G13" i="44"/>
  <c r="F24" i="44"/>
  <c r="C28" i="46" s="1"/>
  <c r="F35" i="44"/>
  <c r="C39" i="46" s="1"/>
  <c r="M16" i="47"/>
  <c r="G12" i="44"/>
  <c r="F23" i="44"/>
  <c r="C27" i="46" s="1"/>
  <c r="M17" i="47"/>
  <c r="M19" i="47"/>
  <c r="M14" i="47"/>
  <c r="M6" i="47"/>
  <c r="F8" i="44"/>
  <c r="C12" i="46" s="1"/>
  <c r="M9" i="47"/>
  <c r="F34" i="44"/>
  <c r="C38" i="46" s="1"/>
  <c r="M30" i="47"/>
  <c r="F16" i="44"/>
  <c r="C20" i="46" s="1"/>
  <c r="M23" i="47"/>
  <c r="F17" i="44"/>
  <c r="C21" i="46" s="1"/>
  <c r="O22" i="47"/>
  <c r="G9" i="44"/>
  <c r="G32" i="44"/>
  <c r="F21" i="44"/>
  <c r="C25" i="46" s="1"/>
  <c r="O27" i="47"/>
  <c r="O34" i="47"/>
  <c r="F10" i="44"/>
  <c r="C14" i="46" s="1"/>
  <c r="P8" i="47"/>
  <c r="O8" i="47"/>
  <c r="O12" i="47"/>
  <c r="O7" i="47"/>
  <c r="O10" i="47"/>
  <c r="O11" i="47"/>
  <c r="M26" i="47"/>
  <c r="F20" i="44"/>
  <c r="C24" i="46" s="1"/>
  <c r="M28" i="47"/>
  <c r="G18" i="44"/>
  <c r="F25" i="44"/>
  <c r="C29" i="46" s="1"/>
  <c r="M31" i="47"/>
  <c r="G22" i="44"/>
  <c r="J10" i="46"/>
  <c r="G6" i="44"/>
  <c r="M25" i="47"/>
  <c r="M13" i="47"/>
  <c r="N13" i="47" l="1"/>
  <c r="E18" i="46"/>
  <c r="N25" i="47"/>
  <c r="E30" i="46"/>
  <c r="N31" i="47"/>
  <c r="E36" i="46"/>
  <c r="N28" i="47"/>
  <c r="E33" i="46"/>
  <c r="N26" i="47"/>
  <c r="E31" i="46"/>
  <c r="N23" i="47"/>
  <c r="E28" i="46"/>
  <c r="N30" i="47"/>
  <c r="E35" i="46"/>
  <c r="N9" i="47"/>
  <c r="E14" i="46"/>
  <c r="N6" i="47"/>
  <c r="E11" i="46"/>
  <c r="N14" i="47"/>
  <c r="E19" i="46"/>
  <c r="N19" i="47"/>
  <c r="E24" i="46"/>
  <c r="N17" i="47"/>
  <c r="E22" i="46"/>
  <c r="N16" i="47"/>
  <c r="E21" i="46"/>
  <c r="N32" i="47"/>
  <c r="E37" i="46"/>
  <c r="N33" i="47"/>
  <c r="E38" i="46"/>
  <c r="N18" i="47"/>
  <c r="E23" i="46"/>
  <c r="G29" i="44"/>
  <c r="C33" i="46"/>
  <c r="G28" i="44"/>
  <c r="C32" i="46"/>
  <c r="G15" i="44"/>
  <c r="C19" i="46"/>
  <c r="N15" i="47"/>
  <c r="P15" i="47" s="1"/>
  <c r="E20" i="46"/>
  <c r="N7" i="47"/>
  <c r="P7" i="47" s="1"/>
  <c r="E12" i="46"/>
  <c r="N27" i="47"/>
  <c r="P27" i="47" s="1"/>
  <c r="E32" i="46"/>
  <c r="N11" i="47"/>
  <c r="P11" i="47" s="1"/>
  <c r="E16" i="46"/>
  <c r="N20" i="47"/>
  <c r="P20" i="47" s="1"/>
  <c r="E25" i="46"/>
  <c r="N29" i="47"/>
  <c r="P29" i="47" s="1"/>
  <c r="E34" i="46"/>
  <c r="N22" i="47"/>
  <c r="P22" i="47" s="1"/>
  <c r="E27" i="46"/>
  <c r="N21" i="47"/>
  <c r="P21" i="47" s="1"/>
  <c r="E26" i="46"/>
  <c r="J32" i="46"/>
  <c r="O15" i="47"/>
  <c r="O29" i="47"/>
  <c r="N24" i="47"/>
  <c r="P24" i="47" s="1"/>
  <c r="N10" i="47"/>
  <c r="P10" i="47" s="1"/>
  <c r="J17" i="46"/>
  <c r="N12" i="47"/>
  <c r="G7" i="44"/>
  <c r="O24" i="47"/>
  <c r="G14" i="44"/>
  <c r="J13" i="46"/>
  <c r="G26" i="44"/>
  <c r="P12" i="47"/>
  <c r="J16" i="46"/>
  <c r="G27" i="44"/>
  <c r="G30" i="44"/>
  <c r="O31" i="47"/>
  <c r="P31" i="47"/>
  <c r="J36" i="46"/>
  <c r="J18" i="46"/>
  <c r="O13" i="47"/>
  <c r="P13" i="47"/>
  <c r="G20" i="44"/>
  <c r="J20" i="46"/>
  <c r="G16" i="44"/>
  <c r="G8" i="44"/>
  <c r="P17" i="47"/>
  <c r="O17" i="47"/>
  <c r="O16" i="47"/>
  <c r="P16" i="47"/>
  <c r="O18" i="47"/>
  <c r="P18" i="47"/>
  <c r="P5" i="47"/>
  <c r="J33" i="46"/>
  <c r="P28" i="47"/>
  <c r="O28" i="47"/>
  <c r="J25" i="46"/>
  <c r="G21" i="44"/>
  <c r="G17" i="44"/>
  <c r="G34" i="44"/>
  <c r="O14" i="47"/>
  <c r="J19" i="46"/>
  <c r="P14" i="47"/>
  <c r="G24" i="44"/>
  <c r="P32" i="47"/>
  <c r="O32" i="47"/>
  <c r="J37" i="46"/>
  <c r="G19" i="44"/>
  <c r="G31" i="44"/>
  <c r="J29" i="46"/>
  <c r="G25" i="44"/>
  <c r="G10" i="44"/>
  <c r="P23" i="47"/>
  <c r="O23" i="47"/>
  <c r="P9" i="47"/>
  <c r="O9" i="47"/>
  <c r="P19" i="47"/>
  <c r="O19" i="47"/>
  <c r="P33" i="47"/>
  <c r="O33" i="47"/>
  <c r="P25" i="47"/>
  <c r="O25" i="47"/>
  <c r="J30" i="46"/>
  <c r="J26" i="46"/>
  <c r="J22" i="46"/>
  <c r="J31" i="46"/>
  <c r="P26" i="47"/>
  <c r="O26" i="47"/>
  <c r="O30" i="47"/>
  <c r="P30" i="47"/>
  <c r="J11" i="46"/>
  <c r="O6" i="47"/>
  <c r="P6" i="47"/>
  <c r="J27" i="46"/>
  <c r="G23" i="44"/>
  <c r="G35" i="44"/>
  <c r="J15" i="46"/>
  <c r="G11" i="44"/>
  <c r="J34" i="46"/>
  <c r="J12" i="46" l="1"/>
  <c r="P35" i="47"/>
  <c r="P81" i="46" s="1"/>
  <c r="P91" i="46" s="1"/>
  <c r="J35" i="46"/>
  <c r="J38" i="46"/>
  <c r="J24" i="46"/>
  <c r="G36" i="44"/>
  <c r="O35" i="47"/>
  <c r="J23" i="46"/>
  <c r="J21" i="46"/>
  <c r="N35" i="47"/>
  <c r="J14" i="46"/>
  <c r="J28" i="46"/>
  <c r="J39" i="46"/>
  <c r="K40" i="46" l="1"/>
  <c r="P79" i="46"/>
  <c r="J40" i="46"/>
  <c r="C81" i="46" s="1"/>
  <c r="P89" i="46" l="1"/>
  <c r="P94" i="46" s="1"/>
  <c r="P84" i="46"/>
  <c r="C87" i="46"/>
  <c r="C84" i="46"/>
  <c r="C83" i="46"/>
  <c r="C90" i="46" l="1"/>
  <c r="C89"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<sst xmlns="http://schemas.openxmlformats.org/spreadsheetml/2006/main" count="658" uniqueCount="447">
  <si>
    <t>Analysis Year</t>
  </si>
  <si>
    <t>7% Discount</t>
  </si>
  <si>
    <t>Total Benefit</t>
  </si>
  <si>
    <t>NOTES:</t>
  </si>
  <si>
    <t>Total</t>
  </si>
  <si>
    <t>N/A</t>
  </si>
  <si>
    <t>STATE OF GOOD REPIAR - CAPITAL COST AND RESIDUAL PROJECT VALUE</t>
  </si>
  <si>
    <t>BENEFITS</t>
  </si>
  <si>
    <t>COSTS</t>
  </si>
  <si>
    <t>Economic Competitiveness</t>
  </si>
  <si>
    <t>Safety</t>
  </si>
  <si>
    <t>Crash Savings</t>
  </si>
  <si>
    <t>Benefits</t>
  </si>
  <si>
    <t>Costs</t>
  </si>
  <si>
    <t>B/C Ratio</t>
  </si>
  <si>
    <t>7% Discount Total</t>
  </si>
  <si>
    <t>SUMMARY</t>
  </si>
  <si>
    <t>No Build</t>
  </si>
  <si>
    <t>Build</t>
  </si>
  <si>
    <t>Service Life</t>
  </si>
  <si>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</si>
  <si>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</si>
  <si>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</si>
  <si>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</si>
  <si>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</si>
  <si>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t>Table 2 - Network Assumptions</t>
  </si>
  <si>
    <t>Table 3 - Global Assumptions and Factors</t>
  </si>
  <si>
    <t>1)</t>
  </si>
  <si>
    <t>K</t>
  </si>
  <si>
    <t>A</t>
  </si>
  <si>
    <t>B</t>
  </si>
  <si>
    <t>C</t>
  </si>
  <si>
    <t>PDO</t>
  </si>
  <si>
    <t>Travel Time Savings</t>
  </si>
  <si>
    <t>2)</t>
  </si>
  <si>
    <t>3)</t>
  </si>
  <si>
    <t>4)</t>
  </si>
  <si>
    <t>5)</t>
  </si>
  <si>
    <t>Composite Cost per Hour</t>
  </si>
  <si>
    <t>Years of Benefit-Cost Analysis Period</t>
  </si>
  <si>
    <t>Aggregate Travel Time Cost</t>
  </si>
  <si>
    <t>Table 4 - Travel Time Cost Saving ($ per person hour)</t>
  </si>
  <si>
    <t>Truck Vehicle Occupancy</t>
  </si>
  <si>
    <t>Truck Percentage</t>
  </si>
  <si>
    <t>Auto Percentage</t>
  </si>
  <si>
    <t>Truck Travel Time Cost</t>
  </si>
  <si>
    <t>No Build Travel Time Cost</t>
  </si>
  <si>
    <t>Entire Network</t>
  </si>
  <si>
    <t>Remaining Capital Value (7%)</t>
  </si>
  <si>
    <t>Project Cost (7%)</t>
  </si>
  <si>
    <t>Present Value RCV 7% Discount</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</si>
  <si>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</si>
  <si>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</si>
  <si>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</si>
  <si>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</si>
  <si>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t>All-Purpose Travel Time Cost</t>
  </si>
  <si>
    <t>Passenger Vehicle Occupancy</t>
  </si>
  <si>
    <r>
      <t xml:space="preserve">Value of Time </t>
    </r>
    <r>
      <rPr>
        <vertAlign val="superscript"/>
        <sz val="9"/>
        <rFont val="Calibri"/>
        <family val="2"/>
        <scheme val="minor"/>
      </rPr>
      <t>(5)</t>
    </r>
    <r>
      <rPr>
        <sz val="9"/>
        <rFont val="Calibri"/>
        <family val="2"/>
        <scheme val="minor"/>
      </rPr>
      <t xml:space="preserve"> - All-Purpose Travel</t>
    </r>
  </si>
  <si>
    <r>
      <t xml:space="preserve">Value of Time </t>
    </r>
    <r>
      <rPr>
        <vertAlign val="superscript"/>
        <sz val="9"/>
        <rFont val="Calibri"/>
        <family val="2"/>
        <scheme val="minor"/>
      </rPr>
      <t>(5)</t>
    </r>
    <r>
      <rPr>
        <sz val="9"/>
        <rFont val="Calibri"/>
        <family val="2"/>
        <scheme val="minor"/>
      </rPr>
      <t xml:space="preserve"> - Truck Travel</t>
    </r>
  </si>
  <si>
    <t>Base Year</t>
  </si>
  <si>
    <t>Total (7% Discount)</t>
  </si>
  <si>
    <t>ENVIRONMENTAL SUSTAINABILITY - AIR QUALITY</t>
  </si>
  <si>
    <t>Mode</t>
  </si>
  <si>
    <t>Automobile</t>
  </si>
  <si>
    <t>Trucks</t>
  </si>
  <si>
    <t>ECONOMIC COMPETITIVENESS - OPERATIONAL BENEFITS</t>
  </si>
  <si>
    <t>Total Cost Savings</t>
  </si>
  <si>
    <t>Environmental Sustainability</t>
  </si>
  <si>
    <t>Operations Savings</t>
  </si>
  <si>
    <t>6)</t>
  </si>
  <si>
    <r>
      <t xml:space="preserve">Cost per Mile </t>
    </r>
    <r>
      <rPr>
        <vertAlign val="superscript"/>
        <sz val="9"/>
        <rFont val="Calibri"/>
        <family val="2"/>
        <scheme val="minor"/>
      </rPr>
      <t>(6)</t>
    </r>
    <r>
      <rPr>
        <sz val="9"/>
        <rFont val="Calibri"/>
        <family val="2"/>
        <scheme val="minor"/>
      </rPr>
      <t xml:space="preserve"> - Auto</t>
    </r>
  </si>
  <si>
    <r>
      <t xml:space="preserve">Cost per Mile </t>
    </r>
    <r>
      <rPr>
        <vertAlign val="superscript"/>
        <sz val="9"/>
        <rFont val="Calibri"/>
        <family val="2"/>
        <scheme val="minor"/>
      </rPr>
      <t>(6)</t>
    </r>
    <r>
      <rPr>
        <sz val="9"/>
        <rFont val="Calibri"/>
        <family val="2"/>
        <scheme val="minor"/>
      </rPr>
      <t xml:space="preserve"> - Truck</t>
    </r>
  </si>
  <si>
    <t>Year</t>
  </si>
  <si>
    <t>VHT</t>
  </si>
  <si>
    <t>Table 3 - Vehicle Occupancy</t>
  </si>
  <si>
    <t>NPV</t>
  </si>
  <si>
    <t>TRAVEL TIME SAVINGS</t>
  </si>
  <si>
    <t xml:space="preserve">Capital Costs    </t>
  </si>
  <si>
    <t>Other Emissions Cost Savings</t>
  </si>
  <si>
    <t>Total (Carbon + Other Emissions)</t>
  </si>
  <si>
    <t>Subtotal</t>
  </si>
  <si>
    <t>Annual Pavement Maintenance Costs</t>
  </si>
  <si>
    <t>Operation and Maintenance Costs</t>
  </si>
  <si>
    <t>NOX</t>
  </si>
  <si>
    <t>SO2</t>
  </si>
  <si>
    <t>PM2.5</t>
  </si>
  <si>
    <t>CO2</t>
  </si>
  <si>
    <t>3% Discount</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</si>
  <si>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</si>
  <si>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</si>
  <si>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Source Type</t>
  </si>
  <si>
    <t>HPMS Description</t>
  </si>
  <si>
    <t>Auto/Truck</t>
  </si>
  <si>
    <t>Motorcycle</t>
  </si>
  <si>
    <t>Auto</t>
  </si>
  <si>
    <t>Light-Duty Vehicle</t>
  </si>
  <si>
    <t>Buses</t>
  </si>
  <si>
    <t>Truck</t>
  </si>
  <si>
    <t>Single-Unit Truck</t>
  </si>
  <si>
    <t>Combination Truck</t>
  </si>
  <si>
    <t>MOVES Model Output (grams per VMT)</t>
  </si>
  <si>
    <t>*Damage costs for emissions in years beyond 2050 assume costs provided for year 2050.</t>
  </si>
  <si>
    <t>Automobile (gallons per hour)</t>
  </si>
  <si>
    <t>*Note conservative estimate does not include trucks which  reflects an undercount in benefits.</t>
  </si>
  <si>
    <t>Type</t>
  </si>
  <si>
    <t>Average MPG</t>
  </si>
  <si>
    <t>1 hour of delay is equivalent to</t>
  </si>
  <si>
    <t>VMT</t>
  </si>
  <si>
    <t>Location</t>
  </si>
  <si>
    <t>Source: U.S. Department of Energy</t>
  </si>
  <si>
    <t>U.S. Department of Energy, Vehicle Technology Office</t>
  </si>
  <si>
    <t>Fact of the Week # 861</t>
  </si>
  <si>
    <t>Idle Consumption at Idle for Selected Gasoline and Diesel Vehicles</t>
  </si>
  <si>
    <t>Vehicle Type</t>
  </si>
  <si>
    <t>Fuel Type</t>
  </si>
  <si>
    <t>Engine Size (liter)</t>
  </si>
  <si>
    <t>Gross Vehicle Weight (GVW) (lb)</t>
  </si>
  <si>
    <t>Idling fuel use (Gal/hr with no load)</t>
  </si>
  <si>
    <t>Tractor-Semitrailer</t>
  </si>
  <si>
    <t>Diesel</t>
  </si>
  <si>
    <t>-</t>
  </si>
  <si>
    <t>Bucket Truck</t>
  </si>
  <si>
    <t>Transit Bus</t>
  </si>
  <si>
    <t>Medium Heavy Truck</t>
  </si>
  <si>
    <t>6-10</t>
  </si>
  <si>
    <t>23,000-33,000</t>
  </si>
  <si>
    <t>Tow Truck</t>
  </si>
  <si>
    <t>Delivery Truck</t>
  </si>
  <si>
    <t>Gas</t>
  </si>
  <si>
    <t>5-7</t>
  </si>
  <si>
    <t>19,700-26,000</t>
  </si>
  <si>
    <t>Compact Sedan</t>
  </si>
  <si>
    <t>Large Sedan</t>
  </si>
  <si>
    <t xml:space="preserve">Source: Argonne National Laboratory, Idling Reduction Savings Calculator, </t>
  </si>
  <si>
    <t>http://www.transportation.anl.gov/pdfs/idling_worksheet.pdf</t>
  </si>
  <si>
    <t>Table 6 - Annual VHT Summary</t>
  </si>
  <si>
    <t>Network</t>
  </si>
  <si>
    <t>Table 1 - Per-mile Travel Time Cost by Mode</t>
  </si>
  <si>
    <t>Table 2 - Fleet Composition</t>
  </si>
  <si>
    <t>Yearly Operations Savings for Passenger Vehicles
($)</t>
  </si>
  <si>
    <t>Yearly Operations Savings for Commercial Trucks
($)</t>
  </si>
  <si>
    <t>Change in NOx 
(metric tons)</t>
  </si>
  <si>
    <t>Change in NOx 
($)</t>
  </si>
  <si>
    <t>Change in PM
($)</t>
  </si>
  <si>
    <t xml:space="preserve">Yearly Emissions Savings in Current Dollars ($) </t>
  </si>
  <si>
    <t>Table 1 - Pollution Emission by Mode (g/VMT)</t>
  </si>
  <si>
    <t>Table 2 - Damage Costs for Emissions per metric ton</t>
  </si>
  <si>
    <t>Change in PM
(metric tons)</t>
  </si>
  <si>
    <r>
      <t>Change in SO</t>
    </r>
    <r>
      <rPr>
        <vertAlign val="subscript"/>
        <sz val="9"/>
        <color theme="1"/>
        <rFont val="Calibri"/>
        <family val="2"/>
        <scheme val="minor"/>
      </rPr>
      <t>2</t>
    </r>
    <r>
      <rPr>
        <sz val="9"/>
        <color theme="1"/>
        <rFont val="Calibri"/>
        <family val="2"/>
        <scheme val="minor"/>
      </rPr>
      <t xml:space="preserve">
(metric tons)</t>
    </r>
  </si>
  <si>
    <r>
      <t>Change in SO</t>
    </r>
    <r>
      <rPr>
        <vertAlign val="subscript"/>
        <sz val="9"/>
        <color theme="1"/>
        <rFont val="Calibri"/>
        <family val="2"/>
        <scheme val="minor"/>
      </rPr>
      <t>2</t>
    </r>
    <r>
      <rPr>
        <sz val="9"/>
        <color theme="1"/>
        <rFont val="Calibri"/>
        <family val="2"/>
        <scheme val="minor"/>
      </rPr>
      <t xml:space="preserve">
($)</t>
    </r>
  </si>
  <si>
    <t>Yearly Emissions Savings - Carbon in Current Dollars ($)</t>
  </si>
  <si>
    <t xml:space="preserve">Vehicle occupancy ratios were obtained from Benefit-Cost Analysis Guidance for Discretionary Grant Programs: March 2022: https://www.transportation.gov/sites/dot.gov/files/2022-03/Benefit%20Cost%20Analysis%20Guidance%202022%20%28Revised%29.pdf </t>
  </si>
  <si>
    <t>Change in VMT Equivalents</t>
  </si>
  <si>
    <t>User travel time benefits were valued in accordance with the Benefit-Cost Analysis Guidance for Discretionary Grant Programs - March 2022 (Revised). The recommended values for travel time were provided in year 2020 dollars.</t>
  </si>
  <si>
    <t>Vehicle operational costs  were valued in accordance with the Benefit-Cost Analysis Guidance for Discretionary Grant Programs - March 2022 (Revised). The recommended values for travel time were provided in year 2020 dollars.</t>
  </si>
  <si>
    <t>Emission costs were obtained from Benefit-Cost Analysis Guidance for Discretionary Grant Programs - March 2022 (Revised).</t>
  </si>
  <si>
    <r>
      <t>Change in C0</t>
    </r>
    <r>
      <rPr>
        <vertAlign val="subscript"/>
        <sz val="9"/>
        <color theme="1"/>
        <rFont val="Calibri"/>
        <family val="2"/>
        <scheme val="minor"/>
      </rPr>
      <t>2</t>
    </r>
    <r>
      <rPr>
        <sz val="9"/>
        <color theme="1"/>
        <rFont val="Calibri"/>
        <family val="2"/>
        <scheme val="minor"/>
      </rPr>
      <t xml:space="preserve"> (metric tons)</t>
    </r>
  </si>
  <si>
    <r>
      <t>CO</t>
    </r>
    <r>
      <rPr>
        <b/>
        <vertAlign val="subscript"/>
        <sz val="11"/>
        <color theme="1"/>
        <rFont val="Calibri"/>
        <family val="2"/>
        <scheme val="minor"/>
      </rPr>
      <t>2</t>
    </r>
    <r>
      <rPr>
        <b/>
        <sz val="11"/>
        <color theme="1"/>
        <rFont val="Calibri"/>
        <family val="2"/>
        <scheme val="minor"/>
      </rPr>
      <t xml:space="preserve"> Savings Estimations</t>
    </r>
  </si>
  <si>
    <r>
      <t>NO</t>
    </r>
    <r>
      <rPr>
        <b/>
        <vertAlign val="subscript"/>
        <sz val="11"/>
        <color theme="1"/>
        <rFont val="Calibri"/>
        <family val="2"/>
        <scheme val="minor"/>
      </rPr>
      <t>X</t>
    </r>
  </si>
  <si>
    <r>
      <t>SO</t>
    </r>
    <r>
      <rPr>
        <b/>
        <vertAlign val="subscript"/>
        <sz val="11"/>
        <color theme="1"/>
        <rFont val="Calibri"/>
        <family val="2"/>
        <scheme val="minor"/>
      </rPr>
      <t>2</t>
    </r>
  </si>
  <si>
    <r>
      <t>PM</t>
    </r>
    <r>
      <rPr>
        <b/>
        <vertAlign val="subscript"/>
        <sz val="11"/>
        <color theme="1"/>
        <rFont val="Calibri"/>
        <family val="2"/>
        <scheme val="minor"/>
      </rPr>
      <t>2.5</t>
    </r>
  </si>
  <si>
    <r>
      <t>CO</t>
    </r>
    <r>
      <rPr>
        <b/>
        <vertAlign val="subscript"/>
        <sz val="11"/>
        <color theme="1"/>
        <rFont val="Calibri"/>
        <family val="2"/>
        <scheme val="minor"/>
      </rPr>
      <t>2</t>
    </r>
  </si>
  <si>
    <t>Table 3 - Average Gallons of Fuel Consumed Per Hour Idle</t>
  </si>
  <si>
    <t>Table 4 - Average MPG for VMT Equivalent</t>
  </si>
  <si>
    <t>Table 5 - VMT Equivalent</t>
  </si>
  <si>
    <t>Table 7 - Annual  VMT Equivalent</t>
  </si>
  <si>
    <t>SAFETY - CRASH COST SAVINGS</t>
  </si>
  <si>
    <t>Total Crash Cost Savings</t>
  </si>
  <si>
    <t>Crash Severity</t>
  </si>
  <si>
    <t>Recommended Value</t>
  </si>
  <si>
    <t>Table 1 - Yearly Maintenance Costs</t>
  </si>
  <si>
    <t>Yearly Maintenance Costs</t>
  </si>
  <si>
    <t xml:space="preserve"> BCA SUMMARY - KANDIYOHI COUNTY</t>
  </si>
  <si>
    <t>VHT Reduction</t>
  </si>
  <si>
    <t>Daily Delay Savings (hours)</t>
  </si>
  <si>
    <t>Injury</t>
  </si>
  <si>
    <t>Annual Delay Savings (hours)</t>
  </si>
  <si>
    <t>Reduction</t>
  </si>
  <si>
    <t>Others</t>
  </si>
  <si>
    <t>Total Cost Reduction</t>
  </si>
  <si>
    <t>Crash Cost Reduction</t>
  </si>
  <si>
    <t>STATE OF GOOD REPAIR - CAPITAL COST AND RESIDUAL PROJECT VALUE</t>
  </si>
  <si>
    <r>
      <t>Base Capital Cost in Constant Dollars</t>
    </r>
    <r>
      <rPr>
        <vertAlign val="superscript"/>
        <sz val="9"/>
        <color theme="1"/>
        <rFont val="Calibri"/>
        <family val="2"/>
        <scheme val="minor"/>
      </rPr>
      <t>1</t>
    </r>
  </si>
  <si>
    <r>
      <t>Base RCV in Constant Dollars (7%)</t>
    </r>
    <r>
      <rPr>
        <vertAlign val="superscript"/>
        <sz val="9"/>
        <color theme="1"/>
        <rFont val="Calibri"/>
        <family val="2"/>
        <scheme val="minor"/>
      </rPr>
      <t>2</t>
    </r>
  </si>
  <si>
    <t>Table 1 - Construction Cost</t>
  </si>
  <si>
    <t>Table 2 - Remaining Capital Value</t>
  </si>
  <si>
    <t>Cost</t>
  </si>
  <si>
    <t>Project Component</t>
  </si>
  <si>
    <t>Remaining Capital Value</t>
  </si>
  <si>
    <t>Bridge Replacement</t>
  </si>
  <si>
    <t>Total Cost</t>
  </si>
  <si>
    <t>Benefit-Cost Analysis Duration (years)</t>
  </si>
  <si>
    <t>Cost (2020 dollars)</t>
  </si>
  <si>
    <t>Questions:</t>
  </si>
  <si>
    <t>Year of dollars in cost estimate</t>
  </si>
  <si>
    <t>Service life of bridge</t>
  </si>
  <si>
    <t>Confirm cost for project components</t>
  </si>
  <si>
    <t>Breakdown of crash severity by vehicle/train collisions</t>
  </si>
  <si>
    <t>Maintenance costs</t>
  </si>
  <si>
    <t>Results</t>
  </si>
  <si>
    <t>TIS with potential AADTs</t>
  </si>
  <si>
    <t>Property damage for truck crashes</t>
  </si>
  <si>
    <t>Other sources:</t>
  </si>
  <si>
    <t>Diversion from 30th St crossing (travel time savings and crashes) - 180-200 FedEx trucks per day</t>
  </si>
  <si>
    <t>Land Use</t>
  </si>
  <si>
    <t>Nexyst Development</t>
  </si>
  <si>
    <t>Trains</t>
  </si>
  <si>
    <t>FedEx</t>
  </si>
  <si>
    <t>Epitopix</t>
  </si>
  <si>
    <t>Passenger Cars</t>
  </si>
  <si>
    <t>https://www.wctrib.com/news/local/nexyst-moving-forward-on-40-million-agricultural-distribution-project-in-willmar-industrial-park</t>
  </si>
  <si>
    <t>Annual Background Growth</t>
  </si>
  <si>
    <t>Daily Number of Trains</t>
  </si>
  <si>
    <t>Passenger Vehicles</t>
  </si>
  <si>
    <t>Annual Growth in Train Freight</t>
  </si>
  <si>
    <t>Origin/Destination Location</t>
  </si>
  <si>
    <t>AADT</t>
  </si>
  <si>
    <t>https://safetydata.fra.dot.gov/webaps/</t>
  </si>
  <si>
    <t>Deaths and nonfatal injuries and illnesses at public crossing incidents, United States, 2007-2021</t>
  </si>
  <si>
    <t>Deaths</t>
  </si>
  <si>
    <t>Nonfatal injuries and illnesses</t>
  </si>
  <si>
    <t>Motor Vehicles</t>
  </si>
  <si>
    <t>Pedestrians</t>
  </si>
  <si>
    <t>Source: Federal Railroad Administration, compiled on June 30, 2022.</t>
  </si>
  <si>
    <t>Link: https://injuryfacts.nsc.org/home-and-community/safety-topics/railroad-deaths-and-injuries/</t>
  </si>
  <si>
    <t>Injury Crashes</t>
  </si>
  <si>
    <t>Fatal Crashes</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</si>
  <si>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</si>
  <si>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</si>
  <si>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</si>
  <si>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</si>
  <si>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</si>
  <si>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</si>
  <si>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</si>
  <si>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</si>
  <si>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</si>
  <si>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</si>
  <si>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</si>
  <si>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</si>
  <si>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</si>
  <si>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</si>
  <si>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</si>
  <si>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</si>
  <si>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</si>
  <si>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</si>
  <si>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</si>
  <si>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</si>
  <si>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</si>
  <si>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</si>
  <si>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</si>
  <si>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</si>
  <si>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</si>
  <si>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</si>
  <si>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</si>
  <si>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</si>
  <si>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</si>
  <si>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</si>
  <si>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</si>
  <si>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</si>
  <si>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</si>
  <si>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</si>
  <si>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</si>
  <si>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</si>
  <si>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</si>
  <si>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</si>
  <si>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</si>
  <si>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</si>
  <si>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</si>
  <si>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</si>
  <si>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</si>
  <si>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</si>
  <si>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</si>
  <si>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</si>
  <si>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</si>
  <si>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</si>
  <si>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</si>
  <si>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</si>
  <si>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</si>
  <si>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</si>
  <si>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</si>
  <si>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</si>
  <si>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</si>
  <si>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</si>
  <si>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</si>
  <si>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</si>
  <si>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</si>
  <si>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</si>
  <si>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</si>
  <si>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</si>
  <si>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</si>
  <si>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</si>
  <si>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</si>
  <si>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</si>
  <si>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</si>
  <si>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</si>
  <si>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</si>
  <si>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</si>
  <si>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</si>
  <si>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</si>
  <si>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</si>
  <si>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</si>
  <si>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</si>
  <si>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</si>
  <si>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</si>
  <si>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</si>
  <si>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</si>
  <si>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</si>
  <si>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</si>
  <si>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</si>
  <si>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</si>
  <si>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</si>
  <si>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</si>
  <si>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</si>
  <si>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</si>
  <si>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</si>
  <si>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</si>
  <si>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</si>
  <si>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</si>
  <si>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</si>
  <si>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</si>
  <si>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</si>
  <si>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</si>
  <si>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</si>
  <si>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</si>
  <si>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</si>
  <si>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</si>
  <si>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</si>
  <si>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</si>
  <si>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CRASH_DATE_TIME</t>
  </si>
  <si>
    <t>STATUS</t>
  </si>
  <si>
    <t>STATUS_NOTE</t>
  </si>
  <si>
    <t>AGENCY_ORI</t>
  </si>
  <si>
    <t>AGENCY_ORI_GROUP</t>
  </si>
  <si>
    <t>NARRATIVE</t>
  </si>
  <si>
    <t>04-CSAH</t>
  </si>
  <si>
    <t>Kandiyohi</t>
  </si>
  <si>
    <t>Willmar</t>
  </si>
  <si>
    <t>D8-WILLMAR</t>
  </si>
  <si>
    <t>St. Cloud</t>
  </si>
  <si>
    <t>04-Wed</t>
  </si>
  <si>
    <t>Property Damage Only</t>
  </si>
  <si>
    <t>Angle</t>
  </si>
  <si>
    <t>COL WITH TRAIN</t>
  </si>
  <si>
    <t>Railway Grade Crossing</t>
  </si>
  <si>
    <t>Dark (No Str Lights)</t>
  </si>
  <si>
    <t>Cloudy</t>
  </si>
  <si>
    <t>Ice/Frost</t>
  </si>
  <si>
    <t>NOT APPLICABLE</t>
  </si>
  <si>
    <t>45th St NW</t>
  </si>
  <si>
    <t>Rail Road Crossing</t>
  </si>
  <si>
    <t>0400006594790055-I</t>
  </si>
  <si>
    <t>Single Vehicle Other</t>
  </si>
  <si>
    <t>Motor Vehicle in Transport</t>
  </si>
  <si>
    <t>Passenger Car</t>
  </si>
  <si>
    <t>Southbound</t>
  </si>
  <si>
    <t>Moving Forward</t>
  </si>
  <si>
    <t>Male</t>
  </si>
  <si>
    <t>Apparently Normal</t>
  </si>
  <si>
    <t>Failure to Yield Right-of-Way</t>
  </si>
  <si>
    <t>2-LANES 1-ECH-WY</t>
  </si>
  <si>
    <t>RR or LRT STOP SIGN</t>
  </si>
  <si>
    <t>Straight</t>
  </si>
  <si>
    <t>Level</t>
  </si>
  <si>
    <t>Accepted</t>
  </si>
  <si>
    <t>Reportable</t>
  </si>
  <si>
    <t>Unknown</t>
  </si>
  <si>
    <t>BNSF Railway
400 Pacific Ave Sw. Willmar MN 56201
320-231-5556.
 Conductor Robert M.Ballengee. Eng.Chad Christenson. Student Conductor Jarod Vossen. 
Term Trainmaster Jason M. Daigle 
Veh #1 Southbound on 45th Ave NW approaching BNSF Rail Road Crossing, near US Hwy 12.Willmar Twp.
Veh #1 skidding on ICY gravel roadway conditions, not able to stop. Veh #1 skids to stop, ending up stopped on RR tracks. Veh #1 struck by West bound  lead engine # 7553. Train traveling 38 to 40 MPH, pulling, 49 empty cars. Train normal sequence of horn applications /w bell. train lighting working. Emergency Braking started at 1955 hrs.RR STOP Sign and Cross Buck struck and broken off from car in crash. Driver of Veh#1 claims no injury. Veh towed from scene by Ed's Towing at owner request.</t>
  </si>
  <si>
    <t>Not Applicable</t>
  </si>
  <si>
    <t>RR / LRT Crossing Device</t>
  </si>
  <si>
    <t>Daylight</t>
  </si>
  <si>
    <t>Clear</t>
  </si>
  <si>
    <t>Dry</t>
  </si>
  <si>
    <t>30TH ST NW</t>
  </si>
  <si>
    <t>0400006594790005-I</t>
  </si>
  <si>
    <t>Single Vehicle Run Off Road</t>
  </si>
  <si>
    <t>No Clear Contributing Action</t>
  </si>
  <si>
    <t>Two-Way, Not Divided</t>
  </si>
  <si>
    <t>RR Crossing Device (RR or LRT)</t>
  </si>
  <si>
    <t>Willmar Police Dept</t>
  </si>
  <si>
    <t>Police</t>
  </si>
  <si>
    <t>in speaking with the driver of unit 1 (391JDX Joshua Edward Guetter) I learned the following.
he was traveling southbound on 30th street at approx. 50 miles per hour.  he stated that the sun was in his eyes and there was a glare on the windshield. ( I noted that the sun was bright, un obstructed and coming from the south)  he stated that he did not see the lights flashing or the arms going down until he got close to the stop arms.  once he was approx. 50 to 100 feet away the stop arms that were at his eye level became visible to him.  at that point he struck them with his vehicle, breaking the windshield. he stated that the train was very close to the intersection when he went through.  he pointed out to me where the train was and I estimated it to be between 100 and 150 yards away when he went through the intersection.  after hitting the arm he pulled over and called the police to report it.  
while on scene speaking with the complainant an employee from BNSF arrived on scene who had been in the train during the incident. the employee (Anthony G Wickliff) stated that they were approaching the intersection when he noticed that the vehicle appeared as though it was not going to stop.  he stated that it drove through the stop arm and then immediately pulled over.  I gave him my business card and he stated that BNSF would be contacting me and might possibly have video available from the intersection as well as from on board the train.  
there were no injuries and photos were taken.</t>
  </si>
  <si>
    <t>03-Tues</t>
  </si>
  <si>
    <t>Front to Rear</t>
  </si>
  <si>
    <t>Motor Vehicle In Transport</t>
  </si>
  <si>
    <t>Snow</t>
  </si>
  <si>
    <t>30TH ST SW</t>
  </si>
  <si>
    <t>Rear End</t>
  </si>
  <si>
    <t>Slowing</t>
  </si>
  <si>
    <t>Female</t>
  </si>
  <si>
    <t>Unit one was traveling south bound on 30th St. Sw. Unit two was leaving Jenni-o parking lot and was also traveling south bound on 30th street behind unit one. 
Unit one states that she saw the railroad flashing lights and began slowing down. She said she was almost to a complete stop when she felt unit two hit her vehicle. Unit one then was pushed out onto the tracks while the train was coming. She then put her vehicle in reverse to get out of the way of the train. As she was backing up, the railroad arm came down on the hood of her car. No air bags deployed. No apparent injury to her or her three week old son. Had son checked out just incase, doctors believed everything was okay. 
Unit two said she was just leaving work at Jenni-o traveling behind unit one. She said she saw unit one breaking. She said that she hit her breaks and tried to turn the wheel to avoid hitting unit one but was unable to avoid her. 
Witness said he saw unit one slowing to stop for the arms. Unit two was traveling behind her going maybe 20-25 mph. He could not tell if unit two was distracted. He said it was if unit two was caught off guard and hit her breaks and turned her wheel to avoid unit one but was unable to.</t>
  </si>
  <si>
    <t>Benefit Categories</t>
  </si>
  <si>
    <t>Benefit (2020 dollars)</t>
  </si>
  <si>
    <t>Travel Time</t>
  </si>
  <si>
    <t>Vehicle Operating Costs</t>
  </si>
  <si>
    <t>Air Quality</t>
  </si>
  <si>
    <t>Maintenance</t>
  </si>
  <si>
    <t>Emission Type</t>
  </si>
  <si>
    <t>CO2 (metric tons)</t>
  </si>
  <si>
    <t>NOx (kg)</t>
  </si>
  <si>
    <t>SO2 (kg)</t>
  </si>
  <si>
    <t>PM2.5 (kg)</t>
  </si>
  <si>
    <t>Project Area AADTs</t>
  </si>
  <si>
    <t>South CSAH 5</t>
  </si>
  <si>
    <t>North CSAH 5</t>
  </si>
  <si>
    <t>North CSAH 55</t>
  </si>
  <si>
    <t>Table 5 - Delay Savings Summary</t>
  </si>
  <si>
    <t>Table 6 - CSAH 55 Crossing AADTs by Year</t>
  </si>
  <si>
    <t>Table 7 - Background Growth Data</t>
  </si>
  <si>
    <t>Comp Plan: https://cms5.revize.com/revize/cityofwillmar/Willmar%20Comprehensive%20Plan%202009.pdf</t>
  </si>
  <si>
    <t>Table 8 - Weekly Trip Summary</t>
  </si>
  <si>
    <t>Table 9 - New Daily Development Trips by Year 2026</t>
  </si>
  <si>
    <t>Table 10 - Directional Distribution</t>
  </si>
  <si>
    <t>South CSAH 55*</t>
  </si>
  <si>
    <t>* These numbers include 50% diversion from South 30th St (CSAH 5)</t>
  </si>
  <si>
    <t>Percentage*</t>
  </si>
  <si>
    <t>New Vehicles*</t>
  </si>
  <si>
    <t>New Trucks*</t>
  </si>
  <si>
    <t>Table 1 - Crash Costs by Severity</t>
  </si>
  <si>
    <t>FRA Predictive Collisions</t>
  </si>
  <si>
    <t>Diversion from CSAH 5 to CSAH 55</t>
  </si>
  <si>
    <t>Table 2 - Crash Frequency Data</t>
  </si>
  <si>
    <t>FRA Predcited Annual Crash Freqency - CSAH 55</t>
  </si>
  <si>
    <t>FRA Predcited Annual Crash Freqency - CSAH 5</t>
  </si>
  <si>
    <t>Existing Annual Crash Frequency - CSAH 55</t>
  </si>
  <si>
    <t>Existing Annual Crash Frequency - CSAH 5</t>
  </si>
  <si>
    <t>Table 3 - Analysis Crash Frequencies</t>
  </si>
  <si>
    <t>% of Collisions</t>
  </si>
  <si>
    <t>Average Annual Collisions - CSAH 55</t>
  </si>
  <si>
    <t>Average Annual Collisions - CSAH 5 No Build</t>
  </si>
  <si>
    <t>Average Annual Collisions - CSAH 5 Build</t>
  </si>
  <si>
    <t>Table 4 - Crash Cost Reductions</t>
  </si>
  <si>
    <t xml:space="preserve">This analysis assumed that construction would predominantly take place over a two-year period and be completed in 2025. Therefore, year 2026 was assumed to be the first full year that benefits will be accrued from the project. </t>
  </si>
  <si>
    <t>Truck percentage in the project area is estimated based on recent AADT and HCAADT counts performed by MnDOT (https://mndot.maps.arcgis.com/apps/webappviewer/index.html?id=7b3be07daed84e7fa170a91059ce63bb).</t>
  </si>
  <si>
    <t>Assumed a 365-day year considering benefits from the rail crossing removal will be realized each day of the year.</t>
  </si>
  <si>
    <t xml:space="preserve">Travel time benefits for vehicle users are expected to be realized once the at-grade rail crossing is removed. As discussed in the project application document, a 2016 study revealed that trains take an average of 15 minutes to pass through the crossing and that a total of 2.5 hours of daily delay occurred at the study crossing as vehicles were waiting for trains to pass. Based on the existing AADT along CSAH 55 of 860 vehicles,  this averages to 0.17 minutes of delay per vehicle. Considering that there are ten trains passing through the crossing each day, the assumption regarding total delay can also be expressed such that exactly one vehicle is waiting for the entire 15-minute duration in which trains are crossing, on average. </t>
  </si>
  <si>
    <t>The analysis also considered impacts due to programmed land development in the area, background population growth, and expected growth in freight traveling by rail. There are three developments adjacent to CSAH 55 near the project area  that are expected to be completed by year 2026 (i.e. the project opening year). Trips by mode for each of these developments were provided by Kandiyohi County staff and are summarized in Table 8.</t>
  </si>
  <si>
    <t>Trips were converted to daily trips and distributed across the network based on existing AADTs. Trips were assumed to travel north towards Highway 12, travel south towards Highway 23, or travel east to the City of Wilmar. The two corridors that can facilitate trips to these locations are CSAH 55 and CSAH 5. The directional distribution of new development trips for each corridor can be found in the BCA Workbook. Note that an average of 1.5 new trains per week was applied to the existing number of trains and vehicle delay to estimate additional delay due to the additional one-to-two weekly trains. A similar effort was performed using background growth in rail freight on the BNSF line. BNSF provided estimates of two percent annual growth in freight, which was applied linearly over the analysis period assuming rail cars and eventually additional trains would have to be added to accommodate the increase in freight.</t>
  </si>
  <si>
    <t>Background population growth was obtained from the City of Wilmar Comprehensive Plan.  An annual growth rate of 0.54% was calculated based on the population growth between year 2000 and year 2007. The growth rate was applied to existing AADTs to determine an increase in vehicle delay at the rail crossing.</t>
  </si>
  <si>
    <t>Lastly, project sponsors are expecting a diversion in trips from CSAH 5 to CSAH 55 due to the removal of the at-grade crossing. The assumption is that vehicles traveling to/from the southwest (e.g. along Highway 23) would experience less delay and have a more reliability trip if they avoided the at-grade crossing on CSAH 5 (located just north of 19th Avenue SW). Based on AADTs on Highway 23 east and west of the project area, it was assumed roughly half the vehicles on the south end of CSAH 5 would divert to the more optimal route along CSAH 55. Average vehicle delay reductions associated with the removal of the at-grade crossing were applied to the diverted trips in a similar manner as previously described in this section.
Travel time benefits were extrapolated based on the assumed growth in background population and rail freight. Savings due to the reduction of VHT were calculated using costs per hour that account for vehicle occupancy and different vehicle types.</t>
  </si>
  <si>
    <t>7)</t>
  </si>
  <si>
    <t>Changes in VMT equivalents between the No Build and Build Alternatives were estimated based on the change in vehicle idling. It was assumed that time vehicles spend idling would produce wear and tear on the vehicle similar to time moving. The change in vehicle delay between No Build and Build conditions was obtained from travel time analysis and converted to equivalents of vehicle-miles traveled (VMT) by applying fuel consumption for idling vehicles to average miles per gallon for passenger cars.</t>
  </si>
  <si>
    <t xml:space="preserve">The project is expected to provide safety benefits by removing the risk of collisions between trains and vehicles, bicyclists, and pedestrians. A ten-year history (2012-2021) of train collisions at the CSAH 55 and CSAH 5 crossings was collected from the Minnesota Crash Mapping Analysis Tool.  There was one observed vehicle/train collision at the CSAH 55 crossing and two observed collisions at the CSAH 5 crossing, resulting in an expected number of vehicle/train collisions per year of 0.1 and 0.2, respectively. Crash records for the three observed crashes are in the BCA Workbook for reference. The Federal Railroad Administration’s Web Accident Predictive System  was also used to estimate the annual frequency of collisions. The CSAH 55 and CSAH 5 crossings had a predicted number of 0.013 and 0.021 collisions, respectively. However, the observed crashes from MnDOT’s database were not included in FRA’s crash prediction tool, which likely skewed the predicted number of collisions lower than what is expected. The analysis used a conservative assumption by averaging observed rates and those estimated by FRA, despite the missing data in the FRA tool, for the annual frequency in train collisions. </t>
  </si>
  <si>
    <t xml:space="preserve">Since the sample size of existing collisions was relatively low, and the FRA tool did not predict injury severity of collisions, a distribution of deaths and injuries for highway-rail incidents was obtained from the National Safety Council  (table provided in BCA Workbook) and applied to expected collisions in the analysis. Collisions were monetized using fatal and injury crash costs provided in the USDOT BCA Guidance. The number of annual collisions were also grown using programmed land development, background population growth, and growth in rail freight assumptions discussed previously. </t>
  </si>
  <si>
    <t>Changes in emissions are expected to be impacted by the time vehicles spend idling at rail crossings. The change in vehicle delay between No Build and Build conditions was obtained from the travel time analysis and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t>
  </si>
  <si>
    <t xml:space="preserve">Routine annual maintenance costs associated with maintaining and inspecting the bridge under the Build Alternative were considered in the BCA. An annual cost of $0.35 per square foot of bridge deck, resulting in $4,949 annually, was assumed for bridge inspection and maintenance. </t>
  </si>
  <si>
    <t>This analysis assumed that construction would take place over a two-year period and be completed in 2025. The total capital cost of the project was divided evenly across these years of construction. Initial capital costs were discounted back to year 2020 dollars to determine present value.</t>
  </si>
  <si>
    <t>Because the grade separated crossing is expected to have a service life well beyond the 30-year analysis period, the remaining capital value was calculated for the Build Alternative. This value was expressed in terms of 2020 dollars and was added to other project benefits in accordance with USDOT guidance. In determining the remaining capital value of the Build Alternative, project life was assumed to have a linear depreciation from the time construction was completed to the end of its 80-year service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</si>
</sst>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0.00000"/>
    <numFmt numFmtId="168" formatCode="#,##0_);\(#,##0_)"/>
    <numFmt numFmtId="169" formatCode="_(* #,##0_);_(* \(#,##0\);_(* &quot;-&quot;??_);_(@_)"/>
    <numFmt numFmtId="170" formatCode="&quot;$&quot;#,##0.00"/>
    <numFmt numFmtId="171" formatCode="0.0000"/>
    <numFmt numFmtId="172" formatCode="0.0%"/>
    <numFmt numFmtId="173" formatCode="0.0"/>
    <numFmt numFmtId="174" formatCode="#,##0.000"/>
    <numFmt numFmtId="175" formatCode="&quot;$&quot;#,##0.0"/>
    <numFmt numFmtId="178" formatCode="0.000"/>
  </numFmts>
  <fonts count="36"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i/>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i/>
      <sz val="9"/>
      <name val="Calibri"/>
      <family val="2"/>
      <scheme val="minor"/>
    </font>
    <font>
      <b/>
      <sz val="11"/>
      <color rgb="FFFF0000"/>
      <name val="Calibri"/>
      <family val="2"/>
      <scheme val="minor"/>
    </font>
    <font>
      <vertAlign val="superscript"/>
      <sz val="9"/>
      <name val="Calibri"/>
      <family val="2"/>
      <scheme val="minor"/>
    </font>
    <font>
      <b/>
      <u/>
      <sz val="11"/>
      <name val="Calibri"/>
      <family val="2"/>
      <scheme val="minor"/>
    </font>
    <font>
      <b/>
      <sz val="18"/>
      <color rgb="FFFF0000"/>
      <name val="Calibri"/>
      <family val="2"/>
      <scheme val="minor"/>
    </font>
    <font>
      <sz val="9"/>
      <color rgb="FFFF0000"/>
      <name val="Calibri"/>
      <family val="2"/>
      <scheme val="minor"/>
    </font>
    <font>
      <u/>
      <sz val="11"/>
      <color theme="10"/>
      <name val="Calibri"/>
      <family val="2"/>
      <scheme val="minor"/>
    </font>
    <font>
      <sz val="11"/>
      <color theme="0" tint="-0.499984740745262"/>
      <name val="Calibri"/>
      <family val="2"/>
      <scheme val="minor"/>
    </font>
    <font>
      <vertAlign val="subscript"/>
      <sz val="9"/>
      <color theme="1"/>
      <name val="Calibri"/>
      <family val="2"/>
      <scheme val="minor"/>
    </font>
    <font>
      <sz val="10"/>
      <name val="Arial"/>
      <family val="2"/>
    </font>
    <font>
      <sz val="12"/>
      <name val="Arial"/>
      <family val="2"/>
    </font>
    <font>
      <u/>
      <sz val="10"/>
      <color indexed="12"/>
      <name val="Arial"/>
      <family val="2"/>
    </font>
    <font>
      <u/>
      <sz val="12"/>
      <color indexed="12"/>
      <name val="Arial"/>
      <family val="2"/>
    </font>
    <font>
      <b/>
      <sz val="12"/>
      <name val="Arial"/>
      <family val="2"/>
    </font>
    <font>
      <b/>
      <vertAlign val="subscript"/>
      <sz val="11"/>
      <color theme="1"/>
      <name val="Calibri"/>
      <family val="2"/>
      <scheme val="minor"/>
    </font>
    <font>
      <vertAlign val="superscript"/>
      <sz val="9"/>
      <color theme="1"/>
      <name val="Calibri"/>
      <family val="2"/>
      <scheme val="minor"/>
    </font>
    <font>
      <sz val="10"/>
      <color rgb="FF000000"/>
      <name val="Arial"/>
      <family val="2"/>
    </font>
    <font>
      <b/>
      <sz val="10"/>
      <name val="Arial"/>
      <family val="2"/>
    </font>
    <font>
      <sz val="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6"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double">
        <color rgb="FF6AA84F"/>
      </left>
      <right/>
      <top style="double">
        <color rgb="FF6AA84F"/>
      </top>
      <bottom/>
      <diagonal/>
    </border>
    <border>
      <left/>
      <right/>
      <top style="double">
        <color rgb="FF6AA84F"/>
      </top>
      <bottom/>
      <diagonal/>
    </border>
    <border>
      <left/>
      <right style="double">
        <color rgb="FF6AA84F"/>
      </right>
      <top style="double">
        <color rgb="FF6AA84F"/>
      </top>
      <bottom/>
      <diagonal/>
    </border>
    <border>
      <left style="double">
        <color rgb="FF6AA84F"/>
      </left>
      <right style="medium">
        <color rgb="FF6AA84F"/>
      </right>
      <top style="medium">
        <color rgb="FF6AA84F"/>
      </top>
      <bottom/>
      <diagonal/>
    </border>
    <border>
      <left style="medium">
        <color rgb="FF6AA84F"/>
      </left>
      <right/>
      <top style="medium">
        <color rgb="FF6AA84F"/>
      </top>
      <bottom style="medium">
        <color rgb="FF6AA84F"/>
      </bottom>
      <diagonal/>
    </border>
    <border>
      <left/>
      <right/>
      <top style="medium">
        <color rgb="FF6AA84F"/>
      </top>
      <bottom style="medium">
        <color rgb="FF6AA84F"/>
      </bottom>
      <diagonal/>
    </border>
    <border>
      <left/>
      <right style="medium">
        <color rgb="FF6AA84F"/>
      </right>
      <top style="medium">
        <color rgb="FF6AA84F"/>
      </top>
      <bottom style="medium">
        <color rgb="FF6AA84F"/>
      </bottom>
      <diagonal/>
    </border>
    <border>
      <left/>
      <right style="double">
        <color rgb="FF6AA84F"/>
      </right>
      <top style="medium">
        <color rgb="FF6AA84F"/>
      </top>
      <bottom style="medium">
        <color rgb="FF6AA84F"/>
      </bottom>
      <diagonal/>
    </border>
    <border>
      <left style="double">
        <color rgb="FF6AA84F"/>
      </left>
      <right style="medium">
        <color rgb="FF6AA84F"/>
      </right>
      <top/>
      <bottom style="medium">
        <color rgb="FF6AA84F"/>
      </bottom>
      <diagonal/>
    </border>
    <border>
      <left style="medium">
        <color rgb="FF6AA84F"/>
      </left>
      <right style="medium">
        <color rgb="FF6AA84F"/>
      </right>
      <top style="medium">
        <color rgb="FF6AA84F"/>
      </top>
      <bottom style="medium">
        <color rgb="FF6AA84F"/>
      </bottom>
      <diagonal/>
    </border>
    <border>
      <left style="medium">
        <color rgb="FF6AA84F"/>
      </left>
      <right style="double">
        <color rgb="FF6AA84F"/>
      </right>
      <top style="medium">
        <color rgb="FF6AA84F"/>
      </top>
      <bottom style="medium">
        <color rgb="FF6AA84F"/>
      </bottom>
      <diagonal/>
    </border>
    <border>
      <left style="double">
        <color rgb="FF6AA84F"/>
      </left>
      <right/>
      <top/>
      <bottom/>
      <diagonal/>
    </border>
    <border>
      <left/>
      <right style="double">
        <color rgb="FF6AA84F"/>
      </right>
      <top/>
      <bottom/>
      <diagonal/>
    </border>
    <border>
      <left style="double">
        <color rgb="FF6AA84F"/>
      </left>
      <right/>
      <top style="medium">
        <color rgb="FF6AA84F"/>
      </top>
      <bottom style="double">
        <color rgb="FF6AA84F"/>
      </bottom>
      <diagonal/>
    </border>
    <border>
      <left/>
      <right/>
      <top style="medium">
        <color rgb="FF6AA84F"/>
      </top>
      <bottom style="double">
        <color rgb="FF6AA84F"/>
      </bottom>
      <diagonal/>
    </border>
    <border>
      <left/>
      <right style="double">
        <color rgb="FF6AA84F"/>
      </right>
      <top style="medium">
        <color rgb="FF6AA84F"/>
      </top>
      <bottom style="double">
        <color rgb="FF6AA84F"/>
      </bottom>
      <diagonal/>
    </border>
    <border>
      <left/>
      <right style="thin">
        <color auto="1"/>
      </right>
      <top/>
      <bottom style="thin">
        <color auto="1"/>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style="thin">
        <color indexed="64"/>
      </top>
      <bottom/>
      <diagonal/>
    </border>
  </borders>
  <cellStyleXfs count="142">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26" fillId="0" borderId="0"/>
    <xf numFmtId="0" fontId="28" fillId="0" borderId="0" applyNumberFormat="0" applyFill="0" applyBorder="0" applyAlignment="0" applyProtection="0">
      <alignment vertical="top"/>
      <protection locked="0"/>
    </xf>
    <xf numFmtId="0" fontId="33" fillId="0" borderId="0"/>
  </cellStyleXfs>
  <cellXfs count="416">
    <xf numFmtId="0" fontId="0" fillId="0" borderId="0" xfId="0"/>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xf numFmtId="0" fontId="3" fillId="0" borderId="0" xfId="0" applyFont="1"/>
    <xf numFmtId="164" fontId="2" fillId="0" borderId="0" xfId="0" applyNumberFormat="1" applyFont="1" applyAlignment="1">
      <alignment horizontal="center"/>
    </xf>
    <xf numFmtId="1" fontId="2" fillId="0" borderId="7" xfId="0" applyNumberFormat="1" applyFont="1" applyBorder="1" applyAlignment="1">
      <alignment horizontal="center"/>
    </xf>
    <xf numFmtId="1" fontId="2" fillId="0" borderId="9" xfId="0" applyNumberFormat="1" applyFont="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0" borderId="2" xfId="0" applyNumberFormat="1" applyFont="1" applyBorder="1" applyAlignment="1">
      <alignment horizontal="center"/>
    </xf>
    <xf numFmtId="0" fontId="5" fillId="0" borderId="0" xfId="0" applyFont="1"/>
    <xf numFmtId="0" fontId="0" fillId="0" borderId="0" xfId="0" applyAlignment="1">
      <alignment horizontal="right"/>
    </xf>
    <xf numFmtId="0" fontId="8" fillId="0" borderId="0" xfId="0" applyFont="1" applyAlignment="1">
      <alignment horizontal="left"/>
    </xf>
    <xf numFmtId="0" fontId="2" fillId="0" borderId="12" xfId="0" applyFont="1" applyBorder="1" applyAlignment="1">
      <alignment horizontal="center" vertical="center" wrapText="1"/>
    </xf>
    <xf numFmtId="164" fontId="2" fillId="0" borderId="17" xfId="0" applyNumberFormat="1" applyFont="1" applyBorder="1" applyAlignment="1">
      <alignment horizontal="center" vertical="center"/>
    </xf>
    <xf numFmtId="0" fontId="0" fillId="0" borderId="0" xfId="0" applyAlignment="1">
      <alignment horizontal="center"/>
    </xf>
    <xf numFmtId="8" fontId="2" fillId="0" borderId="5" xfId="0" applyNumberFormat="1" applyFont="1" applyBorder="1" applyAlignment="1">
      <alignment horizontal="center" vertical="center" wrapText="1"/>
    </xf>
    <xf numFmtId="165" fontId="2" fillId="0" borderId="0" xfId="0" applyNumberFormat="1" applyFont="1"/>
    <xf numFmtId="164" fontId="2" fillId="0" borderId="9" xfId="0" applyNumberFormat="1" applyFont="1" applyBorder="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0" fontId="11" fillId="0" borderId="0" xfId="0" applyFont="1" applyAlignment="1">
      <alignment horizontal="center"/>
    </xf>
    <xf numFmtId="0" fontId="12" fillId="0" borderId="0" xfId="0" applyFont="1"/>
    <xf numFmtId="164" fontId="13" fillId="0" borderId="0" xfId="0" applyNumberFormat="1" applyFont="1" applyAlignment="1">
      <alignment horizontal="center"/>
    </xf>
    <xf numFmtId="0" fontId="0" fillId="0" borderId="35" xfId="0" applyBorder="1"/>
    <xf numFmtId="0" fontId="5" fillId="2" borderId="38" xfId="0" applyFont="1" applyFill="1" applyBorder="1"/>
    <xf numFmtId="0" fontId="5" fillId="2" borderId="37" xfId="0" applyFont="1" applyFill="1" applyBorder="1"/>
    <xf numFmtId="9" fontId="5" fillId="2" borderId="33" xfId="0" applyNumberFormat="1" applyFont="1" applyFill="1" applyBorder="1" applyAlignment="1">
      <alignment horizontal="center"/>
    </xf>
    <xf numFmtId="0" fontId="5" fillId="0" borderId="23" xfId="0" applyFont="1" applyBorder="1"/>
    <xf numFmtId="0" fontId="0" fillId="0" borderId="0" xfId="0" applyAlignment="1">
      <alignment vertical="top" wrapText="1"/>
    </xf>
    <xf numFmtId="1" fontId="0" fillId="0" borderId="0" xfId="0" applyNumberFormat="1"/>
    <xf numFmtId="0" fontId="16" fillId="0" borderId="0" xfId="0" applyFont="1"/>
    <xf numFmtId="168" fontId="17" fillId="0" borderId="0" xfId="2" applyNumberFormat="1" applyFont="1" applyAlignment="1">
      <alignment horizontal="left" vertical="center"/>
    </xf>
    <xf numFmtId="0" fontId="9" fillId="0" borderId="0" xfId="2" applyFont="1" applyAlignment="1">
      <alignment horizontal="left"/>
    </xf>
    <xf numFmtId="0" fontId="9" fillId="0" borderId="0" xfId="2" applyFont="1" applyAlignment="1">
      <alignment horizontal="left" vertical="center"/>
    </xf>
    <xf numFmtId="167" fontId="9" fillId="0" borderId="0" xfId="2" applyNumberFormat="1" applyFont="1" applyAlignment="1">
      <alignment horizontal="left"/>
    </xf>
    <xf numFmtId="0" fontId="8" fillId="0" borderId="0" xfId="2" applyFont="1" applyAlignment="1">
      <alignment horizontal="left"/>
    </xf>
    <xf numFmtId="0" fontId="2" fillId="0" borderId="41" xfId="0" applyFont="1" applyBorder="1" applyAlignment="1">
      <alignment horizontal="center"/>
    </xf>
    <xf numFmtId="6" fontId="2" fillId="0" borderId="0" xfId="0" applyNumberFormat="1" applyFont="1" applyAlignment="1">
      <alignment horizontal="right" indent="1"/>
    </xf>
    <xf numFmtId="0" fontId="18" fillId="0" borderId="0" xfId="0" applyFont="1" applyAlignment="1">
      <alignment horizontal="center"/>
    </xf>
    <xf numFmtId="164" fontId="2" fillId="0" borderId="12" xfId="0" applyNumberFormat="1" applyFont="1" applyBorder="1" applyAlignment="1">
      <alignment horizontal="right" vertical="center" wrapText="1" indent="1"/>
    </xf>
    <xf numFmtId="164" fontId="2" fillId="0" borderId="30" xfId="0" applyNumberFormat="1" applyFont="1" applyBorder="1" applyAlignment="1">
      <alignment horizontal="right" vertical="center" wrapText="1" indent="1"/>
    </xf>
    <xf numFmtId="0" fontId="8" fillId="0" borderId="0" xfId="2" applyFont="1" applyAlignment="1">
      <alignment horizontal="left" vertical="center"/>
    </xf>
    <xf numFmtId="0" fontId="9" fillId="0" borderId="23" xfId="2" applyFont="1" applyBorder="1" applyAlignment="1">
      <alignment horizontal="left" vertical="center"/>
    </xf>
    <xf numFmtId="0" fontId="10" fillId="0" borderId="0" xfId="2" applyFont="1" applyAlignment="1">
      <alignment horizontal="left"/>
    </xf>
    <xf numFmtId="0" fontId="8" fillId="0" borderId="23" xfId="2" applyFont="1" applyBorder="1" applyAlignment="1">
      <alignment horizontal="center" vertical="center"/>
    </xf>
    <xf numFmtId="0" fontId="5" fillId="0" borderId="23" xfId="0" applyFont="1" applyBorder="1" applyAlignment="1">
      <alignment horizontal="center"/>
    </xf>
    <xf numFmtId="0" fontId="0" fillId="0" borderId="0" xfId="0" applyAlignment="1">
      <alignment vertical="top"/>
    </xf>
    <xf numFmtId="0" fontId="0" fillId="0" borderId="0" xfId="0" applyAlignment="1">
      <alignment horizontal="left" vertical="top"/>
    </xf>
    <xf numFmtId="0" fontId="5" fillId="0" borderId="0" xfId="0" applyFont="1" applyAlignment="1">
      <alignment horizontal="center"/>
    </xf>
    <xf numFmtId="0" fontId="4" fillId="0" borderId="0" xfId="0" applyFont="1"/>
    <xf numFmtId="0" fontId="9" fillId="0" borderId="0" xfId="2" applyFont="1" applyAlignment="1">
      <alignment horizontal="right"/>
    </xf>
    <xf numFmtId="0" fontId="6" fillId="0" borderId="0" xfId="2" applyFont="1" applyAlignment="1">
      <alignment vertical="top" wrapText="1"/>
    </xf>
    <xf numFmtId="0" fontId="6" fillId="0" borderId="0" xfId="2" applyFont="1" applyAlignment="1">
      <alignment horizontal="center" vertical="top" wrapText="1"/>
    </xf>
    <xf numFmtId="0" fontId="22" fillId="0" borderId="0" xfId="2" applyFont="1" applyAlignment="1">
      <alignment horizontal="left"/>
    </xf>
    <xf numFmtId="0" fontId="9" fillId="0" borderId="0" xfId="2" applyFont="1" applyAlignment="1">
      <alignment horizontal="right" vertical="center"/>
    </xf>
    <xf numFmtId="0" fontId="0" fillId="0" borderId="23" xfId="0" applyBorder="1" applyAlignment="1">
      <alignment horizontal="left"/>
    </xf>
    <xf numFmtId="10" fontId="9" fillId="0" borderId="0" xfId="2" applyNumberFormat="1" applyFont="1" applyAlignment="1">
      <alignment horizontal="center" vertical="center"/>
    </xf>
    <xf numFmtId="164" fontId="0" fillId="0" borderId="0" xfId="0" applyNumberFormat="1" applyAlignment="1">
      <alignment horizontal="center"/>
    </xf>
    <xf numFmtId="0" fontId="5" fillId="0" borderId="0" xfId="0" applyFont="1" applyAlignment="1">
      <alignment horizontal="left"/>
    </xf>
    <xf numFmtId="39" fontId="0" fillId="0" borderId="0" xfId="0" applyNumberFormat="1"/>
    <xf numFmtId="0" fontId="0" fillId="0" borderId="0" xfId="0" applyAlignment="1">
      <alignment horizontal="left"/>
    </xf>
    <xf numFmtId="37" fontId="2" fillId="0" borderId="0" xfId="0" applyNumberFormat="1" applyFont="1"/>
    <xf numFmtId="0" fontId="0" fillId="0" borderId="0" xfId="0" applyAlignment="1">
      <alignment horizontal="center" vertical="top" wrapText="1"/>
    </xf>
    <xf numFmtId="169" fontId="0" fillId="0" borderId="0" xfId="0" applyNumberFormat="1" applyAlignment="1">
      <alignment horizontal="center" vertical="top" wrapText="1"/>
    </xf>
    <xf numFmtId="44" fontId="0" fillId="0" borderId="0" xfId="1" applyFont="1" applyFill="1" applyBorder="1"/>
    <xf numFmtId="43" fontId="0" fillId="0" borderId="0" xfId="0" applyNumberFormat="1" applyAlignment="1">
      <alignment horizontal="center"/>
    </xf>
    <xf numFmtId="169" fontId="0" fillId="0" borderId="0" xfId="0" applyNumberFormat="1" applyAlignment="1">
      <alignment horizontal="center"/>
    </xf>
    <xf numFmtId="0" fontId="0" fillId="0" borderId="23" xfId="0" applyBorder="1"/>
    <xf numFmtId="3" fontId="0" fillId="0" borderId="0" xfId="137" applyNumberFormat="1" applyFont="1" applyFill="1" applyBorder="1" applyAlignment="1">
      <alignment horizontal="center"/>
    </xf>
    <xf numFmtId="170" fontId="0" fillId="0" borderId="0" xfId="1" applyNumberFormat="1" applyFont="1" applyFill="1" applyBorder="1" applyAlignment="1">
      <alignment horizontal="center"/>
    </xf>
    <xf numFmtId="164" fontId="0" fillId="0" borderId="0" xfId="0" applyNumberFormat="1"/>
    <xf numFmtId="6" fontId="2" fillId="0" borderId="42" xfId="0" applyNumberFormat="1" applyFont="1" applyBorder="1" applyAlignment="1">
      <alignment horizontal="right" indent="1"/>
    </xf>
    <xf numFmtId="0" fontId="5" fillId="0" borderId="0" xfId="0" applyFont="1" applyAlignment="1">
      <alignment horizontal="right"/>
    </xf>
    <xf numFmtId="0" fontId="3" fillId="0" borderId="10" xfId="0" applyFont="1" applyBorder="1" applyAlignment="1">
      <alignment horizontal="center" wrapText="1"/>
    </xf>
    <xf numFmtId="0" fontId="0" fillId="0" borderId="0" xfId="0" applyAlignment="1">
      <alignment horizontal="left" vertical="top" wrapText="1"/>
    </xf>
    <xf numFmtId="164" fontId="0" fillId="2" borderId="40" xfId="0" applyNumberFormat="1" applyFill="1" applyBorder="1" applyAlignment="1">
      <alignment horizontal="center"/>
    </xf>
    <xf numFmtId="164" fontId="0" fillId="2" borderId="36" xfId="0" applyNumberForma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5" fillId="0" borderId="23" xfId="0" applyFont="1" applyBorder="1" applyAlignment="1">
      <alignment horizontal="center" vertical="center"/>
    </xf>
    <xf numFmtId="6" fontId="2" fillId="0" borderId="5" xfId="0" applyNumberFormat="1" applyFont="1" applyBorder="1" applyAlignment="1">
      <alignment horizontal="center" vertical="center" wrapText="1"/>
    </xf>
    <xf numFmtId="165" fontId="2" fillId="0" borderId="0" xfId="0" applyNumberFormat="1" applyFont="1" applyAlignment="1">
      <alignment horizontal="center"/>
    </xf>
    <xf numFmtId="0" fontId="2" fillId="0" borderId="23" xfId="0" applyFont="1" applyBorder="1"/>
    <xf numFmtId="164" fontId="2" fillId="0" borderId="23" xfId="0" applyNumberFormat="1" applyFont="1" applyBorder="1"/>
    <xf numFmtId="0" fontId="0" fillId="0" borderId="0" xfId="0" applyAlignment="1">
      <alignment wrapText="1"/>
    </xf>
    <xf numFmtId="0" fontId="0" fillId="0" borderId="0" xfId="0" applyAlignment="1">
      <alignment horizontal="left" wrapText="1"/>
    </xf>
    <xf numFmtId="0" fontId="2" fillId="0" borderId="4" xfId="0" applyFont="1" applyBorder="1" applyAlignment="1">
      <alignment horizontal="center" vertical="center" wrapText="1"/>
    </xf>
    <xf numFmtId="170" fontId="9" fillId="0" borderId="0" xfId="2" applyNumberFormat="1" applyFont="1" applyAlignment="1">
      <alignment horizontal="left" vertical="center"/>
    </xf>
    <xf numFmtId="0" fontId="23" fillId="0" borderId="0" xfId="138" applyFill="1"/>
    <xf numFmtId="0" fontId="5" fillId="0" borderId="24" xfId="0" applyFont="1" applyBorder="1" applyAlignment="1">
      <alignment horizontal="left"/>
    </xf>
    <xf numFmtId="6" fontId="2" fillId="0" borderId="23" xfId="0" applyNumberFormat="1" applyFont="1" applyBorder="1" applyAlignment="1">
      <alignment horizontal="center"/>
    </xf>
    <xf numFmtId="6" fontId="2" fillId="0" borderId="18" xfId="0" applyNumberFormat="1" applyFont="1" applyBorder="1" applyAlignment="1">
      <alignment horizontal="center"/>
    </xf>
    <xf numFmtId="0" fontId="0" fillId="0" borderId="23" xfId="0" applyBorder="1" applyAlignment="1">
      <alignment horizontal="center" vertical="center"/>
    </xf>
    <xf numFmtId="0" fontId="22" fillId="0" borderId="0" xfId="0" applyFont="1"/>
    <xf numFmtId="6" fontId="3" fillId="0" borderId="0" xfId="0" applyNumberFormat="1" applyFont="1"/>
    <xf numFmtId="6" fontId="2" fillId="0" borderId="40" xfId="0" applyNumberFormat="1" applyFont="1" applyBorder="1" applyAlignment="1">
      <alignment horizontal="center"/>
    </xf>
    <xf numFmtId="6" fontId="2" fillId="0" borderId="13" xfId="0" applyNumberFormat="1" applyFont="1" applyBorder="1" applyAlignment="1">
      <alignment horizontal="center"/>
    </xf>
    <xf numFmtId="6" fontId="2" fillId="0" borderId="39" xfId="0" applyNumberFormat="1" applyFont="1" applyBorder="1" applyAlignment="1">
      <alignment horizontal="right" indent="1"/>
    </xf>
    <xf numFmtId="6" fontId="2" fillId="0" borderId="40" xfId="0" applyNumberFormat="1" applyFont="1" applyBorder="1" applyAlignment="1">
      <alignment horizontal="right" indent="1"/>
    </xf>
    <xf numFmtId="6" fontId="2" fillId="0" borderId="32" xfId="0" applyNumberFormat="1" applyFont="1" applyBorder="1" applyAlignment="1">
      <alignment horizontal="right" indent="1"/>
    </xf>
    <xf numFmtId="6" fontId="2" fillId="0" borderId="11" xfId="0" applyNumberFormat="1" applyFont="1" applyBorder="1" applyAlignment="1">
      <alignment horizontal="right" indent="1"/>
    </xf>
    <xf numFmtId="172" fontId="0" fillId="0" borderId="23" xfId="137" applyNumberFormat="1" applyFont="1" applyFill="1" applyBorder="1" applyAlignment="1">
      <alignment horizontal="center"/>
    </xf>
    <xf numFmtId="6" fontId="2" fillId="0" borderId="17" xfId="0" applyNumberFormat="1" applyFont="1" applyBorder="1" applyAlignment="1">
      <alignment horizontal="right"/>
    </xf>
    <xf numFmtId="6" fontId="2" fillId="0" borderId="18" xfId="0" applyNumberFormat="1" applyFont="1" applyBorder="1" applyAlignment="1">
      <alignment horizontal="right"/>
    </xf>
    <xf numFmtId="6" fontId="2" fillId="0" borderId="19" xfId="0" applyNumberFormat="1" applyFont="1" applyBorder="1" applyAlignment="1">
      <alignment horizontal="right"/>
    </xf>
    <xf numFmtId="0" fontId="21" fillId="0" borderId="0" xfId="2" applyFont="1"/>
    <xf numFmtId="6" fontId="2" fillId="0" borderId="12" xfId="0" applyNumberFormat="1" applyFont="1" applyBorder="1" applyAlignment="1">
      <alignment horizontal="right"/>
    </xf>
    <xf numFmtId="6" fontId="2" fillId="0" borderId="41" xfId="0" applyNumberFormat="1" applyFont="1" applyBorder="1" applyAlignment="1">
      <alignment horizontal="right"/>
    </xf>
    <xf numFmtId="6" fontId="0" fillId="0" borderId="0" xfId="0" applyNumberFormat="1"/>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0" fontId="0" fillId="0" borderId="23" xfId="0" applyBorder="1" applyAlignment="1">
      <alignment horizontal="center"/>
    </xf>
    <xf numFmtId="6" fontId="2" fillId="0" borderId="30" xfId="0" applyNumberFormat="1" applyFont="1" applyBorder="1" applyAlignment="1">
      <alignment horizontal="right" indent="1"/>
    </xf>
    <xf numFmtId="164" fontId="2" fillId="0" borderId="41" xfId="0" applyNumberFormat="1" applyFont="1" applyBorder="1" applyAlignment="1">
      <alignment horizontal="center"/>
    </xf>
    <xf numFmtId="0" fontId="2" fillId="0" borderId="0" xfId="0" applyFont="1" applyAlignment="1">
      <alignment horizontal="center" vertical="center"/>
    </xf>
    <xf numFmtId="37" fontId="2" fillId="0" borderId="39" xfId="1" applyNumberFormat="1" applyFont="1" applyBorder="1" applyAlignment="1">
      <alignment horizontal="right" indent="1"/>
    </xf>
    <xf numFmtId="37" fontId="2" fillId="0" borderId="47" xfId="136" applyNumberFormat="1" applyFont="1" applyFill="1" applyBorder="1" applyAlignment="1">
      <alignment horizontal="center"/>
    </xf>
    <xf numFmtId="37" fontId="2" fillId="0" borderId="31" xfId="136" applyNumberFormat="1" applyFont="1" applyFill="1" applyBorder="1" applyAlignment="1">
      <alignment horizontal="center"/>
    </xf>
    <xf numFmtId="6" fontId="2" fillId="0" borderId="30" xfId="136" applyNumberFormat="1" applyFont="1" applyFill="1" applyBorder="1" applyAlignment="1">
      <alignment horizontal="right"/>
    </xf>
    <xf numFmtId="6" fontId="2" fillId="0" borderId="47" xfId="136" applyNumberFormat="1" applyFont="1" applyFill="1" applyBorder="1" applyAlignment="1">
      <alignment horizontal="right"/>
    </xf>
    <xf numFmtId="6" fontId="2" fillId="0" borderId="31" xfId="136" applyNumberFormat="1" applyFont="1" applyFill="1" applyBorder="1" applyAlignment="1">
      <alignment horizontal="right"/>
    </xf>
    <xf numFmtId="6" fontId="2" fillId="0" borderId="17" xfId="0" applyNumberFormat="1" applyFont="1" applyBorder="1" applyAlignment="1">
      <alignment horizontal="right" indent="1"/>
    </xf>
    <xf numFmtId="6" fontId="2" fillId="0" borderId="16" xfId="0" applyNumberFormat="1" applyFont="1" applyBorder="1" applyAlignment="1">
      <alignment horizontal="right" indent="1"/>
    </xf>
    <xf numFmtId="169" fontId="0" fillId="0" borderId="0" xfId="136" applyNumberFormat="1" applyFont="1" applyFill="1" applyBorder="1"/>
    <xf numFmtId="2" fontId="0" fillId="0" borderId="23" xfId="137" applyNumberFormat="1" applyFont="1" applyFill="1" applyBorder="1" applyAlignment="1">
      <alignment horizontal="center"/>
    </xf>
    <xf numFmtId="170" fontId="0" fillId="0" borderId="23" xfId="1" applyNumberFormat="1" applyFont="1" applyFill="1" applyBorder="1" applyAlignment="1">
      <alignment horizontal="center"/>
    </xf>
    <xf numFmtId="6" fontId="2" fillId="0" borderId="46"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52" xfId="0" applyNumberFormat="1" applyFont="1" applyBorder="1" applyAlignment="1">
      <alignment horizontal="center"/>
    </xf>
    <xf numFmtId="6" fontId="2" fillId="0" borderId="53" xfId="0" applyNumberFormat="1" applyFont="1" applyBorder="1" applyAlignment="1">
      <alignment horizontal="center"/>
    </xf>
    <xf numFmtId="0" fontId="5" fillId="2" borderId="54" xfId="0" applyFont="1" applyFill="1" applyBorder="1"/>
    <xf numFmtId="0" fontId="5" fillId="2" borderId="31" xfId="0" applyFont="1" applyFill="1" applyBorder="1"/>
    <xf numFmtId="2" fontId="0" fillId="0" borderId="55" xfId="0" applyNumberFormat="1" applyBorder="1" applyAlignment="1">
      <alignment horizontal="center"/>
    </xf>
    <xf numFmtId="164" fontId="0" fillId="0" borderId="19" xfId="0" applyNumberFormat="1" applyBorder="1" applyAlignment="1">
      <alignment horizontal="center"/>
    </xf>
    <xf numFmtId="6" fontId="2" fillId="0" borderId="11" xfId="0" applyNumberFormat="1" applyFont="1" applyBorder="1" applyAlignment="1">
      <alignment horizontal="right"/>
    </xf>
    <xf numFmtId="173" fontId="2" fillId="0" borderId="38" xfId="0" applyNumberFormat="1" applyFont="1" applyBorder="1" applyAlignment="1">
      <alignment horizontal="center"/>
    </xf>
    <xf numFmtId="6" fontId="2" fillId="0" borderId="39" xfId="0" applyNumberFormat="1" applyFont="1" applyBorder="1" applyAlignment="1">
      <alignment horizontal="center"/>
    </xf>
    <xf numFmtId="173" fontId="2" fillId="0" borderId="8" xfId="0" applyNumberFormat="1" applyFont="1" applyBorder="1" applyAlignment="1">
      <alignment horizontal="center"/>
    </xf>
    <xf numFmtId="6" fontId="2" fillId="0" borderId="31" xfId="0" applyNumberFormat="1" applyFont="1" applyBorder="1" applyAlignment="1">
      <alignment horizontal="center"/>
    </xf>
    <xf numFmtId="6" fontId="2" fillId="0" borderId="0" xfId="0" applyNumberFormat="1" applyFont="1" applyAlignment="1">
      <alignment horizontal="center"/>
    </xf>
    <xf numFmtId="0" fontId="0" fillId="0" borderId="43" xfId="0" applyBorder="1"/>
    <xf numFmtId="0" fontId="5" fillId="0" borderId="0" xfId="0" applyFont="1" applyAlignment="1">
      <alignment horizontal="center" vertical="center" textRotation="90" wrapText="1"/>
    </xf>
    <xf numFmtId="3" fontId="2" fillId="0" borderId="12" xfId="0" applyNumberFormat="1" applyFont="1" applyBorder="1" applyAlignment="1">
      <alignment horizontal="center"/>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174" fontId="2" fillId="0" borderId="47" xfId="0" applyNumberFormat="1" applyFont="1" applyBorder="1" applyAlignment="1">
      <alignment horizontal="center"/>
    </xf>
    <xf numFmtId="174" fontId="2" fillId="0" borderId="23" xfId="0" applyNumberFormat="1" applyFont="1" applyBorder="1" applyAlignment="1">
      <alignment horizontal="center"/>
    </xf>
    <xf numFmtId="174" fontId="2" fillId="0" borderId="18" xfId="0" applyNumberFormat="1" applyFont="1" applyBorder="1" applyAlignment="1">
      <alignment horizontal="center"/>
    </xf>
    <xf numFmtId="174" fontId="2" fillId="0" borderId="31" xfId="0" applyNumberFormat="1" applyFont="1" applyBorder="1" applyAlignment="1">
      <alignment horizontal="center"/>
    </xf>
    <xf numFmtId="174" fontId="2" fillId="0" borderId="46" xfId="0" applyNumberFormat="1" applyFont="1" applyBorder="1" applyAlignment="1">
      <alignment horizontal="center"/>
    </xf>
    <xf numFmtId="174" fontId="2" fillId="0" borderId="19" xfId="0" applyNumberFormat="1" applyFont="1" applyBorder="1" applyAlignment="1">
      <alignment horizontal="center"/>
    </xf>
    <xf numFmtId="173" fontId="2" fillId="0" borderId="4" xfId="0" applyNumberFormat="1" applyFont="1" applyBorder="1" applyAlignment="1">
      <alignment horizontal="center"/>
    </xf>
    <xf numFmtId="6" fontId="2" fillId="0" borderId="30" xfId="0" applyNumberFormat="1" applyFont="1" applyBorder="1" applyAlignment="1">
      <alignment horizontal="center"/>
    </xf>
    <xf numFmtId="6" fontId="2" fillId="0" borderId="17" xfId="0" applyNumberFormat="1" applyFont="1" applyBorder="1" applyAlignment="1">
      <alignment horizontal="center"/>
    </xf>
    <xf numFmtId="174" fontId="2" fillId="0" borderId="30" xfId="0" applyNumberFormat="1" applyFont="1" applyBorder="1" applyAlignment="1">
      <alignment horizontal="center"/>
    </xf>
    <xf numFmtId="174" fontId="2" fillId="0" borderId="45" xfId="0" applyNumberFormat="1" applyFont="1" applyBorder="1" applyAlignment="1">
      <alignment horizontal="center"/>
    </xf>
    <xf numFmtId="174" fontId="2" fillId="0" borderId="17" xfId="0" applyNumberFormat="1" applyFont="1" applyBorder="1" applyAlignment="1">
      <alignment horizontal="center"/>
    </xf>
    <xf numFmtId="6" fontId="2" fillId="0" borderId="51" xfId="0" applyNumberFormat="1" applyFont="1" applyBorder="1" applyAlignment="1">
      <alignment horizontal="center"/>
    </xf>
    <xf numFmtId="6" fontId="2" fillId="0" borderId="45" xfId="0" applyNumberFormat="1" applyFont="1" applyBorder="1" applyAlignment="1">
      <alignment horizontal="center"/>
    </xf>
    <xf numFmtId="6" fontId="2" fillId="0" borderId="12" xfId="0" applyNumberFormat="1" applyFont="1" applyBorder="1" applyAlignment="1">
      <alignment horizontal="center"/>
    </xf>
    <xf numFmtId="6" fontId="2" fillId="0" borderId="5" xfId="0" applyNumberFormat="1" applyFont="1" applyBorder="1" applyAlignment="1">
      <alignment horizontal="center"/>
    </xf>
    <xf numFmtId="6" fontId="2" fillId="0" borderId="7" xfId="0" applyNumberFormat="1" applyFont="1" applyBorder="1" applyAlignment="1">
      <alignment horizontal="center"/>
    </xf>
    <xf numFmtId="6" fontId="2" fillId="0" borderId="9" xfId="0" applyNumberFormat="1" applyFont="1" applyBorder="1" applyAlignment="1">
      <alignment horizontal="center"/>
    </xf>
    <xf numFmtId="6" fontId="2" fillId="0" borderId="47" xfId="0" applyNumberFormat="1" applyFont="1" applyBorder="1" applyAlignment="1">
      <alignment horizontal="center"/>
    </xf>
    <xf numFmtId="3" fontId="0" fillId="0" borderId="23" xfId="0" applyNumberFormat="1" applyBorder="1" applyAlignment="1">
      <alignment horizontal="center"/>
    </xf>
    <xf numFmtId="37" fontId="2" fillId="0" borderId="14" xfId="1" applyNumberFormat="1" applyFont="1" applyBorder="1" applyAlignment="1">
      <alignment horizontal="right" indent="1"/>
    </xf>
    <xf numFmtId="37" fontId="2" fillId="0" borderId="30" xfId="136" applyNumberFormat="1" applyFont="1" applyFill="1" applyBorder="1" applyAlignment="1">
      <alignment horizontal="center"/>
    </xf>
    <xf numFmtId="0" fontId="3" fillId="0" borderId="0" xfId="0" applyFont="1" applyAlignment="1">
      <alignment horizontal="center" wrapText="1"/>
    </xf>
    <xf numFmtId="6" fontId="24" fillId="0" borderId="0" xfId="0" applyNumberFormat="1" applyFont="1"/>
    <xf numFmtId="164" fontId="2" fillId="0" borderId="40" xfId="0" applyNumberFormat="1" applyFont="1" applyBorder="1" applyAlignment="1">
      <alignment horizont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47" xfId="0" applyNumberFormat="1" applyFont="1" applyBorder="1" applyAlignment="1">
      <alignment horizontal="right" vertical="center" wrapText="1" indent="1"/>
    </xf>
    <xf numFmtId="6" fontId="2" fillId="0" borderId="13" xfId="0" applyNumberFormat="1" applyFont="1" applyBorder="1" applyAlignment="1">
      <alignment horizontal="right"/>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31" xfId="0" applyNumberFormat="1" applyFont="1" applyBorder="1" applyAlignment="1">
      <alignment horizontal="right" vertical="center" wrapText="1" indent="1"/>
    </xf>
    <xf numFmtId="6" fontId="2" fillId="0" borderId="14" xfId="0" applyNumberFormat="1" applyFont="1" applyBorder="1" applyAlignment="1">
      <alignment horizontal="right"/>
    </xf>
    <xf numFmtId="164" fontId="2" fillId="0" borderId="13" xfId="0" applyNumberFormat="1" applyFont="1" applyBorder="1" applyAlignment="1">
      <alignment horizontal="right" vertical="center" wrapText="1" indent="1"/>
    </xf>
    <xf numFmtId="164" fontId="2" fillId="0" borderId="14" xfId="0" applyNumberFormat="1" applyFont="1" applyBorder="1" applyAlignment="1">
      <alignment horizontal="right" vertical="center" wrapText="1" indent="1"/>
    </xf>
    <xf numFmtId="175" fontId="0" fillId="2" borderId="40" xfId="0" applyNumberFormat="1" applyFill="1" applyBorder="1" applyAlignment="1">
      <alignment horizontal="center"/>
    </xf>
    <xf numFmtId="175" fontId="0" fillId="0" borderId="19" xfId="0" applyNumberFormat="1" applyBorder="1" applyAlignment="1">
      <alignment horizontal="center"/>
    </xf>
    <xf numFmtId="173" fontId="0" fillId="0" borderId="55" xfId="0" applyNumberFormat="1" applyBorder="1" applyAlignment="1">
      <alignment horizontal="center"/>
    </xf>
    <xf numFmtId="175" fontId="0" fillId="2" borderId="36" xfId="0" applyNumberForma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5" fillId="0" borderId="0" xfId="0" applyFont="1" applyAlignment="1">
      <alignment horizontal="center"/>
    </xf>
    <xf numFmtId="171" fontId="0" fillId="0" borderId="23" xfId="0" applyNumberFormat="1" applyBorder="1" applyAlignment="1">
      <alignment horizontal="center" vertical="center"/>
    </xf>
    <xf numFmtId="6" fontId="0" fillId="0" borderId="23" xfId="0" applyNumberFormat="1" applyBorder="1"/>
    <xf numFmtId="0" fontId="5" fillId="0" borderId="23" xfId="0" applyFont="1" applyBorder="1" applyAlignment="1">
      <alignment vertical="center"/>
    </xf>
    <xf numFmtId="171" fontId="0" fillId="0" borderId="23" xfId="0" applyNumberFormat="1" applyBorder="1"/>
    <xf numFmtId="0" fontId="0" fillId="4" borderId="23" xfId="0" applyFill="1" applyBorder="1" applyAlignment="1">
      <alignment horizontal="center" vertical="center"/>
    </xf>
    <xf numFmtId="6" fontId="0" fillId="4" borderId="23" xfId="0" applyNumberFormat="1" applyFill="1" applyBorder="1"/>
    <xf numFmtId="6" fontId="5" fillId="0" borderId="0" xfId="0" applyNumberFormat="1" applyFont="1"/>
    <xf numFmtId="0" fontId="0" fillId="0" borderId="21" xfId="0" applyBorder="1" applyAlignment="1">
      <alignment horizontal="left" vertical="top" wrapText="1"/>
    </xf>
    <xf numFmtId="164" fontId="0" fillId="0" borderId="23" xfId="0" applyNumberFormat="1" applyBorder="1"/>
    <xf numFmtId="2" fontId="0" fillId="0" borderId="23" xfId="0" applyNumberFormat="1" applyBorder="1" applyAlignment="1">
      <alignment horizontal="center"/>
    </xf>
    <xf numFmtId="0" fontId="5" fillId="0" borderId="20" xfId="0" applyFont="1" applyBorder="1" applyAlignment="1">
      <alignment horizontal="center"/>
    </xf>
    <xf numFmtId="0" fontId="0" fillId="0" borderId="20" xfId="0" applyBorder="1" applyAlignment="1">
      <alignment horizontal="center"/>
    </xf>
    <xf numFmtId="0" fontId="0" fillId="0" borderId="21" xfId="0" applyBorder="1" applyAlignment="1">
      <alignment horizontal="left" vertical="top"/>
    </xf>
    <xf numFmtId="0" fontId="27" fillId="0" borderId="0" xfId="6" applyFont="1"/>
    <xf numFmtId="0" fontId="7" fillId="0" borderId="0" xfId="6"/>
    <xf numFmtId="0" fontId="29" fillId="0" borderId="0" xfId="140" applyFont="1" applyAlignment="1" applyProtection="1"/>
    <xf numFmtId="0" fontId="30" fillId="0" borderId="0" xfId="6" applyFont="1"/>
    <xf numFmtId="0" fontId="27" fillId="0" borderId="0" xfId="6" applyFont="1" applyAlignment="1">
      <alignment horizontal="center"/>
    </xf>
    <xf numFmtId="3" fontId="27" fillId="0" borderId="0" xfId="6" applyNumberFormat="1" applyFont="1" applyAlignment="1">
      <alignment horizontal="center"/>
    </xf>
    <xf numFmtId="2" fontId="27" fillId="0" borderId="0" xfId="6" applyNumberFormat="1" applyFont="1" applyAlignment="1">
      <alignment horizontal="center"/>
    </xf>
    <xf numFmtId="16" fontId="27" fillId="0" borderId="0" xfId="6" quotePrefix="1" applyNumberFormat="1" applyFont="1" applyAlignment="1">
      <alignment horizontal="center"/>
    </xf>
    <xf numFmtId="0" fontId="27" fillId="0" borderId="0" xfId="6" applyFont="1" applyAlignment="1">
      <alignment vertical="center"/>
    </xf>
    <xf numFmtId="0" fontId="23" fillId="0" borderId="0" xfId="138" applyAlignment="1" applyProtection="1"/>
    <xf numFmtId="0" fontId="0" fillId="0" borderId="58" xfId="0" applyBorder="1" applyAlignment="1">
      <alignment horizontal="center"/>
    </xf>
    <xf numFmtId="37" fontId="0" fillId="0" borderId="58" xfId="0" applyNumberFormat="1" applyBorder="1" applyAlignment="1">
      <alignment horizontal="center"/>
    </xf>
    <xf numFmtId="164" fontId="2" fillId="0" borderId="17" xfId="0" applyNumberFormat="1" applyFont="1" applyBorder="1" applyAlignment="1">
      <alignment horizontal="center"/>
    </xf>
    <xf numFmtId="1" fontId="2" fillId="0" borderId="5" xfId="0" applyNumberFormat="1" applyFont="1" applyBorder="1" applyAlignment="1">
      <alignment horizontal="center"/>
    </xf>
    <xf numFmtId="0" fontId="6" fillId="0" borderId="0" xfId="0" applyFont="1" applyAlignment="1">
      <alignment horizontal="right"/>
    </xf>
    <xf numFmtId="0" fontId="15" fillId="0" borderId="0" xfId="0" applyFont="1" applyAlignment="1">
      <alignment horizontal="right"/>
    </xf>
    <xf numFmtId="0" fontId="6" fillId="0" borderId="0" xfId="2" applyFont="1" applyAlignment="1">
      <alignment horizontal="right"/>
    </xf>
    <xf numFmtId="164" fontId="0" fillId="0" borderId="23" xfId="0" applyNumberFormat="1" applyBorder="1" applyAlignment="1">
      <alignment horizontal="center"/>
    </xf>
    <xf numFmtId="170" fontId="0" fillId="0" borderId="23" xfId="0" applyNumberFormat="1" applyBorder="1" applyAlignment="1">
      <alignment horizontal="center"/>
    </xf>
    <xf numFmtId="0" fontId="2" fillId="0" borderId="4" xfId="0" applyFont="1" applyBorder="1" applyAlignment="1">
      <alignment horizontal="center" vertical="center"/>
    </xf>
    <xf numFmtId="164" fontId="2" fillId="0" borderId="30" xfId="136" applyNumberFormat="1" applyFont="1" applyBorder="1" applyAlignment="1">
      <alignment horizontal="right"/>
    </xf>
    <xf numFmtId="6" fontId="2" fillId="0" borderId="17" xfId="1" applyNumberFormat="1" applyFont="1" applyFill="1" applyBorder="1" applyAlignment="1">
      <alignment horizontal="right"/>
    </xf>
    <xf numFmtId="9" fontId="0" fillId="0" borderId="0" xfId="137" applyFont="1"/>
    <xf numFmtId="0" fontId="5" fillId="0" borderId="23" xfId="0" applyFont="1" applyBorder="1" applyAlignment="1">
      <alignment horizontal="left"/>
    </xf>
    <xf numFmtId="164" fontId="5" fillId="0" borderId="23" xfId="0" applyNumberFormat="1" applyFont="1" applyBorder="1" applyAlignment="1">
      <alignment horizontal="center"/>
    </xf>
    <xf numFmtId="0" fontId="2" fillId="0" borderId="6" xfId="0" applyFont="1" applyBorder="1" applyAlignment="1">
      <alignment horizontal="center" vertical="center"/>
    </xf>
    <xf numFmtId="164" fontId="2" fillId="0" borderId="47" xfId="136" applyNumberFormat="1" applyFont="1" applyBorder="1" applyAlignment="1">
      <alignment horizontal="right"/>
    </xf>
    <xf numFmtId="6" fontId="2" fillId="0" borderId="18" xfId="1" applyNumberFormat="1" applyFont="1" applyFill="1" applyBorder="1" applyAlignment="1">
      <alignment horizontal="right"/>
    </xf>
    <xf numFmtId="44" fontId="0" fillId="0" borderId="0" xfId="0" applyNumberFormat="1"/>
    <xf numFmtId="0" fontId="0" fillId="0" borderId="23" xfId="0" applyBorder="1" applyAlignment="1">
      <alignment horizontal="right"/>
    </xf>
    <xf numFmtId="0" fontId="2" fillId="0" borderId="8" xfId="0" applyFont="1" applyBorder="1" applyAlignment="1">
      <alignment horizontal="center" vertical="center"/>
    </xf>
    <xf numFmtId="164" fontId="2" fillId="0" borderId="31" xfId="136" applyNumberFormat="1" applyFont="1" applyBorder="1" applyAlignment="1">
      <alignment horizontal="right"/>
    </xf>
    <xf numFmtId="6" fontId="2" fillId="0" borderId="19" xfId="1" applyNumberFormat="1" applyFont="1" applyFill="1" applyBorder="1" applyAlignment="1">
      <alignment horizontal="right"/>
    </xf>
    <xf numFmtId="164" fontId="2" fillId="0" borderId="0" xfId="0" applyNumberFormat="1" applyFont="1"/>
    <xf numFmtId="0" fontId="0" fillId="0" borderId="23" xfId="0" applyBorder="1" applyAlignment="1">
      <alignment horizontal="left" vertical="center"/>
    </xf>
    <xf numFmtId="164" fontId="0" fillId="0" borderId="23" xfId="0" applyNumberFormat="1" applyBorder="1" applyAlignment="1">
      <alignment horizontal="right"/>
    </xf>
    <xf numFmtId="0" fontId="0" fillId="0" borderId="0" xfId="0" applyAlignment="1">
      <alignment horizontal="left" vertical="center"/>
    </xf>
    <xf numFmtId="164" fontId="0" fillId="0" borderId="0" xfId="0" applyNumberFormat="1" applyAlignment="1">
      <alignment horizontal="right"/>
    </xf>
    <xf numFmtId="0" fontId="2" fillId="0" borderId="59" xfId="0" applyFont="1" applyBorder="1" applyAlignment="1">
      <alignment horizontal="center" vertical="center"/>
    </xf>
    <xf numFmtId="164" fontId="2" fillId="0" borderId="48" xfId="136" applyNumberFormat="1" applyFont="1" applyBorder="1" applyAlignment="1">
      <alignment horizontal="right"/>
    </xf>
    <xf numFmtId="6" fontId="2" fillId="0" borderId="56" xfId="0" applyNumberFormat="1" applyFont="1" applyBorder="1" applyAlignment="1">
      <alignment horizontal="right"/>
    </xf>
    <xf numFmtId="6" fontId="2" fillId="0" borderId="57" xfId="1" applyNumberFormat="1" applyFont="1" applyFill="1" applyBorder="1" applyAlignment="1">
      <alignment horizontal="right"/>
    </xf>
    <xf numFmtId="0" fontId="9" fillId="0" borderId="23" xfId="2" applyFont="1" applyBorder="1" applyAlignment="1">
      <alignment horizontal="center" vertical="center"/>
    </xf>
    <xf numFmtId="170" fontId="9" fillId="0" borderId="23" xfId="2" applyNumberFormat="1" applyFont="1" applyBorder="1" applyAlignment="1">
      <alignment horizontal="left" vertical="center"/>
    </xf>
    <xf numFmtId="6" fontId="0" fillId="0" borderId="0" xfId="0" applyNumberFormat="1" applyAlignment="1">
      <alignment vertical="top" wrapText="1"/>
    </xf>
    <xf numFmtId="0" fontId="0" fillId="0" borderId="23" xfId="1" applyNumberFormat="1" applyFont="1" applyFill="1" applyBorder="1" applyAlignment="1">
      <alignment horizontal="center"/>
    </xf>
    <xf numFmtId="0" fontId="0" fillId="0" borderId="23" xfId="0" applyBorder="1" applyAlignment="1">
      <alignment horizontal="center" vertical="top" wrapText="1"/>
    </xf>
    <xf numFmtId="6" fontId="2" fillId="0" borderId="9" xfId="0" applyNumberFormat="1" applyFont="1" applyBorder="1" applyAlignment="1">
      <alignment horizontal="center" vertical="center" wrapText="1"/>
    </xf>
    <xf numFmtId="164" fontId="2" fillId="0" borderId="19" xfId="0" applyNumberFormat="1" applyFont="1" applyBorder="1" applyAlignment="1">
      <alignment horizontal="center" vertical="center"/>
    </xf>
    <xf numFmtId="8" fontId="2" fillId="0" borderId="9"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0" fontId="23" fillId="0" borderId="0" xfId="138"/>
    <xf numFmtId="1" fontId="2" fillId="0" borderId="58" xfId="0" applyNumberFormat="1" applyFont="1" applyBorder="1" applyAlignment="1">
      <alignment horizontal="center"/>
    </xf>
    <xf numFmtId="164" fontId="2" fillId="0" borderId="57" xfId="0" applyNumberFormat="1" applyFont="1" applyBorder="1" applyAlignment="1">
      <alignment horizontal="center"/>
    </xf>
    <xf numFmtId="0" fontId="0" fillId="3" borderId="23" xfId="0" applyFill="1" applyBorder="1"/>
    <xf numFmtId="164" fontId="2" fillId="0" borderId="17" xfId="0" applyNumberFormat="1" applyFont="1" applyBorder="1" applyAlignment="1">
      <alignment horizontal="right" vertical="center" wrapText="1" indent="1"/>
    </xf>
    <xf numFmtId="164" fontId="2" fillId="0" borderId="18" xfId="0" applyNumberFormat="1" applyFont="1" applyBorder="1" applyAlignment="1">
      <alignment horizontal="right" vertical="center" wrapText="1" indent="1"/>
    </xf>
    <xf numFmtId="164" fontId="2" fillId="0" borderId="19" xfId="0" applyNumberFormat="1" applyFont="1" applyBorder="1" applyAlignment="1">
      <alignment horizontal="right" vertical="center" wrapText="1" indent="1"/>
    </xf>
    <xf numFmtId="0" fontId="2" fillId="0" borderId="38" xfId="0" applyFont="1" applyBorder="1" applyAlignment="1">
      <alignment horizontal="center"/>
    </xf>
    <xf numFmtId="0" fontId="0" fillId="0" borderId="0" xfId="0" quotePrefix="1"/>
    <xf numFmtId="0" fontId="23" fillId="0" borderId="0" xfId="138" applyAlignment="1">
      <alignment horizontal="left" vertical="top"/>
    </xf>
    <xf numFmtId="0" fontId="6" fillId="0" borderId="0" xfId="2" applyFont="1" applyAlignment="1">
      <alignment horizontal="left" vertical="top" wrapText="1"/>
    </xf>
    <xf numFmtId="0" fontId="2" fillId="2" borderId="2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7" xfId="0"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35"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5" fillId="0" borderId="0" xfId="0" applyFont="1" applyAlignment="1">
      <alignment horizontal="left"/>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35" xfId="0" applyFont="1" applyBorder="1" applyAlignment="1">
      <alignment horizontal="center" vertical="center"/>
    </xf>
    <xf numFmtId="0" fontId="5" fillId="0" borderId="44" xfId="0" applyFont="1" applyBorder="1" applyAlignment="1">
      <alignment horizontal="center" vertical="center"/>
    </xf>
    <xf numFmtId="0" fontId="5" fillId="0" borderId="25" xfId="0" applyFont="1" applyBorder="1" applyAlignment="1">
      <alignment horizontal="center" vertical="center"/>
    </xf>
    <xf numFmtId="0" fontId="2" fillId="0" borderId="2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7" xfId="0" applyFont="1" applyBorder="1" applyAlignment="1">
      <alignment horizontal="center" vertical="center"/>
    </xf>
    <xf numFmtId="0" fontId="2" fillId="0" borderId="57" xfId="0" applyFont="1" applyBorder="1" applyAlignment="1">
      <alignment horizontal="center" vertical="center"/>
    </xf>
    <xf numFmtId="0" fontId="5" fillId="0" borderId="20" xfId="0" applyFont="1" applyBorder="1" applyAlignment="1">
      <alignment horizontal="center"/>
    </xf>
    <xf numFmtId="0" fontId="5" fillId="0" borderId="52" xfId="0" applyFont="1" applyBorder="1" applyAlignment="1">
      <alignment horizont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1" xfId="0" applyFont="1" applyBorder="1" applyAlignment="1">
      <alignment horizontal="center"/>
    </xf>
    <xf numFmtId="0" fontId="5" fillId="0" borderId="29" xfId="0" applyFont="1" applyBorder="1" applyAlignment="1">
      <alignment horizontal="center"/>
    </xf>
    <xf numFmtId="0" fontId="5" fillId="0" borderId="35" xfId="0" applyFont="1" applyBorder="1" applyAlignment="1">
      <alignment horizontal="center"/>
    </xf>
    <xf numFmtId="0" fontId="5" fillId="0" borderId="44"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applyBorder="1" applyAlignment="1">
      <alignment horizontal="center" vertical="top" wrapText="1"/>
    </xf>
    <xf numFmtId="0" fontId="0" fillId="0" borderId="0" xfId="1" applyNumberFormat="1" applyFont="1" applyFill="1" applyBorder="1" applyAlignment="1">
      <alignment horizontal="center"/>
    </xf>
    <xf numFmtId="0" fontId="0" fillId="0" borderId="0" xfId="0" applyNumberFormat="1" applyAlignment="1">
      <alignment horizontal="left" vertical="top"/>
    </xf>
    <xf numFmtId="172" fontId="0" fillId="0" borderId="0" xfId="137" applyNumberFormat="1" applyFont="1"/>
    <xf numFmtId="173" fontId="0" fillId="0" borderId="23" xfId="1" applyNumberFormat="1" applyFont="1" applyFill="1" applyBorder="1" applyAlignment="1">
      <alignment horizontal="center"/>
    </xf>
    <xf numFmtId="2" fontId="0" fillId="0" borderId="0" xfId="1" applyNumberFormat="1" applyFont="1" applyFill="1" applyBorder="1"/>
    <xf numFmtId="0" fontId="34" fillId="0" borderId="60" xfId="141" applyFont="1" applyBorder="1" applyAlignment="1">
      <alignment horizontal="left"/>
    </xf>
    <xf numFmtId="0" fontId="7" fillId="0" borderId="61" xfId="141" applyFont="1" applyBorder="1"/>
    <xf numFmtId="0" fontId="7" fillId="0" borderId="62" xfId="141" applyFont="1" applyBorder="1"/>
    <xf numFmtId="0" fontId="33" fillId="0" borderId="0" xfId="141"/>
    <xf numFmtId="0" fontId="7" fillId="0" borderId="63" xfId="141" applyFont="1" applyBorder="1" applyAlignment="1">
      <alignment horizontal="left"/>
    </xf>
    <xf numFmtId="0" fontId="7" fillId="0" borderId="64" xfId="141" applyFont="1" applyBorder="1" applyAlignment="1">
      <alignment horizontal="center"/>
    </xf>
    <xf numFmtId="0" fontId="7" fillId="0" borderId="65" xfId="141" applyFont="1" applyBorder="1"/>
    <xf numFmtId="0" fontId="7" fillId="0" borderId="66" xfId="141" applyFont="1" applyBorder="1"/>
    <xf numFmtId="0" fontId="7" fillId="0" borderId="67" xfId="141" applyFont="1" applyBorder="1"/>
    <xf numFmtId="0" fontId="7" fillId="0" borderId="68" xfId="141" applyFont="1" applyBorder="1"/>
    <xf numFmtId="0" fontId="7" fillId="0" borderId="69" xfId="141" applyFont="1" applyBorder="1" applyAlignment="1">
      <alignment horizontal="center"/>
    </xf>
    <xf numFmtId="0" fontId="7" fillId="0" borderId="70" xfId="141" applyFont="1" applyBorder="1" applyAlignment="1">
      <alignment horizontal="center"/>
    </xf>
    <xf numFmtId="0" fontId="7" fillId="0" borderId="71" xfId="141" applyFont="1" applyBorder="1" applyAlignment="1">
      <alignment horizontal="left"/>
    </xf>
    <xf numFmtId="0" fontId="7" fillId="0" borderId="0" xfId="141" applyFont="1" applyAlignment="1">
      <alignment horizontal="center"/>
    </xf>
    <xf numFmtId="0" fontId="7" fillId="0" borderId="72" xfId="141" applyFont="1" applyBorder="1" applyAlignment="1">
      <alignment horizontal="center"/>
    </xf>
    <xf numFmtId="0" fontId="7" fillId="0" borderId="73" xfId="141" applyFont="1" applyBorder="1" applyAlignment="1">
      <alignment horizontal="left"/>
    </xf>
    <xf numFmtId="0" fontId="7" fillId="0" borderId="74" xfId="141" applyFont="1" applyBorder="1"/>
    <xf numFmtId="0" fontId="7" fillId="0" borderId="75" xfId="141" applyFont="1" applyBorder="1"/>
    <xf numFmtId="0" fontId="7" fillId="0" borderId="0" xfId="141" applyFont="1"/>
    <xf numFmtId="0" fontId="7" fillId="0" borderId="0" xfId="141" applyFont="1" applyAlignment="1">
      <alignment horizontal="left"/>
    </xf>
    <xf numFmtId="0" fontId="0" fillId="0" borderId="0" xfId="0" applyAlignment="1"/>
    <xf numFmtId="16" fontId="0" fillId="0" borderId="0" xfId="0" applyNumberFormat="1" applyAlignment="1"/>
    <xf numFmtId="22" fontId="0" fillId="0" borderId="0" xfId="0" applyNumberFormat="1" applyAlignment="1"/>
    <xf numFmtId="0" fontId="0" fillId="5" borderId="0" xfId="0" applyFill="1" applyAlignment="1"/>
    <xf numFmtId="0" fontId="5" fillId="0" borderId="76" xfId="0" applyFont="1" applyBorder="1"/>
    <xf numFmtId="0" fontId="5" fillId="0" borderId="77" xfId="0" applyFont="1" applyBorder="1"/>
    <xf numFmtId="0" fontId="0" fillId="0" borderId="52" xfId="0" applyBorder="1"/>
    <xf numFmtId="6" fontId="0" fillId="0" borderId="20" xfId="0" applyNumberFormat="1" applyBorder="1"/>
    <xf numFmtId="0" fontId="0" fillId="0" borderId="78" xfId="0" applyBorder="1"/>
    <xf numFmtId="6" fontId="0" fillId="0" borderId="79" xfId="0" applyNumberFormat="1" applyBorder="1"/>
    <xf numFmtId="0" fontId="5" fillId="0" borderId="78" xfId="0" applyFont="1" applyBorder="1"/>
    <xf numFmtId="164" fontId="5" fillId="0" borderId="23" xfId="1" applyNumberFormat="1" applyFont="1" applyFill="1" applyBorder="1"/>
    <xf numFmtId="3" fontId="2" fillId="0" borderId="0" xfId="0" applyNumberFormat="1" applyFont="1"/>
    <xf numFmtId="174" fontId="2" fillId="0" borderId="0" xfId="0" applyNumberFormat="1" applyFont="1"/>
    <xf numFmtId="0" fontId="0" fillId="0" borderId="76" xfId="0" applyBorder="1" applyAlignment="1">
      <alignment vertical="top"/>
    </xf>
    <xf numFmtId="0" fontId="0" fillId="0" borderId="77" xfId="0" applyBorder="1" applyAlignment="1">
      <alignment horizontal="center" vertical="top"/>
    </xf>
    <xf numFmtId="0" fontId="0" fillId="0" borderId="52" xfId="0" applyBorder="1" applyAlignment="1">
      <alignment vertical="top"/>
    </xf>
    <xf numFmtId="3" fontId="0" fillId="0" borderId="20" xfId="0" applyNumberFormat="1" applyBorder="1" applyAlignment="1">
      <alignment horizontal="center" vertical="top"/>
    </xf>
    <xf numFmtId="0" fontId="0" fillId="0" borderId="78" xfId="0" applyBorder="1" applyAlignment="1">
      <alignment vertical="top"/>
    </xf>
    <xf numFmtId="3" fontId="0" fillId="0" borderId="79" xfId="0" applyNumberFormat="1" applyBorder="1" applyAlignment="1">
      <alignment horizontal="center" vertical="top"/>
    </xf>
    <xf numFmtId="173" fontId="0" fillId="0" borderId="0" xfId="0" applyNumberFormat="1" applyAlignment="1">
      <alignment horizontal="left"/>
    </xf>
    <xf numFmtId="0" fontId="0" fillId="0" borderId="23" xfId="0" applyNumberFormat="1" applyBorder="1" applyAlignment="1">
      <alignment horizontal="center" vertical="top" wrapText="1"/>
    </xf>
    <xf numFmtId="1" fontId="0" fillId="0" borderId="23" xfId="0" applyNumberFormat="1" applyBorder="1" applyAlignment="1">
      <alignment horizontal="center" vertical="top"/>
    </xf>
    <xf numFmtId="10" fontId="0" fillId="0" borderId="23" xfId="137" applyNumberFormat="1" applyFont="1" applyFill="1" applyBorder="1" applyAlignment="1">
      <alignment horizontal="center"/>
    </xf>
    <xf numFmtId="0" fontId="0" fillId="0" borderId="23" xfId="137" applyNumberFormat="1" applyFont="1" applyFill="1" applyBorder="1" applyAlignment="1">
      <alignment horizontal="center"/>
    </xf>
    <xf numFmtId="9" fontId="0" fillId="0" borderId="23" xfId="1" applyNumberFormat="1" applyFont="1" applyFill="1" applyBorder="1" applyAlignment="1">
      <alignment horizontal="center"/>
    </xf>
    <xf numFmtId="0" fontId="0" fillId="0" borderId="23" xfId="0" applyBorder="1" applyAlignment="1">
      <alignment horizontal="left" vertical="top"/>
    </xf>
    <xf numFmtId="0" fontId="0" fillId="0" borderId="23" xfId="0" quotePrefix="1" applyBorder="1" applyAlignment="1">
      <alignment horizontal="center"/>
    </xf>
    <xf numFmtId="0" fontId="0" fillId="0" borderId="23" xfId="0" applyBorder="1" applyAlignment="1">
      <alignment horizontal="left" vertical="top" wrapText="1"/>
    </xf>
    <xf numFmtId="0" fontId="5" fillId="0" borderId="0" xfId="0" applyFont="1" applyAlignment="1">
      <alignment horizontal="left" vertical="top"/>
    </xf>
    <xf numFmtId="178" fontId="0" fillId="0" borderId="23" xfId="0" applyNumberFormat="1" applyBorder="1"/>
    <xf numFmtId="2" fontId="0" fillId="0" borderId="23" xfId="0" applyNumberFormat="1" applyBorder="1" applyAlignment="1">
      <alignment horizontal="left" vertical="top"/>
    </xf>
    <xf numFmtId="2" fontId="0" fillId="0" borderId="23" xfId="0" applyNumberFormat="1" applyBorder="1"/>
    <xf numFmtId="2" fontId="0" fillId="0" borderId="23" xfId="0" applyNumberFormat="1" applyBorder="1" applyAlignment="1">
      <alignment horizontal="left" vertical="top" wrapText="1"/>
    </xf>
    <xf numFmtId="1" fontId="0" fillId="0" borderId="23" xfId="0" applyNumberFormat="1" applyBorder="1"/>
    <xf numFmtId="172" fontId="0" fillId="0" borderId="23" xfId="137" applyNumberFormat="1" applyFont="1" applyBorder="1"/>
    <xf numFmtId="172" fontId="5" fillId="0" borderId="23" xfId="0" applyNumberFormat="1" applyFont="1" applyBorder="1"/>
    <xf numFmtId="1" fontId="5" fillId="0" borderId="23" xfId="0" applyNumberFormat="1" applyFont="1" applyBorder="1"/>
    <xf numFmtId="9" fontId="0" fillId="0" borderId="23" xfId="0" applyNumberFormat="1" applyBorder="1"/>
    <xf numFmtId="0" fontId="0" fillId="0" borderId="58" xfId="0" applyBorder="1" applyAlignment="1">
      <alignment horizontal="left" vertical="center"/>
    </xf>
    <xf numFmtId="0" fontId="0" fillId="0" borderId="58" xfId="0" applyBorder="1"/>
    <xf numFmtId="0" fontId="5" fillId="0" borderId="24" xfId="0" applyFont="1" applyBorder="1" applyAlignment="1">
      <alignment horizontal="left" vertical="center"/>
    </xf>
    <xf numFmtId="0" fontId="0" fillId="0" borderId="0" xfId="0" applyBorder="1"/>
    <xf numFmtId="0" fontId="23" fillId="0" borderId="21" xfId="138" applyBorder="1"/>
    <xf numFmtId="0" fontId="5" fillId="0" borderId="0" xfId="0" applyFont="1" applyAlignment="1">
      <alignment horizontal="left" vertical="center"/>
    </xf>
    <xf numFmtId="9" fontId="0" fillId="0" borderId="23" xfId="137" applyFont="1" applyBorder="1" applyAlignment="1">
      <alignment horizontal="center"/>
    </xf>
    <xf numFmtId="0" fontId="5" fillId="0" borderId="23" xfId="0" applyFont="1" applyBorder="1" applyAlignment="1">
      <alignment horizontal="left" vertical="center"/>
    </xf>
    <xf numFmtId="164" fontId="5" fillId="0" borderId="23" xfId="0" applyNumberFormat="1" applyFont="1" applyBorder="1"/>
    <xf numFmtId="9" fontId="5" fillId="0" borderId="23" xfId="137" applyFont="1" applyBorder="1" applyAlignment="1">
      <alignment horizontal="center"/>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6" fillId="0" borderId="0" xfId="0" applyFont="1" applyFill="1" applyAlignment="1">
      <alignment vertical="top" wrapText="1"/>
    </xf>
    <xf numFmtId="0" fontId="9" fillId="0" borderId="0" xfId="2" applyFont="1" applyFill="1" applyAlignment="1">
      <alignment horizontal="left"/>
    </xf>
    <xf numFmtId="0" fontId="6" fillId="0" borderId="0" xfId="2" applyFont="1" applyFill="1" applyAlignment="1">
      <alignment vertical="top" wrapText="1"/>
    </xf>
    <xf numFmtId="0" fontId="6" fillId="0" borderId="0" xfId="2" applyFont="1" applyFill="1" applyAlignment="1">
      <alignment horizontal="left" vertical="top" wrapText="1"/>
    </xf>
    <xf numFmtId="0" fontId="6" fillId="0" borderId="0" xfId="2" applyFont="1" applyFill="1" applyAlignment="1">
      <alignment horizontal="left" vertical="top"/>
    </xf>
    <xf numFmtId="167" fontId="20" fillId="0" borderId="0" xfId="2" applyNumberFormat="1" applyFont="1" applyFill="1" applyAlignment="1">
      <alignment horizontal="left" vertical="top"/>
    </xf>
    <xf numFmtId="0" fontId="9" fillId="0" borderId="23" xfId="2" applyFont="1" applyFill="1" applyBorder="1" applyAlignment="1">
      <alignment horizontal="left" vertical="center"/>
    </xf>
    <xf numFmtId="172" fontId="9" fillId="0" borderId="23" xfId="2" applyNumberFormat="1" applyFont="1" applyFill="1" applyBorder="1" applyAlignment="1">
      <alignment horizontal="center" vertical="center"/>
    </xf>
    <xf numFmtId="0" fontId="9" fillId="0" borderId="23" xfId="2" applyFont="1" applyFill="1" applyBorder="1" applyAlignment="1">
      <alignment horizontal="center" vertical="center"/>
    </xf>
    <xf numFmtId="2" fontId="9" fillId="0" borderId="23" xfId="2" applyNumberFormat="1" applyFont="1" applyFill="1" applyBorder="1" applyAlignment="1">
      <alignment horizontal="center" vertical="center"/>
    </xf>
    <xf numFmtId="0" fontId="9" fillId="0" borderId="0" xfId="2" applyFont="1" applyFill="1" applyAlignment="1">
      <alignment horizontal="left" vertical="center"/>
    </xf>
    <xf numFmtId="0" fontId="3" fillId="0" borderId="0" xfId="0" applyFont="1" applyFill="1"/>
    <xf numFmtId="0" fontId="10" fillId="0" borderId="0" xfId="2" applyFont="1" applyFill="1" applyAlignment="1">
      <alignment horizontal="left"/>
    </xf>
    <xf numFmtId="0" fontId="0" fillId="0" borderId="0" xfId="0" applyFill="1" applyAlignment="1">
      <alignment horizontal="left" vertical="top" wrapText="1"/>
    </xf>
    <xf numFmtId="0" fontId="11" fillId="0" borderId="0" xfId="0" applyFont="1" applyAlignment="1">
      <alignment horizontal="left"/>
    </xf>
  </cellXfs>
  <cellStyles count="142">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Hyperlink 2" xfId="140" xr:uid="{827561D3-238C-480C-8B92-C974DC89A392}"/>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xfId="141" xr:uid="{5C5A8622-D560-413E-9832-3171BF84D2DE}"/>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22</xdr:col>
      <xdr:colOff>526677</xdr:colOff>
      <xdr:row>3</xdr:row>
      <xdr:rowOff>100853</xdr:rowOff>
    </xdr:from>
    <xdr:to>
      <xdr:col>34</xdr:col>
      <xdr:colOff>427171</xdr:colOff>
      <xdr:row>47</xdr:row>
      <xdr:rowOff>5657</xdr:rowOff>
    </xdr:to>
    <xdr:pic>
      <xdr:nvPicPr>
        <xdr:cNvPr id="3" name="Picture 2">
          <a:extLst>
            <a:ext uri="{FF2B5EF4-FFF2-40B4-BE49-F238E27FC236}">
              <a16:creationId xmlns:a16="http://schemas.microsoft.com/office/drawing/2014/main" id="{E641FAF0-CC8D-E04C-6EA3-6E3DA00A133F}"/>
            </a:ext>
          </a:extLst>
        </xdr:cNvPr>
        <xdr:cNvPicPr>
          <a:picLocks noChangeAspect="1"/>
        </xdr:cNvPicPr>
      </xdr:nvPicPr>
      <xdr:blipFill>
        <a:blip xmlns:r="http://schemas.openxmlformats.org/officeDocument/2006/relationships" r:embed="rId1"/>
        <a:stretch>
          <a:fillRect/>
        </a:stretch>
      </xdr:blipFill>
      <xdr:spPr>
        <a:xfrm>
          <a:off x="22299706" y="683559"/>
          <a:ext cx="7161905" cy="85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481852</xdr:colOff>
      <xdr:row>3</xdr:row>
      <xdr:rowOff>11205</xdr:rowOff>
    </xdr:from>
    <xdr:to>
      <xdr:col>27</xdr:col>
      <xdr:colOff>609116</xdr:colOff>
      <xdr:row>37</xdr:row>
      <xdr:rowOff>88220</xdr:rowOff>
    </xdr:to>
    <xdr:pic>
      <xdr:nvPicPr>
        <xdr:cNvPr id="2" name="Picture 1">
          <a:extLst>
            <a:ext uri="{FF2B5EF4-FFF2-40B4-BE49-F238E27FC236}">
              <a16:creationId xmlns:a16="http://schemas.microsoft.com/office/drawing/2014/main" id="{7106CF38-FEA4-CC06-0EF1-7385A0E3A178}"/>
            </a:ext>
          </a:extLst>
        </xdr:cNvPr>
        <xdr:cNvPicPr>
          <a:picLocks noChangeAspect="1"/>
        </xdr:cNvPicPr>
      </xdr:nvPicPr>
      <xdr:blipFill>
        <a:blip xmlns:r="http://schemas.openxmlformats.org/officeDocument/2006/relationships" r:embed="rId1"/>
        <a:stretch>
          <a:fillRect/>
        </a:stretch>
      </xdr:blipFill>
      <xdr:spPr>
        <a:xfrm>
          <a:off x="18512117" y="593911"/>
          <a:ext cx="8352381" cy="69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wctrib.com/news/local/nexyst-moving-forward-on-40-million-agricultural-distribution-project-in-willmar-industrial-par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safetydata.fra.dot.gov/webap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ransportation.anl.gov/pdfs/idling_worksheet.pdf" TargetMode="External"/><Relationship Id="rId1" Type="http://schemas.openxmlformats.org/officeDocument/2006/relationships/hyperlink" Target="http://energy.gov/eere/vehicles/fact-861-february-23-2015-idle-fuel-consumption-selected-gasoline-and-diesel-vehicl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2:S342"/>
  <sheetViews>
    <sheetView view="pageBreakPreview" zoomScale="85" zoomScaleNormal="85" zoomScaleSheetLayoutView="85" workbookViewId="0">
      <selection activeCell="C31" sqref="C31:G33"/>
    </sheetView>
  </sheetViews>
  <sheetFormatPr defaultColWidth="10.7109375" defaultRowHeight="15" customHeight="1" x14ac:dyDescent="0.2"/>
  <cols>
    <col min="1" max="1" width="10.7109375" style="35"/>
    <col min="2" max="2" width="5.7109375" style="35" customWidth="1"/>
    <col min="3" max="3" width="39.140625" style="35" bestFit="1" customWidth="1"/>
    <col min="4" max="5" width="15.7109375" style="35" customWidth="1"/>
    <col min="6" max="6" width="10.7109375" style="35"/>
    <col min="7" max="7" width="20.7109375" style="35" bestFit="1" customWidth="1"/>
    <col min="8" max="10" width="10.7109375" style="35"/>
    <col min="11" max="11" width="14.28515625" style="35" customWidth="1"/>
    <col min="12" max="12" width="11.7109375" style="37" bestFit="1" customWidth="1"/>
    <col min="13" max="18" width="10.7109375" style="37"/>
    <col min="19" max="16384" width="10.7109375" style="35"/>
  </cols>
  <sheetData>
    <row r="2" spans="2:19" ht="15" customHeight="1" x14ac:dyDescent="0.2">
      <c r="B2" s="44"/>
      <c r="L2" s="35"/>
      <c r="M2" s="35"/>
      <c r="N2" s="35"/>
      <c r="O2" s="35"/>
      <c r="P2" s="35"/>
      <c r="Q2" s="35"/>
      <c r="R2" s="35"/>
    </row>
    <row r="3" spans="2:19" ht="15" customHeight="1" x14ac:dyDescent="0.35">
      <c r="C3" s="5" t="s">
        <v>20</v>
      </c>
      <c r="F3" s="109"/>
      <c r="L3" s="35"/>
      <c r="M3" s="35"/>
      <c r="N3" s="35"/>
      <c r="O3" s="35"/>
      <c r="P3" s="35"/>
      <c r="Q3" s="35"/>
      <c r="R3" s="35"/>
    </row>
    <row r="4" spans="2:19" ht="15" customHeight="1" x14ac:dyDescent="0.35">
      <c r="C4" s="45" t="s">
        <v>59</v>
      </c>
      <c r="D4" s="248">
        <v>2020</v>
      </c>
      <c r="F4" s="109"/>
      <c r="I4" s="38"/>
      <c r="L4" s="35"/>
      <c r="M4" s="35"/>
      <c r="N4" s="35"/>
      <c r="O4" s="35"/>
      <c r="P4" s="35"/>
      <c r="Q4" s="35"/>
      <c r="R4" s="35"/>
    </row>
    <row r="5" spans="2:19" ht="15" customHeight="1" x14ac:dyDescent="0.2">
      <c r="B5" s="36"/>
      <c r="C5" s="45" t="s">
        <v>21</v>
      </c>
      <c r="D5" s="248">
        <v>2024</v>
      </c>
      <c r="E5" s="36"/>
      <c r="G5" s="44"/>
      <c r="H5" s="36"/>
      <c r="I5" s="36"/>
      <c r="J5" s="36"/>
      <c r="K5" s="36"/>
      <c r="L5" s="36"/>
      <c r="M5" s="36"/>
      <c r="N5" s="36"/>
      <c r="P5" s="36"/>
    </row>
    <row r="6" spans="2:19" ht="15" customHeight="1" x14ac:dyDescent="0.2">
      <c r="B6" s="36"/>
      <c r="C6" s="45" t="s">
        <v>22</v>
      </c>
      <c r="D6" s="248">
        <v>2</v>
      </c>
      <c r="E6" s="36"/>
      <c r="G6" s="44"/>
      <c r="H6" s="44"/>
      <c r="I6" s="44"/>
      <c r="J6" s="44"/>
      <c r="K6" s="44"/>
      <c r="L6" s="44"/>
      <c r="M6" s="44"/>
      <c r="N6" s="36"/>
      <c r="P6" s="36"/>
    </row>
    <row r="7" spans="2:19" ht="15" customHeight="1" x14ac:dyDescent="0.2">
      <c r="B7" s="36"/>
      <c r="C7" s="45" t="s">
        <v>39</v>
      </c>
      <c r="D7" s="248">
        <v>30</v>
      </c>
      <c r="E7" s="36"/>
      <c r="G7" s="44"/>
      <c r="H7" s="36"/>
      <c r="I7" s="36"/>
      <c r="J7" s="36"/>
      <c r="K7" s="44"/>
      <c r="L7" s="36"/>
      <c r="M7" s="36"/>
      <c r="N7" s="36"/>
      <c r="O7" s="36"/>
      <c r="P7" s="36"/>
      <c r="Q7" s="36"/>
    </row>
    <row r="8" spans="2:19" ht="15" customHeight="1" x14ac:dyDescent="0.2">
      <c r="B8" s="36"/>
      <c r="C8" s="45" t="s">
        <v>23</v>
      </c>
      <c r="D8" s="248">
        <f>D5+D6</f>
        <v>2026</v>
      </c>
      <c r="E8" s="36"/>
      <c r="G8" s="38"/>
      <c r="H8" s="36"/>
      <c r="L8" s="35"/>
      <c r="M8" s="36"/>
      <c r="N8" s="36"/>
      <c r="O8" s="36"/>
      <c r="P8" s="36"/>
      <c r="Q8" s="36"/>
      <c r="R8" s="35"/>
    </row>
    <row r="9" spans="2:19" ht="15" customHeight="1" x14ac:dyDescent="0.2">
      <c r="C9" s="45" t="s">
        <v>24</v>
      </c>
      <c r="D9" s="248">
        <f>D8+D7-1</f>
        <v>2055</v>
      </c>
      <c r="E9" s="36"/>
      <c r="G9" s="44"/>
      <c r="L9" s="35"/>
      <c r="M9" s="35"/>
      <c r="N9" s="35"/>
      <c r="O9" s="35"/>
      <c r="P9" s="35"/>
      <c r="Q9" s="35"/>
      <c r="R9" s="35"/>
    </row>
    <row r="10" spans="2:19" ht="15" customHeight="1" x14ac:dyDescent="0.2">
      <c r="D10" s="46"/>
      <c r="F10" s="36"/>
      <c r="L10" s="35"/>
      <c r="M10" s="35"/>
      <c r="N10" s="35"/>
      <c r="O10" s="35"/>
      <c r="P10" s="35"/>
      <c r="Q10" s="35"/>
      <c r="R10" s="35"/>
    </row>
    <row r="11" spans="2:19" ht="15" customHeight="1" x14ac:dyDescent="0.2">
      <c r="C11" s="5" t="s">
        <v>25</v>
      </c>
      <c r="E11" s="36"/>
      <c r="F11" s="36"/>
      <c r="L11" s="35"/>
      <c r="M11" s="35"/>
      <c r="N11" s="35"/>
      <c r="O11" s="35"/>
      <c r="P11" s="35"/>
      <c r="Q11" s="35"/>
      <c r="R11" s="35"/>
    </row>
    <row r="12" spans="2:19" ht="15" customHeight="1" x14ac:dyDescent="0.2">
      <c r="C12" s="45"/>
      <c r="D12" s="47" t="s">
        <v>17</v>
      </c>
      <c r="E12" s="47" t="s">
        <v>18</v>
      </c>
      <c r="F12" s="36"/>
      <c r="L12" s="35"/>
      <c r="M12" s="35"/>
      <c r="N12" s="35"/>
      <c r="O12" s="35"/>
      <c r="P12" s="35"/>
      <c r="Q12" s="35"/>
      <c r="R12" s="35"/>
    </row>
    <row r="13" spans="2:19" ht="15" customHeight="1" x14ac:dyDescent="0.2">
      <c r="C13" s="407" t="s">
        <v>51</v>
      </c>
      <c r="D13" s="408">
        <v>0.95</v>
      </c>
      <c r="E13" s="408">
        <f>D13</f>
        <v>0.95</v>
      </c>
      <c r="F13" s="36"/>
      <c r="J13" s="59"/>
      <c r="K13" s="59"/>
      <c r="L13" s="35"/>
      <c r="M13" s="35"/>
      <c r="N13" s="35"/>
      <c r="O13" s="35"/>
      <c r="P13" s="35"/>
      <c r="Q13" s="35"/>
      <c r="R13" s="35"/>
    </row>
    <row r="14" spans="2:19" ht="15" customHeight="1" x14ac:dyDescent="0.2">
      <c r="C14" s="407" t="s">
        <v>52</v>
      </c>
      <c r="D14" s="408">
        <f>1-D13</f>
        <v>5.0000000000000044E-2</v>
      </c>
      <c r="E14" s="408">
        <f>1-E13</f>
        <v>5.0000000000000044E-2</v>
      </c>
      <c r="L14" s="35"/>
      <c r="M14" s="35"/>
      <c r="N14" s="35"/>
      <c r="O14" s="35"/>
      <c r="P14" s="35"/>
      <c r="Q14" s="35"/>
      <c r="R14" s="35"/>
    </row>
    <row r="15" spans="2:19" ht="15" customHeight="1" x14ac:dyDescent="0.2">
      <c r="C15" s="407" t="s">
        <v>53</v>
      </c>
      <c r="D15" s="409">
        <v>1.67</v>
      </c>
      <c r="E15" s="409">
        <v>1.67</v>
      </c>
      <c r="L15" s="35"/>
      <c r="M15" s="35"/>
      <c r="N15" s="35"/>
      <c r="O15" s="35"/>
      <c r="P15" s="35"/>
      <c r="Q15" s="35"/>
      <c r="R15" s="35"/>
      <c r="S15" s="36"/>
    </row>
    <row r="16" spans="2:19" ht="15" customHeight="1" x14ac:dyDescent="0.2">
      <c r="C16" s="407" t="s">
        <v>54</v>
      </c>
      <c r="D16" s="410">
        <v>1</v>
      </c>
      <c r="E16" s="410">
        <v>1</v>
      </c>
      <c r="L16" s="35"/>
      <c r="M16" s="35"/>
      <c r="N16" s="35"/>
      <c r="O16" s="35"/>
      <c r="P16" s="35"/>
      <c r="Q16" s="35"/>
      <c r="R16" s="35"/>
    </row>
    <row r="17" spans="2:18" ht="15" customHeight="1" x14ac:dyDescent="0.2">
      <c r="C17" s="411"/>
      <c r="D17" s="411"/>
      <c r="E17" s="411"/>
      <c r="L17" s="35"/>
      <c r="M17" s="35"/>
      <c r="N17" s="35"/>
      <c r="O17" s="35"/>
      <c r="P17" s="35"/>
      <c r="Q17" s="35"/>
      <c r="R17" s="35"/>
    </row>
    <row r="18" spans="2:18" ht="15" customHeight="1" x14ac:dyDescent="0.2">
      <c r="C18" s="412" t="s">
        <v>26</v>
      </c>
      <c r="D18" s="413"/>
      <c r="E18" s="402"/>
      <c r="F18" s="36"/>
      <c r="L18" s="35"/>
      <c r="M18" s="35"/>
      <c r="N18" s="35"/>
      <c r="O18" s="35"/>
      <c r="P18" s="35"/>
      <c r="Q18" s="35"/>
      <c r="R18" s="35"/>
    </row>
    <row r="19" spans="2:18" ht="15" customHeight="1" x14ac:dyDescent="0.2">
      <c r="C19" s="45" t="s">
        <v>57</v>
      </c>
      <c r="D19" s="249">
        <v>17.8</v>
      </c>
      <c r="L19" s="35"/>
      <c r="M19" s="35"/>
      <c r="N19" s="35"/>
      <c r="O19" s="35"/>
      <c r="P19" s="35"/>
      <c r="Q19" s="35"/>
      <c r="R19" s="35"/>
    </row>
    <row r="20" spans="2:18" ht="15" customHeight="1" x14ac:dyDescent="0.2">
      <c r="C20" s="45" t="s">
        <v>58</v>
      </c>
      <c r="D20" s="249">
        <v>32</v>
      </c>
      <c r="L20" s="35"/>
      <c r="M20" s="35"/>
      <c r="N20" s="35"/>
      <c r="O20" s="35"/>
      <c r="P20" s="35"/>
      <c r="Q20" s="35"/>
      <c r="R20" s="35"/>
    </row>
    <row r="21" spans="2:18" ht="15" customHeight="1" x14ac:dyDescent="0.2">
      <c r="C21" s="45" t="s">
        <v>38</v>
      </c>
      <c r="D21" s="249">
        <f>(D19*D13*D15+D20*D14*D16)</f>
        <v>29.839700000000001</v>
      </c>
      <c r="F21" s="36"/>
      <c r="L21" s="35"/>
      <c r="M21" s="35"/>
      <c r="N21" s="35"/>
      <c r="O21" s="35"/>
      <c r="P21" s="35"/>
      <c r="Q21" s="35"/>
      <c r="R21" s="35"/>
    </row>
    <row r="22" spans="2:18" ht="15" customHeight="1" x14ac:dyDescent="0.2">
      <c r="C22" s="45" t="s">
        <v>70</v>
      </c>
      <c r="D22" s="249">
        <v>0.45</v>
      </c>
      <c r="L22" s="35"/>
      <c r="M22" s="35"/>
      <c r="N22" s="35"/>
      <c r="O22" s="35"/>
      <c r="P22" s="35"/>
      <c r="Q22" s="35"/>
      <c r="R22" s="35"/>
    </row>
    <row r="23" spans="2:18" ht="15" customHeight="1" x14ac:dyDescent="0.2">
      <c r="C23" s="45" t="s">
        <v>71</v>
      </c>
      <c r="D23" s="249">
        <v>0.94</v>
      </c>
      <c r="L23" s="35"/>
      <c r="M23" s="35"/>
      <c r="N23" s="35"/>
      <c r="O23" s="35"/>
      <c r="P23" s="35"/>
      <c r="Q23" s="35"/>
      <c r="R23" s="35"/>
    </row>
    <row r="24" spans="2:18" ht="15" customHeight="1" x14ac:dyDescent="0.2">
      <c r="C24" s="36"/>
      <c r="D24" s="91"/>
      <c r="F24" s="36"/>
      <c r="L24" s="35"/>
      <c r="M24" s="35"/>
      <c r="N24" s="35"/>
      <c r="O24" s="35"/>
      <c r="P24" s="35"/>
      <c r="Q24" s="35"/>
      <c r="R24" s="35"/>
    </row>
    <row r="25" spans="2:18" ht="15" customHeight="1" x14ac:dyDescent="0.2">
      <c r="L25" s="35"/>
      <c r="M25" s="35"/>
      <c r="N25" s="35"/>
      <c r="O25" s="35"/>
      <c r="P25" s="35"/>
      <c r="Q25" s="35"/>
      <c r="R25" s="35"/>
    </row>
    <row r="26" spans="2:18" ht="15" customHeight="1" x14ac:dyDescent="0.2">
      <c r="B26" s="14" t="s">
        <v>3</v>
      </c>
      <c r="C26" s="14"/>
      <c r="D26" s="14"/>
      <c r="L26" s="35"/>
      <c r="M26" s="35"/>
      <c r="N26" s="35"/>
      <c r="O26" s="35"/>
      <c r="P26" s="35"/>
      <c r="Q26" s="35"/>
      <c r="R26" s="35"/>
    </row>
    <row r="27" spans="2:18" ht="15" customHeight="1" x14ac:dyDescent="0.25">
      <c r="B27" s="220" t="s">
        <v>27</v>
      </c>
      <c r="C27" s="399" t="s">
        <v>431</v>
      </c>
      <c r="D27" s="399"/>
      <c r="E27" s="399"/>
      <c r="F27" s="399"/>
      <c r="G27" s="399"/>
      <c r="L27" s="35"/>
      <c r="M27" s="35"/>
      <c r="N27" s="35"/>
      <c r="O27" s="35"/>
      <c r="P27" s="35"/>
      <c r="Q27" s="35"/>
      <c r="R27" s="35"/>
    </row>
    <row r="28" spans="2:18" ht="15" customHeight="1" x14ac:dyDescent="0.25">
      <c r="B28" s="221"/>
      <c r="C28" s="399"/>
      <c r="D28" s="399"/>
      <c r="E28" s="399"/>
      <c r="F28" s="399"/>
      <c r="G28" s="399"/>
      <c r="L28" s="35"/>
      <c r="M28" s="35"/>
      <c r="N28" s="35"/>
      <c r="O28" s="35"/>
      <c r="P28" s="35"/>
      <c r="Q28" s="35"/>
      <c r="R28" s="35"/>
    </row>
    <row r="29" spans="2:18" ht="15" customHeight="1" x14ac:dyDescent="0.25">
      <c r="B29" s="221"/>
      <c r="C29" s="399"/>
      <c r="D29" s="399"/>
      <c r="E29" s="399"/>
      <c r="F29" s="399"/>
      <c r="G29" s="399"/>
      <c r="L29" s="35"/>
      <c r="M29" s="35"/>
      <c r="N29" s="35"/>
      <c r="O29" s="35"/>
      <c r="P29" s="35"/>
      <c r="Q29" s="35"/>
      <c r="R29" s="35"/>
    </row>
    <row r="30" spans="2:18" ht="15" customHeight="1" x14ac:dyDescent="0.25">
      <c r="B30" s="221"/>
      <c r="C30" s="400"/>
      <c r="D30" s="400"/>
      <c r="E30" s="400"/>
      <c r="F30" s="400"/>
      <c r="G30" s="400"/>
      <c r="L30" s="35"/>
      <c r="M30" s="35"/>
      <c r="N30" s="35"/>
      <c r="O30" s="35"/>
      <c r="P30" s="35"/>
      <c r="Q30" s="35"/>
      <c r="R30" s="35"/>
    </row>
    <row r="31" spans="2:18" ht="15" customHeight="1" x14ac:dyDescent="0.25">
      <c r="B31" s="220" t="s">
        <v>34</v>
      </c>
      <c r="C31" s="399" t="s">
        <v>432</v>
      </c>
      <c r="D31" s="399"/>
      <c r="E31" s="399"/>
      <c r="F31" s="399"/>
      <c r="G31" s="399"/>
      <c r="L31" s="35"/>
      <c r="M31" s="35"/>
      <c r="N31" s="35"/>
      <c r="O31" s="35"/>
      <c r="P31" s="35"/>
      <c r="Q31" s="35"/>
      <c r="R31" s="35"/>
    </row>
    <row r="32" spans="2:18" ht="15" customHeight="1" x14ac:dyDescent="0.25">
      <c r="B32" s="220"/>
      <c r="C32" s="399"/>
      <c r="D32" s="399"/>
      <c r="E32" s="399"/>
      <c r="F32" s="399"/>
      <c r="G32" s="399"/>
      <c r="L32" s="35"/>
      <c r="M32" s="35"/>
      <c r="N32" s="35"/>
      <c r="O32" s="35"/>
      <c r="P32" s="35"/>
      <c r="Q32" s="35"/>
      <c r="R32" s="35"/>
    </row>
    <row r="33" spans="2:18" ht="15" customHeight="1" x14ac:dyDescent="0.25">
      <c r="B33" s="220"/>
      <c r="C33" s="399"/>
      <c r="D33" s="399"/>
      <c r="E33" s="399"/>
      <c r="F33" s="399"/>
      <c r="G33" s="399"/>
      <c r="L33" s="35"/>
      <c r="M33" s="35"/>
      <c r="N33" s="35"/>
      <c r="O33" s="35"/>
      <c r="P33" s="35"/>
      <c r="Q33" s="35"/>
      <c r="R33" s="35"/>
    </row>
    <row r="34" spans="2:18" ht="15" customHeight="1" x14ac:dyDescent="0.25">
      <c r="B34" s="220"/>
      <c r="C34" s="401"/>
      <c r="D34" s="401"/>
      <c r="E34" s="401"/>
      <c r="F34" s="401"/>
      <c r="G34" s="401"/>
      <c r="L34" s="35"/>
      <c r="M34" s="35"/>
      <c r="N34" s="35"/>
      <c r="O34" s="35"/>
      <c r="P34" s="35"/>
      <c r="Q34" s="35"/>
      <c r="R34" s="35"/>
    </row>
    <row r="35" spans="2:18" ht="15" customHeight="1" x14ac:dyDescent="0.25">
      <c r="B35" s="220" t="s">
        <v>35</v>
      </c>
      <c r="C35" s="399" t="s">
        <v>151</v>
      </c>
      <c r="D35" s="399"/>
      <c r="E35" s="399"/>
      <c r="F35" s="399"/>
      <c r="G35" s="399"/>
      <c r="L35" s="35"/>
      <c r="M35" s="35"/>
      <c r="N35" s="35"/>
      <c r="O35" s="35"/>
      <c r="P35" s="35"/>
      <c r="Q35" s="35"/>
      <c r="R35" s="35"/>
    </row>
    <row r="36" spans="2:18" ht="15" customHeight="1" x14ac:dyDescent="0.2">
      <c r="C36" s="399"/>
      <c r="D36" s="399"/>
      <c r="E36" s="399"/>
      <c r="F36" s="399"/>
      <c r="G36" s="399"/>
      <c r="L36" s="35"/>
      <c r="M36" s="35"/>
      <c r="N36" s="35"/>
      <c r="O36" s="35"/>
      <c r="P36" s="35"/>
      <c r="Q36" s="35"/>
      <c r="R36" s="35"/>
    </row>
    <row r="37" spans="2:18" ht="15" customHeight="1" x14ac:dyDescent="0.2">
      <c r="C37" s="399"/>
      <c r="D37" s="399"/>
      <c r="E37" s="399"/>
      <c r="F37" s="399"/>
      <c r="G37" s="399"/>
      <c r="L37" s="35"/>
      <c r="M37" s="35"/>
      <c r="N37" s="35"/>
      <c r="O37" s="35"/>
      <c r="P37" s="35"/>
      <c r="Q37" s="35"/>
      <c r="R37" s="35"/>
    </row>
    <row r="38" spans="2:18" ht="15" customHeight="1" x14ac:dyDescent="0.2">
      <c r="C38" s="402"/>
      <c r="D38" s="403"/>
      <c r="E38" s="403"/>
      <c r="F38" s="403"/>
      <c r="G38" s="403"/>
      <c r="L38" s="35"/>
      <c r="M38" s="35"/>
      <c r="N38" s="35"/>
      <c r="O38" s="35"/>
      <c r="P38" s="35"/>
      <c r="Q38" s="35"/>
      <c r="R38" s="35"/>
    </row>
    <row r="39" spans="2:18" ht="15" customHeight="1" x14ac:dyDescent="0.25">
      <c r="B39" s="222" t="s">
        <v>36</v>
      </c>
      <c r="C39" s="404" t="s">
        <v>433</v>
      </c>
      <c r="D39" s="404"/>
      <c r="E39" s="404"/>
      <c r="F39" s="404"/>
      <c r="G39" s="404"/>
      <c r="L39" s="35"/>
      <c r="M39" s="35"/>
      <c r="N39" s="35"/>
      <c r="O39" s="35"/>
      <c r="P39" s="35"/>
      <c r="Q39" s="35"/>
      <c r="R39" s="35"/>
    </row>
    <row r="40" spans="2:18" ht="15" customHeight="1" x14ac:dyDescent="0.2">
      <c r="C40" s="404"/>
      <c r="D40" s="404"/>
      <c r="E40" s="404"/>
      <c r="F40" s="404"/>
      <c r="G40" s="404"/>
      <c r="L40" s="35"/>
      <c r="M40" s="35"/>
      <c r="N40" s="35"/>
      <c r="O40" s="35"/>
      <c r="P40" s="35"/>
      <c r="Q40" s="35"/>
      <c r="R40" s="35"/>
    </row>
    <row r="41" spans="2:18" x14ac:dyDescent="0.25">
      <c r="B41" s="222"/>
      <c r="C41" s="405"/>
      <c r="D41" s="406"/>
      <c r="E41" s="405"/>
      <c r="F41" s="405"/>
      <c r="G41" s="405"/>
      <c r="L41" s="35"/>
      <c r="M41" s="35"/>
      <c r="N41" s="35"/>
      <c r="O41" s="35"/>
      <c r="P41" s="35"/>
      <c r="Q41" s="35"/>
      <c r="R41" s="35"/>
    </row>
    <row r="42" spans="2:18" ht="15" customHeight="1" x14ac:dyDescent="0.25">
      <c r="B42" s="222" t="s">
        <v>37</v>
      </c>
      <c r="C42" s="404" t="s">
        <v>153</v>
      </c>
      <c r="D42" s="404"/>
      <c r="E42" s="404"/>
      <c r="F42" s="404"/>
      <c r="G42" s="404"/>
    </row>
    <row r="43" spans="2:18" ht="15" customHeight="1" x14ac:dyDescent="0.25">
      <c r="B43" s="222"/>
      <c r="C43" s="404"/>
      <c r="D43" s="404"/>
      <c r="E43" s="404"/>
      <c r="F43" s="404"/>
      <c r="G43" s="404"/>
      <c r="L43" s="35"/>
      <c r="M43" s="35"/>
      <c r="N43" s="35"/>
      <c r="O43" s="35"/>
      <c r="P43" s="35"/>
      <c r="Q43" s="35"/>
      <c r="R43" s="35"/>
    </row>
    <row r="44" spans="2:18" ht="15" customHeight="1" x14ac:dyDescent="0.2">
      <c r="B44" s="53"/>
      <c r="C44" s="54"/>
      <c r="D44" s="54"/>
      <c r="E44" s="54"/>
      <c r="F44" s="54"/>
      <c r="G44" s="54"/>
      <c r="L44" s="35"/>
      <c r="M44" s="35"/>
      <c r="N44" s="35"/>
      <c r="O44" s="35"/>
      <c r="P44" s="35"/>
      <c r="Q44" s="35"/>
      <c r="R44" s="35"/>
    </row>
    <row r="45" spans="2:18" ht="15" customHeight="1" x14ac:dyDescent="0.25">
      <c r="B45" s="222" t="s">
        <v>69</v>
      </c>
      <c r="C45" s="267" t="s">
        <v>154</v>
      </c>
      <c r="D45" s="267"/>
      <c r="E45" s="267"/>
      <c r="F45" s="267"/>
      <c r="G45" s="267"/>
      <c r="L45" s="35"/>
      <c r="M45" s="35"/>
      <c r="N45" s="35"/>
      <c r="O45" s="35"/>
      <c r="P45" s="35"/>
      <c r="Q45" s="35"/>
      <c r="R45" s="35"/>
    </row>
    <row r="46" spans="2:18" ht="15" customHeight="1" x14ac:dyDescent="0.25">
      <c r="B46" s="222"/>
      <c r="C46" s="267"/>
      <c r="D46" s="267"/>
      <c r="E46" s="267"/>
      <c r="F46" s="267"/>
      <c r="G46" s="267"/>
      <c r="L46" s="35"/>
      <c r="M46" s="35"/>
      <c r="N46" s="35"/>
      <c r="O46" s="35"/>
      <c r="P46" s="35"/>
      <c r="Q46" s="35"/>
      <c r="R46" s="35"/>
    </row>
    <row r="47" spans="2:18" ht="15" customHeight="1" x14ac:dyDescent="0.25">
      <c r="B47" s="222"/>
      <c r="C47" s="267"/>
      <c r="D47" s="267"/>
      <c r="E47" s="267"/>
      <c r="F47" s="267"/>
      <c r="G47" s="267"/>
      <c r="L47" s="35"/>
      <c r="M47" s="35"/>
      <c r="N47" s="35"/>
      <c r="O47" s="35"/>
      <c r="P47" s="35"/>
      <c r="Q47" s="35"/>
      <c r="R47" s="35"/>
    </row>
    <row r="48" spans="2:18" ht="15" customHeight="1" x14ac:dyDescent="0.2">
      <c r="B48" s="53"/>
      <c r="C48" s="54"/>
      <c r="D48" s="54"/>
      <c r="E48" s="54"/>
      <c r="F48" s="54"/>
      <c r="G48" s="54"/>
      <c r="H48" s="56"/>
      <c r="I48" s="34"/>
      <c r="J48" s="34"/>
      <c r="L48" s="35"/>
      <c r="M48" s="35"/>
      <c r="N48" s="35"/>
      <c r="O48" s="35"/>
      <c r="P48" s="35"/>
      <c r="Q48" s="35"/>
      <c r="R48" s="35"/>
    </row>
    <row r="49" spans="2:19" ht="15" customHeight="1" x14ac:dyDescent="0.2">
      <c r="C49" s="54"/>
      <c r="D49" s="54"/>
      <c r="E49" s="54"/>
      <c r="F49" s="54"/>
      <c r="G49" s="54"/>
      <c r="H49" s="56"/>
      <c r="I49" s="34"/>
      <c r="J49" s="34"/>
      <c r="L49" s="35"/>
      <c r="M49" s="35"/>
      <c r="N49" s="35"/>
      <c r="O49" s="35"/>
      <c r="P49" s="35"/>
      <c r="Q49" s="35"/>
      <c r="R49" s="35"/>
    </row>
    <row r="50" spans="2:19" ht="15" customHeight="1" x14ac:dyDescent="0.2">
      <c r="B50" s="53"/>
      <c r="H50" s="34"/>
      <c r="L50" s="35"/>
      <c r="M50" s="35"/>
      <c r="N50" s="35"/>
      <c r="O50" s="35"/>
      <c r="P50" s="35"/>
      <c r="Q50" s="35"/>
      <c r="R50" s="35"/>
    </row>
    <row r="51" spans="2:19" ht="15" customHeight="1" x14ac:dyDescent="0.2">
      <c r="B51" s="53"/>
      <c r="H51" s="34"/>
      <c r="L51" s="35"/>
      <c r="M51" s="35"/>
      <c r="N51" s="35"/>
      <c r="O51" s="35"/>
      <c r="P51" s="35"/>
      <c r="Q51" s="35"/>
      <c r="R51" s="35"/>
    </row>
    <row r="52" spans="2:19" ht="15" customHeight="1" x14ac:dyDescent="0.2">
      <c r="B52" s="53"/>
      <c r="H52" s="34"/>
      <c r="L52" s="35"/>
      <c r="M52" s="35"/>
      <c r="N52" s="35"/>
      <c r="O52" s="35"/>
      <c r="P52" s="35"/>
      <c r="Q52" s="35"/>
      <c r="R52" s="35"/>
    </row>
    <row r="53" spans="2:19" ht="15" customHeight="1" x14ac:dyDescent="0.2">
      <c r="B53" s="53"/>
      <c r="C53" s="55"/>
      <c r="D53" s="55"/>
      <c r="E53" s="55"/>
      <c r="F53" s="55"/>
      <c r="G53" s="55"/>
      <c r="H53" s="34"/>
      <c r="L53" s="35"/>
      <c r="M53" s="35"/>
      <c r="N53" s="35"/>
      <c r="O53" s="35"/>
      <c r="P53" s="35"/>
      <c r="Q53" s="35"/>
      <c r="R53" s="35"/>
    </row>
    <row r="54" spans="2:19" ht="15" customHeight="1" x14ac:dyDescent="0.2">
      <c r="B54" s="53"/>
      <c r="C54" s="54"/>
      <c r="D54" s="54"/>
      <c r="E54" s="54"/>
      <c r="F54" s="54"/>
      <c r="G54" s="54"/>
      <c r="L54" s="35"/>
      <c r="M54" s="35"/>
      <c r="N54" s="35"/>
      <c r="O54" s="35"/>
      <c r="P54" s="34"/>
      <c r="Q54" s="34"/>
      <c r="R54" s="34"/>
      <c r="S54" s="34"/>
    </row>
    <row r="55" spans="2:19" ht="15" customHeight="1" x14ac:dyDescent="0.2">
      <c r="B55" s="53"/>
      <c r="C55" s="54"/>
      <c r="D55" s="54"/>
      <c r="E55" s="54"/>
      <c r="F55" s="54"/>
      <c r="G55" s="54"/>
      <c r="K55" s="34"/>
      <c r="L55" s="34"/>
      <c r="M55" s="34"/>
      <c r="N55" s="34"/>
      <c r="O55" s="34"/>
      <c r="P55" s="35"/>
      <c r="Q55" s="35"/>
      <c r="R55" s="35"/>
    </row>
    <row r="56" spans="2:19" ht="15" customHeight="1" x14ac:dyDescent="0.2">
      <c r="B56" s="53"/>
      <c r="C56" s="55"/>
      <c r="D56" s="55"/>
      <c r="E56" s="55"/>
      <c r="F56" s="55"/>
      <c r="G56" s="55"/>
      <c r="L56" s="35"/>
      <c r="M56" s="35"/>
      <c r="N56" s="35"/>
      <c r="O56" s="35"/>
      <c r="P56" s="35"/>
      <c r="Q56" s="35"/>
      <c r="R56" s="35"/>
    </row>
    <row r="57" spans="2:19" ht="15" customHeight="1" x14ac:dyDescent="0.2">
      <c r="B57" s="53"/>
      <c r="C57" s="54"/>
      <c r="D57" s="54"/>
      <c r="E57" s="54"/>
      <c r="F57" s="54"/>
      <c r="G57" s="54"/>
      <c r="H57" s="34"/>
      <c r="L57" s="34"/>
      <c r="O57" s="35"/>
      <c r="P57" s="35"/>
      <c r="Q57" s="35"/>
      <c r="R57" s="35"/>
    </row>
    <row r="58" spans="2:19" ht="15" customHeight="1" x14ac:dyDescent="0.2">
      <c r="B58" s="34"/>
      <c r="C58" s="54"/>
      <c r="D58" s="54"/>
      <c r="E58" s="54"/>
      <c r="F58" s="54"/>
      <c r="G58" s="54"/>
      <c r="L58" s="34"/>
      <c r="M58" s="35"/>
      <c r="N58" s="35"/>
      <c r="O58" s="35"/>
      <c r="P58" s="34"/>
      <c r="Q58" s="34"/>
      <c r="R58" s="34"/>
    </row>
    <row r="59" spans="2:19" ht="15" customHeight="1" x14ac:dyDescent="0.2">
      <c r="B59" s="34"/>
      <c r="C59" s="54"/>
      <c r="D59" s="54"/>
      <c r="E59" s="54"/>
      <c r="F59" s="54"/>
      <c r="G59" s="54"/>
      <c r="K59" s="34"/>
      <c r="L59" s="34"/>
      <c r="M59" s="34"/>
      <c r="N59" s="34"/>
      <c r="O59" s="34"/>
      <c r="P59" s="35"/>
      <c r="Q59" s="35"/>
      <c r="R59" s="35"/>
    </row>
    <row r="60" spans="2:19" ht="15" customHeight="1" x14ac:dyDescent="0.2">
      <c r="B60" s="34"/>
      <c r="C60" s="54"/>
      <c r="D60" s="54"/>
      <c r="E60" s="54"/>
      <c r="F60" s="54"/>
      <c r="G60" s="54"/>
      <c r="L60" s="34"/>
      <c r="M60" s="35"/>
      <c r="N60" s="35"/>
      <c r="O60" s="35"/>
      <c r="P60" s="35"/>
      <c r="Q60" s="35"/>
      <c r="R60" s="35"/>
    </row>
    <row r="61" spans="2:19" ht="15" customHeight="1" x14ac:dyDescent="0.2">
      <c r="B61" s="57"/>
      <c r="C61" s="54"/>
      <c r="D61" s="54"/>
      <c r="E61" s="54"/>
      <c r="F61" s="54"/>
      <c r="G61" s="54"/>
      <c r="L61" s="35"/>
      <c r="M61" s="35"/>
      <c r="N61" s="35"/>
      <c r="O61" s="35"/>
      <c r="P61" s="35"/>
      <c r="Q61" s="35"/>
      <c r="R61" s="35"/>
    </row>
    <row r="62" spans="2:19" ht="15" customHeight="1" x14ac:dyDescent="0.2">
      <c r="B62" s="34"/>
      <c r="L62" s="35"/>
      <c r="M62" s="35"/>
      <c r="N62" s="35"/>
      <c r="O62" s="35"/>
      <c r="P62" s="35"/>
      <c r="Q62" s="35"/>
      <c r="R62" s="35"/>
    </row>
    <row r="63" spans="2:19" ht="15" customHeight="1" x14ac:dyDescent="0.2">
      <c r="B63" s="34"/>
      <c r="E63" s="37"/>
      <c r="F63" s="37"/>
      <c r="G63" s="37"/>
      <c r="L63" s="35"/>
      <c r="M63" s="35"/>
      <c r="N63" s="35"/>
      <c r="O63" s="35"/>
      <c r="P63" s="35"/>
      <c r="Q63" s="35"/>
      <c r="R63" s="35"/>
    </row>
    <row r="64" spans="2:19" ht="15" customHeight="1" x14ac:dyDescent="0.2">
      <c r="B64" s="34"/>
      <c r="E64" s="37"/>
      <c r="F64" s="37"/>
      <c r="G64" s="37"/>
      <c r="L64" s="35"/>
      <c r="M64" s="35"/>
      <c r="N64" s="35"/>
      <c r="O64" s="35"/>
      <c r="P64" s="35"/>
      <c r="Q64" s="35"/>
      <c r="R64" s="35"/>
    </row>
    <row r="65" spans="2:18" ht="15" customHeight="1" x14ac:dyDescent="0.2">
      <c r="B65" s="34"/>
      <c r="L65" s="35"/>
      <c r="M65" s="35"/>
      <c r="N65" s="35"/>
      <c r="O65" s="35"/>
      <c r="P65" s="35"/>
      <c r="Q65" s="35"/>
      <c r="R65" s="35"/>
    </row>
    <row r="66" spans="2:18" ht="15" customHeight="1" x14ac:dyDescent="0.2">
      <c r="L66" s="35"/>
      <c r="M66" s="35"/>
      <c r="N66" s="35"/>
      <c r="O66" s="35"/>
      <c r="P66" s="35"/>
      <c r="Q66" s="35"/>
      <c r="R66" s="35"/>
    </row>
    <row r="67" spans="2:18" ht="15" customHeight="1" x14ac:dyDescent="0.2">
      <c r="L67" s="35"/>
      <c r="M67" s="35"/>
      <c r="N67" s="35"/>
      <c r="O67" s="35"/>
      <c r="P67" s="35"/>
      <c r="Q67" s="35"/>
      <c r="R67" s="35"/>
    </row>
    <row r="68" spans="2:18" ht="15" customHeight="1" x14ac:dyDescent="0.2">
      <c r="L68" s="35"/>
      <c r="M68" s="35"/>
      <c r="N68" s="35"/>
      <c r="O68" s="35"/>
      <c r="P68" s="35"/>
      <c r="Q68" s="35"/>
      <c r="R68" s="35"/>
    </row>
    <row r="69" spans="2:18" ht="15" customHeight="1" x14ac:dyDescent="0.2">
      <c r="L69" s="35"/>
      <c r="M69" s="35"/>
      <c r="N69" s="35"/>
      <c r="O69" s="35"/>
      <c r="P69" s="35"/>
      <c r="Q69" s="35"/>
      <c r="R69" s="35"/>
    </row>
    <row r="70" spans="2:18" ht="15" customHeight="1" x14ac:dyDescent="0.2">
      <c r="L70" s="35"/>
      <c r="M70" s="35"/>
      <c r="N70" s="35"/>
      <c r="O70" s="35"/>
      <c r="P70" s="35"/>
      <c r="Q70" s="35"/>
      <c r="R70" s="35"/>
    </row>
    <row r="71" spans="2:18" ht="15" customHeight="1" x14ac:dyDescent="0.2">
      <c r="L71" s="35"/>
      <c r="M71" s="35"/>
      <c r="N71" s="35"/>
      <c r="O71" s="35"/>
      <c r="P71" s="35"/>
      <c r="Q71" s="35"/>
      <c r="R71" s="35"/>
    </row>
    <row r="72" spans="2:18" ht="15" customHeight="1" x14ac:dyDescent="0.2">
      <c r="I72" s="38"/>
      <c r="L72" s="35"/>
      <c r="M72" s="35"/>
      <c r="N72" s="35"/>
      <c r="O72" s="35"/>
      <c r="P72" s="35"/>
      <c r="Q72" s="35"/>
      <c r="R72" s="35"/>
    </row>
    <row r="73" spans="2:18" ht="15" customHeight="1" x14ac:dyDescent="0.2">
      <c r="L73" s="35"/>
      <c r="M73" s="35"/>
      <c r="N73" s="35"/>
      <c r="O73" s="35"/>
      <c r="P73" s="35"/>
      <c r="Q73" s="35"/>
      <c r="R73" s="35"/>
    </row>
    <row r="74" spans="2:18" ht="15" customHeight="1" x14ac:dyDescent="0.2">
      <c r="I74" s="38"/>
      <c r="L74" s="35"/>
      <c r="M74" s="35"/>
      <c r="N74" s="35"/>
      <c r="O74" s="35"/>
      <c r="P74" s="35"/>
      <c r="Q74" s="35"/>
      <c r="R74" s="35"/>
    </row>
    <row r="75" spans="2:18" ht="15" customHeight="1" x14ac:dyDescent="0.2">
      <c r="I75" s="38"/>
      <c r="L75" s="35"/>
      <c r="M75" s="35"/>
      <c r="N75" s="35"/>
      <c r="O75" s="35"/>
      <c r="P75" s="35"/>
      <c r="Q75" s="35"/>
      <c r="R75" s="35"/>
    </row>
    <row r="76" spans="2:18" ht="15" customHeight="1" x14ac:dyDescent="0.2">
      <c r="H76" s="37"/>
      <c r="L76" s="35"/>
      <c r="M76" s="35"/>
      <c r="N76" s="35"/>
      <c r="O76" s="35"/>
      <c r="P76" s="35"/>
      <c r="Q76" s="35"/>
      <c r="R76" s="35"/>
    </row>
    <row r="77" spans="2:18" ht="15" customHeight="1" x14ac:dyDescent="0.2">
      <c r="H77" s="37"/>
      <c r="L77" s="35"/>
      <c r="M77" s="35"/>
      <c r="N77" s="35"/>
      <c r="O77" s="35"/>
      <c r="P77" s="35"/>
      <c r="Q77" s="35"/>
      <c r="R77" s="35"/>
    </row>
    <row r="78" spans="2:18" ht="15" customHeight="1" x14ac:dyDescent="0.2">
      <c r="L78" s="35"/>
      <c r="M78" s="35"/>
      <c r="N78" s="35"/>
      <c r="O78" s="35"/>
      <c r="P78" s="35"/>
      <c r="Q78" s="35"/>
      <c r="R78" s="35"/>
    </row>
    <row r="79" spans="2:18" ht="15" customHeight="1" x14ac:dyDescent="0.2">
      <c r="L79" s="35"/>
      <c r="M79" s="35"/>
      <c r="N79" s="35"/>
      <c r="O79" s="35"/>
      <c r="P79" s="35"/>
      <c r="Q79" s="35"/>
      <c r="R79" s="35"/>
    </row>
    <row r="80" spans="2:18" ht="15" customHeight="1" x14ac:dyDescent="0.2">
      <c r="L80" s="35"/>
      <c r="M80" s="35"/>
      <c r="N80" s="35"/>
      <c r="O80" s="35"/>
      <c r="P80" s="35"/>
      <c r="Q80" s="35"/>
      <c r="R80" s="35"/>
    </row>
    <row r="81" spans="12:18" ht="15" customHeight="1" x14ac:dyDescent="0.2">
      <c r="L81" s="35"/>
      <c r="M81" s="35"/>
      <c r="N81" s="35"/>
      <c r="O81" s="35"/>
      <c r="P81" s="35"/>
      <c r="Q81" s="35"/>
      <c r="R81" s="35"/>
    </row>
    <row r="82" spans="12:18" ht="15" customHeight="1" x14ac:dyDescent="0.2">
      <c r="L82" s="35"/>
      <c r="M82" s="35"/>
      <c r="N82" s="35"/>
      <c r="O82" s="35"/>
      <c r="P82" s="35"/>
      <c r="Q82" s="35"/>
      <c r="R82" s="35"/>
    </row>
    <row r="83" spans="12:18" ht="15" customHeight="1" x14ac:dyDescent="0.2">
      <c r="L83" s="35"/>
      <c r="M83" s="35"/>
      <c r="N83" s="35"/>
      <c r="O83" s="35"/>
      <c r="P83" s="35"/>
      <c r="Q83" s="35"/>
      <c r="R83" s="35"/>
    </row>
    <row r="84" spans="12:18" ht="15" customHeight="1" x14ac:dyDescent="0.2">
      <c r="L84" s="35"/>
      <c r="M84" s="34"/>
      <c r="N84" s="35"/>
      <c r="O84" s="35"/>
      <c r="R84" s="35"/>
    </row>
    <row r="85" spans="12:18" ht="15" customHeight="1" x14ac:dyDescent="0.2">
      <c r="L85" s="35"/>
      <c r="M85" s="35"/>
      <c r="N85" s="35"/>
      <c r="P85" s="35"/>
      <c r="Q85" s="35"/>
      <c r="R85" s="35"/>
    </row>
    <row r="86" spans="12:18" ht="15" customHeight="1" x14ac:dyDescent="0.2">
      <c r="L86" s="34"/>
      <c r="M86" s="35"/>
      <c r="N86" s="34"/>
      <c r="O86" s="35"/>
      <c r="P86" s="35"/>
      <c r="Q86" s="35"/>
      <c r="R86" s="38"/>
    </row>
    <row r="87" spans="12:18" ht="15" customHeight="1" x14ac:dyDescent="0.2">
      <c r="L87" s="34"/>
      <c r="M87" s="34"/>
      <c r="N87" s="35"/>
      <c r="O87" s="35"/>
      <c r="R87" s="38"/>
    </row>
    <row r="88" spans="12:18" ht="15" customHeight="1" x14ac:dyDescent="0.2">
      <c r="N88" s="35"/>
      <c r="P88" s="35"/>
      <c r="Q88" s="35"/>
    </row>
    <row r="89" spans="12:18" ht="15" customHeight="1" x14ac:dyDescent="0.2">
      <c r="N89" s="34"/>
      <c r="O89" s="35"/>
    </row>
    <row r="93" spans="12:18" ht="15" customHeight="1" x14ac:dyDescent="0.2">
      <c r="L93" s="35"/>
      <c r="M93" s="35"/>
      <c r="R93" s="35"/>
    </row>
    <row r="94" spans="12:18" ht="15" customHeight="1" x14ac:dyDescent="0.2">
      <c r="L94" s="34"/>
      <c r="M94" s="35"/>
      <c r="P94" s="35"/>
      <c r="Q94" s="35"/>
      <c r="R94" s="35"/>
    </row>
    <row r="95" spans="12:18" ht="15" customHeight="1" x14ac:dyDescent="0.2">
      <c r="L95" s="34"/>
      <c r="M95" s="34"/>
      <c r="N95" s="35"/>
      <c r="O95" s="35"/>
      <c r="P95" s="35"/>
      <c r="Q95" s="35"/>
      <c r="R95" s="35"/>
    </row>
    <row r="96" spans="12:18" ht="15" customHeight="1" x14ac:dyDescent="0.2">
      <c r="L96" s="34"/>
      <c r="M96" s="34"/>
      <c r="N96" s="35"/>
      <c r="O96" s="35"/>
      <c r="P96" s="35"/>
      <c r="Q96" s="35"/>
      <c r="R96" s="35"/>
    </row>
    <row r="97" spans="12:18" ht="15" customHeight="1" x14ac:dyDescent="0.2">
      <c r="L97" s="34"/>
      <c r="M97" s="35"/>
      <c r="N97" s="34"/>
      <c r="O97" s="35"/>
      <c r="P97" s="35"/>
      <c r="Q97" s="35"/>
      <c r="R97" s="35"/>
    </row>
    <row r="98" spans="12:18" ht="15" customHeight="1" x14ac:dyDescent="0.2">
      <c r="L98" s="34"/>
      <c r="M98" s="35"/>
      <c r="N98" s="34"/>
      <c r="O98" s="35"/>
      <c r="P98" s="35"/>
      <c r="Q98" s="35"/>
      <c r="R98" s="35"/>
    </row>
    <row r="99" spans="12:18" ht="15" customHeight="1" x14ac:dyDescent="0.2">
      <c r="N99" s="35"/>
      <c r="O99" s="35"/>
      <c r="P99" s="35"/>
      <c r="Q99" s="35"/>
      <c r="R99" s="35"/>
    </row>
    <row r="100" spans="12:18" ht="15" customHeight="1" x14ac:dyDescent="0.2">
      <c r="N100" s="35"/>
      <c r="O100" s="35"/>
      <c r="R100" s="35"/>
    </row>
    <row r="101" spans="12:18" ht="15" customHeight="1" x14ac:dyDescent="0.2">
      <c r="P101" s="35"/>
      <c r="Q101" s="35"/>
      <c r="R101" s="35"/>
    </row>
    <row r="102" spans="12:18" ht="15" customHeight="1" x14ac:dyDescent="0.2">
      <c r="L102" s="35"/>
      <c r="M102" s="35"/>
      <c r="O102" s="35"/>
      <c r="P102" s="35"/>
      <c r="Q102" s="35"/>
      <c r="R102" s="35"/>
    </row>
    <row r="103" spans="12:18" ht="15" customHeight="1" x14ac:dyDescent="0.2">
      <c r="L103" s="35"/>
      <c r="M103" s="35"/>
      <c r="O103" s="35"/>
      <c r="P103" s="35"/>
      <c r="Q103" s="35"/>
      <c r="R103" s="35"/>
    </row>
    <row r="104" spans="12:18" ht="15" customHeight="1" x14ac:dyDescent="0.2">
      <c r="L104" s="35"/>
      <c r="M104" s="35"/>
      <c r="N104" s="35"/>
      <c r="O104" s="35"/>
      <c r="P104" s="35"/>
      <c r="Q104" s="35"/>
      <c r="R104" s="35"/>
    </row>
    <row r="105" spans="12:18" ht="15" customHeight="1" x14ac:dyDescent="0.2">
      <c r="L105" s="34"/>
      <c r="N105" s="35"/>
      <c r="O105" s="35"/>
      <c r="P105" s="35"/>
      <c r="Q105" s="35"/>
      <c r="R105" s="35"/>
    </row>
    <row r="106" spans="12:18" ht="15" customHeight="1" x14ac:dyDescent="0.2">
      <c r="L106" s="34"/>
      <c r="N106" s="35"/>
      <c r="O106" s="35"/>
      <c r="R106" s="35"/>
    </row>
    <row r="107" spans="12:18" ht="15" customHeight="1" x14ac:dyDescent="0.2">
      <c r="R107" s="35"/>
    </row>
    <row r="108" spans="12:18" ht="15" customHeight="1" x14ac:dyDescent="0.2">
      <c r="L108" s="35"/>
      <c r="M108" s="35"/>
      <c r="R108" s="35"/>
    </row>
    <row r="109" spans="12:18" ht="15" customHeight="1" x14ac:dyDescent="0.2">
      <c r="L109" s="35"/>
      <c r="M109" s="35"/>
      <c r="P109" s="35"/>
      <c r="Q109" s="35"/>
      <c r="R109" s="35"/>
    </row>
    <row r="110" spans="12:18" ht="15" customHeight="1" x14ac:dyDescent="0.2">
      <c r="L110" s="35"/>
      <c r="M110" s="35"/>
      <c r="N110" s="35"/>
      <c r="O110" s="35"/>
      <c r="P110" s="35"/>
      <c r="Q110" s="35"/>
      <c r="R110" s="35"/>
    </row>
    <row r="111" spans="12:18" ht="15" customHeight="1" x14ac:dyDescent="0.2">
      <c r="L111" s="35"/>
      <c r="M111" s="35"/>
      <c r="N111" s="35"/>
      <c r="O111" s="35"/>
      <c r="P111" s="35"/>
      <c r="Q111" s="35"/>
      <c r="R111" s="35"/>
    </row>
    <row r="112" spans="12:18" ht="15" customHeight="1" x14ac:dyDescent="0.2">
      <c r="L112" s="35"/>
      <c r="M112" s="35"/>
      <c r="N112" s="35"/>
      <c r="O112" s="35"/>
      <c r="P112" s="35"/>
      <c r="Q112" s="35"/>
      <c r="R112" s="35"/>
    </row>
    <row r="113" s="35" customFormat="1" ht="15" customHeight="1" x14ac:dyDescent="0.2"/>
    <row r="114" s="35" customFormat="1" ht="15" customHeight="1" x14ac:dyDescent="0.2"/>
    <row r="115" s="35" customFormat="1" ht="15" customHeight="1" x14ac:dyDescent="0.2"/>
    <row r="116" s="35" customFormat="1" ht="15" customHeight="1" x14ac:dyDescent="0.2"/>
    <row r="117" s="35" customFormat="1" ht="15" customHeight="1" x14ac:dyDescent="0.2"/>
    <row r="118" s="35" customFormat="1" ht="15" customHeight="1" x14ac:dyDescent="0.2"/>
    <row r="119" s="35" customFormat="1" ht="15" customHeight="1" x14ac:dyDescent="0.2"/>
    <row r="120" s="35" customFormat="1" ht="15" customHeight="1" x14ac:dyDescent="0.2"/>
    <row r="121" s="35" customFormat="1" ht="15" customHeight="1" x14ac:dyDescent="0.2"/>
    <row r="122" s="35" customFormat="1" ht="15" customHeight="1" x14ac:dyDescent="0.2"/>
    <row r="123" s="35" customFormat="1" ht="15" customHeight="1" x14ac:dyDescent="0.2"/>
    <row r="124" s="35" customFormat="1" ht="15" customHeight="1" x14ac:dyDescent="0.2"/>
    <row r="125" s="35" customFormat="1" ht="15" customHeight="1" x14ac:dyDescent="0.2"/>
    <row r="126" s="35" customFormat="1" ht="15" customHeight="1" x14ac:dyDescent="0.2"/>
    <row r="127" s="35" customFormat="1" ht="15" customHeight="1" x14ac:dyDescent="0.2"/>
    <row r="128" s="35" customFormat="1" ht="15" customHeight="1" x14ac:dyDescent="0.2"/>
    <row r="129" s="35" customFormat="1" ht="15" customHeight="1" x14ac:dyDescent="0.2"/>
    <row r="130" s="35" customFormat="1" ht="15" customHeight="1" x14ac:dyDescent="0.2"/>
    <row r="131" s="35" customFormat="1" ht="15" customHeight="1" x14ac:dyDescent="0.2"/>
    <row r="132" s="35" customFormat="1" ht="15" customHeight="1" x14ac:dyDescent="0.2"/>
    <row r="133" s="35" customFormat="1" ht="15" customHeight="1" x14ac:dyDescent="0.2"/>
    <row r="134" s="35" customFormat="1" ht="15" customHeight="1" x14ac:dyDescent="0.2"/>
    <row r="135" s="35" customFormat="1" ht="15" customHeight="1" x14ac:dyDescent="0.2"/>
    <row r="136" s="35" customFormat="1" ht="15" customHeight="1" x14ac:dyDescent="0.2"/>
    <row r="137" s="35" customFormat="1" ht="15" customHeight="1" x14ac:dyDescent="0.2"/>
    <row r="138" s="35" customFormat="1" ht="15" customHeight="1" x14ac:dyDescent="0.2"/>
    <row r="139" s="35" customFormat="1" ht="15" customHeight="1" x14ac:dyDescent="0.2"/>
    <row r="140" s="35" customFormat="1" ht="15" customHeight="1" x14ac:dyDescent="0.2"/>
    <row r="141" s="35" customFormat="1" ht="15" customHeight="1" x14ac:dyDescent="0.2"/>
    <row r="142" s="35" customFormat="1" ht="15" customHeight="1" x14ac:dyDescent="0.2"/>
    <row r="143" s="35" customFormat="1" ht="15" customHeight="1" x14ac:dyDescent="0.2"/>
    <row r="144" s="35" customFormat="1" ht="15" customHeight="1" x14ac:dyDescent="0.2"/>
    <row r="145" s="35" customFormat="1" ht="15" customHeight="1" x14ac:dyDescent="0.2"/>
    <row r="146" s="35" customFormat="1" ht="15" customHeight="1" x14ac:dyDescent="0.2"/>
    <row r="147" s="35" customFormat="1" ht="15" customHeight="1" x14ac:dyDescent="0.2"/>
    <row r="148" s="35" customFormat="1" ht="15" customHeight="1" x14ac:dyDescent="0.2"/>
    <row r="149" s="35" customFormat="1" ht="15" customHeight="1" x14ac:dyDescent="0.2"/>
    <row r="150" s="35" customFormat="1" ht="15" customHeight="1" x14ac:dyDescent="0.2"/>
    <row r="151" s="35" customFormat="1" ht="15" customHeight="1" x14ac:dyDescent="0.2"/>
    <row r="152" s="35" customFormat="1" ht="15" customHeight="1" x14ac:dyDescent="0.2"/>
    <row r="153" s="35" customFormat="1" ht="15" customHeight="1" x14ac:dyDescent="0.2"/>
    <row r="154" s="35" customFormat="1" ht="15" customHeight="1" x14ac:dyDescent="0.2"/>
    <row r="155" s="35" customFormat="1" ht="15" customHeight="1" x14ac:dyDescent="0.2"/>
    <row r="156" s="35" customFormat="1" ht="15" customHeight="1" x14ac:dyDescent="0.2"/>
    <row r="157" s="35" customFormat="1" ht="15" customHeight="1" x14ac:dyDescent="0.2"/>
    <row r="158" s="35" customFormat="1" ht="15" customHeight="1" x14ac:dyDescent="0.2"/>
    <row r="159" s="35" customFormat="1" ht="15" customHeight="1" x14ac:dyDescent="0.2"/>
    <row r="160" s="35" customFormat="1" ht="15" customHeight="1" x14ac:dyDescent="0.2"/>
    <row r="161" s="35" customFormat="1" ht="15" customHeight="1" x14ac:dyDescent="0.2"/>
    <row r="162" s="35" customFormat="1" ht="15" customHeight="1" x14ac:dyDescent="0.2"/>
    <row r="163" s="35" customFormat="1" ht="15" customHeight="1" x14ac:dyDescent="0.2"/>
    <row r="164" s="35" customFormat="1" ht="15" customHeight="1" x14ac:dyDescent="0.2"/>
    <row r="165" s="35" customFormat="1" ht="15" customHeight="1" x14ac:dyDescent="0.2"/>
    <row r="166" s="35" customFormat="1" ht="15" customHeight="1" x14ac:dyDescent="0.2"/>
    <row r="167" s="35" customFormat="1" ht="15" customHeight="1" x14ac:dyDescent="0.2"/>
    <row r="168" s="35" customFormat="1" ht="15" customHeight="1" x14ac:dyDescent="0.2"/>
    <row r="169" s="35" customFormat="1" ht="15" customHeight="1" x14ac:dyDescent="0.2"/>
    <row r="170" s="35" customFormat="1" ht="15" customHeight="1" x14ac:dyDescent="0.2"/>
    <row r="171" s="35" customFormat="1" ht="15" customHeight="1" x14ac:dyDescent="0.2"/>
    <row r="172" s="35" customFormat="1" ht="15" customHeight="1" x14ac:dyDescent="0.2"/>
    <row r="173" s="35" customFormat="1" ht="15" customHeight="1" x14ac:dyDescent="0.2"/>
    <row r="174" s="35" customFormat="1" ht="15" customHeight="1" x14ac:dyDescent="0.2"/>
    <row r="175" s="35" customFormat="1" ht="15" customHeight="1" x14ac:dyDescent="0.2"/>
    <row r="176" s="35" customFormat="1" ht="15" customHeight="1" x14ac:dyDescent="0.2"/>
    <row r="177" s="35" customFormat="1" ht="15" customHeight="1" x14ac:dyDescent="0.2"/>
    <row r="178" s="35" customFormat="1" ht="15" customHeight="1" x14ac:dyDescent="0.2"/>
    <row r="179" s="35" customFormat="1" ht="15" customHeight="1" x14ac:dyDescent="0.2"/>
    <row r="180" s="35" customFormat="1" ht="15" customHeight="1" x14ac:dyDescent="0.2"/>
    <row r="181" s="35" customFormat="1" ht="15" customHeight="1" x14ac:dyDescent="0.2"/>
    <row r="182" s="35" customFormat="1" ht="15" customHeight="1" x14ac:dyDescent="0.2"/>
    <row r="183" s="35" customFormat="1" ht="15" customHeight="1" x14ac:dyDescent="0.2"/>
    <row r="184" s="35" customFormat="1" ht="15" customHeight="1" x14ac:dyDescent="0.2"/>
    <row r="185" s="35" customFormat="1" ht="15" customHeight="1" x14ac:dyDescent="0.2"/>
    <row r="186" s="35" customFormat="1" ht="15" customHeight="1" x14ac:dyDescent="0.2"/>
    <row r="187" s="35" customFormat="1" ht="15" customHeight="1" x14ac:dyDescent="0.2"/>
    <row r="188" s="35" customFormat="1" ht="15" customHeight="1" x14ac:dyDescent="0.2"/>
    <row r="189" s="35" customFormat="1" ht="15" customHeight="1" x14ac:dyDescent="0.2"/>
    <row r="190" s="35" customFormat="1" ht="15" customHeight="1" x14ac:dyDescent="0.2"/>
    <row r="191" s="35" customFormat="1" ht="15" customHeight="1" x14ac:dyDescent="0.2"/>
    <row r="192" s="35" customFormat="1" ht="15" customHeight="1" x14ac:dyDescent="0.2"/>
    <row r="193" s="35" customFormat="1" ht="15" customHeight="1" x14ac:dyDescent="0.2"/>
    <row r="194" s="35" customFormat="1" ht="15" customHeight="1" x14ac:dyDescent="0.2"/>
    <row r="195" s="35" customFormat="1" ht="15" customHeight="1" x14ac:dyDescent="0.2"/>
    <row r="196" s="35" customFormat="1" ht="15" customHeight="1" x14ac:dyDescent="0.2"/>
    <row r="197" s="35" customFormat="1" ht="15" customHeight="1" x14ac:dyDescent="0.2"/>
    <row r="198" s="35" customFormat="1" ht="15" customHeight="1" x14ac:dyDescent="0.2"/>
    <row r="199" s="35" customFormat="1" ht="15" customHeight="1" x14ac:dyDescent="0.2"/>
    <row r="200" s="35" customFormat="1" ht="15" customHeight="1" x14ac:dyDescent="0.2"/>
    <row r="201" s="35" customFormat="1" ht="15" customHeight="1" x14ac:dyDescent="0.2"/>
    <row r="202" s="35" customFormat="1" ht="15" customHeight="1" x14ac:dyDescent="0.2"/>
    <row r="203" s="35" customFormat="1" ht="15" customHeight="1" x14ac:dyDescent="0.2"/>
    <row r="204" s="35" customFormat="1" ht="15" customHeight="1" x14ac:dyDescent="0.2"/>
    <row r="205" s="35" customFormat="1" ht="15" customHeight="1" x14ac:dyDescent="0.2"/>
    <row r="206" s="35" customFormat="1" ht="15" customHeight="1" x14ac:dyDescent="0.2"/>
    <row r="207" s="35" customFormat="1" ht="15" customHeight="1" x14ac:dyDescent="0.2"/>
    <row r="208" s="35" customFormat="1" ht="15" customHeight="1" x14ac:dyDescent="0.2"/>
    <row r="209" s="35" customFormat="1" ht="15" customHeight="1" x14ac:dyDescent="0.2"/>
    <row r="210" s="35" customFormat="1" ht="15" customHeight="1" x14ac:dyDescent="0.2"/>
    <row r="211" s="35" customFormat="1" ht="15" customHeight="1" x14ac:dyDescent="0.2"/>
    <row r="212" s="35" customFormat="1" ht="15" customHeight="1" x14ac:dyDescent="0.2"/>
    <row r="213" s="35" customFormat="1" ht="15" customHeight="1" x14ac:dyDescent="0.2"/>
    <row r="214" s="35" customFormat="1" ht="15" customHeight="1" x14ac:dyDescent="0.2"/>
    <row r="215" s="35" customFormat="1" ht="15" customHeight="1" x14ac:dyDescent="0.2"/>
    <row r="216" s="35" customFormat="1" ht="15" customHeight="1" x14ac:dyDescent="0.2"/>
    <row r="217" s="35" customFormat="1" ht="15" customHeight="1" x14ac:dyDescent="0.2"/>
    <row r="218" s="35" customFormat="1" ht="15" customHeight="1" x14ac:dyDescent="0.2"/>
    <row r="219" s="35" customFormat="1" ht="15" customHeight="1" x14ac:dyDescent="0.2"/>
    <row r="220" s="35" customFormat="1" ht="15" customHeight="1" x14ac:dyDescent="0.2"/>
    <row r="221" s="35" customFormat="1" ht="15" customHeight="1" x14ac:dyDescent="0.2"/>
    <row r="222" s="35" customFormat="1" ht="15" customHeight="1" x14ac:dyDescent="0.2"/>
    <row r="223" s="35" customFormat="1" ht="15" customHeight="1" x14ac:dyDescent="0.2"/>
    <row r="224" s="35" customFormat="1" ht="15" customHeight="1" x14ac:dyDescent="0.2"/>
    <row r="225" s="35" customFormat="1" ht="15" customHeight="1" x14ac:dyDescent="0.2"/>
    <row r="226" s="35" customFormat="1" ht="15" customHeight="1" x14ac:dyDescent="0.2"/>
    <row r="227" s="35" customFormat="1" ht="15" customHeight="1" x14ac:dyDescent="0.2"/>
    <row r="228" s="35" customFormat="1" ht="15" customHeight="1" x14ac:dyDescent="0.2"/>
    <row r="229" s="35" customFormat="1" ht="15" customHeight="1" x14ac:dyDescent="0.2"/>
    <row r="230" s="35" customFormat="1" ht="15" customHeight="1" x14ac:dyDescent="0.2"/>
    <row r="231" s="35" customFormat="1" ht="15" customHeight="1" x14ac:dyDescent="0.2"/>
    <row r="232" s="35" customFormat="1" ht="15" customHeight="1" x14ac:dyDescent="0.2"/>
    <row r="233" s="35" customFormat="1" ht="15" customHeight="1" x14ac:dyDescent="0.2"/>
    <row r="234" s="35" customFormat="1" ht="15" customHeight="1" x14ac:dyDescent="0.2"/>
    <row r="235" s="35" customFormat="1" ht="15" customHeight="1" x14ac:dyDescent="0.2"/>
    <row r="236" s="35" customFormat="1" ht="15" customHeight="1" x14ac:dyDescent="0.2"/>
    <row r="237" s="35" customFormat="1" ht="15" customHeight="1" x14ac:dyDescent="0.2"/>
    <row r="238" s="35" customFormat="1" ht="15" customHeight="1" x14ac:dyDescent="0.2"/>
    <row r="239" s="35" customFormat="1" ht="15" customHeight="1" x14ac:dyDescent="0.2"/>
    <row r="240" s="35" customFormat="1" ht="15" customHeight="1" x14ac:dyDescent="0.2"/>
    <row r="241" s="35" customFormat="1" ht="15" customHeight="1" x14ac:dyDescent="0.2"/>
    <row r="242" s="35" customFormat="1" ht="15" customHeight="1" x14ac:dyDescent="0.2"/>
    <row r="243" s="35" customFormat="1" ht="15" customHeight="1" x14ac:dyDescent="0.2"/>
    <row r="244" s="35" customFormat="1" ht="15" customHeight="1" x14ac:dyDescent="0.2"/>
    <row r="245" s="35" customFormat="1" ht="15" customHeight="1" x14ac:dyDescent="0.2"/>
    <row r="246" s="35" customFormat="1" ht="15" customHeight="1" x14ac:dyDescent="0.2"/>
    <row r="247" s="35" customFormat="1" ht="15" customHeight="1" x14ac:dyDescent="0.2"/>
    <row r="248" s="35" customFormat="1" ht="15" customHeight="1" x14ac:dyDescent="0.2"/>
    <row r="249" s="35" customFormat="1" ht="15" customHeight="1" x14ac:dyDescent="0.2"/>
    <row r="250" s="35" customFormat="1" ht="15" customHeight="1" x14ac:dyDescent="0.2"/>
    <row r="251" s="35" customFormat="1" ht="15" customHeight="1" x14ac:dyDescent="0.2"/>
    <row r="252" s="35" customFormat="1" ht="15" customHeight="1" x14ac:dyDescent="0.2"/>
    <row r="253" s="35" customFormat="1" ht="15" customHeight="1" x14ac:dyDescent="0.2"/>
    <row r="254" s="35" customFormat="1" ht="15" customHeight="1" x14ac:dyDescent="0.2"/>
    <row r="255" s="35" customFormat="1" ht="15" customHeight="1" x14ac:dyDescent="0.2"/>
    <row r="256" s="35" customFormat="1" ht="15" customHeight="1" x14ac:dyDescent="0.2"/>
    <row r="257" s="35" customFormat="1" ht="15" customHeight="1" x14ac:dyDescent="0.2"/>
    <row r="258" s="35" customFormat="1" ht="15" customHeight="1" x14ac:dyDescent="0.2"/>
    <row r="259" s="35" customFormat="1" ht="15" customHeight="1" x14ac:dyDescent="0.2"/>
    <row r="260" s="35" customFormat="1" ht="15" customHeight="1" x14ac:dyDescent="0.2"/>
    <row r="261" s="35" customFormat="1" ht="15" customHeight="1" x14ac:dyDescent="0.2"/>
    <row r="262" s="35" customFormat="1" ht="15" customHeight="1" x14ac:dyDescent="0.2"/>
    <row r="263" s="35" customFormat="1" ht="15" customHeight="1" x14ac:dyDescent="0.2"/>
    <row r="264" s="35" customFormat="1" ht="15" customHeight="1" x14ac:dyDescent="0.2"/>
    <row r="265" s="35" customFormat="1" ht="15" customHeight="1" x14ac:dyDescent="0.2"/>
    <row r="266" s="35" customFormat="1" ht="15" customHeight="1" x14ac:dyDescent="0.2"/>
    <row r="267" s="35" customFormat="1" ht="15" customHeight="1" x14ac:dyDescent="0.2"/>
    <row r="268" s="35" customFormat="1" ht="15" customHeight="1" x14ac:dyDescent="0.2"/>
    <row r="269" s="35" customFormat="1" ht="15" customHeight="1" x14ac:dyDescent="0.2"/>
    <row r="270" s="35" customFormat="1" ht="15" customHeight="1" x14ac:dyDescent="0.2"/>
    <row r="271" s="35" customFormat="1" ht="15" customHeight="1" x14ac:dyDescent="0.2"/>
    <row r="272" s="35" customFormat="1" ht="15" customHeight="1" x14ac:dyDescent="0.2"/>
    <row r="273" s="35" customFormat="1" ht="15" customHeight="1" x14ac:dyDescent="0.2"/>
    <row r="274" s="35" customFormat="1" ht="15" customHeight="1" x14ac:dyDescent="0.2"/>
    <row r="275" s="35" customFormat="1" ht="15" customHeight="1" x14ac:dyDescent="0.2"/>
    <row r="276" s="35" customFormat="1" ht="15" customHeight="1" x14ac:dyDescent="0.2"/>
    <row r="277" s="35" customFormat="1" ht="15" customHeight="1" x14ac:dyDescent="0.2"/>
    <row r="278" s="35" customFormat="1" ht="15" customHeight="1" x14ac:dyDescent="0.2"/>
    <row r="279" s="35" customFormat="1" ht="15" customHeight="1" x14ac:dyDescent="0.2"/>
    <row r="280" s="35" customFormat="1" ht="15" customHeight="1" x14ac:dyDescent="0.2"/>
    <row r="281" s="35" customFormat="1" ht="15" customHeight="1" x14ac:dyDescent="0.2"/>
    <row r="282" s="35" customFormat="1" ht="15" customHeight="1" x14ac:dyDescent="0.2"/>
    <row r="283" s="35" customFormat="1" ht="15" customHeight="1" x14ac:dyDescent="0.2"/>
    <row r="284" s="35" customFormat="1" ht="15" customHeight="1" x14ac:dyDescent="0.2"/>
    <row r="285" s="35" customFormat="1" ht="15" customHeight="1" x14ac:dyDescent="0.2"/>
    <row r="286" s="35" customFormat="1" ht="15" customHeight="1" x14ac:dyDescent="0.2"/>
    <row r="287" s="35" customFormat="1" ht="15" customHeight="1" x14ac:dyDescent="0.2"/>
    <row r="288" s="35" customFormat="1" ht="15" customHeight="1" x14ac:dyDescent="0.2"/>
    <row r="289" s="35" customFormat="1" ht="15" customHeight="1" x14ac:dyDescent="0.2"/>
    <row r="290" s="35" customFormat="1" ht="15" customHeight="1" x14ac:dyDescent="0.2"/>
    <row r="291" s="35" customFormat="1" ht="15" customHeight="1" x14ac:dyDescent="0.2"/>
    <row r="292" s="35" customFormat="1" ht="15" customHeight="1" x14ac:dyDescent="0.2"/>
    <row r="293" s="35" customFormat="1" ht="15" customHeight="1" x14ac:dyDescent="0.2"/>
    <row r="294" s="35" customFormat="1" ht="15" customHeight="1" x14ac:dyDescent="0.2"/>
    <row r="295" s="35" customFormat="1" ht="15" customHeight="1" x14ac:dyDescent="0.2"/>
    <row r="296" s="35" customFormat="1" ht="15" customHeight="1" x14ac:dyDescent="0.2"/>
    <row r="297" s="35" customFormat="1" ht="15" customHeight="1" x14ac:dyDescent="0.2"/>
    <row r="298" s="35" customFormat="1" ht="15" customHeight="1" x14ac:dyDescent="0.2"/>
    <row r="299" s="35" customFormat="1" ht="15" customHeight="1" x14ac:dyDescent="0.2"/>
    <row r="300" s="35" customFormat="1" ht="15" customHeight="1" x14ac:dyDescent="0.2"/>
    <row r="301" s="35" customFormat="1" ht="15" customHeight="1" x14ac:dyDescent="0.2"/>
    <row r="302" s="35" customFormat="1" ht="15" customHeight="1" x14ac:dyDescent="0.2"/>
    <row r="303" s="35" customFormat="1" ht="15" customHeight="1" x14ac:dyDescent="0.2"/>
    <row r="304" s="35" customFormat="1" ht="15" customHeight="1" x14ac:dyDescent="0.2"/>
    <row r="305" s="35" customFormat="1" ht="15" customHeight="1" x14ac:dyDescent="0.2"/>
    <row r="306" s="35" customFormat="1" ht="15" customHeight="1" x14ac:dyDescent="0.2"/>
    <row r="307" s="35" customFormat="1" ht="15" customHeight="1" x14ac:dyDescent="0.2"/>
    <row r="308" s="35" customFormat="1" ht="15" customHeight="1" x14ac:dyDescent="0.2"/>
    <row r="309" s="35" customFormat="1" ht="15" customHeight="1" x14ac:dyDescent="0.2"/>
    <row r="310" s="35" customFormat="1" ht="15" customHeight="1" x14ac:dyDescent="0.2"/>
    <row r="311" s="35" customFormat="1" ht="15" customHeight="1" x14ac:dyDescent="0.2"/>
    <row r="312" s="35" customFormat="1" ht="15" customHeight="1" x14ac:dyDescent="0.2"/>
    <row r="313" s="35" customFormat="1" ht="15" customHeight="1" x14ac:dyDescent="0.2"/>
    <row r="314" s="35" customFormat="1" ht="15" customHeight="1" x14ac:dyDescent="0.2"/>
    <row r="315" s="35" customFormat="1" ht="15" customHeight="1" x14ac:dyDescent="0.2"/>
    <row r="316" s="35" customFormat="1" ht="15" customHeight="1" x14ac:dyDescent="0.2"/>
    <row r="317" s="35" customFormat="1" ht="15" customHeight="1" x14ac:dyDescent="0.2"/>
    <row r="318" s="35" customFormat="1" ht="15" customHeight="1" x14ac:dyDescent="0.2"/>
    <row r="319" s="35" customFormat="1" ht="15" customHeight="1" x14ac:dyDescent="0.2"/>
    <row r="320" s="35" customFormat="1" ht="15" customHeight="1" x14ac:dyDescent="0.2"/>
    <row r="321" spans="12:18" ht="15" customHeight="1" x14ac:dyDescent="0.2">
      <c r="L321" s="35"/>
      <c r="M321" s="35"/>
      <c r="N321" s="35"/>
      <c r="O321" s="35"/>
      <c r="P321" s="35"/>
      <c r="Q321" s="35"/>
      <c r="R321" s="35"/>
    </row>
    <row r="322" spans="12:18" ht="15" customHeight="1" x14ac:dyDescent="0.2">
      <c r="L322" s="35"/>
      <c r="M322" s="35"/>
      <c r="N322" s="35"/>
      <c r="O322" s="35"/>
      <c r="P322" s="35"/>
      <c r="Q322" s="35"/>
      <c r="R322" s="35"/>
    </row>
    <row r="323" spans="12:18" ht="15" customHeight="1" x14ac:dyDescent="0.2">
      <c r="L323" s="35"/>
      <c r="M323" s="35"/>
      <c r="N323" s="35"/>
      <c r="O323" s="35"/>
      <c r="P323" s="35"/>
      <c r="Q323" s="35"/>
      <c r="R323" s="35"/>
    </row>
    <row r="324" spans="12:18" ht="15" customHeight="1" x14ac:dyDescent="0.2">
      <c r="L324" s="35"/>
      <c r="M324" s="35"/>
      <c r="N324" s="35"/>
      <c r="O324" s="35"/>
      <c r="P324" s="35"/>
      <c r="Q324" s="35"/>
      <c r="R324" s="35"/>
    </row>
    <row r="325" spans="12:18" ht="15" customHeight="1" x14ac:dyDescent="0.2">
      <c r="L325" s="35"/>
      <c r="M325" s="35"/>
      <c r="N325" s="35"/>
      <c r="O325" s="35"/>
      <c r="P325" s="35"/>
      <c r="Q325" s="35"/>
      <c r="R325" s="35"/>
    </row>
    <row r="326" spans="12:18" ht="15" customHeight="1" x14ac:dyDescent="0.2">
      <c r="L326" s="35"/>
      <c r="M326" s="35"/>
      <c r="N326" s="35"/>
      <c r="O326" s="35"/>
      <c r="P326" s="35"/>
      <c r="Q326" s="35"/>
      <c r="R326" s="35"/>
    </row>
    <row r="327" spans="12:18" ht="15" customHeight="1" x14ac:dyDescent="0.2">
      <c r="L327" s="35"/>
      <c r="M327" s="35"/>
      <c r="N327" s="35"/>
      <c r="O327" s="35"/>
      <c r="P327" s="35"/>
      <c r="Q327" s="35"/>
      <c r="R327" s="35"/>
    </row>
    <row r="328" spans="12:18" ht="15" customHeight="1" x14ac:dyDescent="0.2">
      <c r="L328" s="35"/>
      <c r="M328" s="35"/>
      <c r="N328" s="35"/>
      <c r="O328" s="35"/>
      <c r="P328" s="35"/>
      <c r="Q328" s="35"/>
      <c r="R328" s="35"/>
    </row>
    <row r="329" spans="12:18" ht="15" customHeight="1" x14ac:dyDescent="0.2">
      <c r="L329" s="35"/>
      <c r="M329" s="35"/>
      <c r="N329" s="35"/>
      <c r="O329" s="35"/>
      <c r="P329" s="35"/>
      <c r="Q329" s="35"/>
      <c r="R329" s="35"/>
    </row>
    <row r="330" spans="12:18" ht="15" customHeight="1" x14ac:dyDescent="0.2">
      <c r="L330" s="35"/>
      <c r="M330" s="35"/>
      <c r="N330" s="35"/>
      <c r="O330" s="35"/>
      <c r="P330" s="35"/>
      <c r="Q330" s="35"/>
      <c r="R330" s="35"/>
    </row>
    <row r="331" spans="12:18" ht="15" customHeight="1" x14ac:dyDescent="0.2">
      <c r="L331" s="35"/>
      <c r="M331" s="35"/>
      <c r="N331" s="35"/>
      <c r="O331" s="35"/>
      <c r="P331" s="35"/>
      <c r="Q331" s="35"/>
      <c r="R331" s="35"/>
    </row>
    <row r="332" spans="12:18" ht="15" customHeight="1" x14ac:dyDescent="0.2">
      <c r="L332" s="35"/>
      <c r="M332" s="35"/>
      <c r="N332" s="35"/>
      <c r="O332" s="35"/>
      <c r="P332" s="35"/>
      <c r="Q332" s="35"/>
      <c r="R332" s="35"/>
    </row>
    <row r="333" spans="12:18" ht="15" customHeight="1" x14ac:dyDescent="0.2">
      <c r="L333" s="35"/>
      <c r="M333" s="35"/>
      <c r="N333" s="35"/>
      <c r="O333" s="35"/>
      <c r="P333" s="35"/>
      <c r="Q333" s="35"/>
      <c r="R333" s="35"/>
    </row>
    <row r="334" spans="12:18" ht="15" customHeight="1" x14ac:dyDescent="0.2">
      <c r="L334" s="35"/>
      <c r="M334" s="35"/>
      <c r="N334" s="35"/>
      <c r="O334" s="35"/>
      <c r="P334" s="35"/>
      <c r="Q334" s="35"/>
      <c r="R334" s="35"/>
    </row>
    <row r="335" spans="12:18" ht="15" customHeight="1" x14ac:dyDescent="0.2">
      <c r="N335" s="35"/>
      <c r="O335" s="35"/>
      <c r="P335" s="35"/>
      <c r="Q335" s="35"/>
      <c r="R335" s="35"/>
    </row>
    <row r="336" spans="12:18" ht="15" customHeight="1" x14ac:dyDescent="0.2">
      <c r="N336" s="35"/>
      <c r="O336" s="35"/>
    </row>
    <row r="339" spans="12:18" ht="15" customHeight="1" x14ac:dyDescent="0.2">
      <c r="L339" s="35"/>
      <c r="M339" s="35"/>
    </row>
    <row r="340" spans="12:18" ht="15" customHeight="1" x14ac:dyDescent="0.2">
      <c r="L340" s="35"/>
      <c r="M340" s="35"/>
      <c r="P340" s="35"/>
      <c r="Q340" s="35"/>
      <c r="R340" s="35"/>
    </row>
    <row r="341" spans="12:18" ht="15" customHeight="1" x14ac:dyDescent="0.2">
      <c r="N341" s="35"/>
      <c r="O341" s="35"/>
      <c r="P341" s="35"/>
      <c r="Q341" s="35"/>
      <c r="R341" s="35"/>
    </row>
    <row r="342" spans="12:18" ht="15" customHeight="1" x14ac:dyDescent="0.2">
      <c r="N342" s="35"/>
      <c r="O342" s="35"/>
    </row>
  </sheetData>
  <mergeCells count="6">
    <mergeCell ref="C27:G29"/>
    <mergeCell ref="C35:G37"/>
    <mergeCell ref="C39:G40"/>
    <mergeCell ref="C45:G47"/>
    <mergeCell ref="C31:G33"/>
    <mergeCell ref="C42:G43"/>
  </mergeCells>
  <printOptions horizontalCentered="1"/>
  <pageMargins left="0.25" right="0.25" top="0.75" bottom="0.75" header="0.3" footer="0.3"/>
  <pageSetup paperSize="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A1:P94"/>
  <sheetViews>
    <sheetView tabSelected="1" view="pageBreakPreview" topLeftCell="A21" zoomScale="85" zoomScaleNormal="100" zoomScaleSheetLayoutView="85" workbookViewId="0">
      <selection activeCell="B79" sqref="B79"/>
    </sheetView>
  </sheetViews>
  <sheetFormatPr defaultRowHeight="15" x14ac:dyDescent="0.25"/>
  <cols>
    <col min="2" max="2" width="15.7109375" customWidth="1"/>
    <col min="3" max="7" width="17" customWidth="1"/>
    <col min="8" max="14" width="15.7109375" customWidth="1"/>
    <col min="15" max="15" width="24.42578125" customWidth="1"/>
    <col min="16" max="16" width="15.7109375" customWidth="1"/>
  </cols>
  <sheetData>
    <row r="1" spans="2:15" ht="23.25" x14ac:dyDescent="0.35">
      <c r="B1" s="33" t="s">
        <v>172</v>
      </c>
      <c r="O1" s="17"/>
    </row>
    <row r="2" spans="2:15" x14ac:dyDescent="0.25">
      <c r="J2" s="41"/>
      <c r="K2" s="41"/>
      <c r="L2" s="17"/>
    </row>
    <row r="3" spans="2:15" ht="16.5" thickBot="1" x14ac:dyDescent="0.3">
      <c r="B3" s="415" t="s">
        <v>7</v>
      </c>
      <c r="D3" s="41"/>
      <c r="E3" s="41"/>
      <c r="F3" s="41"/>
    </row>
    <row r="4" spans="2:15" ht="25.5" customHeight="1" thickBot="1" x14ac:dyDescent="0.3">
      <c r="B4" s="23"/>
      <c r="C4" s="281" t="s">
        <v>9</v>
      </c>
      <c r="D4" s="282"/>
      <c r="E4" s="281" t="s">
        <v>67</v>
      </c>
      <c r="F4" s="283"/>
      <c r="G4" s="76" t="s">
        <v>10</v>
      </c>
      <c r="H4" s="173"/>
    </row>
    <row r="5" spans="2:15" ht="35.1" customHeight="1" x14ac:dyDescent="0.25">
      <c r="B5" s="278" t="s">
        <v>0</v>
      </c>
      <c r="C5" s="278" t="s">
        <v>68</v>
      </c>
      <c r="D5" s="272" t="s">
        <v>33</v>
      </c>
      <c r="E5" s="272" t="s">
        <v>88</v>
      </c>
      <c r="F5" s="280" t="s">
        <v>89</v>
      </c>
      <c r="G5" s="278" t="s">
        <v>11</v>
      </c>
      <c r="H5" s="278" t="s">
        <v>82</v>
      </c>
      <c r="I5" s="276" t="s">
        <v>48</v>
      </c>
      <c r="J5" s="268" t="s">
        <v>15</v>
      </c>
    </row>
    <row r="6" spans="2:15" ht="35.1" customHeight="1" thickBot="1" x14ac:dyDescent="0.3">
      <c r="B6" s="279"/>
      <c r="C6" s="279"/>
      <c r="D6" s="273"/>
      <c r="E6" s="273"/>
      <c r="F6" s="277"/>
      <c r="G6" s="279"/>
      <c r="H6" s="279"/>
      <c r="I6" s="277"/>
      <c r="J6" s="269"/>
      <c r="K6" s="52"/>
      <c r="M6" t="s">
        <v>193</v>
      </c>
    </row>
    <row r="7" spans="2:15" ht="15" customHeight="1" x14ac:dyDescent="0.25">
      <c r="B7" s="15">
        <f t="shared" ref="B7:B8" si="0">B8-1</f>
        <v>2023</v>
      </c>
      <c r="C7" s="90"/>
      <c r="D7" s="43"/>
      <c r="E7" s="43"/>
      <c r="F7" s="261"/>
      <c r="G7" s="42"/>
      <c r="H7" s="42"/>
      <c r="I7" s="117" t="s">
        <v>5</v>
      </c>
      <c r="J7" s="110"/>
      <c r="M7" t="s">
        <v>194</v>
      </c>
    </row>
    <row r="8" spans="2:15" ht="15" customHeight="1" x14ac:dyDescent="0.25">
      <c r="B8" s="176">
        <f t="shared" si="0"/>
        <v>2024</v>
      </c>
      <c r="C8" s="177"/>
      <c r="D8" s="178"/>
      <c r="E8" s="178"/>
      <c r="F8" s="262"/>
      <c r="G8" s="184"/>
      <c r="H8" s="184"/>
      <c r="I8" s="101" t="s">
        <v>5</v>
      </c>
      <c r="J8" s="179"/>
      <c r="M8" t="s">
        <v>195</v>
      </c>
    </row>
    <row r="9" spans="2:15" ht="15" customHeight="1" thickBot="1" x14ac:dyDescent="0.3">
      <c r="B9" s="180">
        <f>B10-1</f>
        <v>2025</v>
      </c>
      <c r="C9" s="181"/>
      <c r="D9" s="182"/>
      <c r="E9" s="182"/>
      <c r="F9" s="263"/>
      <c r="G9" s="185"/>
      <c r="H9" s="185"/>
      <c r="I9" s="101" t="s">
        <v>5</v>
      </c>
      <c r="J9" s="183"/>
      <c r="L9" s="112"/>
      <c r="M9" s="112" t="s">
        <v>196</v>
      </c>
    </row>
    <row r="10" spans="2:15" ht="15" customHeight="1" x14ac:dyDescent="0.25">
      <c r="B10" s="1">
        <f>Assumptions!D8</f>
        <v>2026</v>
      </c>
      <c r="C10" s="117">
        <f>_xlfn.XLOOKUP($B10,'Operation Benefits'!$B$6:$B$35,'Operation Benefits'!$F$6:$F$35)</f>
        <v>8476.7680273094738</v>
      </c>
      <c r="D10" s="117">
        <f>_xlfn.XLOOKUP($B10,'Travel Time Savings '!$B$6:$B$35,'Travel Time Savings '!$D$6:$D$35)</f>
        <v>160201.7888944282</v>
      </c>
      <c r="E10" s="117">
        <f>_xlfn.XLOOKUP($B10,'Air Quality'!$B$5:$B$34,'Air Quality'!$M$5:$M$34)</f>
        <v>202.36098475692773</v>
      </c>
      <c r="F10" s="126">
        <f>_xlfn.XLOOKUP($B10,'Air Quality'!$B$5:$B$34,'Air Quality'!$E$5:$E$34)</f>
        <v>309.82112100222241</v>
      </c>
      <c r="G10" s="117">
        <f>_xlfn.XLOOKUP($B10,'Safety Benefits'!$B$6:$B$35,'Safety Benefits'!$E$6:$E$35)</f>
        <v>2080292.0513202623</v>
      </c>
      <c r="H10" s="117">
        <f>-'Operating and Maintenance Costs'!C5</f>
        <v>-4949</v>
      </c>
      <c r="I10" s="117" t="str">
        <f>_xlfn.XLOOKUP($B10,'Capital Cost and RCV Calc'!$B$5:$B$36,'Capital Cost and RCV Calc'!$E$5:$E$36)</f>
        <v>N/A</v>
      </c>
      <c r="J10" s="110">
        <f>SUM(C10:E10,G10:I10)*(1+0.07)^-($B10-Assumptions!$D$4)+F10</f>
        <v>1495731.0115178803</v>
      </c>
      <c r="L10" s="112"/>
      <c r="M10" t="s">
        <v>197</v>
      </c>
    </row>
    <row r="11" spans="2:15" ht="15" customHeight="1" x14ac:dyDescent="0.25">
      <c r="B11" s="2">
        <f t="shared" ref="B11:B39" si="1">+B10+1</f>
        <v>2027</v>
      </c>
      <c r="C11" s="101">
        <f>_xlfn.XLOOKUP($B11,'Operation Benefits'!$B$6:$B$35,'Operation Benefits'!$F$6:$F$35)</f>
        <v>9027.9609191027666</v>
      </c>
      <c r="D11" s="101">
        <f>_xlfn.XLOOKUP($B11,'Travel Time Savings '!$B$6:$B$35,'Travel Time Savings '!$D$6:$D$35)</f>
        <v>161832.53780681657</v>
      </c>
      <c r="E11" s="101">
        <f>_xlfn.XLOOKUP($B11,'Air Quality'!$B$5:$B$34,'Air Quality'!$M$5:$M$34)</f>
        <v>219.14336886613947</v>
      </c>
      <c r="F11" s="102">
        <f>_xlfn.XLOOKUP($B11,'Air Quality'!$B$5:$B$34,'Air Quality'!$E$5:$E$34)</f>
        <v>325.97651020016377</v>
      </c>
      <c r="G11" s="101">
        <f>_xlfn.XLOOKUP($B11,'Safety Benefits'!$B$6:$B$35,'Safety Benefits'!$E$6:$E$35)</f>
        <v>2101468.0570537299</v>
      </c>
      <c r="H11" s="101">
        <f>-'Operating and Maintenance Costs'!C6</f>
        <v>-4949</v>
      </c>
      <c r="I11" s="101" t="str">
        <f>_xlfn.XLOOKUP($B11,'Capital Cost and RCV Calc'!$B$5:$B$36,'Capital Cost and RCV Calc'!$E$5:$E$36)</f>
        <v>N/A</v>
      </c>
      <c r="J11" s="111">
        <f>SUM(C11:E11,G11:I11)*(1+0.07)^-($B11-Assumptions!$D$4)+F11</f>
        <v>1412472.4811027725</v>
      </c>
      <c r="M11" t="s">
        <v>198</v>
      </c>
    </row>
    <row r="12" spans="2:15" ht="15" customHeight="1" x14ac:dyDescent="0.25">
      <c r="B12" s="2">
        <f t="shared" si="1"/>
        <v>2028</v>
      </c>
      <c r="C12" s="101">
        <f>_xlfn.XLOOKUP($B12,'Operation Benefits'!$B$6:$B$35,'Operation Benefits'!$F$6:$F$35)</f>
        <v>9579.1538108962814</v>
      </c>
      <c r="D12" s="101">
        <f>_xlfn.XLOOKUP($B12,'Travel Time Savings '!$B$6:$B$35,'Travel Time Savings '!$D$6:$D$35)</f>
        <v>163463.28671920495</v>
      </c>
      <c r="E12" s="101">
        <f>_xlfn.XLOOKUP($B12,'Air Quality'!$B$5:$B$34,'Air Quality'!$M$5:$M$34)</f>
        <v>236.41159905789596</v>
      </c>
      <c r="F12" s="102">
        <f>_xlfn.XLOOKUP($B12,'Air Quality'!$B$5:$B$34,'Air Quality'!$E$5:$E$34)</f>
        <v>347.3840022754847</v>
      </c>
      <c r="G12" s="101">
        <f>_xlfn.XLOOKUP($B12,'Safety Benefits'!$B$6:$B$35,'Safety Benefits'!$E$6:$E$35)</f>
        <v>2122644.062787205</v>
      </c>
      <c r="H12" s="101">
        <f>-'Operating and Maintenance Costs'!C7</f>
        <v>-4949</v>
      </c>
      <c r="I12" s="101" t="str">
        <f>_xlfn.XLOOKUP($B12,'Capital Cost and RCV Calc'!$B$5:$B$36,'Capital Cost and RCV Calc'!$E$5:$E$36)</f>
        <v>N/A</v>
      </c>
      <c r="J12" s="111">
        <f>SUM(C12:E12,G12:I12)*(1+0.07)^-($B12-Assumptions!$D$4)+F12</f>
        <v>1333715.060804609</v>
      </c>
    </row>
    <row r="13" spans="2:15" ht="15" customHeight="1" x14ac:dyDescent="0.25">
      <c r="B13" s="2">
        <f t="shared" si="1"/>
        <v>2029</v>
      </c>
      <c r="C13" s="101">
        <f>_xlfn.XLOOKUP($B13,'Operation Benefits'!$B$6:$B$35,'Operation Benefits'!$F$6:$F$35)</f>
        <v>10130.346702689794</v>
      </c>
      <c r="D13" s="101">
        <f>_xlfn.XLOOKUP($B13,'Travel Time Savings '!$B$6:$B$35,'Travel Time Savings '!$D$6:$D$35)</f>
        <v>165094.03563159288</v>
      </c>
      <c r="E13" s="101">
        <f>_xlfn.XLOOKUP($B13,'Air Quality'!$B$5:$B$34,'Air Quality'!$M$5:$M$34)</f>
        <v>254.16259191176107</v>
      </c>
      <c r="F13" s="102">
        <f>_xlfn.XLOOKUP($B13,'Air Quality'!$B$5:$B$34,'Air Quality'!$E$5:$E$34)</f>
        <v>362.61714700372869</v>
      </c>
      <c r="G13" s="101">
        <f>_xlfn.XLOOKUP($B13,'Safety Benefits'!$B$6:$B$35,'Safety Benefits'!$E$6:$E$35)</f>
        <v>2143820.0685206726</v>
      </c>
      <c r="H13" s="101">
        <f>-'Operating and Maintenance Costs'!C8</f>
        <v>-4949</v>
      </c>
      <c r="I13" s="101" t="str">
        <f>_xlfn.XLOOKUP($B13,'Capital Cost and RCV Calc'!$B$5:$B$36,'Capital Cost and RCV Calc'!$E$5:$E$36)</f>
        <v>N/A</v>
      </c>
      <c r="J13" s="111">
        <f>SUM(C13:E13,G13:I13)*(1+0.07)^-($B13-Assumptions!$D$4)+F13</f>
        <v>1259215.4640373345</v>
      </c>
    </row>
    <row r="14" spans="2:15" ht="15" customHeight="1" x14ac:dyDescent="0.25">
      <c r="B14" s="2">
        <f t="shared" si="1"/>
        <v>2030</v>
      </c>
      <c r="C14" s="101">
        <f>_xlfn.XLOOKUP($B14,'Operation Benefits'!$B$6:$B$35,'Operation Benefits'!$F$6:$F$35)</f>
        <v>10681.539594483087</v>
      </c>
      <c r="D14" s="101">
        <f>_xlfn.XLOOKUP($B14,'Travel Time Savings '!$B$6:$B$35,'Travel Time Savings '!$D$6:$D$35)</f>
        <v>166724.78454398125</v>
      </c>
      <c r="E14" s="101">
        <f>_xlfn.XLOOKUP($B14,'Air Quality'!$B$5:$B$34,'Air Quality'!$M$5:$M$34)</f>
        <v>273.12084355046733</v>
      </c>
      <c r="F14" s="102">
        <f>_xlfn.XLOOKUP($B14,'Air Quality'!$B$5:$B$34,'Air Quality'!$E$5:$E$34)</f>
        <v>377.29627033677974</v>
      </c>
      <c r="G14" s="101">
        <f>_xlfn.XLOOKUP($B14,'Safety Benefits'!$B$6:$B$35,'Safety Benefits'!$E$6:$E$35)</f>
        <v>2164996.0742541403</v>
      </c>
      <c r="H14" s="101">
        <f>-'Operating and Maintenance Costs'!C9</f>
        <v>-4949</v>
      </c>
      <c r="I14" s="101" t="str">
        <f>_xlfn.XLOOKUP($B14,'Capital Cost and RCV Calc'!$B$5:$B$36,'Capital Cost and RCV Calc'!$E$5:$E$36)</f>
        <v>N/A</v>
      </c>
      <c r="J14" s="111">
        <f>SUM(C14:E14,G14:I14)*(1+0.07)^-($B14-Assumptions!$D$4)+F14</f>
        <v>1188758.9175285939</v>
      </c>
      <c r="M14" t="s">
        <v>202</v>
      </c>
    </row>
    <row r="15" spans="2:15" ht="15" customHeight="1" x14ac:dyDescent="0.25">
      <c r="B15" s="2">
        <f t="shared" si="1"/>
        <v>2031</v>
      </c>
      <c r="C15" s="101">
        <f>_xlfn.XLOOKUP($B15,'Operation Benefits'!$B$6:$B$35,'Operation Benefits'!$F$6:$F$35)</f>
        <v>11232.732486276602</v>
      </c>
      <c r="D15" s="101">
        <f>_xlfn.XLOOKUP($B15,'Travel Time Savings '!$B$6:$B$35,'Travel Time Savings '!$D$6:$D$35)</f>
        <v>168355.53345636962</v>
      </c>
      <c r="E15" s="101">
        <f>_xlfn.XLOOKUP($B15,'Air Quality'!$B$5:$B$34,'Air Quality'!$M$5:$M$34)</f>
        <v>287.21452978680531</v>
      </c>
      <c r="F15" s="102">
        <f>_xlfn.XLOOKUP($B15,'Air Quality'!$B$5:$B$34,'Air Quality'!$E$5:$E$34)</f>
        <v>391.42242997093382</v>
      </c>
      <c r="G15" s="101">
        <f>_xlfn.XLOOKUP($B15,'Safety Benefits'!$B$6:$B$35,'Safety Benefits'!$E$6:$E$35)</f>
        <v>2186172.0799876079</v>
      </c>
      <c r="H15" s="101">
        <f>-'Operating and Maintenance Costs'!C10</f>
        <v>-4949</v>
      </c>
      <c r="I15" s="101" t="str">
        <f>_xlfn.XLOOKUP($B15,'Capital Cost and RCV Calc'!$B$5:$B$36,'Capital Cost and RCV Calc'!$E$5:$E$36)</f>
        <v>N/A</v>
      </c>
      <c r="J15" s="111">
        <f>SUM(C15:E15,G15:I15)*(1+0.07)^-($B15-Assumptions!$D$4)+F15</f>
        <v>1122132.3400656371</v>
      </c>
      <c r="M15" t="s">
        <v>200</v>
      </c>
    </row>
    <row r="16" spans="2:15" ht="15" customHeight="1" x14ac:dyDescent="0.25">
      <c r="B16" s="2">
        <f t="shared" si="1"/>
        <v>2032</v>
      </c>
      <c r="C16" s="101">
        <f>_xlfn.XLOOKUP($B16,'Operation Benefits'!$B$6:$B$35,'Operation Benefits'!$F$6:$F$35)</f>
        <v>11783.925378070115</v>
      </c>
      <c r="D16" s="101">
        <f>_xlfn.XLOOKUP($B16,'Travel Time Savings '!$B$6:$B$35,'Travel Time Savings '!$D$6:$D$35)</f>
        <v>169986.28236875756</v>
      </c>
      <c r="E16" s="101">
        <f>_xlfn.XLOOKUP($B16,'Air Quality'!$B$5:$B$34,'Air Quality'!$M$5:$M$34)</f>
        <v>301.30821602314336</v>
      </c>
      <c r="F16" s="102">
        <f>_xlfn.XLOOKUP($B16,'Air Quality'!$B$5:$B$34,'Air Quality'!$E$5:$E$34)</f>
        <v>404.99762477870718</v>
      </c>
      <c r="G16" s="101">
        <f>_xlfn.XLOOKUP($B16,'Safety Benefits'!$B$6:$B$35,'Safety Benefits'!$E$6:$E$35)</f>
        <v>2207348.0857210755</v>
      </c>
      <c r="H16" s="101">
        <f>-'Operating and Maintenance Costs'!C11</f>
        <v>-4949</v>
      </c>
      <c r="I16" s="101" t="str">
        <f>_xlfn.XLOOKUP($B16,'Capital Cost and RCV Calc'!$B$5:$B$36,'Capital Cost and RCV Calc'!$E$5:$E$36)</f>
        <v>N/A</v>
      </c>
      <c r="J16" s="111">
        <f>SUM(C16:E16,G16:I16)*(1+0.07)^-($B16-Assumptions!$D$4)+F16</f>
        <v>1059138.4612303937</v>
      </c>
      <c r="M16" t="s">
        <v>201</v>
      </c>
    </row>
    <row r="17" spans="2:13" ht="15" customHeight="1" x14ac:dyDescent="0.25">
      <c r="B17" s="2">
        <f t="shared" si="1"/>
        <v>2033</v>
      </c>
      <c r="C17" s="101">
        <f>_xlfn.XLOOKUP($B17,'Operation Benefits'!$B$6:$B$35,'Operation Benefits'!$F$6:$F$35)</f>
        <v>12335.118269863407</v>
      </c>
      <c r="D17" s="101">
        <f>_xlfn.XLOOKUP($B17,'Travel Time Savings '!$B$6:$B$35,'Travel Time Savings '!$D$6:$D$35)</f>
        <v>171617.03128114593</v>
      </c>
      <c r="E17" s="101">
        <f>_xlfn.XLOOKUP($B17,'Air Quality'!$B$5:$B$34,'Air Quality'!$M$5:$M$34)</f>
        <v>315.40190225947572</v>
      </c>
      <c r="F17" s="102">
        <f>_xlfn.XLOOKUP($B17,'Air Quality'!$B$5:$B$34,'Air Quality'!$E$5:$E$34)</f>
        <v>418.0247235675306</v>
      </c>
      <c r="G17" s="101">
        <f>_xlfn.XLOOKUP($B17,'Safety Benefits'!$B$6:$B$35,'Safety Benefits'!$E$6:$E$35)</f>
        <v>2228524.0914545432</v>
      </c>
      <c r="H17" s="101">
        <f>-'Operating and Maintenance Costs'!C12</f>
        <v>-4949</v>
      </c>
      <c r="I17" s="101" t="str">
        <f>_xlfn.XLOOKUP($B17,'Capital Cost and RCV Calc'!$B$5:$B$36,'Capital Cost and RCV Calc'!$E$5:$E$36)</f>
        <v>N/A</v>
      </c>
      <c r="J17" s="111">
        <f>SUM(C17:E17,G17:I17)*(1+0.07)^-($B17-Assumptions!$D$4)+F17</f>
        <v>999587.11764028482</v>
      </c>
      <c r="M17" t="s">
        <v>203</v>
      </c>
    </row>
    <row r="18" spans="2:13" ht="15" customHeight="1" x14ac:dyDescent="0.25">
      <c r="B18" s="2">
        <f t="shared" si="1"/>
        <v>2034</v>
      </c>
      <c r="C18" s="101">
        <f>_xlfn.XLOOKUP($B18,'Operation Benefits'!$B$6:$B$35,'Operation Benefits'!$F$6:$F$35)</f>
        <v>12886.311161656922</v>
      </c>
      <c r="D18" s="101">
        <f>_xlfn.XLOOKUP($B18,'Travel Time Savings '!$B$6:$B$35,'Travel Time Savings '!$D$6:$D$35)</f>
        <v>173247.7801935343</v>
      </c>
      <c r="E18" s="101">
        <f>_xlfn.XLOOKUP($B18,'Air Quality'!$B$5:$B$34,'Air Quality'!$M$5:$M$34)</f>
        <v>329.49558849581376</v>
      </c>
      <c r="F18" s="102">
        <f>_xlfn.XLOOKUP($B18,'Air Quality'!$B$5:$B$34,'Air Quality'!$E$5:$E$34)</f>
        <v>430.50739764197681</v>
      </c>
      <c r="G18" s="101">
        <f>_xlfn.XLOOKUP($B18,'Safety Benefits'!$B$6:$B$35,'Safety Benefits'!$E$6:$E$35)</f>
        <v>2249700.0971880183</v>
      </c>
      <c r="H18" s="101">
        <f>-'Operating and Maintenance Costs'!C13</f>
        <v>-4949</v>
      </c>
      <c r="I18" s="101" t="str">
        <f>_xlfn.XLOOKUP($B18,'Capital Cost and RCV Calc'!$B$5:$B$36,'Capital Cost and RCV Calc'!$E$5:$E$36)</f>
        <v>N/A</v>
      </c>
      <c r="J18" s="111">
        <f>SUM(C18:E18,G18:I18)*(1+0.07)^-($B18-Assumptions!$D$4)+F18</f>
        <v>943297.47851840698</v>
      </c>
    </row>
    <row r="19" spans="2:13" ht="15" customHeight="1" x14ac:dyDescent="0.25">
      <c r="B19" s="2">
        <f t="shared" si="1"/>
        <v>2035</v>
      </c>
      <c r="C19" s="101">
        <f>_xlfn.XLOOKUP($B19,'Operation Benefits'!$B$6:$B$35,'Operation Benefits'!$F$6:$F$35)</f>
        <v>13437.504053450435</v>
      </c>
      <c r="D19" s="101">
        <f>_xlfn.XLOOKUP($B19,'Travel Time Savings '!$B$6:$B$35,'Travel Time Savings '!$D$6:$D$35)</f>
        <v>174878.52910592224</v>
      </c>
      <c r="E19" s="101">
        <f>_xlfn.XLOOKUP($B19,'Air Quality'!$B$5:$B$34,'Air Quality'!$M$5:$M$34)</f>
        <v>343.58927473215181</v>
      </c>
      <c r="F19" s="102">
        <f>_xlfn.XLOOKUP($B19,'Air Quality'!$B$5:$B$34,'Air Quality'!$E$5:$E$34)</f>
        <v>442.4500569951594</v>
      </c>
      <c r="G19" s="101">
        <f>_xlfn.XLOOKUP($B19,'Safety Benefits'!$B$6:$B$35,'Safety Benefits'!$E$6:$E$35)</f>
        <v>2270876.1029214859</v>
      </c>
      <c r="H19" s="101">
        <f>-'Operating and Maintenance Costs'!C14</f>
        <v>-4949</v>
      </c>
      <c r="I19" s="101" t="str">
        <f>_xlfn.XLOOKUP($B19,'Capital Cost and RCV Calc'!$B$5:$B$36,'Capital Cost and RCV Calc'!$E$5:$E$36)</f>
        <v>N/A</v>
      </c>
      <c r="J19" s="111">
        <f>SUM(C19:E19,G19:I19)*(1+0.07)^-($B19-Assumptions!$D$4)+F19</f>
        <v>890097.6385291029</v>
      </c>
    </row>
    <row r="20" spans="2:13" ht="15" customHeight="1" x14ac:dyDescent="0.25">
      <c r="B20" s="2">
        <f t="shared" si="1"/>
        <v>2036</v>
      </c>
      <c r="C20" s="101">
        <f>_xlfn.XLOOKUP($B20,'Operation Benefits'!$B$6:$B$35,'Operation Benefits'!$F$6:$F$35)</f>
        <v>13988.696945243728</v>
      </c>
      <c r="D20" s="101">
        <f>_xlfn.XLOOKUP($B20,'Travel Time Savings '!$B$6:$B$35,'Travel Time Savings '!$D$6:$D$35)</f>
        <v>176509.27801831061</v>
      </c>
      <c r="E20" s="101">
        <f>_xlfn.XLOOKUP($B20,'Air Quality'!$B$5:$B$34,'Air Quality'!$M$5:$M$34)</f>
        <v>357.68296096848417</v>
      </c>
      <c r="F20" s="102">
        <f>_xlfn.XLOOKUP($B20,'Air Quality'!$B$5:$B$34,'Air Quality'!$E$5:$E$34)</f>
        <v>460.53216922661318</v>
      </c>
      <c r="G20" s="101">
        <f>_xlfn.XLOOKUP($B20,'Safety Benefits'!$B$6:$B$35,'Safety Benefits'!$E$6:$E$35)</f>
        <v>2292052.1086549535</v>
      </c>
      <c r="H20" s="101">
        <f>-'Operating and Maintenance Costs'!C15</f>
        <v>-4949</v>
      </c>
      <c r="I20" s="101" t="str">
        <f>_xlfn.XLOOKUP($B20,'Capital Cost and RCV Calc'!$B$5:$B$36,'Capital Cost and RCV Calc'!$E$5:$E$36)</f>
        <v>N/A</v>
      </c>
      <c r="J20" s="111">
        <f>SUM(C20:E20,G20:I20)*(1+0.07)^-($B20-Assumptions!$D$4)+F20</f>
        <v>839830.89832307922</v>
      </c>
    </row>
    <row r="21" spans="2:13" ht="15" customHeight="1" x14ac:dyDescent="0.25">
      <c r="B21" s="2">
        <f t="shared" si="1"/>
        <v>2037</v>
      </c>
      <c r="C21" s="101">
        <f>_xlfn.XLOOKUP($B21,'Operation Benefits'!$B$6:$B$35,'Operation Benefits'!$F$6:$F$35)</f>
        <v>14539.889837037243</v>
      </c>
      <c r="D21" s="101">
        <f>_xlfn.XLOOKUP($B21,'Travel Time Savings '!$B$6:$B$35,'Travel Time Savings '!$D$6:$D$35)</f>
        <v>178140.02693069898</v>
      </c>
      <c r="E21" s="101">
        <f>_xlfn.XLOOKUP($B21,'Air Quality'!$B$5:$B$34,'Air Quality'!$M$5:$M$34)</f>
        <v>371.77664720482221</v>
      </c>
      <c r="F21" s="102">
        <f>_xlfn.XLOOKUP($B21,'Air Quality'!$B$5:$B$34,'Air Quality'!$E$5:$E$34)</f>
        <v>471.47161496272548</v>
      </c>
      <c r="G21" s="101">
        <f>_xlfn.XLOOKUP($B21,'Safety Benefits'!$B$6:$B$35,'Safety Benefits'!$E$6:$E$35)</f>
        <v>2313228.1143884212</v>
      </c>
      <c r="H21" s="101">
        <f>-'Operating and Maintenance Costs'!C16</f>
        <v>-4949</v>
      </c>
      <c r="I21" s="101" t="str">
        <f>_xlfn.XLOOKUP($B21,'Capital Cost and RCV Calc'!$B$5:$B$36,'Capital Cost and RCV Calc'!$E$5:$E$36)</f>
        <v>N/A</v>
      </c>
      <c r="J21" s="111">
        <f>SUM(C21:E21,G21:I21)*(1+0.07)^-($B21-Assumptions!$D$4)+F21</f>
        <v>792328.74744441232</v>
      </c>
    </row>
    <row r="22" spans="2:13" ht="15" customHeight="1" x14ac:dyDescent="0.25">
      <c r="B22" s="2">
        <f t="shared" si="1"/>
        <v>2038</v>
      </c>
      <c r="C22" s="101">
        <f>_xlfn.XLOOKUP($B22,'Operation Benefits'!$B$6:$B$35,'Operation Benefits'!$F$6:$F$35)</f>
        <v>15091.082728830534</v>
      </c>
      <c r="D22" s="101">
        <f>_xlfn.XLOOKUP($B22,'Travel Time Savings '!$B$6:$B$35,'Travel Time Savings '!$D$6:$D$35)</f>
        <v>179770.77584308691</v>
      </c>
      <c r="E22" s="101">
        <f>_xlfn.XLOOKUP($B22,'Air Quality'!$B$5:$B$34,'Air Quality'!$M$5:$M$34)</f>
        <v>385.87033344115457</v>
      </c>
      <c r="F22" s="102">
        <f>_xlfn.XLOOKUP($B22,'Air Quality'!$B$5:$B$34,'Air Quality'!$E$5:$E$34)</f>
        <v>481.87890957277847</v>
      </c>
      <c r="G22" s="101">
        <f>_xlfn.XLOOKUP($B22,'Safety Benefits'!$B$6:$B$35,'Safety Benefits'!$E$6:$E$35)</f>
        <v>2334404.1201218888</v>
      </c>
      <c r="H22" s="101">
        <f>-'Operating and Maintenance Costs'!C17</f>
        <v>-4949</v>
      </c>
      <c r="I22" s="101" t="str">
        <f>_xlfn.XLOOKUP($B22,'Capital Cost and RCV Calc'!$B$5:$B$36,'Capital Cost and RCV Calc'!$E$5:$E$36)</f>
        <v>N/A</v>
      </c>
      <c r="J22" s="111">
        <f>SUM(C22:E22,G22:I22)*(1+0.07)^-($B22-Assumptions!$D$4)+F22</f>
        <v>747450.35137107107</v>
      </c>
    </row>
    <row r="23" spans="2:13" ht="15" customHeight="1" x14ac:dyDescent="0.25">
      <c r="B23" s="2">
        <f t="shared" si="1"/>
        <v>2039</v>
      </c>
      <c r="C23" s="101">
        <f>_xlfn.XLOOKUP($B23,'Operation Benefits'!$B$6:$B$35,'Operation Benefits'!$F$6:$F$35)</f>
        <v>15642.275620624046</v>
      </c>
      <c r="D23" s="101">
        <f>_xlfn.XLOOKUP($B23,'Travel Time Savings '!$B$6:$B$35,'Travel Time Savings '!$D$6:$D$35)</f>
        <v>181401.52475547529</v>
      </c>
      <c r="E23" s="101">
        <f>_xlfn.XLOOKUP($B23,'Air Quality'!$B$5:$B$34,'Air Quality'!$M$5:$M$34)</f>
        <v>399.96401967749256</v>
      </c>
      <c r="F23" s="102">
        <f>_xlfn.XLOOKUP($B23,'Air Quality'!$B$5:$B$34,'Air Quality'!$E$5:$E$34)</f>
        <v>491.76133150282578</v>
      </c>
      <c r="G23" s="101">
        <f>_xlfn.XLOOKUP($B23,'Safety Benefits'!$B$6:$B$35,'Safety Benefits'!$E$6:$E$35)</f>
        <v>2355580.1258553565</v>
      </c>
      <c r="H23" s="101">
        <f>-'Operating and Maintenance Costs'!C18</f>
        <v>-4949</v>
      </c>
      <c r="I23" s="101" t="str">
        <f>_xlfn.XLOOKUP($B23,'Capital Cost and RCV Calc'!$B$5:$B$36,'Capital Cost and RCV Calc'!$E$5:$E$36)</f>
        <v>N/A</v>
      </c>
      <c r="J23" s="111">
        <f>SUM(C23:E23,G23:I23)*(1+0.07)^-($B23-Assumptions!$D$4)+F23</f>
        <v>705055.70162162138</v>
      </c>
    </row>
    <row r="24" spans="2:13" ht="15" customHeight="1" x14ac:dyDescent="0.25">
      <c r="B24" s="2">
        <f t="shared" si="1"/>
        <v>2040</v>
      </c>
      <c r="C24" s="101">
        <f>_xlfn.XLOOKUP($B24,'Operation Benefits'!$B$6:$B$35,'Operation Benefits'!$F$6:$F$35)</f>
        <v>16193.468512417563</v>
      </c>
      <c r="D24" s="101">
        <f>_xlfn.XLOOKUP($B24,'Travel Time Savings '!$B$6:$B$35,'Travel Time Savings '!$D$6:$D$35)</f>
        <v>183032.27366786366</v>
      </c>
      <c r="E24" s="101">
        <f>_xlfn.XLOOKUP($B24,'Air Quality'!$B$5:$B$34,'Air Quality'!$M$5:$M$34)</f>
        <v>414.05770591383066</v>
      </c>
      <c r="F24" s="102">
        <f>_xlfn.XLOOKUP($B24,'Air Quality'!$B$5:$B$34,'Air Quality'!$E$5:$E$34)</f>
        <v>501.12660724671082</v>
      </c>
      <c r="G24" s="101">
        <f>_xlfn.XLOOKUP($B24,'Safety Benefits'!$B$6:$B$35,'Safety Benefits'!$E$6:$E$35)</f>
        <v>2376756.1315888315</v>
      </c>
      <c r="H24" s="101">
        <f>-'Operating and Maintenance Costs'!C19</f>
        <v>-4949</v>
      </c>
      <c r="I24" s="101" t="str">
        <f>_xlfn.XLOOKUP($B24,'Capital Cost and RCV Calc'!$B$5:$B$36,'Capital Cost and RCV Calc'!$E$5:$E$36)</f>
        <v>N/A</v>
      </c>
      <c r="J24" s="111">
        <f>SUM(C24:E24,G24:I24)*(1+0.07)^-($B24-Assumptions!$D$4)+F24</f>
        <v>665011.87842780561</v>
      </c>
    </row>
    <row r="25" spans="2:13" ht="15" customHeight="1" x14ac:dyDescent="0.25">
      <c r="B25" s="2">
        <f t="shared" si="1"/>
        <v>2041</v>
      </c>
      <c r="C25" s="101">
        <f>_xlfn.XLOOKUP($B25,'Operation Benefits'!$B$6:$B$35,'Operation Benefits'!$F$6:$F$35)</f>
        <v>16744.661404210852</v>
      </c>
      <c r="D25" s="101">
        <f>_xlfn.XLOOKUP($B25,'Travel Time Savings '!$B$6:$B$35,'Travel Time Savings '!$D$6:$D$35)</f>
        <v>184663.02258025159</v>
      </c>
      <c r="E25" s="101">
        <f>_xlfn.XLOOKUP($B25,'Air Quality'!$B$5:$B$34,'Air Quality'!$M$5:$M$34)</f>
        <v>428.15139215016302</v>
      </c>
      <c r="F25" s="102">
        <f>_xlfn.XLOOKUP($B25,'Air Quality'!$B$5:$B$34,'Air Quality'!$E$5:$E$34)</f>
        <v>509.98286682139809</v>
      </c>
      <c r="G25" s="101">
        <f>_xlfn.XLOOKUP($B25,'Safety Benefits'!$B$6:$B$35,'Safety Benefits'!$E$6:$E$35)</f>
        <v>2397932.1373222992</v>
      </c>
      <c r="H25" s="101">
        <f>-'Operating and Maintenance Costs'!C20</f>
        <v>-4949</v>
      </c>
      <c r="I25" s="101" t="str">
        <f>_xlfn.XLOOKUP($B25,'Capital Cost and RCV Calc'!$B$5:$B$36,'Capital Cost and RCV Calc'!$E$5:$E$36)</f>
        <v>N/A</v>
      </c>
      <c r="J25" s="111">
        <f>SUM(C25:E25,G25:I25)*(1+0.07)^-($B25-Assumptions!$D$4)+F25</f>
        <v>627192.72249986813</v>
      </c>
    </row>
    <row r="26" spans="2:13" ht="15" customHeight="1" x14ac:dyDescent="0.25">
      <c r="B26" s="2">
        <f t="shared" si="1"/>
        <v>2042</v>
      </c>
      <c r="C26" s="101">
        <f>_xlfn.XLOOKUP($B26,'Operation Benefits'!$B$6:$B$35,'Operation Benefits'!$F$6:$F$35)</f>
        <v>17295.854296004367</v>
      </c>
      <c r="D26" s="101">
        <f>_xlfn.XLOOKUP($B26,'Travel Time Savings '!$B$6:$B$35,'Travel Time Savings '!$D$6:$D$35)</f>
        <v>186293.77149263996</v>
      </c>
      <c r="E26" s="101">
        <f>_xlfn.XLOOKUP($B26,'Air Quality'!$B$5:$B$34,'Air Quality'!$M$5:$M$34)</f>
        <v>442.24507838650095</v>
      </c>
      <c r="F26" s="102">
        <f>_xlfn.XLOOKUP($B26,'Air Quality'!$B$5:$B$34,'Air Quality'!$E$5:$E$34)</f>
        <v>518.33860181268255</v>
      </c>
      <c r="G26" s="101">
        <f>_xlfn.XLOOKUP($B26,'Safety Benefits'!$B$6:$B$35,'Safety Benefits'!$E$6:$E$35)</f>
        <v>2419108.1430557668</v>
      </c>
      <c r="H26" s="101">
        <f>-'Operating and Maintenance Costs'!C21</f>
        <v>-4949</v>
      </c>
      <c r="I26" s="101" t="str">
        <f>_xlfn.XLOOKUP($B26,'Capital Cost and RCV Calc'!$B$5:$B$36,'Capital Cost and RCV Calc'!$E$5:$E$36)</f>
        <v>N/A</v>
      </c>
      <c r="J26" s="111">
        <f>SUM(C26:E26,G26:I26)*(1+0.07)^-($B26-Assumptions!$D$4)+F26</f>
        <v>591478.51939852966</v>
      </c>
    </row>
    <row r="27" spans="2:13" ht="15" customHeight="1" x14ac:dyDescent="0.25">
      <c r="B27" s="2">
        <f t="shared" si="1"/>
        <v>2043</v>
      </c>
      <c r="C27" s="101">
        <f>_xlfn.XLOOKUP($B27,'Operation Benefits'!$B$6:$B$35,'Operation Benefits'!$F$6:$F$35)</f>
        <v>17847.047187797882</v>
      </c>
      <c r="D27" s="101">
        <f>_xlfn.XLOOKUP($B27,'Travel Time Savings '!$B$6:$B$35,'Travel Time Savings '!$D$6:$D$35)</f>
        <v>187924.52040502834</v>
      </c>
      <c r="E27" s="101">
        <f>_xlfn.XLOOKUP($B27,'Air Quality'!$B$5:$B$34,'Air Quality'!$M$5:$M$34)</f>
        <v>456.33876462283905</v>
      </c>
      <c r="F27" s="102">
        <f>_xlfn.XLOOKUP($B27,'Air Quality'!$B$5:$B$34,'Air Quality'!$E$5:$E$34)</f>
        <v>533.12634463029883</v>
      </c>
      <c r="G27" s="101">
        <f>_xlfn.XLOOKUP($B27,'Safety Benefits'!$B$6:$B$35,'Safety Benefits'!$E$6:$E$35)</f>
        <v>2440284.1487892345</v>
      </c>
      <c r="H27" s="101">
        <f>-'Operating and Maintenance Costs'!C22</f>
        <v>-4949</v>
      </c>
      <c r="I27" s="101" t="str">
        <f>_xlfn.XLOOKUP($B27,'Capital Cost and RCV Calc'!$B$5:$B$36,'Capital Cost and RCV Calc'!$E$5:$E$36)</f>
        <v>N/A</v>
      </c>
      <c r="J27" s="111">
        <f>SUM(C27:E27,G27:I27)*(1+0.07)^-($B27-Assumptions!$D$4)+F27</f>
        <v>557762.61998767976</v>
      </c>
    </row>
    <row r="28" spans="2:13" ht="15" customHeight="1" x14ac:dyDescent="0.25">
      <c r="B28" s="2">
        <f t="shared" si="1"/>
        <v>2044</v>
      </c>
      <c r="C28" s="101">
        <f>_xlfn.XLOOKUP($B28,'Operation Benefits'!$B$6:$B$35,'Operation Benefits'!$F$6:$F$35)</f>
        <v>18398.240079591178</v>
      </c>
      <c r="D28" s="101">
        <f>_xlfn.XLOOKUP($B28,'Travel Time Savings '!$B$6:$B$35,'Travel Time Savings '!$D$6:$D$35)</f>
        <v>189555.26931741627</v>
      </c>
      <c r="E28" s="101">
        <f>_xlfn.XLOOKUP($B28,'Air Quality'!$B$5:$B$34,'Air Quality'!$M$5:$M$34)</f>
        <v>470.43245085917135</v>
      </c>
      <c r="F28" s="102">
        <f>_xlfn.XLOOKUP($B28,'Air Quality'!$B$5:$B$34,'Air Quality'!$E$5:$E$34)</f>
        <v>540.51370035042885</v>
      </c>
      <c r="G28" s="101">
        <f>_xlfn.XLOOKUP($B28,'Safety Benefits'!$B$6:$B$35,'Safety Benefits'!$E$6:$E$35)</f>
        <v>2461460.1545227021</v>
      </c>
      <c r="H28" s="101">
        <f>-'Operating and Maintenance Costs'!C23</f>
        <v>-4949</v>
      </c>
      <c r="I28" s="101" t="str">
        <f>_xlfn.XLOOKUP($B28,'Capital Cost and RCV Calc'!$B$5:$B$36,'Capital Cost and RCV Calc'!$E$5:$E$36)</f>
        <v>N/A</v>
      </c>
      <c r="J28" s="111">
        <f>SUM(C28:E28,G28:I28)*(1+0.07)^-($B28-Assumptions!$D$4)+F28</f>
        <v>525923.46033272787</v>
      </c>
    </row>
    <row r="29" spans="2:13" ht="15" customHeight="1" x14ac:dyDescent="0.25">
      <c r="B29" s="2">
        <f t="shared" si="1"/>
        <v>2045</v>
      </c>
      <c r="C29" s="101">
        <f>_xlfn.XLOOKUP($B29,'Operation Benefits'!$B$6:$B$35,'Operation Benefits'!$F$6:$F$35)</f>
        <v>18949.432971384689</v>
      </c>
      <c r="D29" s="101">
        <f>_xlfn.XLOOKUP($B29,'Travel Time Savings '!$B$6:$B$35,'Travel Time Savings '!$D$6:$D$35)</f>
        <v>191186.01822980464</v>
      </c>
      <c r="E29" s="101">
        <f>_xlfn.XLOOKUP($B29,'Air Quality'!$B$5:$B$34,'Air Quality'!$M$5:$M$34)</f>
        <v>484.5261370955094</v>
      </c>
      <c r="F29" s="102">
        <f>_xlfn.XLOOKUP($B29,'Air Quality'!$B$5:$B$34,'Air Quality'!$E$5:$E$34)</f>
        <v>547.42157223888921</v>
      </c>
      <c r="G29" s="101">
        <f>_xlfn.XLOOKUP($B29,'Safety Benefits'!$B$6:$B$35,'Safety Benefits'!$E$6:$E$35)</f>
        <v>2482636.1602561697</v>
      </c>
      <c r="H29" s="101">
        <f>-'Operating and Maintenance Costs'!C24</f>
        <v>-4949</v>
      </c>
      <c r="I29" s="101" t="str">
        <f>_xlfn.XLOOKUP($B29,'Capital Cost and RCV Calc'!$B$5:$B$36,'Capital Cost and RCV Calc'!$E$5:$E$36)</f>
        <v>N/A</v>
      </c>
      <c r="J29" s="111">
        <f>SUM(C29:E29,G29:I29)*(1+0.07)^-($B29-Assumptions!$D$4)+F29</f>
        <v>495865.80060118326</v>
      </c>
    </row>
    <row r="30" spans="2:13" ht="15" customHeight="1" x14ac:dyDescent="0.25">
      <c r="B30" s="2">
        <f t="shared" si="1"/>
        <v>2046</v>
      </c>
      <c r="C30" s="101">
        <f>_xlfn.XLOOKUP($B30,'Operation Benefits'!$B$6:$B$35,'Operation Benefits'!$F$6:$F$35)</f>
        <v>19500.625863178204</v>
      </c>
      <c r="D30" s="101">
        <f>_xlfn.XLOOKUP($B30,'Travel Time Savings '!$B$6:$B$35,'Travel Time Savings '!$D$6:$D$35)</f>
        <v>192816.76714219301</v>
      </c>
      <c r="E30" s="101">
        <f>_xlfn.XLOOKUP($B30,'Air Quality'!$B$5:$B$34,'Air Quality'!$M$5:$M$34)</f>
        <v>498.61982333184744</v>
      </c>
      <c r="F30" s="102">
        <f>_xlfn.XLOOKUP($B30,'Air Quality'!$B$5:$B$34,'Air Quality'!$E$5:$E$34)</f>
        <v>553.8598831292536</v>
      </c>
      <c r="G30" s="101">
        <f>_xlfn.XLOOKUP($B30,'Safety Benefits'!$B$6:$B$35,'Safety Benefits'!$E$6:$E$35)</f>
        <v>2503812.1659896448</v>
      </c>
      <c r="H30" s="101">
        <f>-'Operating and Maintenance Costs'!C25</f>
        <v>-4949</v>
      </c>
      <c r="I30" s="101" t="str">
        <f>_xlfn.XLOOKUP($B30,'Capital Cost and RCV Calc'!$B$5:$B$36,'Capital Cost and RCV Calc'!$E$5:$E$36)</f>
        <v>N/A</v>
      </c>
      <c r="J30" s="111">
        <f>SUM(C30:E30,G30:I30)*(1+0.07)^-($B30-Assumptions!$D$4)+F30</f>
        <v>467492.79296860838</v>
      </c>
    </row>
    <row r="31" spans="2:13" ht="15" customHeight="1" x14ac:dyDescent="0.25">
      <c r="B31" s="2">
        <f t="shared" si="1"/>
        <v>2047</v>
      </c>
      <c r="C31" s="101">
        <f>_xlfn.XLOOKUP($B31,'Operation Benefits'!$B$6:$B$35,'Operation Benefits'!$F$6:$F$35)</f>
        <v>20051.818754971497</v>
      </c>
      <c r="D31" s="101">
        <f>_xlfn.XLOOKUP($B31,'Travel Time Savings '!$B$6:$B$35,'Travel Time Savings '!$D$6:$D$35)</f>
        <v>194447.51605458095</v>
      </c>
      <c r="E31" s="101">
        <f>_xlfn.XLOOKUP($B31,'Air Quality'!$B$5:$B$34,'Air Quality'!$M$5:$M$34)</f>
        <v>512.7135095681798</v>
      </c>
      <c r="F31" s="102">
        <f>_xlfn.XLOOKUP($B31,'Air Quality'!$B$5:$B$34,'Air Quality'!$E$5:$E$34)</f>
        <v>559.8387265691523</v>
      </c>
      <c r="G31" s="101">
        <f>_xlfn.XLOOKUP($B31,'Safety Benefits'!$B$6:$B$35,'Safety Benefits'!$E$6:$E$35)</f>
        <v>2524988.1717231125</v>
      </c>
      <c r="H31" s="101">
        <f>-'Operating and Maintenance Costs'!C26</f>
        <v>-4949</v>
      </c>
      <c r="I31" s="101" t="str">
        <f>_xlfn.XLOOKUP($B31,'Capital Cost and RCV Calc'!$B$5:$B$36,'Capital Cost and RCV Calc'!$E$5:$E$36)</f>
        <v>N/A</v>
      </c>
      <c r="J31" s="111">
        <f>SUM(C31:E31,G31:I31)*(1+0.07)^-($B31-Assumptions!$D$4)+F31</f>
        <v>440712.63615340053</v>
      </c>
    </row>
    <row r="32" spans="2:13" ht="15" customHeight="1" x14ac:dyDescent="0.25">
      <c r="B32" s="2">
        <f t="shared" si="1"/>
        <v>2048</v>
      </c>
      <c r="C32" s="101">
        <f>_xlfn.XLOOKUP($B32,'Operation Benefits'!$B$6:$B$35,'Operation Benefits'!$F$6:$F$35)</f>
        <v>20603.011646765011</v>
      </c>
      <c r="D32" s="101">
        <f>_xlfn.XLOOKUP($B32,'Travel Time Savings '!$B$6:$B$35,'Travel Time Savings '!$D$6:$D$35)</f>
        <v>196078.26496696932</v>
      </c>
      <c r="E32" s="101">
        <f>_xlfn.XLOOKUP($B32,'Air Quality'!$B$5:$B$34,'Air Quality'!$M$5:$M$34)</f>
        <v>526.80719580451785</v>
      </c>
      <c r="F32" s="102">
        <f>_xlfn.XLOOKUP($B32,'Air Quality'!$B$5:$B$34,'Air Quality'!$E$5:$E$34)</f>
        <v>565.36833849730965</v>
      </c>
      <c r="G32" s="101">
        <f>_xlfn.XLOOKUP($B32,'Safety Benefits'!$B$6:$B$35,'Safety Benefits'!$E$6:$E$35)</f>
        <v>2546164.1774565801</v>
      </c>
      <c r="H32" s="101">
        <f>-'Operating and Maintenance Costs'!C27</f>
        <v>-4949</v>
      </c>
      <c r="I32" s="101" t="str">
        <f>_xlfn.XLOOKUP($B32,'Capital Cost and RCV Calc'!$B$5:$B$36,'Capital Cost and RCV Calc'!$E$5:$E$36)</f>
        <v>N/A</v>
      </c>
      <c r="J32" s="111">
        <f>SUM(C32:E32,G32:I32)*(1+0.07)^-($B32-Assumptions!$D$4)+F32</f>
        <v>415438.32965209708</v>
      </c>
    </row>
    <row r="33" spans="1:13" ht="15" customHeight="1" x14ac:dyDescent="0.25">
      <c r="B33" s="2">
        <f t="shared" si="1"/>
        <v>2049</v>
      </c>
      <c r="C33" s="101">
        <f>_xlfn.XLOOKUP($B33,'Operation Benefits'!$B$6:$B$35,'Operation Benefits'!$F$6:$F$35)</f>
        <v>21154.204538558522</v>
      </c>
      <c r="D33" s="101">
        <f>_xlfn.XLOOKUP($B33,'Travel Time Savings '!$B$6:$B$35,'Travel Time Savings '!$D$6:$D$35)</f>
        <v>197709.01387935769</v>
      </c>
      <c r="E33" s="101">
        <f>_xlfn.XLOOKUP($B33,'Air Quality'!$B$5:$B$34,'Air Quality'!$M$5:$M$34)</f>
        <v>540.90088204085578</v>
      </c>
      <c r="F33" s="102">
        <f>_xlfn.XLOOKUP($B33,'Air Quality'!$B$5:$B$34,'Air Quality'!$E$5:$E$34)</f>
        <v>570.45907071569923</v>
      </c>
      <c r="G33" s="101">
        <f>_xlfn.XLOOKUP($B33,'Safety Benefits'!$B$6:$B$35,'Safety Benefits'!$E$6:$E$35)</f>
        <v>2567340.1831900477</v>
      </c>
      <c r="H33" s="101">
        <f>-'Operating and Maintenance Costs'!C28</f>
        <v>-4949</v>
      </c>
      <c r="I33" s="101" t="str">
        <f>_xlfn.XLOOKUP($B33,'Capital Cost and RCV Calc'!$B$5:$B$36,'Capital Cost and RCV Calc'!$E$5:$E$36)</f>
        <v>N/A</v>
      </c>
      <c r="J33" s="111">
        <f>SUM(C33:E33,G33:I33)*(1+0.07)^-($B33-Assumptions!$D$4)+F33</f>
        <v>391587.43853116821</v>
      </c>
    </row>
    <row r="34" spans="1:13" ht="15" customHeight="1" x14ac:dyDescent="0.25">
      <c r="B34" s="2">
        <f t="shared" si="1"/>
        <v>2050</v>
      </c>
      <c r="C34" s="101">
        <f>_xlfn.XLOOKUP($B34,'Operation Benefits'!$B$6:$B$35,'Operation Benefits'!$F$6:$F$35)</f>
        <v>21705.397430351819</v>
      </c>
      <c r="D34" s="101">
        <f>_xlfn.XLOOKUP($B34,'Travel Time Savings '!$B$6:$B$35,'Travel Time Savings '!$D$6:$D$35)</f>
        <v>199339.76279174563</v>
      </c>
      <c r="E34" s="101">
        <f>_xlfn.XLOOKUP($B34,'Air Quality'!$B$5:$B$34,'Air Quality'!$M$5:$M$34)</f>
        <v>554.99456827718836</v>
      </c>
      <c r="F34" s="102">
        <f>_xlfn.XLOOKUP($B34,'Air Quality'!$B$5:$B$34,'Air Quality'!$E$5:$E$34)</f>
        <v>581.96804899731387</v>
      </c>
      <c r="G34" s="101">
        <f>_xlfn.XLOOKUP($B34,'Safety Benefits'!$B$6:$B$35,'Safety Benefits'!$E$6:$E$35)</f>
        <v>2588516.1889235154</v>
      </c>
      <c r="H34" s="101">
        <f>-'Operating and Maintenance Costs'!C29</f>
        <v>-4949</v>
      </c>
      <c r="I34" s="101" t="str">
        <f>_xlfn.XLOOKUP($B34,'Capital Cost and RCV Calc'!$B$5:$B$36,'Capital Cost and RCV Calc'!$E$5:$E$36)</f>
        <v>N/A</v>
      </c>
      <c r="J34" s="111">
        <f>SUM(C34:E34,G34:I34)*(1+0.07)^-($B34-Assumptions!$D$4)+F34</f>
        <v>369088.71512888942</v>
      </c>
    </row>
    <row r="35" spans="1:13" ht="15" customHeight="1" x14ac:dyDescent="0.25">
      <c r="B35" s="2">
        <f t="shared" si="1"/>
        <v>2051</v>
      </c>
      <c r="C35" s="101">
        <f>_xlfn.XLOOKUP($B35,'Operation Benefits'!$B$6:$B$35,'Operation Benefits'!$F$6:$F$35)</f>
        <v>22256.59032214533</v>
      </c>
      <c r="D35" s="101">
        <f>_xlfn.XLOOKUP($B35,'Travel Time Savings '!$B$6:$B$35,'Travel Time Savings '!$D$6:$D$35)</f>
        <v>200970.511704134</v>
      </c>
      <c r="E35" s="101">
        <f>_xlfn.XLOOKUP($B35,'Air Quality'!$B$5:$B$34,'Air Quality'!$M$5:$M$34)</f>
        <v>562.48842619280435</v>
      </c>
      <c r="F35" s="102">
        <f>_xlfn.XLOOKUP($B35,'Air Quality'!$B$5:$B$34,'Air Quality'!$E$5:$E$34)</f>
        <v>572.54966776534434</v>
      </c>
      <c r="G35" s="101">
        <f>_xlfn.XLOOKUP($B35,'Safety Benefits'!$B$6:$B$35,'Safety Benefits'!$E$6:$E$35)</f>
        <v>2609692.1946569905</v>
      </c>
      <c r="H35" s="101">
        <f>-'Operating and Maintenance Costs'!C30</f>
        <v>-4949</v>
      </c>
      <c r="I35" s="101" t="str">
        <f>_xlfn.XLOOKUP($B35,'Capital Cost and RCV Calc'!$B$5:$B$36,'Capital Cost and RCV Calc'!$E$5:$E$36)</f>
        <v>N/A</v>
      </c>
      <c r="J35" s="111">
        <f>SUM(C35:E35,G35:I35)*(1+0.07)^-($B35-Assumptions!$D$4)+F35</f>
        <v>347840.02420708578</v>
      </c>
    </row>
    <row r="36" spans="1:13" ht="15" customHeight="1" x14ac:dyDescent="0.25">
      <c r="B36" s="2">
        <f t="shared" si="1"/>
        <v>2052</v>
      </c>
      <c r="C36" s="101">
        <f>_xlfn.XLOOKUP($B36,'Operation Benefits'!$B$6:$B$35,'Operation Benefits'!$F$6:$F$35)</f>
        <v>22807.783213938845</v>
      </c>
      <c r="D36" s="101">
        <f>_xlfn.XLOOKUP($B36,'Travel Time Savings '!$B$6:$B$35,'Travel Time Savings '!$D$6:$D$35)</f>
        <v>202601.26061652237</v>
      </c>
      <c r="E36" s="101">
        <f>_xlfn.XLOOKUP($B36,'Air Quality'!$B$5:$B$34,'Air Quality'!$M$5:$M$34)</f>
        <v>576.41866518026984</v>
      </c>
      <c r="F36" s="102">
        <f>_xlfn.XLOOKUP($B36,'Air Quality'!$B$5:$B$34,'Air Quality'!$E$5:$E$34)</f>
        <v>569.63988078864736</v>
      </c>
      <c r="G36" s="101">
        <f>_xlfn.XLOOKUP($B36,'Safety Benefits'!$B$6:$B$35,'Safety Benefits'!$E$6:$E$35)</f>
        <v>2630868.2003904581</v>
      </c>
      <c r="H36" s="101">
        <f>-'Operating and Maintenance Costs'!C31</f>
        <v>-4949</v>
      </c>
      <c r="I36" s="101" t="str">
        <f>_xlfn.XLOOKUP($B36,'Capital Cost and RCV Calc'!$B$5:$B$36,'Capital Cost and RCV Calc'!$E$5:$E$36)</f>
        <v>N/A</v>
      </c>
      <c r="J36" s="111">
        <f>SUM(C36:E36,G36:I36)*(1+0.07)^-($B36-Assumptions!$D$4)+F36</f>
        <v>327800.39711991791</v>
      </c>
    </row>
    <row r="37" spans="1:13" ht="15" customHeight="1" x14ac:dyDescent="0.25">
      <c r="B37" s="2">
        <f t="shared" si="1"/>
        <v>2053</v>
      </c>
      <c r="C37" s="101">
        <f>_xlfn.XLOOKUP($B37,'Operation Benefits'!$B$6:$B$35,'Operation Benefits'!$F$6:$F$35)</f>
        <v>23358.976105732138</v>
      </c>
      <c r="D37" s="101">
        <f>_xlfn.XLOOKUP($B37,'Travel Time Savings '!$B$6:$B$35,'Travel Time Savings '!$D$6:$D$35)</f>
        <v>204232.00952891033</v>
      </c>
      <c r="E37" s="101">
        <f>_xlfn.XLOOKUP($B37,'Air Quality'!$B$5:$B$34,'Air Quality'!$M$5:$M$34)</f>
        <v>590.34890416772964</v>
      </c>
      <c r="F37" s="102">
        <f>_xlfn.XLOOKUP($B37,'Air Quality'!$B$5:$B$34,'Air Quality'!$E$5:$E$34)</f>
        <v>566.41388128877679</v>
      </c>
      <c r="G37" s="101">
        <f>_xlfn.XLOOKUP($B37,'Safety Benefits'!$B$6:$B$35,'Safety Benefits'!$E$6:$E$35)</f>
        <v>2652044.2061239257</v>
      </c>
      <c r="H37" s="101">
        <f>-'Operating and Maintenance Costs'!C32</f>
        <v>-4949</v>
      </c>
      <c r="I37" s="101" t="str">
        <f>_xlfn.XLOOKUP($B37,'Capital Cost and RCV Calc'!$B$5:$B$36,'Capital Cost and RCV Calc'!$E$5:$E$36)</f>
        <v>N/A</v>
      </c>
      <c r="J37" s="111">
        <f>SUM(C37:E37,G37:I37)*(1+0.07)^-($B37-Assumptions!$D$4)+F37</f>
        <v>308895.8277623406</v>
      </c>
    </row>
    <row r="38" spans="1:13" ht="15" customHeight="1" x14ac:dyDescent="0.25">
      <c r="B38" s="2">
        <f t="shared" si="1"/>
        <v>2054</v>
      </c>
      <c r="C38" s="101">
        <f>_xlfn.XLOOKUP($B38,'Operation Benefits'!$B$6:$B$35,'Operation Benefits'!$F$6:$F$35)</f>
        <v>23910.168997525652</v>
      </c>
      <c r="D38" s="101">
        <f>_xlfn.XLOOKUP($B38,'Travel Time Savings '!$B$6:$B$35,'Travel Time Savings '!$D$6:$D$35)</f>
        <v>205862.75844129871</v>
      </c>
      <c r="E38" s="101">
        <f>_xlfn.XLOOKUP($B38,'Air Quality'!$B$5:$B$34,'Air Quality'!$M$5:$M$34)</f>
        <v>604.27914315519502</v>
      </c>
      <c r="F38" s="102">
        <f>_xlfn.XLOOKUP($B38,'Air Quality'!$B$5:$B$34,'Air Quality'!$E$5:$E$34)</f>
        <v>562.89255789069512</v>
      </c>
      <c r="G38" s="101">
        <f>_xlfn.XLOOKUP($B38,'Safety Benefits'!$B$6:$B$35,'Safety Benefits'!$E$6:$E$35)</f>
        <v>2673220.2118573934</v>
      </c>
      <c r="H38" s="101">
        <f>-'Operating and Maintenance Costs'!C33</f>
        <v>-4949</v>
      </c>
      <c r="I38" s="101" t="str">
        <f>_xlfn.XLOOKUP($B38,'Capital Cost and RCV Calc'!$B$5:$B$36,'Capital Cost and RCV Calc'!$E$5:$E$36)</f>
        <v>N/A</v>
      </c>
      <c r="J38" s="111">
        <f>SUM(C38:E38,G38:I38)*(1+0.07)^-($B38-Assumptions!$D$4)+F38</f>
        <v>291063.53756297549</v>
      </c>
    </row>
    <row r="39" spans="1:13" ht="15" customHeight="1" thickBot="1" x14ac:dyDescent="0.3">
      <c r="B39" s="3">
        <f t="shared" si="1"/>
        <v>2055</v>
      </c>
      <c r="C39" s="103">
        <f>_xlfn.XLOOKUP($B39,'Operation Benefits'!$B$6:$B$35,'Operation Benefits'!$F$6:$F$35)</f>
        <v>24461.361889319163</v>
      </c>
      <c r="D39" s="103">
        <f>_xlfn.XLOOKUP($B39,'Travel Time Savings '!$B$6:$B$35,'Travel Time Savings '!$D$6:$D$35)</f>
        <v>207493.50735368708</v>
      </c>
      <c r="E39" s="103">
        <f>_xlfn.XLOOKUP($B39,'Air Quality'!$B$5:$B$34,'Air Quality'!$M$5:$M$34)</f>
        <v>618.20938214266039</v>
      </c>
      <c r="F39" s="127">
        <f>_xlfn.XLOOKUP($B39,'Air Quality'!$B$5:$B$34,'Air Quality'!$E$5:$E$34)</f>
        <v>559.09585066081161</v>
      </c>
      <c r="G39" s="103">
        <f>_xlfn.XLOOKUP($B39,'Safety Benefits'!$B$6:$B$35,'Safety Benefits'!$E$6:$E$35)</f>
        <v>2694396.217590861</v>
      </c>
      <c r="H39" s="103">
        <f>-'Operating and Maintenance Costs'!C34</f>
        <v>-4949</v>
      </c>
      <c r="I39" s="103">
        <f>_xlfn.XLOOKUP($B39,'Capital Cost and RCV Calc'!$B$5:$B$36,'Capital Cost and RCV Calc'!$E$5:$E$36)</f>
        <v>6030704.375</v>
      </c>
      <c r="J39" s="140">
        <f>SUM(C39:E39,G39:I39)*(1+0.07)^-($B39-Assumptions!$D$4)+F39</f>
        <v>839097.60034449724</v>
      </c>
      <c r="L39" s="112"/>
    </row>
    <row r="40" spans="1:13" ht="15" customHeight="1" x14ac:dyDescent="0.25">
      <c r="B40" s="21"/>
      <c r="C40" s="22"/>
      <c r="E40" s="75"/>
      <c r="F40" s="75"/>
      <c r="G40" s="75"/>
      <c r="H40" s="75"/>
      <c r="I40" s="75" t="s">
        <v>2</v>
      </c>
      <c r="J40" s="6">
        <f>SUM(J7:J39)</f>
        <v>22451063.970413975</v>
      </c>
      <c r="K40" s="174">
        <f>'Travel Time Savings '!E36+'Operation Benefits'!G36+'Safety Benefits'!F36+'Air Quality'!P35-'Operating and Maintenance Costs'!D35+'Capital Cost and RCV Calc'!F37</f>
        <v>22451063.970413979</v>
      </c>
    </row>
    <row r="41" spans="1:13" ht="15" customHeight="1" x14ac:dyDescent="0.25">
      <c r="B41" s="21"/>
      <c r="C41" s="22"/>
      <c r="L41" s="199"/>
      <c r="M41" s="12"/>
    </row>
    <row r="42" spans="1:13" ht="15" customHeight="1" thickBot="1" x14ac:dyDescent="0.3">
      <c r="B42" s="415" t="s">
        <v>8</v>
      </c>
      <c r="C42" s="22"/>
      <c r="D42" s="6"/>
      <c r="E42" s="6"/>
      <c r="F42" s="6"/>
      <c r="G42" s="6"/>
      <c r="H42" s="24"/>
      <c r="I42" s="25"/>
      <c r="J42" s="25"/>
    </row>
    <row r="43" spans="1:13" x14ac:dyDescent="0.25">
      <c r="B43" s="270" t="s">
        <v>0</v>
      </c>
      <c r="C43" s="272" t="s">
        <v>77</v>
      </c>
      <c r="D43" s="274" t="s">
        <v>60</v>
      </c>
    </row>
    <row r="44" spans="1:13" ht="15" customHeight="1" thickBot="1" x14ac:dyDescent="0.3">
      <c r="B44" s="271"/>
      <c r="C44" s="273"/>
      <c r="D44" s="275"/>
    </row>
    <row r="45" spans="1:13" x14ac:dyDescent="0.25">
      <c r="A45" s="13"/>
      <c r="B45" s="90">
        <f>Assumptions!D5</f>
        <v>2024</v>
      </c>
      <c r="C45" s="113">
        <f>_xlfn.XLOOKUP($B45,'Capital Cost and RCV Calc'!$B$5:$B$36,'Capital Cost and RCV Calc'!$C$5:$C$36)</f>
        <v>4824563.5</v>
      </c>
      <c r="D45" s="113">
        <f>C45*(1+0.07)^-($B45-Assumptions!$D$4)</f>
        <v>3680636.3943692502</v>
      </c>
    </row>
    <row r="46" spans="1:13" ht="15.75" thickBot="1" x14ac:dyDescent="0.3">
      <c r="B46" s="82">
        <f>+B45+1</f>
        <v>2025</v>
      </c>
      <c r="C46" s="115">
        <f>_xlfn.XLOOKUP($B46,'Capital Cost and RCV Calc'!$B$5:$B$36,'Capital Cost and RCV Calc'!$C$5:$C$36)</f>
        <v>4824563.5</v>
      </c>
      <c r="D46" s="115">
        <f>C46*(1+0.07)^-($B46-Assumptions!$D$4)</f>
        <v>3439847.0975413555</v>
      </c>
    </row>
    <row r="47" spans="1:13" hidden="1" x14ac:dyDescent="0.25">
      <c r="B47" s="264">
        <f>+B46+1</f>
        <v>2026</v>
      </c>
      <c r="C47" s="118">
        <f>_xlfn.XLOOKUP($B47,'Capital Cost and RCV Calc'!$B$5:$B$36,'Capital Cost and RCV Calc'!$C$5:$C$36)</f>
        <v>0</v>
      </c>
      <c r="D47" s="118">
        <f>C47*(1+0.07)^-($B47-Assumptions!$D$4)</f>
        <v>0</v>
      </c>
    </row>
    <row r="48" spans="1:13" hidden="1" x14ac:dyDescent="0.25">
      <c r="B48" s="81">
        <f t="shared" ref="B48:B76" si="2">+B47+1</f>
        <v>2027</v>
      </c>
      <c r="C48" s="114">
        <f>_xlfn.XLOOKUP($B48,'Capital Cost and RCV Calc'!$B$5:$B$36,'Capital Cost and RCV Calc'!$C$5:$C$36)</f>
        <v>0</v>
      </c>
      <c r="D48" s="114">
        <f>C48*(1+0.07)^-($B48-Assumptions!$D$4)</f>
        <v>0</v>
      </c>
    </row>
    <row r="49" spans="1:4" hidden="1" x14ac:dyDescent="0.25">
      <c r="B49" s="81">
        <f t="shared" si="2"/>
        <v>2028</v>
      </c>
      <c r="C49" s="114">
        <f>_xlfn.XLOOKUP($B49,'Capital Cost and RCV Calc'!$B$5:$B$36,'Capital Cost and RCV Calc'!$C$5:$C$36)</f>
        <v>0</v>
      </c>
      <c r="D49" s="114">
        <f>C49*(1+0.07)^-($B49-Assumptions!$D$4)</f>
        <v>0</v>
      </c>
    </row>
    <row r="50" spans="1:4" hidden="1" x14ac:dyDescent="0.25">
      <c r="B50" s="81">
        <f t="shared" si="2"/>
        <v>2029</v>
      </c>
      <c r="C50" s="114">
        <f>_xlfn.XLOOKUP($B50,'Capital Cost and RCV Calc'!$B$5:$B$36,'Capital Cost and RCV Calc'!$C$5:$C$36)</f>
        <v>0</v>
      </c>
      <c r="D50" s="114">
        <f>C50*(1+0.07)^-($B50-Assumptions!$D$4)</f>
        <v>0</v>
      </c>
    </row>
    <row r="51" spans="1:4" hidden="1" x14ac:dyDescent="0.25">
      <c r="B51" s="81">
        <f t="shared" si="2"/>
        <v>2030</v>
      </c>
      <c r="C51" s="114">
        <f>_xlfn.XLOOKUP($B51,'Capital Cost and RCV Calc'!$B$5:$B$36,'Capital Cost and RCV Calc'!$C$5:$C$36)</f>
        <v>0</v>
      </c>
      <c r="D51" s="114">
        <f>C51*(1+0.07)^-($B51-Assumptions!$D$4)</f>
        <v>0</v>
      </c>
    </row>
    <row r="52" spans="1:4" hidden="1" x14ac:dyDescent="0.25">
      <c r="B52" s="81">
        <f t="shared" si="2"/>
        <v>2031</v>
      </c>
      <c r="C52" s="114">
        <f>_xlfn.XLOOKUP($B52,'Capital Cost and RCV Calc'!$B$5:$B$36,'Capital Cost and RCV Calc'!$C$5:$C$36)</f>
        <v>0</v>
      </c>
      <c r="D52" s="114">
        <f>C52*(1+0.07)^-($B52-Assumptions!$D$4)</f>
        <v>0</v>
      </c>
    </row>
    <row r="53" spans="1:4" hidden="1" x14ac:dyDescent="0.25">
      <c r="B53" s="81">
        <f t="shared" si="2"/>
        <v>2032</v>
      </c>
      <c r="C53" s="114">
        <f>_xlfn.XLOOKUP($B53,'Capital Cost and RCV Calc'!$B$5:$B$36,'Capital Cost and RCV Calc'!$C$5:$C$36)</f>
        <v>0</v>
      </c>
      <c r="D53" s="114">
        <f>C53*(1+0.07)^-($B53-Assumptions!$D$4)</f>
        <v>0</v>
      </c>
    </row>
    <row r="54" spans="1:4" hidden="1" x14ac:dyDescent="0.25">
      <c r="B54" s="81">
        <f t="shared" si="2"/>
        <v>2033</v>
      </c>
      <c r="C54" s="114">
        <f>_xlfn.XLOOKUP($B54,'Capital Cost and RCV Calc'!$B$5:$B$36,'Capital Cost and RCV Calc'!$C$5:$C$36)</f>
        <v>0</v>
      </c>
      <c r="D54" s="114">
        <f>C54*(1+0.07)^-($B54-Assumptions!$D$4)</f>
        <v>0</v>
      </c>
    </row>
    <row r="55" spans="1:4" hidden="1" x14ac:dyDescent="0.25">
      <c r="B55" s="81">
        <f t="shared" si="2"/>
        <v>2034</v>
      </c>
      <c r="C55" s="114">
        <f>_xlfn.XLOOKUP($B55,'Capital Cost and RCV Calc'!$B$5:$B$36,'Capital Cost and RCV Calc'!$C$5:$C$36)</f>
        <v>0</v>
      </c>
      <c r="D55" s="114">
        <f>C55*(1+0.07)^-($B55-Assumptions!$D$4)</f>
        <v>0</v>
      </c>
    </row>
    <row r="56" spans="1:4" hidden="1" x14ac:dyDescent="0.25">
      <c r="B56" s="81">
        <f t="shared" si="2"/>
        <v>2035</v>
      </c>
      <c r="C56" s="114">
        <f>_xlfn.XLOOKUP($B56,'Capital Cost and RCV Calc'!$B$5:$B$36,'Capital Cost and RCV Calc'!$C$5:$C$36)</f>
        <v>0</v>
      </c>
      <c r="D56" s="114">
        <f>C56*(1+0.07)^-($B56-Assumptions!$D$4)</f>
        <v>0</v>
      </c>
    </row>
    <row r="57" spans="1:4" hidden="1" x14ac:dyDescent="0.25">
      <c r="B57" s="81">
        <f t="shared" si="2"/>
        <v>2036</v>
      </c>
      <c r="C57" s="114">
        <f>_xlfn.XLOOKUP($B57,'Capital Cost and RCV Calc'!$B$5:$B$36,'Capital Cost and RCV Calc'!$C$5:$C$36)</f>
        <v>0</v>
      </c>
      <c r="D57" s="114">
        <f>C57*(1+0.07)^-($B57-Assumptions!$D$4)</f>
        <v>0</v>
      </c>
    </row>
    <row r="58" spans="1:4" hidden="1" x14ac:dyDescent="0.25">
      <c r="B58" s="81">
        <f t="shared" si="2"/>
        <v>2037</v>
      </c>
      <c r="C58" s="114">
        <f>_xlfn.XLOOKUP($B58,'Capital Cost and RCV Calc'!$B$5:$B$36,'Capital Cost and RCV Calc'!$C$5:$C$36)</f>
        <v>0</v>
      </c>
      <c r="D58" s="114">
        <f>C58*(1+0.07)^-($B58-Assumptions!$D$4)</f>
        <v>0</v>
      </c>
    </row>
    <row r="59" spans="1:4" hidden="1" x14ac:dyDescent="0.25">
      <c r="B59" s="81">
        <f t="shared" si="2"/>
        <v>2038</v>
      </c>
      <c r="C59" s="114">
        <f>_xlfn.XLOOKUP($B59,'Capital Cost and RCV Calc'!$B$5:$B$36,'Capital Cost and RCV Calc'!$C$5:$C$36)</f>
        <v>0</v>
      </c>
      <c r="D59" s="114">
        <f>C59*(1+0.07)^-($B59-Assumptions!$D$4)</f>
        <v>0</v>
      </c>
    </row>
    <row r="60" spans="1:4" hidden="1" x14ac:dyDescent="0.25">
      <c r="A60" s="13"/>
      <c r="B60" s="81">
        <f t="shared" si="2"/>
        <v>2039</v>
      </c>
      <c r="C60" s="114">
        <f>_xlfn.XLOOKUP($B60,'Capital Cost and RCV Calc'!$B$5:$B$36,'Capital Cost and RCV Calc'!$C$5:$C$36)</f>
        <v>0</v>
      </c>
      <c r="D60" s="114">
        <f>C60*(1+0.07)^-($B60-Assumptions!$D$4)</f>
        <v>0</v>
      </c>
    </row>
    <row r="61" spans="1:4" hidden="1" x14ac:dyDescent="0.25">
      <c r="B61" s="81">
        <f t="shared" si="2"/>
        <v>2040</v>
      </c>
      <c r="C61" s="114">
        <f>_xlfn.XLOOKUP($B61,'Capital Cost and RCV Calc'!$B$5:$B$36,'Capital Cost and RCV Calc'!$C$5:$C$36)</f>
        <v>0</v>
      </c>
      <c r="D61" s="114">
        <f>C61*(1+0.07)^-($B61-Assumptions!$D$4)</f>
        <v>0</v>
      </c>
    </row>
    <row r="62" spans="1:4" hidden="1" x14ac:dyDescent="0.25">
      <c r="B62" s="81">
        <f t="shared" si="2"/>
        <v>2041</v>
      </c>
      <c r="C62" s="114">
        <f>_xlfn.XLOOKUP($B62,'Capital Cost and RCV Calc'!$B$5:$B$36,'Capital Cost and RCV Calc'!$C$5:$C$36)</f>
        <v>0</v>
      </c>
      <c r="D62" s="114">
        <f>C62*(1+0.07)^-($B62-Assumptions!$D$4)</f>
        <v>0</v>
      </c>
    </row>
    <row r="63" spans="1:4" hidden="1" x14ac:dyDescent="0.25">
      <c r="B63" s="81">
        <f t="shared" si="2"/>
        <v>2042</v>
      </c>
      <c r="C63" s="114">
        <f>_xlfn.XLOOKUP($B63,'Capital Cost and RCV Calc'!$B$5:$B$36,'Capital Cost and RCV Calc'!$C$5:$C$36)</f>
        <v>0</v>
      </c>
      <c r="D63" s="114">
        <f>C63*(1+0.07)^-($B63-Assumptions!$D$4)</f>
        <v>0</v>
      </c>
    </row>
    <row r="64" spans="1:4" hidden="1" x14ac:dyDescent="0.25">
      <c r="B64" s="81">
        <f t="shared" si="2"/>
        <v>2043</v>
      </c>
      <c r="C64" s="114">
        <f>_xlfn.XLOOKUP($B64,'Capital Cost and RCV Calc'!$B$5:$B$36,'Capital Cost and RCV Calc'!$C$5:$C$36)</f>
        <v>0</v>
      </c>
      <c r="D64" s="114">
        <f>C64*(1+0.07)^-($B64-Assumptions!$D$4)</f>
        <v>0</v>
      </c>
    </row>
    <row r="65" spans="2:16" hidden="1" x14ac:dyDescent="0.25">
      <c r="B65" s="81">
        <f t="shared" si="2"/>
        <v>2044</v>
      </c>
      <c r="C65" s="114">
        <f>_xlfn.XLOOKUP($B65,'Capital Cost and RCV Calc'!$B$5:$B$36,'Capital Cost and RCV Calc'!$C$5:$C$36)</f>
        <v>0</v>
      </c>
      <c r="D65" s="114">
        <f>C65*(1+0.07)^-($B65-Assumptions!$D$4)</f>
        <v>0</v>
      </c>
    </row>
    <row r="66" spans="2:16" hidden="1" x14ac:dyDescent="0.25">
      <c r="B66" s="81">
        <f t="shared" si="2"/>
        <v>2045</v>
      </c>
      <c r="C66" s="114">
        <f>_xlfn.XLOOKUP($B66,'Capital Cost and RCV Calc'!$B$5:$B$36,'Capital Cost and RCV Calc'!$C$5:$C$36)</f>
        <v>0</v>
      </c>
      <c r="D66" s="114">
        <f>C66*(1+0.07)^-($B66-Assumptions!$D$4)</f>
        <v>0</v>
      </c>
    </row>
    <row r="67" spans="2:16" hidden="1" x14ac:dyDescent="0.25">
      <c r="B67" s="81">
        <f t="shared" si="2"/>
        <v>2046</v>
      </c>
      <c r="C67" s="114">
        <f>_xlfn.XLOOKUP($B67,'Capital Cost and RCV Calc'!$B$5:$B$36,'Capital Cost and RCV Calc'!$C$5:$C$36)</f>
        <v>0</v>
      </c>
      <c r="D67" s="114">
        <f>C67*(1+0.07)^-($B67-Assumptions!$D$4)</f>
        <v>0</v>
      </c>
    </row>
    <row r="68" spans="2:16" hidden="1" x14ac:dyDescent="0.25">
      <c r="B68" s="81">
        <f t="shared" si="2"/>
        <v>2047</v>
      </c>
      <c r="C68" s="114">
        <f>_xlfn.XLOOKUP($B68,'Capital Cost and RCV Calc'!$B$5:$B$36,'Capital Cost and RCV Calc'!$C$5:$C$36)</f>
        <v>0</v>
      </c>
      <c r="D68" s="114">
        <f>C68*(1+0.07)^-($B68-Assumptions!$D$4)</f>
        <v>0</v>
      </c>
    </row>
    <row r="69" spans="2:16" hidden="1" x14ac:dyDescent="0.25">
      <c r="B69" s="81">
        <f t="shared" si="2"/>
        <v>2048</v>
      </c>
      <c r="C69" s="114">
        <f>_xlfn.XLOOKUP($B69,'Capital Cost and RCV Calc'!$B$5:$B$36,'Capital Cost and RCV Calc'!$C$5:$C$36)</f>
        <v>0</v>
      </c>
      <c r="D69" s="114">
        <f>C69*(1+0.07)^-($B69-Assumptions!$D$4)</f>
        <v>0</v>
      </c>
    </row>
    <row r="70" spans="2:16" hidden="1" x14ac:dyDescent="0.25">
      <c r="B70" s="81">
        <f t="shared" si="2"/>
        <v>2049</v>
      </c>
      <c r="C70" s="114">
        <f>_xlfn.XLOOKUP($B70,'Capital Cost and RCV Calc'!$B$5:$B$36,'Capital Cost and RCV Calc'!$C$5:$C$36)</f>
        <v>0</v>
      </c>
      <c r="D70" s="114">
        <f>C70*(1+0.07)^-($B70-Assumptions!$D$4)</f>
        <v>0</v>
      </c>
    </row>
    <row r="71" spans="2:16" hidden="1" x14ac:dyDescent="0.25">
      <c r="B71" s="81">
        <f t="shared" si="2"/>
        <v>2050</v>
      </c>
      <c r="C71" s="114">
        <f>_xlfn.XLOOKUP($B71,'Capital Cost and RCV Calc'!$B$5:$B$36,'Capital Cost and RCV Calc'!$C$5:$C$36)</f>
        <v>0</v>
      </c>
      <c r="D71" s="114">
        <f>C71*(1+0.07)^-($B71-Assumptions!$D$4)</f>
        <v>0</v>
      </c>
    </row>
    <row r="72" spans="2:16" hidden="1" x14ac:dyDescent="0.25">
      <c r="B72" s="81">
        <f t="shared" si="2"/>
        <v>2051</v>
      </c>
      <c r="C72" s="114">
        <f>_xlfn.XLOOKUP($B72,'Capital Cost and RCV Calc'!$B$5:$B$36,'Capital Cost and RCV Calc'!$C$5:$C$36)</f>
        <v>0</v>
      </c>
      <c r="D72" s="114">
        <f>C72*(1+0.07)^-($B72-Assumptions!$D$4)</f>
        <v>0</v>
      </c>
    </row>
    <row r="73" spans="2:16" hidden="1" x14ac:dyDescent="0.25">
      <c r="B73" s="81">
        <f t="shared" si="2"/>
        <v>2052</v>
      </c>
      <c r="C73" s="114">
        <f>_xlfn.XLOOKUP($B73,'Capital Cost and RCV Calc'!$B$5:$B$36,'Capital Cost and RCV Calc'!$C$5:$C$36)</f>
        <v>0</v>
      </c>
      <c r="D73" s="114">
        <f>C73*(1+0.07)^-($B73-Assumptions!$D$4)</f>
        <v>0</v>
      </c>
    </row>
    <row r="74" spans="2:16" hidden="1" x14ac:dyDescent="0.25">
      <c r="B74" s="81">
        <f t="shared" si="2"/>
        <v>2053</v>
      </c>
      <c r="C74" s="114">
        <f>_xlfn.XLOOKUP($B74,'Capital Cost and RCV Calc'!$B$5:$B$36,'Capital Cost and RCV Calc'!$C$5:$C$36)</f>
        <v>0</v>
      </c>
      <c r="D74" s="114">
        <f>C74*(1+0.07)^-($B74-Assumptions!$D$4)</f>
        <v>0</v>
      </c>
    </row>
    <row r="75" spans="2:16" hidden="1" x14ac:dyDescent="0.25">
      <c r="B75" s="81">
        <f t="shared" si="2"/>
        <v>2054</v>
      </c>
      <c r="C75" s="114">
        <f>_xlfn.XLOOKUP($B75,'Capital Cost and RCV Calc'!$B$5:$B$36,'Capital Cost and RCV Calc'!$C$5:$C$36)</f>
        <v>0</v>
      </c>
      <c r="D75" s="114">
        <f>C75*(1+0.07)^-($B75-Assumptions!$D$4)</f>
        <v>0</v>
      </c>
    </row>
    <row r="76" spans="2:16" ht="15.75" hidden="1" thickBot="1" x14ac:dyDescent="0.3">
      <c r="B76" s="82">
        <f t="shared" si="2"/>
        <v>2055</v>
      </c>
      <c r="C76" s="115">
        <f>_xlfn.XLOOKUP($B76,'Capital Cost and RCV Calc'!$B$5:$B$36,'Capital Cost and RCV Calc'!$C$5:$C$36)</f>
        <v>0</v>
      </c>
      <c r="D76" s="115">
        <f>C76*(1+0.07)^-($B76-Assumptions!$D$4)</f>
        <v>0</v>
      </c>
    </row>
    <row r="77" spans="2:16" x14ac:dyDescent="0.25">
      <c r="D77" s="6">
        <f>SUM(D45:D76)</f>
        <v>7120483.4919106057</v>
      </c>
      <c r="E77" s="174">
        <f>'Capital Cost and RCV Calc'!D37</f>
        <v>7120483.4919106057</v>
      </c>
      <c r="O77" s="354" t="s">
        <v>390</v>
      </c>
      <c r="P77" s="355" t="s">
        <v>391</v>
      </c>
    </row>
    <row r="78" spans="2:16" x14ac:dyDescent="0.25">
      <c r="D78" s="112"/>
      <c r="O78" s="356" t="s">
        <v>392</v>
      </c>
      <c r="P78" s="357">
        <f>'Travel Time Savings '!E36</f>
        <v>1558035.4138737801</v>
      </c>
    </row>
    <row r="79" spans="2:16" ht="16.5" thickBot="1" x14ac:dyDescent="0.3">
      <c r="B79" s="415" t="s">
        <v>16</v>
      </c>
      <c r="D79" s="112"/>
      <c r="O79" s="356" t="s">
        <v>393</v>
      </c>
      <c r="P79" s="357">
        <f>'Operation Benefits'!G36</f>
        <v>122539.061626314</v>
      </c>
    </row>
    <row r="80" spans="2:16" ht="15.75" thickBot="1" x14ac:dyDescent="0.3">
      <c r="B80" s="26"/>
      <c r="C80" s="29" t="s">
        <v>199</v>
      </c>
      <c r="D80" s="112"/>
      <c r="O80" s="356" t="s">
        <v>10</v>
      </c>
      <c r="P80" s="357">
        <f>'Safety Benefits'!F36</f>
        <v>20231788.355952788</v>
      </c>
    </row>
    <row r="81" spans="2:16" x14ac:dyDescent="0.25">
      <c r="B81" s="27" t="s">
        <v>12</v>
      </c>
      <c r="C81" s="78">
        <f>J40</f>
        <v>22451063.970413975</v>
      </c>
      <c r="D81" s="25"/>
      <c r="E81" s="25"/>
      <c r="F81" s="25"/>
      <c r="G81" s="25"/>
      <c r="O81" s="356" t="s">
        <v>394</v>
      </c>
      <c r="P81" s="357">
        <f>'Air Quality'!P35</f>
        <v>17633.796244685451</v>
      </c>
    </row>
    <row r="82" spans="2:16" ht="15.75" thickBot="1" x14ac:dyDescent="0.3">
      <c r="B82" s="28" t="s">
        <v>13</v>
      </c>
      <c r="C82" s="79">
        <f>+D77</f>
        <v>7120483.4919106057</v>
      </c>
      <c r="F82" s="24"/>
      <c r="G82" s="24"/>
      <c r="H82" s="25"/>
      <c r="O82" s="356" t="s">
        <v>395</v>
      </c>
      <c r="P82" s="357">
        <f>-'Operating and Maintenance Costs'!D35</f>
        <v>-43786.153104328056</v>
      </c>
    </row>
    <row r="83" spans="2:16" ht="15.75" thickTop="1" x14ac:dyDescent="0.25">
      <c r="B83" s="136" t="s">
        <v>14</v>
      </c>
      <c r="C83" s="138">
        <f>+C81/C82</f>
        <v>3.153025211830073</v>
      </c>
      <c r="E83" s="24"/>
      <c r="F83" s="25"/>
      <c r="G83" s="25"/>
      <c r="O83" s="358" t="s">
        <v>188</v>
      </c>
      <c r="P83" s="359">
        <f>'Capital Cost and RCV Calc'!F37</f>
        <v>564853.49582073861</v>
      </c>
    </row>
    <row r="84" spans="2:16" ht="15.75" thickBot="1" x14ac:dyDescent="0.3">
      <c r="B84" s="137" t="s">
        <v>75</v>
      </c>
      <c r="C84" s="139">
        <f>C81-C82</f>
        <v>15330580.478503369</v>
      </c>
      <c r="E84" s="24"/>
      <c r="F84" s="25"/>
      <c r="G84" s="25"/>
      <c r="O84" s="360" t="s">
        <v>4</v>
      </c>
      <c r="P84" s="359">
        <f>SUM(P78:P83)</f>
        <v>22451063.970413979</v>
      </c>
    </row>
    <row r="85" spans="2:16" ht="15.75" thickBot="1" x14ac:dyDescent="0.3">
      <c r="E85" s="24"/>
      <c r="F85" s="25"/>
      <c r="G85" s="25"/>
    </row>
    <row r="86" spans="2:16" ht="15.75" thickBot="1" x14ac:dyDescent="0.3">
      <c r="B86" s="26"/>
      <c r="C86" s="29" t="s">
        <v>199</v>
      </c>
      <c r="E86" s="24"/>
      <c r="F86" s="25"/>
      <c r="G86" s="25"/>
    </row>
    <row r="87" spans="2:16" x14ac:dyDescent="0.25">
      <c r="B87" s="27" t="s">
        <v>12</v>
      </c>
      <c r="C87" s="186">
        <f>MROUND(C81,100000)/10^6</f>
        <v>22.5</v>
      </c>
      <c r="O87" s="354" t="s">
        <v>390</v>
      </c>
      <c r="P87" s="355" t="s">
        <v>391</v>
      </c>
    </row>
    <row r="88" spans="2:16" ht="15.75" thickBot="1" x14ac:dyDescent="0.3">
      <c r="B88" s="28" t="s">
        <v>13</v>
      </c>
      <c r="C88" s="189">
        <f>MROUND(C82,100000)/10^6</f>
        <v>7.1</v>
      </c>
      <c r="O88" s="356" t="s">
        <v>392</v>
      </c>
      <c r="P88" s="357">
        <f>MROUND(P78,1000)</f>
        <v>1558000</v>
      </c>
    </row>
    <row r="89" spans="2:16" ht="15.75" thickTop="1" x14ac:dyDescent="0.25">
      <c r="B89" s="136" t="s">
        <v>14</v>
      </c>
      <c r="C89" s="188">
        <f>+C87/C88</f>
        <v>3.1690140845070425</v>
      </c>
      <c r="O89" s="356" t="s">
        <v>393</v>
      </c>
      <c r="P89" s="357">
        <f t="shared" ref="P89:P93" si="3">MROUND(P79,1000)</f>
        <v>123000</v>
      </c>
    </row>
    <row r="90" spans="2:16" ht="15.75" thickBot="1" x14ac:dyDescent="0.3">
      <c r="B90" s="137" t="s">
        <v>75</v>
      </c>
      <c r="C90" s="187">
        <f>C87-C88</f>
        <v>15.4</v>
      </c>
      <c r="O90" s="356" t="s">
        <v>10</v>
      </c>
      <c r="P90" s="357">
        <f t="shared" si="3"/>
        <v>20232000</v>
      </c>
    </row>
    <row r="91" spans="2:16" x14ac:dyDescent="0.25">
      <c r="O91" s="356" t="s">
        <v>394</v>
      </c>
      <c r="P91" s="357">
        <f t="shared" si="3"/>
        <v>18000</v>
      </c>
    </row>
    <row r="92" spans="2:16" x14ac:dyDescent="0.25">
      <c r="O92" s="356" t="s">
        <v>395</v>
      </c>
      <c r="P92" s="357">
        <f>MROUND(P82,-1000)</f>
        <v>-44000</v>
      </c>
    </row>
    <row r="93" spans="2:16" x14ac:dyDescent="0.25">
      <c r="O93" s="358" t="s">
        <v>188</v>
      </c>
      <c r="P93" s="357">
        <f t="shared" si="3"/>
        <v>565000</v>
      </c>
    </row>
    <row r="94" spans="2:16" x14ac:dyDescent="0.25">
      <c r="O94" s="360" t="s">
        <v>4</v>
      </c>
      <c r="P94" s="359">
        <f>SUM(P88:P93)</f>
        <v>22452000</v>
      </c>
    </row>
  </sheetData>
  <mergeCells count="14">
    <mergeCell ref="C4:D4"/>
    <mergeCell ref="B5:B6"/>
    <mergeCell ref="C5:C6"/>
    <mergeCell ref="D5:D6"/>
    <mergeCell ref="E5:E6"/>
    <mergeCell ref="E4:F4"/>
    <mergeCell ref="J5:J6"/>
    <mergeCell ref="B43:B44"/>
    <mergeCell ref="C43:C44"/>
    <mergeCell ref="D43:D44"/>
    <mergeCell ref="I5:I6"/>
    <mergeCell ref="G5:G6"/>
    <mergeCell ref="H5:H6"/>
    <mergeCell ref="F5:F6"/>
  </mergeCells>
  <pageMargins left="0.25" right="0.25" top="0.75" bottom="0.75" header="0.3" footer="0.3"/>
  <pageSetup paperSize="3"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8A7A-4267-4D6C-B8E4-AF642CBEC677}">
  <sheetPr>
    <tabColor rgb="FF00B050"/>
    <pageSetUpPr fitToPage="1"/>
  </sheetPr>
  <dimension ref="A1:X92"/>
  <sheetViews>
    <sheetView view="pageBreakPreview" topLeftCell="A8" zoomScale="85" zoomScaleNormal="85" zoomScaleSheetLayoutView="85" workbookViewId="0">
      <selection activeCell="H18" sqref="H18"/>
    </sheetView>
  </sheetViews>
  <sheetFormatPr defaultRowHeight="15" x14ac:dyDescent="0.25"/>
  <cols>
    <col min="1" max="1" width="3.7109375" customWidth="1"/>
    <col min="2" max="5" width="20.7109375" customWidth="1"/>
    <col min="6" max="7" width="5.7109375" customWidth="1"/>
    <col min="8" max="8" width="30.7109375" customWidth="1"/>
    <col min="9" max="10" width="16" customWidth="1"/>
    <col min="11" max="11" width="17.140625" customWidth="1"/>
    <col min="12" max="12" width="19.140625" customWidth="1"/>
    <col min="13" max="13" width="27" customWidth="1"/>
    <col min="14" max="16" width="15" customWidth="1"/>
    <col min="17" max="17" width="12.140625" customWidth="1"/>
  </cols>
  <sheetData>
    <row r="1" spans="2:24" x14ac:dyDescent="0.25">
      <c r="B1" s="17"/>
      <c r="C1" s="17"/>
      <c r="D1" s="17"/>
      <c r="E1" s="17"/>
    </row>
    <row r="2" spans="2:24" x14ac:dyDescent="0.25">
      <c r="B2" s="12" t="s">
        <v>76</v>
      </c>
    </row>
    <row r="3" spans="2:24" ht="15.75" thickBot="1" x14ac:dyDescent="0.3">
      <c r="C3" s="17"/>
      <c r="H3" s="63"/>
      <c r="X3" s="12" t="s">
        <v>401</v>
      </c>
    </row>
    <row r="4" spans="2:24" ht="35.1" customHeight="1" x14ac:dyDescent="0.25">
      <c r="B4" s="286" t="s">
        <v>0</v>
      </c>
      <c r="C4" s="288" t="s">
        <v>173</v>
      </c>
      <c r="D4" s="288" t="s">
        <v>46</v>
      </c>
      <c r="E4" s="290" t="s">
        <v>1</v>
      </c>
      <c r="H4" s="63"/>
    </row>
    <row r="5" spans="2:24" ht="15.75" thickBot="1" x14ac:dyDescent="0.3">
      <c r="B5" s="287"/>
      <c r="C5" s="289"/>
      <c r="D5" s="289"/>
      <c r="E5" s="291"/>
      <c r="H5" s="284" t="s">
        <v>137</v>
      </c>
      <c r="I5" s="284"/>
      <c r="J5" s="128"/>
    </row>
    <row r="6" spans="2:24" x14ac:dyDescent="0.25">
      <c r="B6" s="80">
        <f>Assumptions!$D$8</f>
        <v>2026</v>
      </c>
      <c r="C6" s="172" cm="1">
        <f t="array" ref="C6">TREND($J$23:$K$23,$J$21:$K$21,$B6)</f>
        <v>5368.7466326547583</v>
      </c>
      <c r="D6" s="123">
        <f t="shared" ref="D6:D35" si="0">C6*$I$18</f>
        <v>160201.7888944282</v>
      </c>
      <c r="E6" s="106">
        <f>D6*(1+0.07)^-(B6-Assumptions!$D$4)</f>
        <v>106749.21627129677</v>
      </c>
      <c r="H6" s="58" t="s">
        <v>55</v>
      </c>
      <c r="I6" s="224">
        <f>Assumptions!D19</f>
        <v>17.8</v>
      </c>
    </row>
    <row r="7" spans="2:24" x14ac:dyDescent="0.25">
      <c r="B7" s="81">
        <f t="shared" ref="B7:B35" si="1">B6+1</f>
        <v>2027</v>
      </c>
      <c r="C7" s="121" cm="1">
        <f t="array" ref="C7">TREND($J$23:$K$23,$J$21:$K$21,$B7)</f>
        <v>5423.3969445676921</v>
      </c>
      <c r="D7" s="124">
        <f t="shared" si="0"/>
        <v>161832.53780681657</v>
      </c>
      <c r="E7" s="107">
        <f>D7*(1+0.07)^-(B7-Assumptions!$D$4)</f>
        <v>100781.17114772335</v>
      </c>
      <c r="H7" s="58" t="s">
        <v>45</v>
      </c>
      <c r="I7" s="224">
        <f>Assumptions!D20</f>
        <v>32</v>
      </c>
      <c r="J7" s="17"/>
      <c r="K7" s="71"/>
    </row>
    <row r="8" spans="2:24" x14ac:dyDescent="0.25">
      <c r="B8" s="81">
        <f t="shared" si="1"/>
        <v>2028</v>
      </c>
      <c r="C8" s="121" cm="1">
        <f t="array" ref="C8">TREND($J$23:$K$23,$J$21:$K$21,$B8)</f>
        <v>5478.0472564806259</v>
      </c>
      <c r="D8" s="124">
        <f t="shared" si="0"/>
        <v>163463.28671920495</v>
      </c>
      <c r="E8" s="107">
        <f>D8*(1+0.07)^-(B8-Assumptions!$D$4)</f>
        <v>95137.12113270261</v>
      </c>
      <c r="G8" s="32"/>
      <c r="H8" s="63"/>
      <c r="I8" s="72"/>
      <c r="J8" s="17"/>
      <c r="K8" s="71"/>
    </row>
    <row r="9" spans="2:24" ht="14.25" customHeight="1" x14ac:dyDescent="0.25">
      <c r="B9" s="81">
        <f t="shared" si="1"/>
        <v>2029</v>
      </c>
      <c r="C9" s="121" cm="1">
        <f t="array" ref="C9">TREND($J$23:$K$23,$J$21:$K$21,$B9)</f>
        <v>5532.6975683935452</v>
      </c>
      <c r="D9" s="124">
        <f t="shared" si="0"/>
        <v>165094.03563159288</v>
      </c>
      <c r="E9" s="107">
        <f>D9*(1+0.07)^-(B9-Assumptions!$D$4)</f>
        <v>89800.216679413003</v>
      </c>
      <c r="H9" s="284" t="s">
        <v>138</v>
      </c>
      <c r="I9" s="284"/>
    </row>
    <row r="10" spans="2:24" x14ac:dyDescent="0.25">
      <c r="B10" s="81">
        <f t="shared" si="1"/>
        <v>2030</v>
      </c>
      <c r="C10" s="121" cm="1">
        <f t="array" ref="C10">TREND($J$23:$K$23,$J$21:$K$21,$B10)</f>
        <v>5587.3478803064791</v>
      </c>
      <c r="D10" s="124">
        <f t="shared" si="0"/>
        <v>166724.78454398125</v>
      </c>
      <c r="E10" s="107">
        <f>D10*(1+0.07)^-(B10-Assumptions!$D$4)</f>
        <v>84754.426204246207</v>
      </c>
      <c r="H10" s="58" t="s">
        <v>44</v>
      </c>
      <c r="I10" s="105">
        <f>Assumptions!D13</f>
        <v>0.95</v>
      </c>
    </row>
    <row r="11" spans="2:24" x14ac:dyDescent="0.25">
      <c r="B11" s="81">
        <f t="shared" si="1"/>
        <v>2031</v>
      </c>
      <c r="C11" s="121" cm="1">
        <f t="array" ref="C11">TREND($J$23:$K$23,$J$21:$K$21,$B11)</f>
        <v>5641.9981922194129</v>
      </c>
      <c r="D11" s="124">
        <f t="shared" si="0"/>
        <v>168355.53345636962</v>
      </c>
      <c r="E11" s="107">
        <f>D11*(1+0.07)^-(B11-Assumptions!$D$4)</f>
        <v>79984.501177110549</v>
      </c>
      <c r="H11" s="58" t="s">
        <v>43</v>
      </c>
      <c r="I11" s="105">
        <f>Assumptions!D14</f>
        <v>5.0000000000000044E-2</v>
      </c>
      <c r="J11" s="63"/>
      <c r="K11" s="63"/>
      <c r="L11" s="63"/>
    </row>
    <row r="12" spans="2:24" x14ac:dyDescent="0.25">
      <c r="B12" s="81">
        <f t="shared" si="1"/>
        <v>2032</v>
      </c>
      <c r="C12" s="121" cm="1">
        <f t="array" ref="C12">TREND($J$23:$K$23,$J$21:$K$21,$B12)</f>
        <v>5696.6485041323322</v>
      </c>
      <c r="D12" s="124">
        <f t="shared" si="0"/>
        <v>169986.28236875756</v>
      </c>
      <c r="E12" s="107">
        <f>D12*(1+0.07)^-(B12-Assumptions!$D$4)</f>
        <v>75475.942278600894</v>
      </c>
      <c r="H12" s="63"/>
      <c r="I12" s="67"/>
    </row>
    <row r="13" spans="2:24" ht="15" customHeight="1" x14ac:dyDescent="0.25">
      <c r="B13" s="81">
        <f t="shared" si="1"/>
        <v>2033</v>
      </c>
      <c r="C13" s="121" cm="1">
        <f t="array" ref="C13">TREND($J$23:$K$23,$J$21:$K$21,$B13)</f>
        <v>5751.298816045266</v>
      </c>
      <c r="D13" s="124">
        <f t="shared" si="0"/>
        <v>171617.03128114593</v>
      </c>
      <c r="E13" s="107">
        <f>D13*(1+0.07)^-(B13-Assumptions!$D$4)</f>
        <v>71214.966633850607</v>
      </c>
      <c r="H13" s="284" t="s">
        <v>74</v>
      </c>
      <c r="I13" s="284"/>
    </row>
    <row r="14" spans="2:24" x14ac:dyDescent="0.25">
      <c r="B14" s="81">
        <f t="shared" si="1"/>
        <v>2034</v>
      </c>
      <c r="C14" s="121" cm="1">
        <f t="array" ref="C14">TREND($J$23:$K$23,$J$21:$K$21,$B14)</f>
        <v>5805.9491279581998</v>
      </c>
      <c r="D14" s="124">
        <f t="shared" si="0"/>
        <v>173247.7801935343</v>
      </c>
      <c r="E14" s="107">
        <f>D14*(1+0.07)^-(B14-Assumptions!$D$4)</f>
        <v>67188.476127032423</v>
      </c>
      <c r="H14" s="58" t="s">
        <v>56</v>
      </c>
      <c r="I14" s="129">
        <f>Assumptions!D15</f>
        <v>1.67</v>
      </c>
      <c r="L14" s="17"/>
    </row>
    <row r="15" spans="2:24" x14ac:dyDescent="0.25">
      <c r="B15" s="81">
        <f t="shared" si="1"/>
        <v>2035</v>
      </c>
      <c r="C15" s="121" cm="1">
        <f t="array" ref="C15">TREND($J$23:$K$23,$J$21:$K$21,$B15)</f>
        <v>5860.5994398711191</v>
      </c>
      <c r="D15" s="124">
        <f t="shared" si="0"/>
        <v>174878.52910592224</v>
      </c>
      <c r="E15" s="107">
        <f>D15*(1+0.07)^-(B15-Assumptions!$D$4)</f>
        <v>63384.02679535206</v>
      </c>
      <c r="H15" s="58" t="s">
        <v>42</v>
      </c>
      <c r="I15" s="129">
        <f>Assumptions!D16</f>
        <v>1</v>
      </c>
      <c r="L15" s="17"/>
    </row>
    <row r="16" spans="2:24" x14ac:dyDescent="0.25">
      <c r="B16" s="81">
        <f t="shared" si="1"/>
        <v>2036</v>
      </c>
      <c r="C16" s="121" cm="1">
        <f t="array" ref="C16">TREND($J$23:$K$23,$J$21:$K$21,$B16)</f>
        <v>5915.2497517840529</v>
      </c>
      <c r="D16" s="124">
        <f t="shared" si="0"/>
        <v>176509.27801831061</v>
      </c>
      <c r="E16" s="107">
        <f>D16*(1+0.07)^-(B16-Assumptions!$D$4)</f>
        <v>59789.799296900317</v>
      </c>
      <c r="H16" s="63"/>
      <c r="I16" s="67"/>
      <c r="J16" s="17"/>
      <c r="K16" s="17"/>
      <c r="L16" s="17"/>
    </row>
    <row r="17" spans="2:19" x14ac:dyDescent="0.25">
      <c r="B17" s="81">
        <f t="shared" si="1"/>
        <v>2037</v>
      </c>
      <c r="C17" s="121" cm="1">
        <f t="array" ref="C17">TREND($J$23:$K$23,$J$21:$K$21,$B17)</f>
        <v>5969.9000636969868</v>
      </c>
      <c r="D17" s="124">
        <f t="shared" si="0"/>
        <v>178140.02693069898</v>
      </c>
      <c r="E17" s="107">
        <f>D17*(1+0.07)^-(B17-Assumptions!$D$4)</f>
        <v>56394.570442846198</v>
      </c>
      <c r="H17" s="61" t="s">
        <v>41</v>
      </c>
      <c r="I17" s="17"/>
      <c r="J17" s="17"/>
      <c r="K17" s="17"/>
      <c r="L17" s="17"/>
      <c r="M17" s="17"/>
    </row>
    <row r="18" spans="2:19" x14ac:dyDescent="0.25">
      <c r="B18" s="81">
        <f t="shared" si="1"/>
        <v>2038</v>
      </c>
      <c r="C18" s="121" cm="1">
        <f t="array" ref="C18">TREND($J$23:$K$23,$J$21:$K$21,$B18)</f>
        <v>6024.550375609906</v>
      </c>
      <c r="D18" s="124">
        <f t="shared" si="0"/>
        <v>179770.77584308691</v>
      </c>
      <c r="E18" s="107">
        <f>D18*(1+0.07)^-(B18-Assumptions!$D$4)</f>
        <v>53187.685781107866</v>
      </c>
      <c r="H18" s="70" t="s">
        <v>40</v>
      </c>
      <c r="I18" s="130">
        <f>I10*I6*I14+I11*I7*I15</f>
        <v>29.839700000000001</v>
      </c>
      <c r="J18" s="69"/>
      <c r="K18" s="69"/>
      <c r="L18" s="17"/>
      <c r="M18" s="68"/>
    </row>
    <row r="19" spans="2:19" x14ac:dyDescent="0.25">
      <c r="B19" s="81">
        <f t="shared" si="1"/>
        <v>2039</v>
      </c>
      <c r="C19" s="121" cm="1">
        <f t="array" ref="C19">TREND($J$23:$K$23,$J$21:$K$21,$B19)</f>
        <v>6079.2006875228399</v>
      </c>
      <c r="D19" s="124">
        <f t="shared" si="0"/>
        <v>181401.52475547529</v>
      </c>
      <c r="E19" s="107">
        <f>D19*(1+0.07)^-(B19-Assumptions!$D$4)</f>
        <v>50159.033215761003</v>
      </c>
      <c r="H19" s="63"/>
      <c r="I19" s="67"/>
      <c r="J19" s="66"/>
      <c r="K19" s="66"/>
      <c r="L19" s="65"/>
      <c r="M19" s="65"/>
    </row>
    <row r="20" spans="2:19" ht="14.25" customHeight="1" x14ac:dyDescent="0.25">
      <c r="B20" s="81">
        <f t="shared" si="1"/>
        <v>2040</v>
      </c>
      <c r="C20" s="121" cm="1">
        <f t="array" ref="C20">TREND($J$23:$K$23,$J$21:$K$21,$B20)</f>
        <v>6133.8509994357737</v>
      </c>
      <c r="D20" s="124">
        <f t="shared" si="0"/>
        <v>183032.27366786366</v>
      </c>
      <c r="E20" s="107">
        <f>D20*(1+0.07)^-(B20-Assumptions!$D$4)</f>
        <v>47299.017644004445</v>
      </c>
      <c r="G20" s="31"/>
      <c r="H20" s="61" t="s">
        <v>405</v>
      </c>
      <c r="I20" s="67"/>
      <c r="J20" s="66"/>
      <c r="K20" s="66"/>
      <c r="L20" s="65"/>
      <c r="M20" s="65"/>
    </row>
    <row r="21" spans="2:19" x14ac:dyDescent="0.25">
      <c r="B21" s="81">
        <f t="shared" si="1"/>
        <v>2041</v>
      </c>
      <c r="C21" s="121" cm="1">
        <f t="array" ref="C21">TREND($J$23:$K$23,$J$21:$K$21,$B21)</f>
        <v>6188.501311348693</v>
      </c>
      <c r="D21" s="124">
        <f t="shared" si="0"/>
        <v>184663.02258025159</v>
      </c>
      <c r="E21" s="107">
        <f>D21*(1+0.07)^-(B21-Assumptions!$D$4)</f>
        <v>44598.536590451906</v>
      </c>
      <c r="F21" s="17"/>
      <c r="G21" s="31"/>
      <c r="H21" s="58"/>
      <c r="I21" s="251">
        <v>2016</v>
      </c>
      <c r="J21" s="251">
        <v>2026</v>
      </c>
      <c r="K21" s="252">
        <v>2050</v>
      </c>
      <c r="L21" s="324"/>
      <c r="M21" s="65"/>
      <c r="N21" s="65"/>
    </row>
    <row r="22" spans="2:19" x14ac:dyDescent="0.25">
      <c r="B22" s="81">
        <f t="shared" si="1"/>
        <v>2042</v>
      </c>
      <c r="C22" s="121" cm="1">
        <f t="array" ref="C22">TREND($J$23:$K$23,$J$21:$K$21,$B22)</f>
        <v>6243.1516232616268</v>
      </c>
      <c r="D22" s="124">
        <f t="shared" si="0"/>
        <v>186293.77149263996</v>
      </c>
      <c r="E22" s="107">
        <f>D22*(1+0.07)^-(B22-Assumptions!$D$4)</f>
        <v>42048.956816807353</v>
      </c>
      <c r="G22" s="31"/>
      <c r="H22" s="70" t="s">
        <v>174</v>
      </c>
      <c r="I22" s="251">
        <v>2.5</v>
      </c>
      <c r="J22" s="328">
        <f>$I$22*I27/$H$27*(1+N34/I31)*(1+$I$32)^(J21-I21)</f>
        <v>14.708894883985646</v>
      </c>
      <c r="K22" s="328">
        <f>J22*J27/I27+I22*I32*(K21-I21)</f>
        <v>18.302340050863172</v>
      </c>
      <c r="L22" s="324">
        <f>J22+I22*(1+I32)^(K21-I21)</f>
        <v>19.610584964040683</v>
      </c>
      <c r="M22" s="65">
        <f>$I$22*J27/$H$27*(1+$I$32)^(K21-J21)</f>
        <v>21.446859552424453</v>
      </c>
      <c r="N22" s="65"/>
    </row>
    <row r="23" spans="2:19" x14ac:dyDescent="0.25">
      <c r="B23" s="81">
        <f t="shared" si="1"/>
        <v>2043</v>
      </c>
      <c r="C23" s="121" cm="1">
        <f t="array" ref="C23">TREND($J$23:$K$23,$J$21:$K$21,$B23)</f>
        <v>6297.8019351745606</v>
      </c>
      <c r="D23" s="124">
        <f t="shared" si="0"/>
        <v>187924.52040502834</v>
      </c>
      <c r="E23" s="107">
        <f>D23*(1+0.07)^-(B23-Assumptions!$D$4)</f>
        <v>39642.091883584442</v>
      </c>
      <c r="G23" s="31"/>
      <c r="H23" s="58" t="s">
        <v>176</v>
      </c>
      <c r="I23" s="251">
        <f>I22*365</f>
        <v>912.5</v>
      </c>
      <c r="J23" s="328">
        <f>J22*365</f>
        <v>5368.746632654761</v>
      </c>
      <c r="K23" s="328">
        <f>K22*365</f>
        <v>6680.3541185650583</v>
      </c>
      <c r="L23" s="325"/>
      <c r="M23" s="65"/>
      <c r="N23" s="65"/>
    </row>
    <row r="24" spans="2:19" x14ac:dyDescent="0.25">
      <c r="B24" s="81">
        <f t="shared" si="1"/>
        <v>2044</v>
      </c>
      <c r="C24" s="121" cm="1">
        <f t="array" ref="C24">TREND($J$23:$K$23,$J$21:$K$21,$B24)</f>
        <v>6352.4522470874799</v>
      </c>
      <c r="D24" s="124">
        <f t="shared" si="0"/>
        <v>189555.26931741627</v>
      </c>
      <c r="E24" s="107">
        <f>D24*(1+0.07)^-(B24-Assumptions!$D$4)</f>
        <v>37370.180639412407</v>
      </c>
      <c r="F24" s="31"/>
      <c r="G24" s="31"/>
      <c r="H24" s="63"/>
      <c r="I24" s="67"/>
      <c r="J24" s="66"/>
      <c r="K24" s="66"/>
      <c r="L24" s="65"/>
      <c r="M24" s="379" t="s">
        <v>409</v>
      </c>
    </row>
    <row r="25" spans="2:19" ht="15" customHeight="1" x14ac:dyDescent="0.25">
      <c r="B25" s="81">
        <f t="shared" si="1"/>
        <v>2045</v>
      </c>
      <c r="C25" s="121" cm="1">
        <f t="array" ref="C25">TREND($J$23:$K$23,$J$21:$K$21,$B25)</f>
        <v>6407.1025590004137</v>
      </c>
      <c r="D25" s="124">
        <f t="shared" si="0"/>
        <v>191186.01822980464</v>
      </c>
      <c r="E25" s="107">
        <f>D25*(1+0.07)^-(B25-Assumptions!$D$4)</f>
        <v>35225.866612593403</v>
      </c>
      <c r="F25" s="31"/>
      <c r="H25" s="61" t="s">
        <v>406</v>
      </c>
      <c r="I25" s="67"/>
      <c r="J25" s="66"/>
      <c r="K25" s="66"/>
      <c r="L25" s="65"/>
      <c r="M25" s="376" t="s">
        <v>204</v>
      </c>
      <c r="N25" s="70" t="s">
        <v>209</v>
      </c>
      <c r="O25" s="70" t="s">
        <v>64</v>
      </c>
      <c r="P25" s="70" t="s">
        <v>206</v>
      </c>
    </row>
    <row r="26" spans="2:19" ht="15" customHeight="1" x14ac:dyDescent="0.25">
      <c r="B26" s="81">
        <f t="shared" si="1"/>
        <v>2046</v>
      </c>
      <c r="C26" s="121" cm="1">
        <f t="array" ref="C26">TREND($J$23:$K$23,$J$21:$K$21,$B26)</f>
        <v>6461.7528709133476</v>
      </c>
      <c r="D26" s="124">
        <f t="shared" si="0"/>
        <v>192816.76714219301</v>
      </c>
      <c r="E26" s="107">
        <f>D26*(1+0.07)^-(B26-Assumptions!$D$4)</f>
        <v>33202.178278921732</v>
      </c>
      <c r="F26" s="31"/>
      <c r="H26" s="251">
        <v>2018</v>
      </c>
      <c r="I26" s="371">
        <f>J21</f>
        <v>2026</v>
      </c>
      <c r="J26" s="371">
        <f>K21</f>
        <v>2050</v>
      </c>
      <c r="M26" s="376" t="s">
        <v>205</v>
      </c>
      <c r="N26" s="116">
        <f>436*5</f>
        <v>2180</v>
      </c>
      <c r="O26" s="116"/>
      <c r="P26" s="377">
        <v>1.5</v>
      </c>
      <c r="Q26" s="266" t="s">
        <v>210</v>
      </c>
      <c r="S26" s="265"/>
    </row>
    <row r="27" spans="2:19" x14ac:dyDescent="0.25">
      <c r="B27" s="81">
        <f t="shared" si="1"/>
        <v>2047</v>
      </c>
      <c r="C27" s="121" cm="1">
        <f t="array" ref="C27">TREND($J$23:$K$23,$J$21:$K$21,$B27)</f>
        <v>6516.4031828262669</v>
      </c>
      <c r="D27" s="124">
        <f t="shared" si="0"/>
        <v>194447.51605458095</v>
      </c>
      <c r="E27" s="107">
        <f>D27*(1+0.07)^-(B27-Assumptions!$D$4)</f>
        <v>31292.510179316108</v>
      </c>
      <c r="F27" s="31"/>
      <c r="H27" s="251">
        <v>860</v>
      </c>
      <c r="I27" s="372">
        <f>H27+H27*$I$30*(I26-H26)+SUM(P40:Q40)+($N$38+$N$38*$I$30*(I26-H26))*$I$40</f>
        <v>4063.7667023743984</v>
      </c>
      <c r="J27" s="372">
        <f>I27+I27*$I$30*(J26-I26)</f>
        <v>4586.8868607967734</v>
      </c>
      <c r="L27" s="65"/>
      <c r="M27" s="378" t="s">
        <v>207</v>
      </c>
      <c r="N27" s="116">
        <f>(396+244)*5</f>
        <v>3200</v>
      </c>
      <c r="O27" s="116">
        <f>60*5</f>
        <v>300</v>
      </c>
      <c r="P27" s="116"/>
    </row>
    <row r="28" spans="2:19" x14ac:dyDescent="0.25">
      <c r="B28" s="81">
        <f t="shared" si="1"/>
        <v>2048</v>
      </c>
      <c r="C28" s="121" cm="1">
        <f t="array" ref="C28">TREND($J$23:$K$23,$J$21:$K$21,$B28)</f>
        <v>6571.0534947392007</v>
      </c>
      <c r="D28" s="124">
        <f t="shared" si="0"/>
        <v>196078.26496696932</v>
      </c>
      <c r="E28" s="107">
        <f>D28*(1+0.07)^-(B28-Assumptions!$D$4)</f>
        <v>29490.604860524782</v>
      </c>
      <c r="F28" s="31"/>
      <c r="H28" s="370"/>
      <c r="I28" s="329"/>
      <c r="J28" s="66"/>
      <c r="K28" s="66"/>
      <c r="L28" s="65"/>
      <c r="M28" s="378" t="s">
        <v>208</v>
      </c>
      <c r="N28" s="116">
        <f>500*2</f>
        <v>1000</v>
      </c>
      <c r="O28" s="116">
        <f>48*2</f>
        <v>96</v>
      </c>
      <c r="P28" s="116"/>
    </row>
    <row r="29" spans="2:19" ht="15" customHeight="1" x14ac:dyDescent="0.25">
      <c r="B29" s="81">
        <f t="shared" si="1"/>
        <v>2049</v>
      </c>
      <c r="C29" s="121" cm="1">
        <f t="array" ref="C29">TREND($J$23:$K$23,$J$21:$K$21,$B29)</f>
        <v>6625.7038066521345</v>
      </c>
      <c r="D29" s="124">
        <f t="shared" si="0"/>
        <v>197709.01387935769</v>
      </c>
      <c r="E29" s="107">
        <f>D29*(1+0.07)^-(B29-Assumptions!$D$4)</f>
        <v>27790.535612024563</v>
      </c>
      <c r="H29" s="61" t="s">
        <v>407</v>
      </c>
      <c r="I29" s="329"/>
      <c r="J29" s="66"/>
      <c r="K29" s="66"/>
      <c r="L29" s="65"/>
      <c r="M29" s="65"/>
    </row>
    <row r="30" spans="2:19" x14ac:dyDescent="0.25">
      <c r="B30" s="81">
        <f t="shared" si="1"/>
        <v>2050</v>
      </c>
      <c r="C30" s="121" cm="1">
        <f t="array" ref="C30">TREND($J$23:$K$23,$J$21:$K$21,$B30)</f>
        <v>6680.3541185650538</v>
      </c>
      <c r="D30" s="124">
        <f t="shared" si="0"/>
        <v>199339.76279174563</v>
      </c>
      <c r="E30" s="107">
        <f>D30*(1+0.07)^-(B30-Assumptions!$D$4)</f>
        <v>26186.689972231394</v>
      </c>
      <c r="H30" s="58" t="s">
        <v>211</v>
      </c>
      <c r="I30" s="373">
        <f>689/7/18351</f>
        <v>5.3636625485571051E-3</v>
      </c>
      <c r="K30" s="66"/>
      <c r="L30" s="65"/>
      <c r="M30" s="65"/>
    </row>
    <row r="31" spans="2:19" x14ac:dyDescent="0.25">
      <c r="B31" s="81">
        <f t="shared" si="1"/>
        <v>2051</v>
      </c>
      <c r="C31" s="121" cm="1">
        <f t="array" ref="C31">TREND($J$23:$K$23,$J$21:$K$21,$B31)</f>
        <v>6735.0044304779876</v>
      </c>
      <c r="D31" s="124">
        <f t="shared" si="0"/>
        <v>200970.511704134</v>
      </c>
      <c r="E31" s="107">
        <f>D31*(1+0.07)^-(B31-Assumptions!$D$4)</f>
        <v>24673.753977247503</v>
      </c>
      <c r="H31" s="58" t="s">
        <v>212</v>
      </c>
      <c r="I31" s="374">
        <v>10</v>
      </c>
      <c r="J31" s="66"/>
      <c r="K31" s="66"/>
      <c r="L31" s="65"/>
      <c r="M31" s="12" t="s">
        <v>410</v>
      </c>
    </row>
    <row r="32" spans="2:19" x14ac:dyDescent="0.25">
      <c r="B32" s="81">
        <f t="shared" si="1"/>
        <v>2052</v>
      </c>
      <c r="C32" s="121" cm="1">
        <f t="array" ref="C32">TREND($J$23:$K$23,$J$21:$K$21,$B32)</f>
        <v>6789.6547423909215</v>
      </c>
      <c r="D32" s="124">
        <f t="shared" si="0"/>
        <v>202601.26061652237</v>
      </c>
      <c r="E32" s="107">
        <f>D32*(1+0.07)^-(B32-Assumptions!$D$4)</f>
        <v>23246.697125581512</v>
      </c>
      <c r="H32" s="58" t="s">
        <v>214</v>
      </c>
      <c r="I32" s="375">
        <v>0.02</v>
      </c>
      <c r="J32" s="66"/>
      <c r="K32" s="66"/>
      <c r="L32" s="65"/>
      <c r="M32" s="381" t="s">
        <v>213</v>
      </c>
      <c r="N32" s="384">
        <f>SUM(N26:N28,Q28)/7</f>
        <v>911.42857142857144</v>
      </c>
    </row>
    <row r="33" spans="1:17" x14ac:dyDescent="0.25">
      <c r="B33" s="81">
        <f t="shared" si="1"/>
        <v>2053</v>
      </c>
      <c r="C33" s="121" cm="1">
        <f t="array" ref="C33">TREND($J$23:$K$23,$J$21:$K$21,$B33)</f>
        <v>6844.3050543038407</v>
      </c>
      <c r="D33" s="124">
        <f t="shared" si="0"/>
        <v>204232.00952891033</v>
      </c>
      <c r="E33" s="107">
        <f>D33*(1+0.07)^-(B33-Assumptions!$D$4)</f>
        <v>21900.758032576541</v>
      </c>
      <c r="H33" s="326" t="s">
        <v>408</v>
      </c>
      <c r="I33" s="67"/>
      <c r="J33" s="66"/>
      <c r="K33" s="66"/>
      <c r="L33" s="65"/>
      <c r="M33" s="383" t="s">
        <v>64</v>
      </c>
      <c r="N33" s="384">
        <f>SUM(O27:O28,R28)/7</f>
        <v>56.571428571428569</v>
      </c>
      <c r="O33" s="327">
        <f>N33/(SUM(N32:N33))</f>
        <v>5.844155844155844E-2</v>
      </c>
    </row>
    <row r="34" spans="1:17" x14ac:dyDescent="0.25">
      <c r="B34" s="81">
        <f t="shared" si="1"/>
        <v>2054</v>
      </c>
      <c r="C34" s="121" cm="1">
        <f t="array" ref="C34">TREND($J$23:$K$23,$J$21:$K$21,$B34)</f>
        <v>6898.9553662167746</v>
      </c>
      <c r="D34" s="124">
        <f t="shared" si="0"/>
        <v>205862.75844129871</v>
      </c>
      <c r="E34" s="107">
        <f>D34*(1+0.07)^-(B34-Assumptions!$D$4)</f>
        <v>20631.430748652576</v>
      </c>
      <c r="H34" s="63"/>
      <c r="I34" s="67"/>
      <c r="J34" s="66"/>
      <c r="K34" s="66"/>
      <c r="M34" s="383" t="s">
        <v>206</v>
      </c>
      <c r="N34" s="382">
        <f>P26/7</f>
        <v>0.21428571428571427</v>
      </c>
    </row>
    <row r="35" spans="1:17" ht="15.75" thickBot="1" x14ac:dyDescent="0.3">
      <c r="B35" s="82">
        <f t="shared" si="1"/>
        <v>2055</v>
      </c>
      <c r="C35" s="122" cm="1">
        <f t="array" ref="C35">TREND($J$23:$K$23,$J$21:$K$21,$B35)</f>
        <v>6953.6056781297084</v>
      </c>
      <c r="D35" s="125">
        <f t="shared" si="0"/>
        <v>207493.50735368708</v>
      </c>
      <c r="E35" s="108">
        <f>D35*(1+0.07)^-(B35-Assumptions!$D$4)</f>
        <v>19434.451715905288</v>
      </c>
    </row>
    <row r="36" spans="1:17" ht="15" customHeight="1" thickBot="1" x14ac:dyDescent="0.3">
      <c r="B36" s="4"/>
      <c r="C36" s="64"/>
      <c r="D36" s="64"/>
      <c r="E36" s="104">
        <f>SUM(E6:E35)</f>
        <v>1558035.4138737801</v>
      </c>
      <c r="M36" s="12" t="s">
        <v>411</v>
      </c>
    </row>
    <row r="37" spans="1:17" ht="15" customHeight="1" x14ac:dyDescent="0.25">
      <c r="E37" s="17"/>
      <c r="M37" s="30" t="s">
        <v>215</v>
      </c>
      <c r="N37" s="48" t="s">
        <v>216</v>
      </c>
      <c r="O37" s="48" t="s">
        <v>414</v>
      </c>
      <c r="P37" s="48" t="s">
        <v>415</v>
      </c>
      <c r="Q37" s="48" t="s">
        <v>416</v>
      </c>
    </row>
    <row r="38" spans="1:17" ht="15" customHeight="1" x14ac:dyDescent="0.25">
      <c r="B38" s="12" t="s">
        <v>3</v>
      </c>
      <c r="M38" s="70" t="s">
        <v>402</v>
      </c>
      <c r="N38" s="70">
        <v>5600</v>
      </c>
      <c r="O38" s="385">
        <f>(N38*0.5)/SUM($N$38:$N$41)</f>
        <v>0.19498607242339833</v>
      </c>
      <c r="P38" s="384">
        <f>$N$32*$O38</f>
        <v>177.7158774373259</v>
      </c>
      <c r="Q38" s="384">
        <f>$N$33*$O38</f>
        <v>11.030640668523676</v>
      </c>
    </row>
    <row r="39" spans="1:17" ht="15" customHeight="1" x14ac:dyDescent="0.25">
      <c r="A39" s="13" t="s">
        <v>27</v>
      </c>
      <c r="B39" s="285" t="str">
        <f>Assumptions!C42</f>
        <v>User travel time benefits were valued in accordance with the Benefit-Cost Analysis Guidance for Discretionary Grant Programs - March 2022 (Revised). The recommended values for travel time were provided in year 2020 dollars.</v>
      </c>
      <c r="C39" s="285"/>
      <c r="D39" s="285"/>
      <c r="E39" s="285"/>
      <c r="M39" s="70" t="s">
        <v>403</v>
      </c>
      <c r="N39" s="70">
        <v>7200</v>
      </c>
      <c r="O39" s="385">
        <f t="shared" ref="O39:O41" si="2">(N39)/SUM($N$38:$N$41)</f>
        <v>0.50139275766016711</v>
      </c>
      <c r="P39" s="384">
        <f t="shared" ref="P39:P41" si="3">$N$32*O39</f>
        <v>456.98368483883803</v>
      </c>
      <c r="Q39" s="384">
        <f t="shared" ref="Q39:Q41" si="4">$N$33*$O39</f>
        <v>28.364504576203739</v>
      </c>
    </row>
    <row r="40" spans="1:17" x14ac:dyDescent="0.25">
      <c r="B40" s="285"/>
      <c r="C40" s="285"/>
      <c r="D40" s="285"/>
      <c r="E40" s="285"/>
      <c r="H40" s="70" t="s">
        <v>419</v>
      </c>
      <c r="I40" s="388">
        <v>0.5</v>
      </c>
      <c r="M40" s="70" t="s">
        <v>412</v>
      </c>
      <c r="N40" s="70">
        <v>860</v>
      </c>
      <c r="O40" s="385">
        <f>(N40+N38*$I$40)/SUM($N$38:$N$41)</f>
        <v>0.25487465181058494</v>
      </c>
      <c r="P40" s="384">
        <f t="shared" si="3"/>
        <v>232.300039793076</v>
      </c>
      <c r="Q40" s="384">
        <f t="shared" si="4"/>
        <v>14.418623159570233</v>
      </c>
    </row>
    <row r="41" spans="1:17" ht="15" customHeight="1" x14ac:dyDescent="0.25">
      <c r="B41" s="285"/>
      <c r="C41" s="285"/>
      <c r="D41" s="285"/>
      <c r="E41" s="285"/>
      <c r="M41" s="70" t="s">
        <v>404</v>
      </c>
      <c r="N41" s="70">
        <v>700</v>
      </c>
      <c r="O41" s="385">
        <f t="shared" si="2"/>
        <v>4.8746518105849582E-2</v>
      </c>
      <c r="P41" s="384">
        <f t="shared" si="3"/>
        <v>44.428969359331475</v>
      </c>
      <c r="Q41" s="384">
        <f t="shared" si="4"/>
        <v>2.7576601671309189</v>
      </c>
    </row>
    <row r="42" spans="1:17" x14ac:dyDescent="0.25">
      <c r="B42" s="77"/>
      <c r="C42" s="77"/>
      <c r="D42" s="77"/>
      <c r="E42" s="77"/>
      <c r="M42" s="30" t="s">
        <v>4</v>
      </c>
      <c r="N42" s="30">
        <f>SUM(N38:N41)</f>
        <v>14360</v>
      </c>
      <c r="O42" s="386">
        <f>SUM(O38:O41)</f>
        <v>0.99999999999999989</v>
      </c>
      <c r="P42" s="387">
        <f t="shared" ref="P42:Q42" si="5">SUM(P38:P41)</f>
        <v>911.42857142857144</v>
      </c>
      <c r="Q42" s="387">
        <f t="shared" si="5"/>
        <v>56.571428571428569</v>
      </c>
    </row>
    <row r="43" spans="1:17" ht="15" customHeight="1" x14ac:dyDescent="0.25">
      <c r="A43" s="13" t="s">
        <v>34</v>
      </c>
      <c r="B43" s="285" t="str">
        <f>Assumptions!C31</f>
        <v>Truck percentage in the project area is estimated based on recent AADT and HCAADT counts performed by MnDOT (https://mndot.maps.arcgis.com/apps/webappviewer/index.html?id=7b3be07daed84e7fa170a91059ce63bb).</v>
      </c>
      <c r="C43" s="285"/>
      <c r="D43" s="285"/>
      <c r="E43" s="285"/>
      <c r="M43" t="s">
        <v>413</v>
      </c>
    </row>
    <row r="44" spans="1:17" ht="15" customHeight="1" x14ac:dyDescent="0.25">
      <c r="A44" s="13"/>
      <c r="B44" s="285"/>
      <c r="C44" s="285"/>
      <c r="D44" s="285"/>
      <c r="E44" s="285"/>
    </row>
    <row r="45" spans="1:17" x14ac:dyDescent="0.25">
      <c r="B45" s="285"/>
      <c r="C45" s="285"/>
      <c r="D45" s="285"/>
      <c r="E45" s="285"/>
    </row>
    <row r="46" spans="1:17" x14ac:dyDescent="0.25">
      <c r="B46" s="285"/>
      <c r="C46" s="285"/>
      <c r="D46" s="285"/>
      <c r="E46" s="285"/>
    </row>
    <row r="47" spans="1:17" x14ac:dyDescent="0.25">
      <c r="B47" s="31"/>
      <c r="C47" s="31"/>
      <c r="D47" s="31"/>
    </row>
    <row r="48" spans="1:17" ht="15" customHeight="1" x14ac:dyDescent="0.25">
      <c r="A48" s="13" t="s">
        <v>35</v>
      </c>
      <c r="B48" s="285" t="s">
        <v>434</v>
      </c>
      <c r="C48" s="285"/>
      <c r="D48" s="285"/>
      <c r="E48" s="285"/>
    </row>
    <row r="49" spans="1:11" x14ac:dyDescent="0.25">
      <c r="A49" s="13"/>
      <c r="B49" s="285"/>
      <c r="C49" s="285"/>
      <c r="D49" s="285"/>
      <c r="E49" s="285"/>
    </row>
    <row r="50" spans="1:11" x14ac:dyDescent="0.25">
      <c r="A50" s="13"/>
      <c r="B50" s="285"/>
      <c r="C50" s="285"/>
      <c r="D50" s="285"/>
      <c r="E50" s="285"/>
    </row>
    <row r="51" spans="1:11" x14ac:dyDescent="0.25">
      <c r="A51" s="13"/>
      <c r="B51" s="285"/>
      <c r="C51" s="285"/>
      <c r="D51" s="285"/>
      <c r="E51" s="285"/>
    </row>
    <row r="52" spans="1:11" x14ac:dyDescent="0.25">
      <c r="A52" s="13"/>
      <c r="B52" s="285"/>
      <c r="C52" s="285"/>
      <c r="D52" s="285"/>
      <c r="E52" s="285"/>
    </row>
    <row r="53" spans="1:11" x14ac:dyDescent="0.25">
      <c r="A53" s="13"/>
      <c r="B53" s="285"/>
      <c r="C53" s="285"/>
      <c r="D53" s="285"/>
      <c r="E53" s="285"/>
    </row>
    <row r="54" spans="1:11" x14ac:dyDescent="0.25">
      <c r="A54" s="13"/>
      <c r="B54" s="285"/>
      <c r="C54" s="285"/>
      <c r="D54" s="285"/>
      <c r="E54" s="285"/>
    </row>
    <row r="55" spans="1:11" x14ac:dyDescent="0.25">
      <c r="A55" s="13"/>
      <c r="B55" s="285"/>
      <c r="C55" s="285"/>
      <c r="D55" s="285"/>
      <c r="E55" s="285"/>
    </row>
    <row r="56" spans="1:11" x14ac:dyDescent="0.25">
      <c r="A56" s="13"/>
      <c r="B56" s="285"/>
      <c r="C56" s="285"/>
      <c r="D56" s="285"/>
      <c r="E56" s="285"/>
    </row>
    <row r="57" spans="1:11" x14ac:dyDescent="0.25">
      <c r="A57" s="13"/>
      <c r="B57" s="77"/>
      <c r="C57" s="77"/>
      <c r="D57" s="77"/>
      <c r="H57" s="31"/>
      <c r="J57" s="62"/>
      <c r="K57" s="62"/>
    </row>
    <row r="58" spans="1:11" ht="15" customHeight="1" x14ac:dyDescent="0.25">
      <c r="A58" s="13" t="s">
        <v>36</v>
      </c>
      <c r="B58" s="285" t="s">
        <v>435</v>
      </c>
      <c r="C58" s="285"/>
      <c r="D58" s="285"/>
      <c r="E58" s="285"/>
      <c r="H58" s="31"/>
      <c r="J58" s="62"/>
      <c r="K58" s="62"/>
    </row>
    <row r="59" spans="1:11" x14ac:dyDescent="0.25">
      <c r="B59" s="285"/>
      <c r="C59" s="285"/>
      <c r="D59" s="285"/>
      <c r="E59" s="285"/>
      <c r="H59" s="31"/>
      <c r="J59" s="62"/>
      <c r="K59" s="62"/>
    </row>
    <row r="60" spans="1:11" x14ac:dyDescent="0.25">
      <c r="B60" s="285"/>
      <c r="C60" s="285"/>
      <c r="D60" s="285"/>
      <c r="E60" s="285"/>
      <c r="H60" s="31"/>
      <c r="J60" s="62"/>
      <c r="K60" s="62"/>
    </row>
    <row r="61" spans="1:11" x14ac:dyDescent="0.25">
      <c r="B61" s="285"/>
      <c r="C61" s="285"/>
      <c r="D61" s="285"/>
      <c r="E61" s="285"/>
      <c r="H61" s="250"/>
      <c r="J61" s="62"/>
      <c r="K61" s="62"/>
    </row>
    <row r="62" spans="1:11" x14ac:dyDescent="0.25">
      <c r="B62" s="285"/>
      <c r="C62" s="285"/>
      <c r="D62" s="285"/>
      <c r="E62" s="285"/>
      <c r="H62" s="31"/>
      <c r="J62" s="62"/>
      <c r="K62" s="62"/>
    </row>
    <row r="63" spans="1:11" ht="15" customHeight="1" x14ac:dyDescent="0.25">
      <c r="B63" s="31"/>
      <c r="C63" s="31"/>
      <c r="D63" s="31"/>
      <c r="E63" s="31"/>
    </row>
    <row r="64" spans="1:11" x14ac:dyDescent="0.25">
      <c r="A64" s="13" t="s">
        <v>37</v>
      </c>
      <c r="B64" s="285" t="s">
        <v>436</v>
      </c>
      <c r="C64" s="285"/>
      <c r="D64" s="285"/>
      <c r="E64" s="285"/>
    </row>
    <row r="65" spans="1:5" x14ac:dyDescent="0.25">
      <c r="B65" s="285"/>
      <c r="C65" s="285"/>
      <c r="D65" s="285"/>
      <c r="E65" s="285"/>
    </row>
    <row r="66" spans="1:5" x14ac:dyDescent="0.25">
      <c r="B66" s="285"/>
      <c r="C66" s="285"/>
      <c r="D66" s="285"/>
      <c r="E66" s="285"/>
    </row>
    <row r="67" spans="1:5" ht="15" customHeight="1" x14ac:dyDescent="0.25">
      <c r="B67" s="285"/>
      <c r="C67" s="285"/>
      <c r="D67" s="285"/>
      <c r="E67" s="285"/>
    </row>
    <row r="68" spans="1:5" ht="15" customHeight="1" x14ac:dyDescent="0.25">
      <c r="A68" s="13"/>
      <c r="B68" s="285"/>
      <c r="C68" s="285"/>
      <c r="D68" s="285"/>
      <c r="E68" s="285"/>
    </row>
    <row r="69" spans="1:5" ht="15" customHeight="1" x14ac:dyDescent="0.25">
      <c r="A69" s="13"/>
      <c r="B69" s="285"/>
      <c r="C69" s="285"/>
      <c r="D69" s="285"/>
      <c r="E69" s="285"/>
    </row>
    <row r="70" spans="1:5" ht="15" customHeight="1" x14ac:dyDescent="0.25">
      <c r="A70" s="13"/>
      <c r="B70" s="285"/>
      <c r="C70" s="285"/>
      <c r="D70" s="285"/>
      <c r="E70" s="285"/>
    </row>
    <row r="71" spans="1:5" ht="15" customHeight="1" x14ac:dyDescent="0.25">
      <c r="A71" s="13"/>
      <c r="B71" s="285"/>
      <c r="C71" s="285"/>
      <c r="D71" s="285"/>
      <c r="E71" s="285"/>
    </row>
    <row r="72" spans="1:5" x14ac:dyDescent="0.25">
      <c r="B72" s="285"/>
      <c r="C72" s="285"/>
      <c r="D72" s="285"/>
      <c r="E72" s="285"/>
    </row>
    <row r="73" spans="1:5" x14ac:dyDescent="0.25">
      <c r="B73" s="285"/>
      <c r="C73" s="285"/>
      <c r="D73" s="285"/>
      <c r="E73" s="285"/>
    </row>
    <row r="74" spans="1:5" x14ac:dyDescent="0.25">
      <c r="B74" s="285"/>
      <c r="C74" s="285"/>
      <c r="D74" s="285"/>
      <c r="E74" s="285"/>
    </row>
    <row r="75" spans="1:5" x14ac:dyDescent="0.25">
      <c r="B75" s="31"/>
      <c r="C75" s="31"/>
      <c r="D75" s="31"/>
      <c r="E75" s="31"/>
    </row>
    <row r="76" spans="1:5" x14ac:dyDescent="0.25">
      <c r="A76" s="13" t="s">
        <v>69</v>
      </c>
      <c r="B76" s="285" t="s">
        <v>437</v>
      </c>
      <c r="C76" s="285"/>
      <c r="D76" s="285"/>
      <c r="E76" s="285"/>
    </row>
    <row r="77" spans="1:5" x14ac:dyDescent="0.25">
      <c r="B77" s="285"/>
      <c r="C77" s="285"/>
      <c r="D77" s="285"/>
      <c r="E77" s="285"/>
    </row>
    <row r="78" spans="1:5" x14ac:dyDescent="0.25">
      <c r="B78" s="285"/>
      <c r="C78" s="285"/>
      <c r="D78" s="285"/>
      <c r="E78" s="285"/>
    </row>
    <row r="79" spans="1:5" x14ac:dyDescent="0.25">
      <c r="B79" s="285"/>
      <c r="C79" s="285"/>
      <c r="D79" s="285"/>
      <c r="E79" s="285"/>
    </row>
    <row r="80" spans="1:5" x14ac:dyDescent="0.25">
      <c r="B80" s="31"/>
      <c r="C80" s="31"/>
      <c r="D80" s="31"/>
    </row>
    <row r="81" spans="1:5" x14ac:dyDescent="0.25">
      <c r="A81" s="13" t="s">
        <v>439</v>
      </c>
      <c r="B81" s="285" t="s">
        <v>438</v>
      </c>
      <c r="C81" s="285"/>
      <c r="D81" s="285"/>
      <c r="E81" s="285"/>
    </row>
    <row r="82" spans="1:5" x14ac:dyDescent="0.25">
      <c r="B82" s="285"/>
      <c r="C82" s="285"/>
      <c r="D82" s="285"/>
      <c r="E82" s="285"/>
    </row>
    <row r="83" spans="1:5" x14ac:dyDescent="0.25">
      <c r="B83" s="285"/>
      <c r="C83" s="285"/>
      <c r="D83" s="285"/>
      <c r="E83" s="285"/>
    </row>
    <row r="84" spans="1:5" x14ac:dyDescent="0.25">
      <c r="B84" s="285"/>
      <c r="C84" s="285"/>
      <c r="D84" s="285"/>
      <c r="E84" s="285"/>
    </row>
    <row r="85" spans="1:5" x14ac:dyDescent="0.25">
      <c r="B85" s="285"/>
      <c r="C85" s="285"/>
      <c r="D85" s="285"/>
      <c r="E85" s="285"/>
    </row>
    <row r="86" spans="1:5" x14ac:dyDescent="0.25">
      <c r="B86" s="285"/>
      <c r="C86" s="285"/>
      <c r="D86" s="285"/>
      <c r="E86" s="285"/>
    </row>
    <row r="87" spans="1:5" x14ac:dyDescent="0.25">
      <c r="B87" s="285"/>
      <c r="C87" s="285"/>
      <c r="D87" s="285"/>
      <c r="E87" s="285"/>
    </row>
    <row r="88" spans="1:5" x14ac:dyDescent="0.25">
      <c r="B88" s="285"/>
      <c r="C88" s="285"/>
      <c r="D88" s="285"/>
      <c r="E88" s="285"/>
    </row>
    <row r="89" spans="1:5" x14ac:dyDescent="0.25">
      <c r="B89" s="285"/>
      <c r="C89" s="285"/>
      <c r="D89" s="285"/>
      <c r="E89" s="285"/>
    </row>
    <row r="90" spans="1:5" x14ac:dyDescent="0.25">
      <c r="B90" s="285"/>
      <c r="C90" s="285"/>
      <c r="D90" s="285"/>
      <c r="E90" s="285"/>
    </row>
    <row r="91" spans="1:5" x14ac:dyDescent="0.25">
      <c r="B91" s="285"/>
      <c r="C91" s="285"/>
      <c r="D91" s="285"/>
      <c r="E91" s="285"/>
    </row>
    <row r="92" spans="1:5" x14ac:dyDescent="0.25">
      <c r="B92" s="285"/>
      <c r="C92" s="285"/>
      <c r="D92" s="285"/>
      <c r="E92" s="285"/>
    </row>
  </sheetData>
  <mergeCells count="14">
    <mergeCell ref="B81:E92"/>
    <mergeCell ref="B58:E62"/>
    <mergeCell ref="B64:E74"/>
    <mergeCell ref="B76:E79"/>
    <mergeCell ref="H5:I5"/>
    <mergeCell ref="H9:I9"/>
    <mergeCell ref="H13:I13"/>
    <mergeCell ref="B39:E41"/>
    <mergeCell ref="B48:E56"/>
    <mergeCell ref="B4:B5"/>
    <mergeCell ref="C4:C5"/>
    <mergeCell ref="D4:D5"/>
    <mergeCell ref="E4:E5"/>
    <mergeCell ref="B43:E46"/>
  </mergeCells>
  <hyperlinks>
    <hyperlink ref="Q26" r:id="rId1" xr:uid="{AE606A53-A943-4B0D-8375-40D1F220FFB8}"/>
  </hyperlinks>
  <pageMargins left="0.25" right="0.25" top="0.75" bottom="0.75" header="0.3" footer="0.3"/>
  <pageSetup scale="3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101A-3A0A-4F5F-B629-2EDE05E711A5}">
  <sheetPr>
    <tabColor rgb="FF00B050"/>
    <pageSetUpPr fitToPage="1"/>
  </sheetPr>
  <dimension ref="A1:H72"/>
  <sheetViews>
    <sheetView view="pageBreakPreview" topLeftCell="A16" zoomScale="85" zoomScaleNormal="100" zoomScaleSheetLayoutView="85" workbookViewId="0">
      <selection activeCell="B39" sqref="B39:G42"/>
    </sheetView>
  </sheetViews>
  <sheetFormatPr defaultRowHeight="15" x14ac:dyDescent="0.25"/>
  <cols>
    <col min="2" max="8" width="15.7109375" customWidth="1"/>
    <col min="9" max="11" width="18.85546875" customWidth="1"/>
    <col min="12" max="12" width="19.42578125" customWidth="1"/>
    <col min="13" max="17" width="10.28515625" customWidth="1"/>
  </cols>
  <sheetData>
    <row r="1" spans="2:8" x14ac:dyDescent="0.25">
      <c r="B1" s="17">
        <v>1</v>
      </c>
      <c r="C1" s="17">
        <v>2</v>
      </c>
      <c r="D1" s="17">
        <v>3</v>
      </c>
      <c r="E1" s="17">
        <v>4</v>
      </c>
      <c r="F1" s="17">
        <v>5</v>
      </c>
      <c r="G1" s="17">
        <v>6</v>
      </c>
      <c r="H1" s="17"/>
    </row>
    <row r="2" spans="2:8" x14ac:dyDescent="0.25">
      <c r="B2" s="12" t="s">
        <v>65</v>
      </c>
      <c r="C2" s="12"/>
      <c r="D2" s="12"/>
      <c r="E2" s="12"/>
    </row>
    <row r="3" spans="2:8" ht="15.75" thickBot="1" x14ac:dyDescent="0.3"/>
    <row r="4" spans="2:8" ht="35.1" customHeight="1" x14ac:dyDescent="0.25">
      <c r="B4" s="292" t="s">
        <v>0</v>
      </c>
      <c r="C4" s="292" t="s">
        <v>152</v>
      </c>
      <c r="D4" s="292" t="s">
        <v>139</v>
      </c>
      <c r="E4" s="292" t="s">
        <v>140</v>
      </c>
      <c r="F4" s="294" t="s">
        <v>66</v>
      </c>
      <c r="G4" s="290" t="s">
        <v>1</v>
      </c>
      <c r="H4" s="119"/>
    </row>
    <row r="5" spans="2:8" ht="35.1" customHeight="1" thickBot="1" x14ac:dyDescent="0.3">
      <c r="B5" s="293"/>
      <c r="C5" s="293"/>
      <c r="D5" s="293"/>
      <c r="E5" s="293"/>
      <c r="F5" s="295"/>
      <c r="G5" s="291"/>
      <c r="H5" s="119"/>
    </row>
    <row r="6" spans="2:8" ht="16.5" customHeight="1" x14ac:dyDescent="0.25">
      <c r="B6" s="1">
        <f>Assumptions!D8</f>
        <v>2026</v>
      </c>
      <c r="C6" s="120">
        <f>_xlfn.XLOOKUP($B6,'Air Quality'!$B$5:$B$34,'Air Quality'!$F$5:$F$34)</f>
        <v>17864.632302022073</v>
      </c>
      <c r="D6" s="117">
        <f>C6*Assumptions!$D$22*Assumptions!$D$13</f>
        <v>7637.1303091144364</v>
      </c>
      <c r="E6" s="117">
        <f>1*C6*Assumptions!$D$23*Assumptions!$D$14</f>
        <v>839.63771819503825</v>
      </c>
      <c r="F6" s="117">
        <f>SUM(D6:E6)</f>
        <v>8476.7680273094738</v>
      </c>
      <c r="G6" s="126">
        <f>F6*(1+0.07)^-(B6-Assumptions!$D$4)</f>
        <v>5648.4284580941066</v>
      </c>
      <c r="H6" s="40"/>
    </row>
    <row r="7" spans="2:8" x14ac:dyDescent="0.25">
      <c r="B7" s="2">
        <f t="shared" ref="B7:B35" si="0">+B6+1</f>
        <v>2027</v>
      </c>
      <c r="C7" s="120">
        <f>_xlfn.XLOOKUP($B7,'Air Quality'!$B$5:$B$34,'Air Quality'!$F$5:$F$34)</f>
        <v>19026.261157223955</v>
      </c>
      <c r="D7" s="101">
        <f>1*C7*Assumptions!$D$22*Assumptions!$D$13</f>
        <v>8133.7266447132397</v>
      </c>
      <c r="E7" s="101">
        <f>1*C7*Assumptions!$D$23*Assumptions!$D$14</f>
        <v>894.2342743895266</v>
      </c>
      <c r="F7" s="101">
        <f t="shared" ref="F7:F35" si="1">SUM(D7:E7)</f>
        <v>9027.9609191027666</v>
      </c>
      <c r="G7" s="102">
        <f>F7*(1+0.07)^-(B7-Assumptions!$D$4)</f>
        <v>5622.1603321154234</v>
      </c>
      <c r="H7" s="40"/>
    </row>
    <row r="8" spans="2:8" x14ac:dyDescent="0.25">
      <c r="B8" s="2">
        <f t="shared" si="0"/>
        <v>2028</v>
      </c>
      <c r="C8" s="120">
        <f>_xlfn.XLOOKUP($B8,'Air Quality'!$B$5:$B$34,'Air Quality'!$F$5:$F$34)</f>
        <v>20187.890012426302</v>
      </c>
      <c r="D8" s="101">
        <f>1*C8*Assumptions!$D$22*Assumptions!$D$13</f>
        <v>8630.3229803122449</v>
      </c>
      <c r="E8" s="101">
        <f>1*C8*Assumptions!$D$23*Assumptions!$D$14</f>
        <v>948.8308305840369</v>
      </c>
      <c r="F8" s="101">
        <f t="shared" si="1"/>
        <v>9579.1538108962814</v>
      </c>
      <c r="G8" s="102">
        <f>F8*(1+0.07)^-(B8-Assumptions!$D$4)</f>
        <v>5575.1547319705196</v>
      </c>
      <c r="H8" s="40"/>
    </row>
    <row r="9" spans="2:8" x14ac:dyDescent="0.25">
      <c r="B9" s="2">
        <f t="shared" si="0"/>
        <v>2029</v>
      </c>
      <c r="C9" s="120">
        <f>_xlfn.XLOOKUP($B9,'Air Quality'!$B$5:$B$34,'Air Quality'!$F$5:$F$34)</f>
        <v>21349.518867628649</v>
      </c>
      <c r="D9" s="101">
        <f>1*C9*Assumptions!$D$22*Assumptions!$D$13</f>
        <v>9126.9193159112474</v>
      </c>
      <c r="E9" s="101">
        <f>1*C9*Assumptions!$D$23*Assumptions!$D$14</f>
        <v>1003.4273867785474</v>
      </c>
      <c r="F9" s="101">
        <f t="shared" si="1"/>
        <v>10130.346702689794</v>
      </c>
      <c r="G9" s="102">
        <f>F9*(1+0.07)^-(B9-Assumptions!$D$4)</f>
        <v>5510.2373956690435</v>
      </c>
      <c r="H9" s="40"/>
    </row>
    <row r="10" spans="2:8" ht="15" customHeight="1" x14ac:dyDescent="0.25">
      <c r="B10" s="2">
        <f t="shared" si="0"/>
        <v>2030</v>
      </c>
      <c r="C10" s="120">
        <f>_xlfn.XLOOKUP($B10,'Air Quality'!$B$5:$B$34,'Air Quality'!$F$5:$F$34)</f>
        <v>22511.14772283053</v>
      </c>
      <c r="D10" s="101">
        <f>1*C10*Assumptions!$D$22*Assumptions!$D$13</f>
        <v>9623.5156515100516</v>
      </c>
      <c r="E10" s="101">
        <f>1*C10*Assumptions!$D$23*Assumptions!$D$14</f>
        <v>1058.0239429730359</v>
      </c>
      <c r="F10" s="101">
        <f t="shared" si="1"/>
        <v>10681.539594483087</v>
      </c>
      <c r="G10" s="102">
        <f>F10*(1+0.07)^-(B10-Assumptions!$D$4)</f>
        <v>5429.9530917644379</v>
      </c>
      <c r="H10" s="40"/>
    </row>
    <row r="11" spans="2:8" x14ac:dyDescent="0.25">
      <c r="B11" s="2">
        <f t="shared" si="0"/>
        <v>2031</v>
      </c>
      <c r="C11" s="120">
        <f>_xlfn.XLOOKUP($B11,'Air Quality'!$B$5:$B$34,'Air Quality'!$F$5:$F$34)</f>
        <v>23672.776578032877</v>
      </c>
      <c r="D11" s="101">
        <f>1*C11*Assumptions!$D$22*Assumptions!$D$13</f>
        <v>10120.111987109056</v>
      </c>
      <c r="E11" s="101">
        <f>1*C11*Assumptions!$D$23*Assumptions!$D$14</f>
        <v>1112.6204991675461</v>
      </c>
      <c r="F11" s="101">
        <f t="shared" ref="F11:F26" si="2">SUM(D11:E11)</f>
        <v>11232.732486276602</v>
      </c>
      <c r="G11" s="102">
        <f>F11*(1+0.07)^-(B11-Assumptions!$D$4)</f>
        <v>5336.59028797884</v>
      </c>
      <c r="H11" s="40"/>
    </row>
    <row r="12" spans="2:8" x14ac:dyDescent="0.25">
      <c r="B12" s="2">
        <f t="shared" si="0"/>
        <v>2032</v>
      </c>
      <c r="C12" s="120">
        <f>_xlfn.XLOOKUP($B12,'Air Quality'!$B$5:$B$34,'Air Quality'!$F$5:$F$34)</f>
        <v>24834.405433235224</v>
      </c>
      <c r="D12" s="101">
        <f>1*C12*Assumptions!$D$22*Assumptions!$D$13</f>
        <v>10616.708322708058</v>
      </c>
      <c r="E12" s="101">
        <f>1*C12*Assumptions!$D$23*Assumptions!$D$14</f>
        <v>1167.2170553620565</v>
      </c>
      <c r="F12" s="101">
        <f t="shared" si="2"/>
        <v>11783.925378070115</v>
      </c>
      <c r="G12" s="102">
        <f>F12*(1+0.07)^-(B12-Assumptions!$D$4)</f>
        <v>5232.2037946635337</v>
      </c>
      <c r="H12" s="40"/>
    </row>
    <row r="13" spans="2:8" x14ac:dyDescent="0.25">
      <c r="B13" s="2">
        <f t="shared" si="0"/>
        <v>2033</v>
      </c>
      <c r="C13" s="120">
        <f>_xlfn.XLOOKUP($B13,'Air Quality'!$B$5:$B$34,'Air Quality'!$F$5:$F$34)</f>
        <v>25996.034288437106</v>
      </c>
      <c r="D13" s="101">
        <f>1*C13*Assumptions!$D$22*Assumptions!$D$13</f>
        <v>11113.304658306863</v>
      </c>
      <c r="E13" s="101">
        <f>1*C13*Assumptions!$D$23*Assumptions!$D$14</f>
        <v>1221.8136115565451</v>
      </c>
      <c r="F13" s="101">
        <f t="shared" si="2"/>
        <v>12335.118269863407</v>
      </c>
      <c r="G13" s="102">
        <f>F13*(1+0.07)^-(B13-Assumptions!$D$4)</f>
        <v>5118.6355424936819</v>
      </c>
      <c r="H13" s="40"/>
    </row>
    <row r="14" spans="2:8" ht="15" customHeight="1" x14ac:dyDescent="0.25">
      <c r="B14" s="2">
        <f t="shared" si="0"/>
        <v>2034</v>
      </c>
      <c r="C14" s="120">
        <f>_xlfn.XLOOKUP($B14,'Air Quality'!$B$5:$B$34,'Air Quality'!$F$5:$F$34)</f>
        <v>27157.663143639453</v>
      </c>
      <c r="D14" s="101">
        <f>1*C14*Assumptions!$D$22*Assumptions!$D$13</f>
        <v>11609.900993905867</v>
      </c>
      <c r="E14" s="101">
        <f>1*C14*Assumptions!$D$23*Assumptions!$D$14</f>
        <v>1276.4101677510553</v>
      </c>
      <c r="F14" s="101">
        <f t="shared" si="2"/>
        <v>12886.311161656922</v>
      </c>
      <c r="G14" s="102">
        <f>F14*(1+0.07)^-(B14-Assumptions!$D$4)</f>
        <v>4997.5336416045466</v>
      </c>
      <c r="H14" s="40"/>
    </row>
    <row r="15" spans="2:8" x14ac:dyDescent="0.25">
      <c r="B15" s="2">
        <f t="shared" si="0"/>
        <v>2035</v>
      </c>
      <c r="C15" s="120">
        <f>_xlfn.XLOOKUP($B15,'Air Quality'!$B$5:$B$34,'Air Quality'!$F$5:$F$34)</f>
        <v>28319.2919988418</v>
      </c>
      <c r="D15" s="101">
        <f>1*C15*Assumptions!$D$22*Assumptions!$D$13</f>
        <v>12106.497329504869</v>
      </c>
      <c r="E15" s="101">
        <f>1*C15*Assumptions!$D$23*Assumptions!$D$14</f>
        <v>1331.0067239455657</v>
      </c>
      <c r="F15" s="101">
        <f t="shared" si="2"/>
        <v>13437.504053450435</v>
      </c>
      <c r="G15" s="102">
        <f>F15*(1+0.07)^-(B15-Assumptions!$D$4)</f>
        <v>4870.369858101184</v>
      </c>
      <c r="H15" s="40"/>
    </row>
    <row r="16" spans="2:8" x14ac:dyDescent="0.25">
      <c r="B16" s="2">
        <f t="shared" si="0"/>
        <v>2036</v>
      </c>
      <c r="C16" s="120">
        <f>_xlfn.XLOOKUP($B16,'Air Quality'!$B$5:$B$34,'Air Quality'!$F$5:$F$34)</f>
        <v>29480.920854043681</v>
      </c>
      <c r="D16" s="101">
        <f>1*C16*Assumptions!$D$22*Assumptions!$D$13</f>
        <v>12603.093665103674</v>
      </c>
      <c r="E16" s="101">
        <f>1*C16*Assumptions!$D$23*Assumptions!$D$14</f>
        <v>1385.6032801400543</v>
      </c>
      <c r="F16" s="101">
        <f t="shared" si="2"/>
        <v>13988.696945243728</v>
      </c>
      <c r="G16" s="102">
        <f>F16*(1+0.07)^-(B16-Assumptions!$D$4)</f>
        <v>4738.4556334456311</v>
      </c>
      <c r="H16" s="40"/>
    </row>
    <row r="17" spans="2:8" x14ac:dyDescent="0.25">
      <c r="B17" s="2">
        <f t="shared" si="0"/>
        <v>2037</v>
      </c>
      <c r="C17" s="120">
        <f>_xlfn.XLOOKUP($B17,'Air Quality'!$B$5:$B$34,'Air Quality'!$F$5:$F$34)</f>
        <v>30642.549709246028</v>
      </c>
      <c r="D17" s="101">
        <f>1*C17*Assumptions!$D$22*Assumptions!$D$13</f>
        <v>13099.690000702678</v>
      </c>
      <c r="E17" s="101">
        <f>1*C17*Assumptions!$D$23*Assumptions!$D$14</f>
        <v>1440.1998363345645</v>
      </c>
      <c r="F17" s="101">
        <f t="shared" si="2"/>
        <v>14539.889837037243</v>
      </c>
      <c r="G17" s="102">
        <f>F17*(1+0.07)^-(B17-Assumptions!$D$4)</f>
        <v>4602.9567625753753</v>
      </c>
      <c r="H17" s="40"/>
    </row>
    <row r="18" spans="2:8" x14ac:dyDescent="0.25">
      <c r="B18" s="2">
        <f t="shared" si="0"/>
        <v>2038</v>
      </c>
      <c r="C18" s="120">
        <f>_xlfn.XLOOKUP($B18,'Air Quality'!$B$5:$B$34,'Air Quality'!$F$5:$F$34)</f>
        <v>31804.17856444791</v>
      </c>
      <c r="D18" s="101">
        <f>1*C18*Assumptions!$D$22*Assumptions!$D$13</f>
        <v>13596.28633630148</v>
      </c>
      <c r="E18" s="101">
        <f>1*C18*Assumptions!$D$23*Assumptions!$D$14</f>
        <v>1494.796392529053</v>
      </c>
      <c r="F18" s="101">
        <f t="shared" si="2"/>
        <v>15091.082728830534</v>
      </c>
      <c r="G18" s="102">
        <f>F18*(1+0.07)^-(B18-Assumptions!$D$4)</f>
        <v>4464.9068376850337</v>
      </c>
      <c r="H18" s="40"/>
    </row>
    <row r="19" spans="2:8" x14ac:dyDescent="0.25">
      <c r="B19" s="2">
        <f t="shared" si="0"/>
        <v>2039</v>
      </c>
      <c r="C19" s="120">
        <f>_xlfn.XLOOKUP($B19,'Air Quality'!$B$5:$B$34,'Air Quality'!$F$5:$F$34)</f>
        <v>32965.807419650257</v>
      </c>
      <c r="D19" s="101">
        <f>1*C19*Assumptions!$D$22*Assumptions!$D$13</f>
        <v>14092.882671900483</v>
      </c>
      <c r="E19" s="101">
        <f>1*C19*Assumptions!$D$23*Assumptions!$D$14</f>
        <v>1549.3929487235634</v>
      </c>
      <c r="F19" s="101">
        <f t="shared" si="2"/>
        <v>15642.275620624046</v>
      </c>
      <c r="G19" s="102">
        <f>F19*(1+0.07)^-(B19-Assumptions!$D$4)</f>
        <v>4325.2195563548494</v>
      </c>
      <c r="H19" s="40"/>
    </row>
    <row r="20" spans="2:8" x14ac:dyDescent="0.25">
      <c r="B20" s="2">
        <f t="shared" si="0"/>
        <v>2040</v>
      </c>
      <c r="C20" s="120">
        <f>_xlfn.XLOOKUP($B20,'Air Quality'!$B$5:$B$34,'Air Quality'!$F$5:$F$34)</f>
        <v>34127.436274852604</v>
      </c>
      <c r="D20" s="101">
        <f>1*C20*Assumptions!$D$22*Assumptions!$D$13</f>
        <v>14589.479007499489</v>
      </c>
      <c r="E20" s="101">
        <f>1*C20*Assumptions!$D$23*Assumptions!$D$14</f>
        <v>1603.9895049180736</v>
      </c>
      <c r="F20" s="101">
        <f t="shared" si="2"/>
        <v>16193.468512417563</v>
      </c>
      <c r="G20" s="102">
        <f>F20*(1+0.07)^-(B20-Assumptions!$D$4)</f>
        <v>4184.6999850767288</v>
      </c>
      <c r="H20" s="40"/>
    </row>
    <row r="21" spans="2:8" x14ac:dyDescent="0.25">
      <c r="B21" s="2">
        <f t="shared" si="0"/>
        <v>2041</v>
      </c>
      <c r="C21" s="120">
        <f>_xlfn.XLOOKUP($B21,'Air Quality'!$B$5:$B$34,'Air Quality'!$F$5:$F$34)</f>
        <v>35289.065130054485</v>
      </c>
      <c r="D21" s="101">
        <f>1*C21*Assumptions!$D$22*Assumptions!$D$13</f>
        <v>15086.075343098291</v>
      </c>
      <c r="E21" s="101">
        <f>1*C21*Assumptions!$D$23*Assumptions!$D$14</f>
        <v>1658.5860611125622</v>
      </c>
      <c r="F21" s="101">
        <f t="shared" si="2"/>
        <v>16744.661404210852</v>
      </c>
      <c r="G21" s="102">
        <f>F21*(1+0.07)^-(B21-Assumptions!$D$4)</f>
        <v>4044.0548621794792</v>
      </c>
      <c r="H21" s="40"/>
    </row>
    <row r="22" spans="2:8" x14ac:dyDescent="0.25">
      <c r="B22" s="2">
        <f t="shared" si="0"/>
        <v>2042</v>
      </c>
      <c r="C22" s="120">
        <f>_xlfn.XLOOKUP($B22,'Air Quality'!$B$5:$B$34,'Air Quality'!$F$5:$F$34)</f>
        <v>36450.693985256832</v>
      </c>
      <c r="D22" s="101">
        <f>1*C22*Assumptions!$D$22*Assumptions!$D$13</f>
        <v>15582.671678697296</v>
      </c>
      <c r="E22" s="101">
        <f>1*C22*Assumptions!$D$23*Assumptions!$D$14</f>
        <v>1713.1826173070724</v>
      </c>
      <c r="F22" s="101">
        <f t="shared" si="2"/>
        <v>17295.854296004367</v>
      </c>
      <c r="G22" s="102">
        <f>F22*(1+0.07)^-(B22-Assumptions!$D$4)</f>
        <v>3903.9020176324707</v>
      </c>
      <c r="H22" s="40"/>
    </row>
    <row r="23" spans="2:8" x14ac:dyDescent="0.25">
      <c r="B23" s="2">
        <f t="shared" si="0"/>
        <v>2043</v>
      </c>
      <c r="C23" s="120">
        <f>_xlfn.XLOOKUP($B23,'Air Quality'!$B$5:$B$34,'Air Quality'!$F$5:$F$34)</f>
        <v>37612.322840459179</v>
      </c>
      <c r="D23" s="101">
        <f>1*C23*Assumptions!$D$22*Assumptions!$D$13</f>
        <v>16079.268014296298</v>
      </c>
      <c r="E23" s="101">
        <f>1*C23*Assumptions!$D$23*Assumptions!$D$14</f>
        <v>1767.7791735015828</v>
      </c>
      <c r="F23" s="101">
        <f t="shared" si="2"/>
        <v>17847.047187797882</v>
      </c>
      <c r="G23" s="102">
        <f>F23*(1+0.07)^-(B23-Assumptions!$D$4)</f>
        <v>3764.7789811808957</v>
      </c>
      <c r="H23" s="40"/>
    </row>
    <row r="24" spans="2:8" x14ac:dyDescent="0.25">
      <c r="B24" s="2">
        <f t="shared" si="0"/>
        <v>2044</v>
      </c>
      <c r="C24" s="120">
        <f>_xlfn.XLOOKUP($B24,'Air Quality'!$B$5:$B$34,'Air Quality'!$F$5:$F$34)</f>
        <v>38773.951695661061</v>
      </c>
      <c r="D24" s="101">
        <f>1*C24*Assumptions!$D$22*Assumptions!$D$13</f>
        <v>16575.864349895106</v>
      </c>
      <c r="E24" s="101">
        <f>1*C24*Assumptions!$D$23*Assumptions!$D$14</f>
        <v>1822.3757296960716</v>
      </c>
      <c r="F24" s="101">
        <f t="shared" si="2"/>
        <v>18398.240079591178</v>
      </c>
      <c r="G24" s="102">
        <f>F24*(1+0.07)^-(B24-Assumptions!$D$4)</f>
        <v>3627.1508446978751</v>
      </c>
      <c r="H24" s="40"/>
    </row>
    <row r="25" spans="2:8" x14ac:dyDescent="0.25">
      <c r="B25" s="2">
        <f t="shared" si="0"/>
        <v>2045</v>
      </c>
      <c r="C25" s="120">
        <f>_xlfn.XLOOKUP($B25,'Air Quality'!$B$5:$B$34,'Air Quality'!$F$5:$F$34)</f>
        <v>39935.580550863408</v>
      </c>
      <c r="D25" s="101">
        <f>1*C25*Assumptions!$D$22*Assumptions!$D$13</f>
        <v>17072.460685494108</v>
      </c>
      <c r="E25" s="101">
        <f>1*C25*Assumptions!$D$23*Assumptions!$D$14</f>
        <v>1876.9722858905816</v>
      </c>
      <c r="F25" s="101">
        <f t="shared" si="2"/>
        <v>18949.432971384689</v>
      </c>
      <c r="G25" s="102">
        <f>F25*(1+0.07)^-(B25-Assumptions!$D$4)</f>
        <v>3491.4174394904371</v>
      </c>
      <c r="H25" s="40"/>
    </row>
    <row r="26" spans="2:8" x14ac:dyDescent="0.25">
      <c r="B26" s="2">
        <f t="shared" si="0"/>
        <v>2046</v>
      </c>
      <c r="C26" s="120">
        <f>_xlfn.XLOOKUP($B26,'Air Quality'!$B$5:$B$34,'Air Quality'!$F$5:$F$34)</f>
        <v>41097.209406065755</v>
      </c>
      <c r="D26" s="101">
        <f>1*C26*Assumptions!$D$22*Assumptions!$D$13</f>
        <v>17569.057021093111</v>
      </c>
      <c r="E26" s="101">
        <f>1*C26*Assumptions!$D$23*Assumptions!$D$14</f>
        <v>1931.568842085092</v>
      </c>
      <c r="F26" s="101">
        <f t="shared" si="2"/>
        <v>19500.625863178204</v>
      </c>
      <c r="G26" s="102">
        <f>F26*(1+0.07)^-(B26-Assumptions!$D$4)</f>
        <v>3357.9198845415867</v>
      </c>
    </row>
    <row r="27" spans="2:8" x14ac:dyDescent="0.25">
      <c r="B27" s="2">
        <f t="shared" si="0"/>
        <v>2047</v>
      </c>
      <c r="C27" s="120">
        <f>_xlfn.XLOOKUP($B27,'Air Quality'!$B$5:$B$34,'Air Quality'!$F$5:$F$34)</f>
        <v>42258.838261267636</v>
      </c>
      <c r="D27" s="101">
        <f>1*C27*Assumptions!$D$22*Assumptions!$D$13</f>
        <v>18065.653356691917</v>
      </c>
      <c r="E27" s="101">
        <f>1*C27*Assumptions!$D$23*Assumptions!$D$14</f>
        <v>1986.1653982795808</v>
      </c>
      <c r="F27" s="101">
        <f t="shared" si="1"/>
        <v>20051.818754971497</v>
      </c>
      <c r="G27" s="102">
        <f>F27*(1+0.07)^-(B27-Assumptions!$D$4)</f>
        <v>3226.9465572788154</v>
      </c>
    </row>
    <row r="28" spans="2:8" x14ac:dyDescent="0.25">
      <c r="B28" s="2">
        <f t="shared" si="0"/>
        <v>2048</v>
      </c>
      <c r="C28" s="120">
        <f>_xlfn.XLOOKUP($B28,'Air Quality'!$B$5:$B$34,'Air Quality'!$F$5:$F$34)</f>
        <v>43420.467116469983</v>
      </c>
      <c r="D28" s="101">
        <f>1*C28*Assumptions!$D$22*Assumptions!$D$13</f>
        <v>18562.249692290919</v>
      </c>
      <c r="E28" s="101">
        <f>1*C28*Assumptions!$D$23*Assumptions!$D$14</f>
        <v>2040.7619544740908</v>
      </c>
      <c r="F28" s="101">
        <f t="shared" si="1"/>
        <v>20603.011646765011</v>
      </c>
      <c r="G28" s="102">
        <f>F28*(1+0.07)^-(B28-Assumptions!$D$4)</f>
        <v>3098.7385344004874</v>
      </c>
      <c r="H28" s="77"/>
    </row>
    <row r="29" spans="2:8" ht="15" customHeight="1" x14ac:dyDescent="0.25">
      <c r="B29" s="2">
        <f t="shared" si="0"/>
        <v>2049</v>
      </c>
      <c r="C29" s="120">
        <f>_xlfn.XLOOKUP($B29,'Air Quality'!$B$5:$B$34,'Air Quality'!$F$5:$F$34)</f>
        <v>44582.09597167233</v>
      </c>
      <c r="D29" s="101">
        <f>1*C29*Assumptions!$D$22*Assumptions!$D$13</f>
        <v>19058.846027889922</v>
      </c>
      <c r="E29" s="101">
        <f>1*C29*Assumptions!$D$23*Assumptions!$D$14</f>
        <v>2095.3585106686014</v>
      </c>
      <c r="F29" s="101">
        <f t="shared" si="1"/>
        <v>21154.204538558522</v>
      </c>
      <c r="G29" s="102">
        <f>F29*(1+0.07)^-(B29-Assumptions!$D$4)</f>
        <v>2973.494546544001</v>
      </c>
      <c r="H29" s="77"/>
    </row>
    <row r="30" spans="2:8" ht="15" customHeight="1" x14ac:dyDescent="0.25">
      <c r="B30" s="2">
        <f t="shared" si="0"/>
        <v>2050</v>
      </c>
      <c r="C30" s="120">
        <f>_xlfn.XLOOKUP($B30,'Air Quality'!$B$5:$B$34,'Air Quality'!$F$5:$F$34)</f>
        <v>45743.724826874211</v>
      </c>
      <c r="D30" s="101">
        <f>1*C30*Assumptions!$D$22*Assumptions!$D$13</f>
        <v>19555.442363488728</v>
      </c>
      <c r="E30" s="101">
        <f>1*C30*Assumptions!$D$23*Assumptions!$D$14</f>
        <v>2149.95506686309</v>
      </c>
      <c r="F30" s="101">
        <f t="shared" si="1"/>
        <v>21705.397430351819</v>
      </c>
      <c r="G30" s="102">
        <f>F30*(1+0.07)^-(B30-Assumptions!$D$4)</f>
        <v>2851.3754871199603</v>
      </c>
      <c r="H30" s="77"/>
    </row>
    <row r="31" spans="2:8" ht="15" customHeight="1" x14ac:dyDescent="0.25">
      <c r="B31" s="2">
        <f t="shared" si="0"/>
        <v>2051</v>
      </c>
      <c r="C31" s="120">
        <f>_xlfn.XLOOKUP($B31,'Air Quality'!$B$5:$B$34,'Air Quality'!$F$5:$F$34)</f>
        <v>46905.353682076558</v>
      </c>
      <c r="D31" s="101">
        <f>1*C31*Assumptions!$D$22*Assumptions!$D$13</f>
        <v>20052.03869908773</v>
      </c>
      <c r="E31" s="101">
        <f>1*C31*Assumptions!$D$23*Assumptions!$D$14</f>
        <v>2204.5516230576</v>
      </c>
      <c r="F31" s="101">
        <f t="shared" si="1"/>
        <v>22256.59032214533</v>
      </c>
      <c r="G31" s="102">
        <f>F31*(1+0.07)^-(B31-Assumptions!$D$4)</f>
        <v>2732.508512440163</v>
      </c>
    </row>
    <row r="32" spans="2:8" x14ac:dyDescent="0.25">
      <c r="B32" s="2">
        <f t="shared" si="0"/>
        <v>2052</v>
      </c>
      <c r="C32" s="120">
        <f>_xlfn.XLOOKUP($B32,'Air Quality'!$B$5:$B$34,'Air Quality'!$F$5:$F$34)</f>
        <v>48066.982537278906</v>
      </c>
      <c r="D32" s="101">
        <f>1*C32*Assumptions!$D$22*Assumptions!$D$13</f>
        <v>20548.635034686733</v>
      </c>
      <c r="E32" s="101">
        <f>1*C32*Assumptions!$D$23*Assumptions!$D$14</f>
        <v>2259.1481792521104</v>
      </c>
      <c r="F32" s="101">
        <f t="shared" si="1"/>
        <v>22807.783213938845</v>
      </c>
      <c r="G32" s="102">
        <f>F32*(1+0.07)^-(B32-Assumptions!$D$4)</f>
        <v>2616.9907673176617</v>
      </c>
      <c r="H32" s="40"/>
    </row>
    <row r="33" spans="1:8" x14ac:dyDescent="0.25">
      <c r="B33" s="2">
        <f t="shared" si="0"/>
        <v>2053</v>
      </c>
      <c r="C33" s="120">
        <f>_xlfn.XLOOKUP($B33,'Air Quality'!$B$5:$B$34,'Air Quality'!$F$5:$F$34)</f>
        <v>49228.611392480787</v>
      </c>
      <c r="D33" s="101">
        <f>1*C33*Assumptions!$D$22*Assumptions!$D$13</f>
        <v>21045.231370285539</v>
      </c>
      <c r="E33" s="101">
        <f>1*C33*Assumptions!$D$23*Assumptions!$D$14</f>
        <v>2313.744735446599</v>
      </c>
      <c r="F33" s="101">
        <f t="shared" si="1"/>
        <v>23358.976105732138</v>
      </c>
      <c r="G33" s="102">
        <f>F33*(1+0.07)^-(B33-Assumptions!$D$4)</f>
        <v>2504.8927675950781</v>
      </c>
      <c r="H33" s="40"/>
    </row>
    <row r="34" spans="1:8" ht="15" customHeight="1" x14ac:dyDescent="0.25">
      <c r="B34" s="2">
        <f t="shared" si="0"/>
        <v>2054</v>
      </c>
      <c r="C34" s="120">
        <f>_xlfn.XLOOKUP($B34,'Air Quality'!$B$5:$B$34,'Air Quality'!$F$5:$F$34)</f>
        <v>50390.240247683134</v>
      </c>
      <c r="D34" s="101">
        <f>1*C34*Assumptions!$D$22*Assumptions!$D$13</f>
        <v>21541.827705884542</v>
      </c>
      <c r="E34" s="101">
        <f>1*C34*Assumptions!$D$23*Assumptions!$D$14</f>
        <v>2368.3412916411094</v>
      </c>
      <c r="F34" s="101">
        <f t="shared" si="1"/>
        <v>23910.168997525652</v>
      </c>
      <c r="G34" s="102">
        <f>F34*(1+0.07)^-(B34-Assumptions!$D$4)</f>
        <v>2396.2614685438307</v>
      </c>
      <c r="H34" s="77"/>
    </row>
    <row r="35" spans="1:8" ht="15.75" thickBot="1" x14ac:dyDescent="0.3">
      <c r="B35" s="3">
        <f t="shared" si="0"/>
        <v>2055</v>
      </c>
      <c r="C35" s="171">
        <f>_xlfn.XLOOKUP($B35,'Air Quality'!$B$5:$B$34,'Air Quality'!$F$5:$F$34)</f>
        <v>51551.869102885481</v>
      </c>
      <c r="D35" s="103">
        <f>1*C35*Assumptions!$D$22*Assumptions!$D$13</f>
        <v>22038.424041483544</v>
      </c>
      <c r="E35" s="103">
        <f>1*C35*Assumptions!$D$23*Assumptions!$D$14</f>
        <v>2422.9378478356198</v>
      </c>
      <c r="F35" s="103">
        <f t="shared" si="1"/>
        <v>24461.361889319163</v>
      </c>
      <c r="G35" s="127">
        <f>F35*(1+0.07)^-(B35-Assumptions!$D$4)</f>
        <v>2291.1230457583351</v>
      </c>
      <c r="H35" s="77"/>
    </row>
    <row r="36" spans="1:8" ht="15.75" thickBot="1" x14ac:dyDescent="0.3">
      <c r="B36" s="4"/>
      <c r="C36" s="4"/>
      <c r="D36" s="98" t="s">
        <v>2</v>
      </c>
      <c r="E36" s="98"/>
      <c r="F36" s="40"/>
      <c r="G36" s="74">
        <f>SUM(G6:G35)</f>
        <v>122539.061626314</v>
      </c>
      <c r="H36" s="77"/>
    </row>
    <row r="37" spans="1:8" x14ac:dyDescent="0.25">
      <c r="H37" s="77"/>
    </row>
    <row r="38" spans="1:8" x14ac:dyDescent="0.25">
      <c r="B38" s="12" t="s">
        <v>3</v>
      </c>
      <c r="C38" s="12"/>
      <c r="D38" s="12"/>
      <c r="E38" s="12"/>
      <c r="H38" s="77"/>
    </row>
    <row r="39" spans="1:8" ht="15" customHeight="1" x14ac:dyDescent="0.25">
      <c r="A39" s="13" t="s">
        <v>27</v>
      </c>
      <c r="B39" s="285" t="str">
        <f>Assumptions!C45</f>
        <v>Vehicle operational costs  were valued in accordance with the Benefit-Cost Analysis Guidance for Discretionary Grant Programs - March 2022 (Revised). The recommended values for travel time were provided in year 2020 dollars.</v>
      </c>
      <c r="C39" s="285"/>
      <c r="D39" s="285"/>
      <c r="E39" s="285"/>
      <c r="F39" s="285"/>
      <c r="G39" s="285"/>
      <c r="H39" s="77"/>
    </row>
    <row r="40" spans="1:8" x14ac:dyDescent="0.25">
      <c r="B40" s="285"/>
      <c r="C40" s="285"/>
      <c r="D40" s="285"/>
      <c r="E40" s="285"/>
      <c r="F40" s="285"/>
      <c r="G40" s="285"/>
      <c r="H40" s="50"/>
    </row>
    <row r="41" spans="1:8" x14ac:dyDescent="0.25">
      <c r="B41" s="285"/>
      <c r="C41" s="285"/>
      <c r="D41" s="285"/>
      <c r="E41" s="285"/>
      <c r="F41" s="285"/>
      <c r="G41" s="285"/>
      <c r="H41" s="49"/>
    </row>
    <row r="42" spans="1:8" x14ac:dyDescent="0.25">
      <c r="B42" s="285"/>
      <c r="C42" s="285"/>
      <c r="D42" s="285"/>
      <c r="E42" s="285"/>
      <c r="F42" s="285"/>
      <c r="G42" s="285"/>
      <c r="H42" s="49"/>
    </row>
    <row r="43" spans="1:8" x14ac:dyDescent="0.25">
      <c r="B43" s="77"/>
      <c r="C43" s="77"/>
      <c r="D43" s="77"/>
      <c r="E43" s="77"/>
      <c r="F43" s="77"/>
      <c r="G43" s="77"/>
      <c r="H43" s="49"/>
    </row>
    <row r="44" spans="1:8" ht="15" customHeight="1" x14ac:dyDescent="0.25">
      <c r="A44" s="13" t="s">
        <v>35</v>
      </c>
      <c r="B44" s="285" t="s">
        <v>440</v>
      </c>
      <c r="C44" s="285"/>
      <c r="D44" s="285"/>
      <c r="E44" s="285"/>
      <c r="F44" s="285"/>
      <c r="G44" s="285"/>
      <c r="H44" s="49"/>
    </row>
    <row r="45" spans="1:8" x14ac:dyDescent="0.25">
      <c r="B45" s="285"/>
      <c r="C45" s="285"/>
      <c r="D45" s="285"/>
      <c r="E45" s="285"/>
      <c r="F45" s="285"/>
      <c r="G45" s="285"/>
    </row>
    <row r="46" spans="1:8" x14ac:dyDescent="0.25">
      <c r="B46" s="285"/>
      <c r="C46" s="285"/>
      <c r="D46" s="285"/>
      <c r="E46" s="285"/>
      <c r="F46" s="285"/>
      <c r="G46" s="285"/>
    </row>
    <row r="47" spans="1:8" x14ac:dyDescent="0.25">
      <c r="B47" s="285"/>
      <c r="C47" s="285"/>
      <c r="D47" s="285"/>
      <c r="E47" s="285"/>
      <c r="F47" s="285"/>
      <c r="G47" s="285"/>
    </row>
    <row r="48" spans="1:8" x14ac:dyDescent="0.25">
      <c r="B48" s="285"/>
      <c r="C48" s="285"/>
      <c r="D48" s="285"/>
      <c r="E48" s="285"/>
      <c r="F48" s="285"/>
      <c r="G48" s="285"/>
    </row>
    <row r="49" spans="1:7" x14ac:dyDescent="0.25">
      <c r="B49" s="285"/>
      <c r="C49" s="285"/>
      <c r="D49" s="285"/>
      <c r="E49" s="285"/>
      <c r="F49" s="285"/>
      <c r="G49" s="285"/>
    </row>
    <row r="50" spans="1:7" x14ac:dyDescent="0.25">
      <c r="B50" s="31"/>
      <c r="C50" s="31"/>
      <c r="D50" s="31"/>
      <c r="E50" s="31"/>
      <c r="F50" s="31"/>
      <c r="G50" s="31"/>
    </row>
    <row r="51" spans="1:7" x14ac:dyDescent="0.25">
      <c r="B51" s="31"/>
      <c r="C51" s="31"/>
      <c r="D51" s="31"/>
      <c r="E51" s="31"/>
    </row>
    <row r="52" spans="1:7" x14ac:dyDescent="0.25">
      <c r="B52" s="31"/>
      <c r="C52" s="31"/>
      <c r="D52" s="31"/>
      <c r="E52" s="31"/>
    </row>
    <row r="53" spans="1:7" x14ac:dyDescent="0.25">
      <c r="B53" s="31"/>
      <c r="C53" s="31"/>
      <c r="D53" s="31"/>
      <c r="E53" s="31"/>
    </row>
    <row r="54" spans="1:7" x14ac:dyDescent="0.25">
      <c r="A54" s="13"/>
      <c r="B54" s="31"/>
      <c r="C54" s="31"/>
      <c r="D54" s="31"/>
      <c r="E54" s="31"/>
    </row>
    <row r="56" spans="1:7" x14ac:dyDescent="0.25">
      <c r="B56" s="31"/>
      <c r="C56" s="31"/>
      <c r="D56" s="31"/>
      <c r="E56" s="31"/>
    </row>
    <row r="57" spans="1:7" x14ac:dyDescent="0.25">
      <c r="A57" s="13"/>
      <c r="B57" s="31"/>
      <c r="C57" s="31"/>
      <c r="D57" s="31"/>
      <c r="E57" s="31"/>
    </row>
    <row r="58" spans="1:7" x14ac:dyDescent="0.25">
      <c r="B58" s="31"/>
      <c r="C58" s="31"/>
      <c r="D58" s="31"/>
      <c r="E58" s="31"/>
    </row>
    <row r="62" spans="1:7" x14ac:dyDescent="0.25">
      <c r="A62" s="13"/>
    </row>
    <row r="66" spans="1:1" x14ac:dyDescent="0.25">
      <c r="A66" s="13"/>
    </row>
    <row r="68" spans="1:1" x14ac:dyDescent="0.25">
      <c r="A68" s="13"/>
    </row>
    <row r="72" spans="1:1" x14ac:dyDescent="0.25">
      <c r="A72" s="13"/>
    </row>
  </sheetData>
  <mergeCells count="8">
    <mergeCell ref="B44:G49"/>
    <mergeCell ref="B39:G42"/>
    <mergeCell ref="G4:G5"/>
    <mergeCell ref="E4:E5"/>
    <mergeCell ref="B4:B5"/>
    <mergeCell ref="C4:C5"/>
    <mergeCell ref="D4:D5"/>
    <mergeCell ref="F4:F5"/>
  </mergeCells>
  <pageMargins left="0.25" right="0.25" top="0.75" bottom="0.75" header="0.3" footer="0.3"/>
  <pageSetup paperSize="4"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E333-3C7D-42CD-91CB-2AB4E8C69892}">
  <sheetPr>
    <tabColor rgb="FF00B050"/>
    <pageSetUpPr fitToPage="1"/>
  </sheetPr>
  <dimension ref="A2:Y106"/>
  <sheetViews>
    <sheetView view="pageBreakPreview" zoomScale="85" zoomScaleNormal="85" zoomScaleSheetLayoutView="85" workbookViewId="0">
      <selection activeCell="I57" sqref="I57"/>
    </sheetView>
  </sheetViews>
  <sheetFormatPr defaultRowHeight="15" x14ac:dyDescent="0.25"/>
  <cols>
    <col min="1" max="1" width="5.42578125" customWidth="1"/>
    <col min="2" max="6" width="15.85546875" customWidth="1"/>
    <col min="7" max="7" width="10.85546875" customWidth="1"/>
    <col min="8" max="8" width="11.140625" customWidth="1"/>
    <col min="9" max="9" width="44" customWidth="1"/>
    <col min="10" max="14" width="18.28515625" customWidth="1"/>
    <col min="15" max="15" width="15.28515625" customWidth="1"/>
    <col min="16" max="16" width="13.140625" customWidth="1"/>
    <col min="20" max="20" width="15.28515625" bestFit="1" customWidth="1"/>
    <col min="23" max="23" width="15.28515625" bestFit="1" customWidth="1"/>
    <col min="24" max="25" width="12.5703125" bestFit="1" customWidth="1"/>
    <col min="26" max="26" width="11.5703125" bestFit="1" customWidth="1"/>
    <col min="27" max="27" width="10.5703125" bestFit="1" customWidth="1"/>
    <col min="28" max="28" width="13.42578125" bestFit="1" customWidth="1"/>
  </cols>
  <sheetData>
    <row r="2" spans="2:25" x14ac:dyDescent="0.25">
      <c r="B2" s="12" t="s">
        <v>166</v>
      </c>
    </row>
    <row r="3" spans="2:25" ht="15.75" thickBot="1" x14ac:dyDescent="0.3">
      <c r="R3" s="12" t="s">
        <v>418</v>
      </c>
    </row>
    <row r="4" spans="2:25" ht="29.25" customHeight="1" x14ac:dyDescent="0.25">
      <c r="B4" s="292" t="s">
        <v>0</v>
      </c>
      <c r="C4" s="288" t="s">
        <v>180</v>
      </c>
      <c r="D4" s="296" t="s">
        <v>1</v>
      </c>
      <c r="E4" s="292" t="s">
        <v>167</v>
      </c>
      <c r="F4" s="296" t="s">
        <v>1</v>
      </c>
    </row>
    <row r="5" spans="2:25" ht="29.25" customHeight="1" thickBot="1" x14ac:dyDescent="0.3">
      <c r="B5" s="293"/>
      <c r="C5" s="289"/>
      <c r="D5" s="297"/>
      <c r="E5" s="293"/>
      <c r="F5" s="297"/>
      <c r="I5" s="61" t="s">
        <v>417</v>
      </c>
      <c r="J5" s="60"/>
    </row>
    <row r="6" spans="2:25" x14ac:dyDescent="0.25">
      <c r="B6" s="225">
        <f>Assumptions!D8</f>
        <v>2026</v>
      </c>
      <c r="C6" s="226">
        <f>TREND($L$24:$M$24,$L$21:$M$21,$B6)</f>
        <v>2080292.0513202623</v>
      </c>
      <c r="D6" s="226">
        <f>C6*(1+0.07)^-($B6-Assumptions!$D$4)</f>
        <v>1386186.4316645581</v>
      </c>
      <c r="E6" s="110">
        <f>SUM(C6)</f>
        <v>2080292.0513202623</v>
      </c>
      <c r="F6" s="227">
        <f>E6*(1+0.07)^-($B6-Assumptions!$D$4)</f>
        <v>1386186.4316645581</v>
      </c>
      <c r="G6" s="228"/>
      <c r="I6" s="229" t="s">
        <v>168</v>
      </c>
      <c r="J6" s="230" t="s">
        <v>28</v>
      </c>
      <c r="K6" s="230" t="s">
        <v>29</v>
      </c>
      <c r="L6" s="230" t="s">
        <v>30</v>
      </c>
      <c r="M6" s="48" t="s">
        <v>31</v>
      </c>
      <c r="N6" s="48" t="s">
        <v>32</v>
      </c>
      <c r="O6" s="230" t="s">
        <v>175</v>
      </c>
    </row>
    <row r="7" spans="2:25" x14ac:dyDescent="0.25">
      <c r="B7" s="231">
        <f>B6+1</f>
        <v>2027</v>
      </c>
      <c r="C7" s="232">
        <f>TREND($L$24:$M$24,$L$21:$M$21,$B7)</f>
        <v>2101468.0570537299</v>
      </c>
      <c r="D7" s="232">
        <f>C7*(1+0.07)^-($B7-Assumptions!$D$4)</f>
        <v>1308688.6901089235</v>
      </c>
      <c r="E7" s="179">
        <f t="shared" ref="E7:E24" si="0">SUM(C7)</f>
        <v>2101468.0570537299</v>
      </c>
      <c r="F7" s="233">
        <f>E7*(1+0.07)^-($B7-Assumptions!$D$4)</f>
        <v>1308688.6901089235</v>
      </c>
      <c r="I7" s="58" t="s">
        <v>169</v>
      </c>
      <c r="J7" s="223">
        <v>12837400</v>
      </c>
      <c r="K7" s="223">
        <v>554800</v>
      </c>
      <c r="L7" s="223">
        <v>151100</v>
      </c>
      <c r="M7" s="223">
        <v>77200</v>
      </c>
      <c r="N7" s="223">
        <v>4600</v>
      </c>
      <c r="O7" s="223">
        <v>302600</v>
      </c>
    </row>
    <row r="8" spans="2:25" x14ac:dyDescent="0.25">
      <c r="B8" s="231">
        <f t="shared" ref="B8:B35" si="1">B7+1</f>
        <v>2028</v>
      </c>
      <c r="C8" s="232">
        <f>TREND($L$24:$M$24,$L$21:$M$21,$B8)</f>
        <v>2122644.062787205</v>
      </c>
      <c r="D8" s="232">
        <f>C8*(1+0.07)^-($B8-Assumptions!$D$4)</f>
        <v>1235398.1702930764</v>
      </c>
      <c r="E8" s="179">
        <f t="shared" si="0"/>
        <v>2122644.062787205</v>
      </c>
      <c r="F8" s="233">
        <f>E8*(1+0.07)^-($B8-Assumptions!$D$4)</f>
        <v>1235398.1702930764</v>
      </c>
    </row>
    <row r="9" spans="2:25" x14ac:dyDescent="0.25">
      <c r="B9" s="231">
        <f t="shared" si="1"/>
        <v>2029</v>
      </c>
      <c r="C9" s="232">
        <f>TREND($L$24:$M$24,$L$21:$M$21,$B9)</f>
        <v>2143820.0685206726</v>
      </c>
      <c r="D9" s="232">
        <f>C9*(1+0.07)^-($B9-Assumptions!$D$4)</f>
        <v>1166096.0732974543</v>
      </c>
      <c r="E9" s="179">
        <f t="shared" si="0"/>
        <v>2143820.0685206726</v>
      </c>
      <c r="F9" s="233">
        <f>E9*(1+0.07)^-($B9-Assumptions!$D$4)</f>
        <v>1166096.0732974543</v>
      </c>
      <c r="I9" s="12" t="s">
        <v>420</v>
      </c>
    </row>
    <row r="10" spans="2:25" ht="15" customHeight="1" x14ac:dyDescent="0.25">
      <c r="B10" s="231">
        <f t="shared" si="1"/>
        <v>2030</v>
      </c>
      <c r="C10" s="232">
        <f>TREND($L$24:$M$24,$L$21:$M$21,$B10)</f>
        <v>2164996.0742541403</v>
      </c>
      <c r="D10" s="232">
        <f>C10*(1+0.07)^-($B10-Assumptions!$D$4)</f>
        <v>1100574.2218215351</v>
      </c>
      <c r="E10" s="179">
        <f t="shared" si="0"/>
        <v>2164996.0742541403</v>
      </c>
      <c r="F10" s="233">
        <f>E10*(1+0.07)^-($B10-Assumptions!$D$4)</f>
        <v>1100574.2218215351</v>
      </c>
      <c r="I10" s="240" t="s">
        <v>423</v>
      </c>
      <c r="J10" s="382">
        <f>1/10</f>
        <v>0.1</v>
      </c>
      <c r="K10" s="257"/>
      <c r="N10" s="12"/>
    </row>
    <row r="11" spans="2:25" x14ac:dyDescent="0.25">
      <c r="B11" s="231">
        <f t="shared" si="1"/>
        <v>2031</v>
      </c>
      <c r="C11" s="232">
        <f>TREND($L$24:$M$24,$L$21:$M$21,$B11)</f>
        <v>2186172.0799876079</v>
      </c>
      <c r="D11" s="232">
        <f>C11*(1+0.07)^-($B11-Assumptions!$D$4)</f>
        <v>1038634.6068657794</v>
      </c>
      <c r="E11" s="179">
        <f t="shared" si="0"/>
        <v>2186172.0799876079</v>
      </c>
      <c r="F11" s="233">
        <f>E11*(1+0.07)^-($B11-Assumptions!$D$4)</f>
        <v>1038634.6068657794</v>
      </c>
      <c r="I11" s="240" t="s">
        <v>424</v>
      </c>
      <c r="J11" s="382">
        <f>2/10</f>
        <v>0.2</v>
      </c>
      <c r="K11" s="257"/>
    </row>
    <row r="12" spans="2:25" x14ac:dyDescent="0.25">
      <c r="B12" s="231">
        <f t="shared" si="1"/>
        <v>2032</v>
      </c>
      <c r="C12" s="232">
        <f>TREND($L$24:$M$24,$L$21:$M$21,$B12)</f>
        <v>2207348.0857210755</v>
      </c>
      <c r="D12" s="232">
        <f>C12*(1+0.07)^-($B12-Assumptions!$D$4)</f>
        <v>980088.9482673012</v>
      </c>
      <c r="E12" s="179">
        <f t="shared" si="0"/>
        <v>2207348.0857210755</v>
      </c>
      <c r="F12" s="233">
        <f>E12*(1+0.07)^-($B12-Assumptions!$D$4)</f>
        <v>980088.9482673012</v>
      </c>
      <c r="I12" s="240" t="s">
        <v>421</v>
      </c>
      <c r="J12" s="70">
        <v>1.3155999999999999E-2</v>
      </c>
      <c r="K12" s="257" t="s">
        <v>217</v>
      </c>
      <c r="R12" s="234"/>
      <c r="U12" s="234"/>
      <c r="V12" s="234"/>
      <c r="W12" s="234"/>
      <c r="X12" s="234"/>
      <c r="Y12" s="234"/>
    </row>
    <row r="13" spans="2:25" x14ac:dyDescent="0.25">
      <c r="B13" s="231">
        <f t="shared" si="1"/>
        <v>2033</v>
      </c>
      <c r="C13" s="232">
        <f>TREND($L$24:$M$24,$L$21:$M$21,$B13)</f>
        <v>2228524.0914545432</v>
      </c>
      <c r="D13" s="232">
        <f>C13*(1+0.07)^-($B13-Assumptions!$D$4)</f>
        <v>924758.26921673934</v>
      </c>
      <c r="E13" s="179">
        <f t="shared" si="0"/>
        <v>2228524.0914545432</v>
      </c>
      <c r="F13" s="233">
        <f>E13*(1+0.07)^-($B13-Assumptions!$D$4)</f>
        <v>924758.26921673934</v>
      </c>
      <c r="I13" s="240" t="s">
        <v>422</v>
      </c>
      <c r="J13" s="70">
        <v>2.1080999999999999E-2</v>
      </c>
      <c r="K13" s="393"/>
      <c r="L13" s="392"/>
      <c r="R13" s="234"/>
    </row>
    <row r="14" spans="2:25" x14ac:dyDescent="0.25">
      <c r="B14" s="231">
        <f t="shared" si="1"/>
        <v>2034</v>
      </c>
      <c r="C14" s="232">
        <f>TREND($L$24:$M$24,$L$21:$M$21,$B14)</f>
        <v>2249700.0971880183</v>
      </c>
      <c r="D14" s="232">
        <f>C14*(1+0.07)^-($B14-Assumptions!$D$4)</f>
        <v>872472.48480786488</v>
      </c>
      <c r="E14" s="179">
        <f t="shared" si="0"/>
        <v>2249700.0971880183</v>
      </c>
      <c r="F14" s="233">
        <f>E14*(1+0.07)^-($B14-Assumptions!$D$4)</f>
        <v>872472.48480786488</v>
      </c>
      <c r="I14" s="389"/>
      <c r="J14" s="390"/>
      <c r="K14" s="392"/>
      <c r="L14" s="392"/>
      <c r="M14" s="257"/>
      <c r="R14" s="234"/>
    </row>
    <row r="15" spans="2:25" x14ac:dyDescent="0.25">
      <c r="B15" s="231">
        <f t="shared" si="1"/>
        <v>2035</v>
      </c>
      <c r="C15" s="232">
        <f>TREND($L$24:$M$24,$L$21:$M$21,$B15)</f>
        <v>2270876.1029214859</v>
      </c>
      <c r="D15" s="232">
        <f>C15*(1+0.07)^-($B15-Assumptions!$D$4)</f>
        <v>823070.00460484612</v>
      </c>
      <c r="E15" s="179">
        <f t="shared" si="0"/>
        <v>2270876.1029214859</v>
      </c>
      <c r="F15" s="233">
        <f>E15*(1+0.07)^-($B15-Assumptions!$D$4)</f>
        <v>823070.00460484612</v>
      </c>
      <c r="I15" s="391" t="s">
        <v>425</v>
      </c>
      <c r="J15" s="48">
        <f>K21</f>
        <v>2018</v>
      </c>
      <c r="K15" s="48">
        <f t="shared" ref="K15:L15" si="2">L21</f>
        <v>2026</v>
      </c>
      <c r="L15" s="48">
        <f t="shared" si="2"/>
        <v>2050</v>
      </c>
      <c r="M15" s="257"/>
      <c r="T15" s="234"/>
    </row>
    <row r="16" spans="2:25" x14ac:dyDescent="0.25">
      <c r="B16" s="231">
        <f t="shared" si="1"/>
        <v>2036</v>
      </c>
      <c r="C16" s="232">
        <f>TREND($L$24:$M$24,$L$21:$M$21,$B16)</f>
        <v>2292052.1086549535</v>
      </c>
      <c r="D16" s="232">
        <f>C16*(1+0.07)^-($B16-Assumptions!$D$4)</f>
        <v>776397.34915407968</v>
      </c>
      <c r="E16" s="179">
        <f t="shared" si="0"/>
        <v>2292052.1086549535</v>
      </c>
      <c r="F16" s="233">
        <f>E16*(1+0.07)^-($B16-Assumptions!$D$4)</f>
        <v>776397.34915407968</v>
      </c>
      <c r="I16" s="240" t="s">
        <v>427</v>
      </c>
      <c r="J16" s="380">
        <f>AVERAGE(J12,J10)</f>
        <v>5.6578000000000003E-2</v>
      </c>
      <c r="K16" s="380">
        <f>J16*'Travel Time Savings '!J$22/'Travel Time Savings '!I$22</f>
        <v>0.33287994189845599</v>
      </c>
      <c r="L16" s="380">
        <f>K16*'Travel Time Savings '!K$22/'Travel Time Savings '!J$22</f>
        <v>0.41420391815909463</v>
      </c>
      <c r="T16" s="234"/>
    </row>
    <row r="17" spans="2:15" x14ac:dyDescent="0.25">
      <c r="B17" s="231">
        <f t="shared" si="1"/>
        <v>2037</v>
      </c>
      <c r="C17" s="232">
        <f>TREND($L$24:$M$24,$L$21:$M$21,$B17)</f>
        <v>2313228.1143884212</v>
      </c>
      <c r="D17" s="232">
        <f>C17*(1+0.07)^-($B17-Assumptions!$D$4)</f>
        <v>732308.78031695739</v>
      </c>
      <c r="E17" s="179">
        <f t="shared" si="0"/>
        <v>2313228.1143884212</v>
      </c>
      <c r="F17" s="233">
        <f>E17*(1+0.07)^-($B17-Assumptions!$D$4)</f>
        <v>732308.78031695739</v>
      </c>
      <c r="I17" s="240" t="s">
        <v>428</v>
      </c>
      <c r="J17" s="380">
        <f>AVERAGE(J13,J11)</f>
        <v>0.1105405</v>
      </c>
      <c r="K17" s="380">
        <f>J17*'Travel Time Savings '!J$22/'Travel Time Savings '!I$22</f>
        <v>0.6503714379692862</v>
      </c>
      <c r="L17" s="380">
        <f>K17*'Travel Time Savings '!K$22/'Travel Time Savings '!J$22</f>
        <v>0.80925992815697634</v>
      </c>
      <c r="M17" s="257"/>
    </row>
    <row r="18" spans="2:15" x14ac:dyDescent="0.25">
      <c r="B18" s="231">
        <f t="shared" si="1"/>
        <v>2038</v>
      </c>
      <c r="C18" s="232">
        <f>TREND($L$24:$M$24,$L$21:$M$21,$B18)</f>
        <v>2334404.1201218888</v>
      </c>
      <c r="D18" s="232">
        <f>C18*(1+0.07)^-($B18-Assumptions!$D$4)</f>
        <v>690665.94525653671</v>
      </c>
      <c r="E18" s="179">
        <f t="shared" si="0"/>
        <v>2334404.1201218888</v>
      </c>
      <c r="F18" s="233">
        <f>E18*(1+0.07)^-($B18-Assumptions!$D$4)</f>
        <v>690665.94525653671</v>
      </c>
      <c r="I18" s="240" t="s">
        <v>429</v>
      </c>
      <c r="J18" s="380">
        <f>J17*'Travel Time Savings '!$I$40</f>
        <v>5.527025E-2</v>
      </c>
      <c r="K18" s="380">
        <f>K17*'Travel Time Savings '!$I$40</f>
        <v>0.3251857189846431</v>
      </c>
      <c r="L18" s="380">
        <f>L17*'Travel Time Savings '!$I$40</f>
        <v>0.40462996407848817</v>
      </c>
      <c r="M18" s="257"/>
    </row>
    <row r="19" spans="2:15" x14ac:dyDescent="0.25">
      <c r="B19" s="231">
        <f t="shared" si="1"/>
        <v>2039</v>
      </c>
      <c r="C19" s="232">
        <f>TREND($L$24:$M$24,$L$21:$M$21,$B19)</f>
        <v>2355580.1258553565</v>
      </c>
      <c r="D19" s="232">
        <f>C19*(1+0.07)^-($B19-Assumptions!$D$4)</f>
        <v>651337.53387372813</v>
      </c>
      <c r="E19" s="179">
        <f t="shared" si="0"/>
        <v>2355580.1258553565</v>
      </c>
      <c r="F19" s="233">
        <f>E19*(1+0.07)^-($B19-Assumptions!$D$4)</f>
        <v>651337.53387372813</v>
      </c>
      <c r="M19" s="17"/>
      <c r="N19" s="17"/>
      <c r="O19" s="17"/>
    </row>
    <row r="20" spans="2:15" x14ac:dyDescent="0.25">
      <c r="B20" s="231">
        <f t="shared" si="1"/>
        <v>2040</v>
      </c>
      <c r="C20" s="232">
        <f>TREND($L$24:$M$24,$L$21:$M$21,$B20)</f>
        <v>2376756.1315888315</v>
      </c>
      <c r="D20" s="232">
        <f>C20*(1+0.07)^-($B20-Assumptions!$D$4)</f>
        <v>614198.949456934</v>
      </c>
      <c r="E20" s="179">
        <f t="shared" si="0"/>
        <v>2376756.1315888315</v>
      </c>
      <c r="F20" s="233">
        <f>E20*(1+0.07)^-($B20-Assumptions!$D$4)</f>
        <v>614198.949456934</v>
      </c>
      <c r="M20" s="17"/>
      <c r="N20" s="17"/>
    </row>
    <row r="21" spans="2:15" x14ac:dyDescent="0.25">
      <c r="B21" s="231">
        <f t="shared" si="1"/>
        <v>2041</v>
      </c>
      <c r="C21" s="232">
        <f>TREND($L$24:$M$24,$L$21:$M$21,$B21)</f>
        <v>2397932.1373222992</v>
      </c>
      <c r="D21" s="232">
        <f>C21*(1+0.07)^-($B21-Assumptions!$D$4)</f>
        <v>579131.99228239013</v>
      </c>
      <c r="E21" s="179">
        <f t="shared" si="0"/>
        <v>2397932.1373222992</v>
      </c>
      <c r="F21" s="233">
        <f>E21*(1+0.07)^-($B21-Assumptions!$D$4)</f>
        <v>579131.99228239013</v>
      </c>
      <c r="I21" s="394" t="s">
        <v>430</v>
      </c>
      <c r="J21" s="398" t="s">
        <v>426</v>
      </c>
      <c r="K21" s="48">
        <f>'Travel Time Savings '!H26</f>
        <v>2018</v>
      </c>
      <c r="L21" s="48">
        <f>'Travel Time Savings '!I26</f>
        <v>2026</v>
      </c>
      <c r="M21" s="48">
        <f>'Travel Time Savings '!J26</f>
        <v>2050</v>
      </c>
    </row>
    <row r="22" spans="2:15" ht="14.25" customHeight="1" x14ac:dyDescent="0.25">
      <c r="B22" s="231">
        <f t="shared" si="1"/>
        <v>2042</v>
      </c>
      <c r="C22" s="232">
        <f>TREND($L$24:$M$24,$L$21:$M$21,$B22)</f>
        <v>2419108.1430557668</v>
      </c>
      <c r="D22" s="232">
        <f>C22*(1+0.07)^-($B22-Assumptions!$D$4)</f>
        <v>546024.55588032224</v>
      </c>
      <c r="E22" s="179">
        <f t="shared" si="0"/>
        <v>2419108.1430557668</v>
      </c>
      <c r="F22" s="233">
        <f>E22*(1+0.07)^-($B22-Assumptions!$D$4)</f>
        <v>546024.55588032224</v>
      </c>
      <c r="I22" s="240" t="s">
        <v>226</v>
      </c>
      <c r="J22" s="395">
        <f>'Collision Injury Breakdown'!J19</f>
        <v>0.22805490458654168</v>
      </c>
      <c r="K22" s="201">
        <f>$J22*(J$16+J$17-J$18)*$J$7</f>
        <v>327450.51943872118</v>
      </c>
      <c r="L22" s="201">
        <f>$J22*(K$16+K$17-K$18)*$J$7</f>
        <v>1926574.1080522593</v>
      </c>
      <c r="M22" s="201">
        <f>$J22*(L$16+L$17-L$18)*$J$7</f>
        <v>2397244.3026397023</v>
      </c>
    </row>
    <row r="23" spans="2:15" x14ac:dyDescent="0.25">
      <c r="B23" s="231">
        <f>B22+1</f>
        <v>2043</v>
      </c>
      <c r="C23" s="232">
        <f>TREND($L$24:$M$24,$L$21:$M$21,$B23)</f>
        <v>2440284.1487892345</v>
      </c>
      <c r="D23" s="232">
        <f>C23*(1+0.07)^-($B23-Assumptions!$D$4)</f>
        <v>514770.33566381288</v>
      </c>
      <c r="E23" s="179">
        <f t="shared" si="0"/>
        <v>2440284.1487892345</v>
      </c>
      <c r="F23" s="233">
        <f>E23*(1+0.07)^-($B23-Assumptions!$D$4)</f>
        <v>514770.33566381288</v>
      </c>
      <c r="I23" s="240" t="s">
        <v>225</v>
      </c>
      <c r="J23" s="395">
        <f>1-J22</f>
        <v>0.77194509541345835</v>
      </c>
      <c r="K23" s="201">
        <f>$J23*(J$16+J$17-J$18)*$O$7</f>
        <v>26126.698246270509</v>
      </c>
      <c r="L23" s="201">
        <f>$J23*(K$16+K$17-K$18)*$O$7</f>
        <v>153717.94326800204</v>
      </c>
      <c r="M23" s="201">
        <f>$J23*(L$16+L$17-L$18)*$O$7</f>
        <v>191271.88628381334</v>
      </c>
    </row>
    <row r="24" spans="2:15" x14ac:dyDescent="0.25">
      <c r="B24" s="231">
        <f t="shared" si="1"/>
        <v>2044</v>
      </c>
      <c r="C24" s="232">
        <f>TREND($L$24:$M$24,$L$21:$M$21,$B24)</f>
        <v>2461460.1545227021</v>
      </c>
      <c r="D24" s="232">
        <f>C24*(1+0.07)^-($B24-Assumptions!$D$4)</f>
        <v>485268.54960279271</v>
      </c>
      <c r="E24" s="179">
        <f t="shared" si="0"/>
        <v>2461460.1545227021</v>
      </c>
      <c r="F24" s="233">
        <f>E24*(1+0.07)^-($B24-Assumptions!$D$4)</f>
        <v>485268.54960279271</v>
      </c>
      <c r="I24" s="396" t="s">
        <v>179</v>
      </c>
      <c r="J24" s="30"/>
      <c r="K24" s="397">
        <f>SUM(K22:K23)</f>
        <v>353577.21768499172</v>
      </c>
      <c r="L24" s="397">
        <f>SUM(L22:L23)</f>
        <v>2080292.0513202613</v>
      </c>
      <c r="M24" s="397">
        <f>SUM(M22:M23)</f>
        <v>2588516.1889235158</v>
      </c>
    </row>
    <row r="25" spans="2:15" x14ac:dyDescent="0.25">
      <c r="B25" s="231">
        <f t="shared" si="1"/>
        <v>2045</v>
      </c>
      <c r="C25" s="232">
        <f>TREND($L$24:$M$24,$L$21:$M$21,$B25)</f>
        <v>2482636.1602561697</v>
      </c>
      <c r="D25" s="245">
        <f>C25*(1+0.07)^-($B25-Assumptions!$D$4)</f>
        <v>457423.6706141702</v>
      </c>
      <c r="E25" s="246">
        <f t="shared" ref="E25:E35" si="3">SUM(C25)</f>
        <v>2482636.1602561697</v>
      </c>
      <c r="F25" s="247">
        <f>E25*(1+0.07)^-($B25-Assumptions!$D$4)</f>
        <v>457423.6706141702</v>
      </c>
    </row>
    <row r="26" spans="2:15" x14ac:dyDescent="0.25">
      <c r="B26" s="231">
        <f t="shared" si="1"/>
        <v>2046</v>
      </c>
      <c r="C26" s="232">
        <f>TREND($L$24:$M$24,$L$21:$M$21,$B26)</f>
        <v>2503812.1659896448</v>
      </c>
      <c r="D26" s="245">
        <f>C26*(1+0.07)^-($B26-Assumptions!$D$4)</f>
        <v>431145.17033062555</v>
      </c>
      <c r="E26" s="246">
        <f t="shared" si="3"/>
        <v>2503812.1659896448</v>
      </c>
      <c r="F26" s="247">
        <f>E26*(1+0.07)^-($B26-Assumptions!$D$4)</f>
        <v>431145.17033062555</v>
      </c>
    </row>
    <row r="27" spans="2:15" x14ac:dyDescent="0.25">
      <c r="B27" s="231">
        <f t="shared" si="1"/>
        <v>2047</v>
      </c>
      <c r="C27" s="232">
        <f>TREND($L$24:$M$24,$L$21:$M$21,$B27)</f>
        <v>2524988.1717231125</v>
      </c>
      <c r="D27" s="245">
        <f>C27*(1+0.07)^-($B27-Assumptions!$D$4)</f>
        <v>406347.27390459157</v>
      </c>
      <c r="E27" s="246">
        <f t="shared" si="3"/>
        <v>2524988.1717231125</v>
      </c>
      <c r="F27" s="247">
        <f>E27*(1+0.07)^-($B27-Assumptions!$D$4)</f>
        <v>406347.27390459157</v>
      </c>
    </row>
    <row r="28" spans="2:15" x14ac:dyDescent="0.25">
      <c r="B28" s="231">
        <f t="shared" si="1"/>
        <v>2048</v>
      </c>
      <c r="C28" s="232">
        <f>TREND($L$24:$M$24,$L$21:$M$21,$B28)</f>
        <v>2546164.1774565801</v>
      </c>
      <c r="D28" s="245">
        <f>C28*(1+0.07)^-($B28-Assumptions!$D$4)</f>
        <v>382948.7255002188</v>
      </c>
      <c r="E28" s="246">
        <f t="shared" si="3"/>
        <v>2546164.1774565801</v>
      </c>
      <c r="F28" s="247">
        <f>E28*(1+0.07)^-($B28-Assumptions!$D$4)</f>
        <v>382948.7255002188</v>
      </c>
    </row>
    <row r="29" spans="2:15" x14ac:dyDescent="0.25">
      <c r="B29" s="231">
        <f t="shared" si="1"/>
        <v>2049</v>
      </c>
      <c r="C29" s="232">
        <f>TREND($L$24:$M$24,$L$21:$M$21,$B29)</f>
        <v>2567340.1831900477</v>
      </c>
      <c r="D29" s="245">
        <f>C29*(1+0.07)^-($B29-Assumptions!$D$4)</f>
        <v>360872.56412426999</v>
      </c>
      <c r="E29" s="246">
        <f t="shared" si="3"/>
        <v>2567340.1831900477</v>
      </c>
      <c r="F29" s="247">
        <f>E29*(1+0.07)^-($B29-Assumptions!$D$4)</f>
        <v>360872.56412426999</v>
      </c>
    </row>
    <row r="30" spans="2:15" x14ac:dyDescent="0.25">
      <c r="B30" s="231">
        <f t="shared" si="1"/>
        <v>2050</v>
      </c>
      <c r="C30" s="232">
        <f>TREND($L$24:$M$24,$L$21:$M$21,$B30)</f>
        <v>2588516.1889235154</v>
      </c>
      <c r="D30" s="245">
        <f>C30*(1+0.07)^-($B30-Assumptions!$D$4)</f>
        <v>340045.90944686782</v>
      </c>
      <c r="E30" s="246">
        <f t="shared" si="3"/>
        <v>2588516.1889235154</v>
      </c>
      <c r="F30" s="247">
        <f>E30*(1+0.07)^-($B30-Assumptions!$D$4)</f>
        <v>340045.90944686782</v>
      </c>
      <c r="I30" s="242"/>
      <c r="J30" s="243"/>
      <c r="K30" s="243"/>
      <c r="L30" s="243"/>
    </row>
    <row r="31" spans="2:15" x14ac:dyDescent="0.25">
      <c r="B31" s="231">
        <f t="shared" si="1"/>
        <v>2051</v>
      </c>
      <c r="C31" s="232">
        <f>TREND($L$24:$M$24,$L$21:$M$21,$B31)</f>
        <v>2609692.1946569905</v>
      </c>
      <c r="D31" s="245">
        <f>C31*(1+0.07)^-($B31-Assumptions!$D$4)</f>
        <v>320399.75726441439</v>
      </c>
      <c r="E31" s="246">
        <f t="shared" si="3"/>
        <v>2609692.1946569905</v>
      </c>
      <c r="F31" s="247">
        <f>E31*(1+0.07)^-($B31-Assumptions!$D$4)</f>
        <v>320399.75726441439</v>
      </c>
      <c r="I31" s="242"/>
      <c r="J31" s="243"/>
      <c r="K31" s="243"/>
      <c r="L31" s="243"/>
    </row>
    <row r="32" spans="2:15" x14ac:dyDescent="0.25">
      <c r="B32" s="231">
        <f t="shared" si="1"/>
        <v>2052</v>
      </c>
      <c r="C32" s="232">
        <f>TREND($L$24:$M$24,$L$21:$M$21,$B32)</f>
        <v>2630868.2003904581</v>
      </c>
      <c r="D32" s="245">
        <f>C32*(1+0.07)^-($B32-Assumptions!$D$4)</f>
        <v>301868.78425974154</v>
      </c>
      <c r="E32" s="246">
        <f t="shared" si="3"/>
        <v>2630868.2003904581</v>
      </c>
      <c r="F32" s="247">
        <f>E32*(1+0.07)^-($B32-Assumptions!$D$4)</f>
        <v>301868.78425974154</v>
      </c>
    </row>
    <row r="33" spans="1:6" x14ac:dyDescent="0.25">
      <c r="B33" s="244">
        <f t="shared" si="1"/>
        <v>2053</v>
      </c>
      <c r="C33" s="232">
        <f>TREND($L$24:$M$24,$L$21:$M$21,$B33)</f>
        <v>2652044.2061239257</v>
      </c>
      <c r="D33" s="245">
        <f>C33*(1+0.07)^-($B33-Assumptions!$D$4)</f>
        <v>284391.1617184318</v>
      </c>
      <c r="E33" s="246">
        <f t="shared" si="3"/>
        <v>2652044.2061239257</v>
      </c>
      <c r="F33" s="247">
        <f>E33*(1+0.07)^-($B33-Assumptions!$D$4)</f>
        <v>284391.1617184318</v>
      </c>
    </row>
    <row r="34" spans="1:6" x14ac:dyDescent="0.25">
      <c r="B34" s="244">
        <f t="shared" si="1"/>
        <v>2054</v>
      </c>
      <c r="C34" s="232">
        <f>TREND($L$24:$M$24,$L$21:$M$21,$B34)</f>
        <v>2673220.2118573934</v>
      </c>
      <c r="D34" s="245">
        <f>C34*(1+0.07)^-($B34-Assumptions!$D$4)</f>
        <v>267908.37786505587</v>
      </c>
      <c r="E34" s="246">
        <f t="shared" si="3"/>
        <v>2673220.2118573934</v>
      </c>
      <c r="F34" s="247">
        <f>E34*(1+0.07)^-($B34-Assumptions!$D$4)</f>
        <v>267908.37786505587</v>
      </c>
    </row>
    <row r="35" spans="1:6" ht="15.75" thickBot="1" x14ac:dyDescent="0.3">
      <c r="B35" s="236">
        <f t="shared" si="1"/>
        <v>2055</v>
      </c>
      <c r="C35" s="237">
        <f>TREND($L$24:$M$24,$L$21:$M$21,$B35)</f>
        <v>2694396.217590861</v>
      </c>
      <c r="D35" s="237">
        <f>C35*(1+0.07)^-($B35-Assumptions!$D$4)</f>
        <v>252365.0684887656</v>
      </c>
      <c r="E35" s="183">
        <f t="shared" si="3"/>
        <v>2694396.217590861</v>
      </c>
      <c r="F35" s="238">
        <f>E35*(1+0.07)^-($B35-Assumptions!$D$4)</f>
        <v>252365.0684887656</v>
      </c>
    </row>
    <row r="36" spans="1:6" ht="15.75" thickBot="1" x14ac:dyDescent="0.3">
      <c r="B36" s="4"/>
      <c r="C36" s="239"/>
      <c r="D36" s="239">
        <f>SUM(D6:D35)</f>
        <v>20231788.355952788</v>
      </c>
      <c r="E36" s="98" t="s">
        <v>2</v>
      </c>
      <c r="F36" s="104">
        <f>SUM(F6:F35)</f>
        <v>20231788.355952788</v>
      </c>
    </row>
    <row r="38" spans="1:6" x14ac:dyDescent="0.25">
      <c r="B38" s="12" t="s">
        <v>3</v>
      </c>
    </row>
    <row r="39" spans="1:6" ht="15" customHeight="1" x14ac:dyDescent="0.25">
      <c r="A39" s="13" t="s">
        <v>27</v>
      </c>
      <c r="B39" s="414" t="s">
        <v>441</v>
      </c>
      <c r="C39" s="414"/>
      <c r="D39" s="414"/>
      <c r="E39" s="414"/>
      <c r="F39" s="414"/>
    </row>
    <row r="40" spans="1:6" x14ac:dyDescent="0.25">
      <c r="B40" s="414"/>
      <c r="C40" s="414"/>
      <c r="D40" s="414"/>
      <c r="E40" s="414"/>
      <c r="F40" s="414"/>
    </row>
    <row r="41" spans="1:6" x14ac:dyDescent="0.25">
      <c r="B41" s="414"/>
      <c r="C41" s="414"/>
      <c r="D41" s="414"/>
      <c r="E41" s="414"/>
      <c r="F41" s="414"/>
    </row>
    <row r="42" spans="1:6" x14ac:dyDescent="0.25">
      <c r="B42" s="414"/>
      <c r="C42" s="414"/>
      <c r="D42" s="414"/>
      <c r="E42" s="414"/>
      <c r="F42" s="414"/>
    </row>
    <row r="43" spans="1:6" x14ac:dyDescent="0.25">
      <c r="B43" s="414"/>
      <c r="C43" s="414"/>
      <c r="D43" s="414"/>
      <c r="E43" s="414"/>
      <c r="F43" s="414"/>
    </row>
    <row r="44" spans="1:6" x14ac:dyDescent="0.25">
      <c r="B44" s="414"/>
      <c r="C44" s="414"/>
      <c r="D44" s="414"/>
      <c r="E44" s="414"/>
      <c r="F44" s="414"/>
    </row>
    <row r="45" spans="1:6" x14ac:dyDescent="0.25">
      <c r="B45" s="414"/>
      <c r="C45" s="414"/>
      <c r="D45" s="414"/>
      <c r="E45" s="414"/>
      <c r="F45" s="414"/>
    </row>
    <row r="46" spans="1:6" x14ac:dyDescent="0.25">
      <c r="B46" s="414"/>
      <c r="C46" s="414"/>
      <c r="D46" s="414"/>
      <c r="E46" s="414"/>
      <c r="F46" s="414"/>
    </row>
    <row r="47" spans="1:6" x14ac:dyDescent="0.25">
      <c r="B47" s="414"/>
      <c r="C47" s="414"/>
      <c r="D47" s="414"/>
      <c r="E47" s="414"/>
      <c r="F47" s="414"/>
    </row>
    <row r="48" spans="1:6" x14ac:dyDescent="0.25">
      <c r="B48" s="414"/>
      <c r="C48" s="414"/>
      <c r="D48" s="414"/>
      <c r="E48" s="414"/>
      <c r="F48" s="414"/>
    </row>
    <row r="49" spans="1:9" x14ac:dyDescent="0.25">
      <c r="B49" s="414"/>
      <c r="C49" s="414"/>
      <c r="D49" s="414"/>
      <c r="E49" s="414"/>
      <c r="F49" s="414"/>
    </row>
    <row r="50" spans="1:9" x14ac:dyDescent="0.25">
      <c r="B50" s="414"/>
      <c r="C50" s="414"/>
      <c r="D50" s="414"/>
      <c r="E50" s="414"/>
      <c r="F50" s="414"/>
    </row>
    <row r="51" spans="1:9" x14ac:dyDescent="0.25">
      <c r="B51" s="414"/>
      <c r="C51" s="414"/>
      <c r="D51" s="414"/>
      <c r="E51" s="414"/>
      <c r="F51" s="414"/>
    </row>
    <row r="52" spans="1:9" x14ac:dyDescent="0.25">
      <c r="B52" s="414"/>
      <c r="C52" s="414"/>
      <c r="D52" s="414"/>
      <c r="E52" s="414"/>
      <c r="F52" s="414"/>
    </row>
    <row r="53" spans="1:9" x14ac:dyDescent="0.25">
      <c r="B53" s="414"/>
      <c r="C53" s="414"/>
      <c r="D53" s="414"/>
      <c r="E53" s="414"/>
      <c r="F53" s="414"/>
    </row>
    <row r="54" spans="1:9" x14ac:dyDescent="0.25">
      <c r="B54" s="414"/>
      <c r="C54" s="414"/>
      <c r="D54" s="414"/>
      <c r="E54" s="414"/>
      <c r="F54" s="414"/>
    </row>
    <row r="55" spans="1:9" x14ac:dyDescent="0.25">
      <c r="I55" s="13"/>
    </row>
    <row r="56" spans="1:9" ht="15" customHeight="1" x14ac:dyDescent="0.25">
      <c r="A56" s="13" t="s">
        <v>34</v>
      </c>
      <c r="B56" s="414" t="s">
        <v>442</v>
      </c>
      <c r="C56" s="414"/>
      <c r="D56" s="414"/>
      <c r="E56" s="414"/>
      <c r="F56" s="414"/>
    </row>
    <row r="57" spans="1:9" x14ac:dyDescent="0.25">
      <c r="B57" s="414"/>
      <c r="C57" s="414"/>
      <c r="D57" s="414"/>
      <c r="E57" s="414"/>
      <c r="F57" s="414"/>
    </row>
    <row r="58" spans="1:9" x14ac:dyDescent="0.25">
      <c r="B58" s="414"/>
      <c r="C58" s="414"/>
      <c r="D58" s="414"/>
      <c r="E58" s="414"/>
      <c r="F58" s="414"/>
    </row>
    <row r="59" spans="1:9" x14ac:dyDescent="0.25">
      <c r="B59" s="414"/>
      <c r="C59" s="414"/>
      <c r="D59" s="414"/>
      <c r="E59" s="414"/>
      <c r="F59" s="414"/>
    </row>
    <row r="60" spans="1:9" ht="15" customHeight="1" x14ac:dyDescent="0.25">
      <c r="B60" s="414"/>
      <c r="C60" s="414"/>
      <c r="D60" s="414"/>
      <c r="E60" s="414"/>
      <c r="F60" s="414"/>
    </row>
    <row r="61" spans="1:9" ht="15" customHeight="1" x14ac:dyDescent="0.25">
      <c r="B61" s="414"/>
      <c r="C61" s="414"/>
      <c r="D61" s="414"/>
      <c r="E61" s="414"/>
      <c r="F61" s="414"/>
    </row>
    <row r="62" spans="1:9" x14ac:dyDescent="0.25">
      <c r="B62" s="414"/>
      <c r="C62" s="414"/>
      <c r="D62" s="414"/>
      <c r="E62" s="414"/>
      <c r="F62" s="414"/>
    </row>
    <row r="63" spans="1:9" x14ac:dyDescent="0.25">
      <c r="B63" s="414"/>
      <c r="C63" s="414"/>
      <c r="D63" s="414"/>
      <c r="E63" s="414"/>
      <c r="F63" s="414"/>
    </row>
    <row r="69" spans="9:9" ht="15" customHeight="1" x14ac:dyDescent="0.25"/>
    <row r="72" spans="9:9" x14ac:dyDescent="0.25">
      <c r="I72" s="13"/>
    </row>
    <row r="104" ht="15.75" customHeight="1" x14ac:dyDescent="0.25"/>
    <row r="106" ht="15.75" customHeight="1" x14ac:dyDescent="0.25"/>
  </sheetData>
  <mergeCells count="7">
    <mergeCell ref="B4:B5"/>
    <mergeCell ref="C4:C5"/>
    <mergeCell ref="D4:D5"/>
    <mergeCell ref="E4:E5"/>
    <mergeCell ref="F4:F5"/>
    <mergeCell ref="B39:F54"/>
    <mergeCell ref="B56:F63"/>
  </mergeCells>
  <phoneticPr fontId="35" type="noConversion"/>
  <hyperlinks>
    <hyperlink ref="K12" r:id="rId1" xr:uid="{B2AE17D3-AD3D-4256-BCF4-9AF325AAA208}"/>
  </hyperlinks>
  <pageMargins left="0.7" right="0.7" top="0.75" bottom="0.75" header="0.3" footer="0.3"/>
  <pageSetup scale="45" orientation="landscape" horizontalDpi="1200" verticalDpi="1200" r:id="rId2"/>
  <colBreaks count="1" manualBreakCount="1">
    <brk id="9"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525-ABFD-44DC-BBD2-D07898DFA8D7}">
  <sheetPr>
    <tabColor rgb="FF00B050"/>
    <pageSetUpPr fitToPage="1"/>
  </sheetPr>
  <dimension ref="A1:AQ77"/>
  <sheetViews>
    <sheetView view="pageBreakPreview" topLeftCell="A6" zoomScale="85" zoomScaleNormal="85" zoomScaleSheetLayoutView="85" workbookViewId="0">
      <selection activeCell="B42" sqref="B42"/>
    </sheetView>
  </sheetViews>
  <sheetFormatPr defaultRowHeight="15" x14ac:dyDescent="0.25"/>
  <cols>
    <col min="2" max="3" width="15.7109375" customWidth="1"/>
    <col min="4" max="5" width="18.5703125" customWidth="1"/>
    <col min="6" max="15" width="15.7109375" customWidth="1"/>
    <col min="16" max="16" width="17.7109375" customWidth="1"/>
    <col min="17" max="17" width="15.7109375" customWidth="1"/>
    <col min="18" max="22" width="15.42578125" customWidth="1"/>
    <col min="23" max="23" width="21.85546875" customWidth="1"/>
    <col min="24" max="24" width="50.42578125" customWidth="1"/>
    <col min="25" max="26" width="17.7109375" customWidth="1"/>
    <col min="28" max="28" width="15.7109375" customWidth="1"/>
    <col min="29" max="29" width="12.28515625" customWidth="1"/>
    <col min="30" max="30" width="19.140625" customWidth="1"/>
    <col min="31" max="31" width="13.85546875" customWidth="1"/>
    <col min="32" max="35" width="13.140625" customWidth="1"/>
    <col min="39" max="41" width="25.7109375" customWidth="1"/>
    <col min="42" max="42" width="37" bestFit="1" customWidth="1"/>
    <col min="43" max="43" width="38.85546875" bestFit="1" customWidth="1"/>
  </cols>
  <sheetData>
    <row r="1" spans="2:43" ht="15.75" thickBot="1" x14ac:dyDescent="0.3">
      <c r="B1" s="12" t="s">
        <v>61</v>
      </c>
      <c r="C1" s="12"/>
      <c r="D1" s="12"/>
      <c r="E1" s="12"/>
    </row>
    <row r="2" spans="2:43" ht="18.75" thickBot="1" x14ac:dyDescent="0.3">
      <c r="C2" s="298" t="s">
        <v>157</v>
      </c>
      <c r="D2" s="299"/>
      <c r="E2" s="300"/>
      <c r="F2" s="317" t="s">
        <v>78</v>
      </c>
      <c r="G2" s="318"/>
      <c r="H2" s="318"/>
      <c r="I2" s="318"/>
      <c r="J2" s="318"/>
      <c r="K2" s="318"/>
      <c r="L2" s="318"/>
      <c r="M2" s="318"/>
      <c r="N2" s="318"/>
      <c r="O2" s="315" t="s">
        <v>79</v>
      </c>
      <c r="P2" s="316"/>
    </row>
    <row r="3" spans="2:43" ht="35.1" customHeight="1" x14ac:dyDescent="0.25">
      <c r="B3" s="307" t="s">
        <v>0</v>
      </c>
      <c r="C3" s="292" t="s">
        <v>156</v>
      </c>
      <c r="D3" s="288" t="s">
        <v>150</v>
      </c>
      <c r="E3" s="309" t="s">
        <v>87</v>
      </c>
      <c r="F3" s="292" t="s">
        <v>152</v>
      </c>
      <c r="G3" s="288" t="s">
        <v>141</v>
      </c>
      <c r="H3" s="302" t="s">
        <v>148</v>
      </c>
      <c r="I3" s="305" t="s">
        <v>147</v>
      </c>
      <c r="J3" s="288" t="s">
        <v>142</v>
      </c>
      <c r="K3" s="302" t="s">
        <v>149</v>
      </c>
      <c r="L3" s="305" t="s">
        <v>143</v>
      </c>
      <c r="M3" s="292" t="s">
        <v>144</v>
      </c>
      <c r="N3" s="319" t="s">
        <v>1</v>
      </c>
      <c r="O3" s="313" t="s">
        <v>80</v>
      </c>
      <c r="P3" s="321" t="s">
        <v>1</v>
      </c>
      <c r="R3" s="92"/>
    </row>
    <row r="4" spans="2:43" ht="35.1" customHeight="1" thickBot="1" x14ac:dyDescent="0.3">
      <c r="B4" s="308"/>
      <c r="C4" s="301"/>
      <c r="D4" s="304"/>
      <c r="E4" s="310"/>
      <c r="F4" s="301"/>
      <c r="G4" s="304"/>
      <c r="H4" s="303"/>
      <c r="I4" s="306"/>
      <c r="J4" s="304"/>
      <c r="K4" s="303"/>
      <c r="L4" s="306"/>
      <c r="M4" s="301"/>
      <c r="N4" s="320"/>
      <c r="O4" s="314"/>
      <c r="P4" s="322"/>
    </row>
    <row r="5" spans="2:43" x14ac:dyDescent="0.25">
      <c r="B5" s="1">
        <f>Assumptions!$D$8</f>
        <v>2026</v>
      </c>
      <c r="C5" s="157">
        <f>($F5*$V$7*Assumptions!$D$13+$F5*$V$8*Assumptions!$D$14)/10^6</f>
        <v>6.4902214218577683</v>
      </c>
      <c r="D5" s="158">
        <f>C5*_xlfn.XLOOKUP($B5,$R$13:$R$51,$V$13:$V$51)</f>
        <v>369.94262104589279</v>
      </c>
      <c r="E5" s="159">
        <f>D5*(1+0.03)^-($B5-Assumptions!$D$4)</f>
        <v>309.82112100222241</v>
      </c>
      <c r="F5" s="148">
        <f>TREND($Y$21:$Z$21,$Y$20:$Z$20,$B5)</f>
        <v>17864.632302022073</v>
      </c>
      <c r="G5" s="160">
        <f>($F5*S$7*Assumptions!$D$13+$F5*S$8*Assumptions!$D$14)/10^6</f>
        <v>5.7432749699778667E-3</v>
      </c>
      <c r="H5" s="161">
        <f>($F5*T$7*Assumptions!$D$13+$F5*T$8*Assumptions!$D$14)/10^6</f>
        <v>3.9403940174100724E-5</v>
      </c>
      <c r="I5" s="162">
        <f>($F5*U$7*Assumptions!$D$13+$F5*U$8*Assumptions!$D$14)/10^6</f>
        <v>1.2777557421159383E-4</v>
      </c>
      <c r="J5" s="163">
        <f>G5*_xlfn.XLOOKUP($B5,$R$13:$R$51,$S$13:$S$51)</f>
        <v>96.487019495628161</v>
      </c>
      <c r="K5" s="164">
        <f>H5*_xlfn.XLOOKUP($B5,$R$13:$R$51,$T$13:$T$51)</f>
        <v>1.8007600659564031</v>
      </c>
      <c r="L5" s="159">
        <f>I5*_xlfn.XLOOKUP($B5,$R$13:$R$51,$U$13:$U$51)</f>
        <v>104.07320519534318</v>
      </c>
      <c r="M5" s="165">
        <f>SUM(J5:L5)</f>
        <v>202.36098475692773</v>
      </c>
      <c r="N5" s="166">
        <f>M5*(1+0.07)^-(B5-Assumptions!$D$4)</f>
        <v>134.84166859663063</v>
      </c>
      <c r="O5" s="142">
        <f t="shared" ref="O5:P5" si="0">M5+D5</f>
        <v>572.30360580282058</v>
      </c>
      <c r="P5" s="99">
        <f t="shared" si="0"/>
        <v>444.66278959885301</v>
      </c>
      <c r="R5" s="93" t="s">
        <v>145</v>
      </c>
      <c r="S5" s="93"/>
      <c r="T5" s="93"/>
      <c r="U5" s="93"/>
      <c r="V5" s="93"/>
      <c r="X5" s="12" t="s">
        <v>162</v>
      </c>
      <c r="AC5" s="12" t="s">
        <v>100</v>
      </c>
    </row>
    <row r="6" spans="2:43" ht="18" x14ac:dyDescent="0.35">
      <c r="B6" s="2">
        <f t="shared" ref="B6:B34" si="1">+B5+1</f>
        <v>2027</v>
      </c>
      <c r="C6" s="141">
        <f>($F6*$V$7*Assumptions!$D$13+$F6*$V$8*Assumptions!$D$14)/10^6</f>
        <v>6.9122412178893962</v>
      </c>
      <c r="D6" s="142">
        <f t="shared" ref="D6:D34" si="2">C6*_xlfn.XLOOKUP($B6,$R$13:$R$51,$V$13:$V$51)</f>
        <v>400.909990637585</v>
      </c>
      <c r="E6" s="99">
        <f>D6*(1+0.03)^-($B6-Assumptions!$D$4)</f>
        <v>325.97651020016377</v>
      </c>
      <c r="F6" s="149">
        <f t="shared" ref="F6:F34" si="3">TREND($Y$21:$Z$21,$Y$20:$Z$20,$B6)</f>
        <v>19026.261157223955</v>
      </c>
      <c r="G6" s="151">
        <f>($F6*S$7*Assumptions!$D$13+$F6*S$8*Assumptions!$D$14)/10^6</f>
        <v>6.1167253615501491E-3</v>
      </c>
      <c r="H6" s="152">
        <f>($F6*T$7*Assumptions!$D$13+$F6*T$8*Assumptions!$D$14)/10^6</f>
        <v>4.1966139783980368E-5</v>
      </c>
      <c r="I6" s="153">
        <f>($F6*U$7*Assumptions!$D$13+$F6*U$8*Assumptions!$D$14)/10^6</f>
        <v>1.360840460281325E-4</v>
      </c>
      <c r="J6" s="134">
        <f t="shared" ref="J6:J34" si="4">G6*_xlfn.XLOOKUP($B6,$R$13:$R$51,$S$13:$S$51)</f>
        <v>104.59600368250754</v>
      </c>
      <c r="K6" s="94">
        <f t="shared" ref="K6:K34" si="5">H6*_xlfn.XLOOKUP($B6,$R$13:$R$51,$T$13:$T$51)</f>
        <v>1.9514254999550871</v>
      </c>
      <c r="L6" s="95">
        <f t="shared" ref="L6:L34" si="6">I6*_xlfn.XLOOKUP($B6,$R$13:$R$51,$U$13:$U$51)</f>
        <v>112.59593968367683</v>
      </c>
      <c r="M6" s="100">
        <f t="shared" ref="M6:M33" si="7">SUM(J6:L6)</f>
        <v>219.14336886613947</v>
      </c>
      <c r="N6" s="167">
        <f>M6*(1+0.07)^-(B6-Assumptions!$D$4)</f>
        <v>136.47147639710809</v>
      </c>
      <c r="O6" s="169">
        <f t="shared" ref="O6:O34" si="8">M6+D6</f>
        <v>620.05335950372444</v>
      </c>
      <c r="P6" s="95">
        <f t="shared" ref="P6:P34" si="9">N6+E6</f>
        <v>462.44798659727189</v>
      </c>
      <c r="R6" s="30" t="s">
        <v>62</v>
      </c>
      <c r="S6" s="83" t="s">
        <v>158</v>
      </c>
      <c r="T6" s="83" t="s">
        <v>159</v>
      </c>
      <c r="U6" s="83" t="s">
        <v>160</v>
      </c>
      <c r="V6" s="48" t="s">
        <v>161</v>
      </c>
      <c r="X6" s="70" t="s">
        <v>102</v>
      </c>
      <c r="Y6" s="202">
        <f>AVERAGE(AQ21:AQ22)</f>
        <v>0.27500000000000002</v>
      </c>
      <c r="AC6" s="70" t="s">
        <v>90</v>
      </c>
      <c r="AD6" s="70" t="s">
        <v>91</v>
      </c>
      <c r="AE6" s="70" t="s">
        <v>92</v>
      </c>
      <c r="AF6" s="116" t="s">
        <v>83</v>
      </c>
      <c r="AG6" s="116" t="s">
        <v>84</v>
      </c>
      <c r="AH6" s="116" t="s">
        <v>85</v>
      </c>
      <c r="AI6" s="116" t="s">
        <v>86</v>
      </c>
      <c r="AM6" t="s">
        <v>109</v>
      </c>
    </row>
    <row r="7" spans="2:43" ht="15.75" x14ac:dyDescent="0.25">
      <c r="B7" s="2">
        <f t="shared" si="1"/>
        <v>2028</v>
      </c>
      <c r="C7" s="141">
        <f>($F7*$V$7*Assumptions!$D$13+$F7*$V$8*Assumptions!$D$14)/10^6</f>
        <v>7.3342610139211919</v>
      </c>
      <c r="D7" s="142">
        <f t="shared" si="2"/>
        <v>440.05566083527151</v>
      </c>
      <c r="E7" s="99">
        <f>D7*(1+0.03)^-($B7-Assumptions!$D$4)</f>
        <v>347.3840022754847</v>
      </c>
      <c r="F7" s="149">
        <f t="shared" si="3"/>
        <v>20187.890012426302</v>
      </c>
      <c r="G7" s="151">
        <f>($F7*S$7*Assumptions!$D$13+$F7*S$8*Assumptions!$D$14)/10^6</f>
        <v>6.4901757531225833E-3</v>
      </c>
      <c r="H7" s="152">
        <f>($F7*T$7*Assumptions!$D$13+$F7*T$8*Assumptions!$D$14)/10^6</f>
        <v>4.4528339393861029E-5</v>
      </c>
      <c r="I7" s="153">
        <f>($F7*U$7*Assumptions!$D$13+$F7*U$8*Assumptions!$D$14)/10^6</f>
        <v>1.443925178446745E-4</v>
      </c>
      <c r="J7" s="134">
        <f t="shared" si="4"/>
        <v>112.92905810433295</v>
      </c>
      <c r="K7" s="94">
        <f t="shared" si="5"/>
        <v>2.1061904533296265</v>
      </c>
      <c r="L7" s="95">
        <f t="shared" si="6"/>
        <v>121.37635050023339</v>
      </c>
      <c r="M7" s="100">
        <f t="shared" si="7"/>
        <v>236.41159905789596</v>
      </c>
      <c r="N7" s="167">
        <f>M7*(1+0.07)^-(B7-Assumptions!$D$4)</f>
        <v>137.5937030764749</v>
      </c>
      <c r="O7" s="169">
        <f t="shared" si="8"/>
        <v>676.46725989316747</v>
      </c>
      <c r="P7" s="95">
        <f t="shared" si="9"/>
        <v>484.97770535195957</v>
      </c>
      <c r="R7" s="30" t="s">
        <v>63</v>
      </c>
      <c r="S7" s="193">
        <f>AF25</f>
        <v>0.22790983982547491</v>
      </c>
      <c r="T7" s="193">
        <f t="shared" ref="T7:V7" si="10">AG25</f>
        <v>2.0699004398994176E-3</v>
      </c>
      <c r="U7" s="193">
        <f t="shared" si="10"/>
        <v>5.8180715878192544E-3</v>
      </c>
      <c r="V7" s="193">
        <f t="shared" si="10"/>
        <v>317.22468262036</v>
      </c>
      <c r="X7" t="s">
        <v>103</v>
      </c>
      <c r="AC7" s="116">
        <v>11</v>
      </c>
      <c r="AD7" s="70" t="s">
        <v>93</v>
      </c>
      <c r="AE7" s="70" t="s">
        <v>94</v>
      </c>
      <c r="AF7" s="196">
        <v>0.73690802096518104</v>
      </c>
      <c r="AG7" s="196">
        <v>2.4081927794970298E-3</v>
      </c>
      <c r="AH7" s="196">
        <v>1.78605259703664E-2</v>
      </c>
      <c r="AI7" s="196">
        <v>362.51238716242</v>
      </c>
      <c r="AM7" s="206" t="s">
        <v>110</v>
      </c>
      <c r="AN7" s="207"/>
      <c r="AO7" s="207"/>
      <c r="AP7" s="207"/>
      <c r="AQ7" s="207"/>
    </row>
    <row r="8" spans="2:43" ht="15.75" x14ac:dyDescent="0.25">
      <c r="B8" s="2">
        <f t="shared" si="1"/>
        <v>2029</v>
      </c>
      <c r="C8" s="141">
        <f>($F8*$V$7*Assumptions!$D$13+$F8*$V$8*Assumptions!$D$14)/10^6</f>
        <v>7.7562808099529876</v>
      </c>
      <c r="D8" s="142">
        <f t="shared" si="2"/>
        <v>473.13312940713223</v>
      </c>
      <c r="E8" s="99">
        <f>D8*(1+0.03)^-($B8-Assumptions!$D$4)</f>
        <v>362.61714700372869</v>
      </c>
      <c r="F8" s="149">
        <f t="shared" si="3"/>
        <v>21349.518867628649</v>
      </c>
      <c r="G8" s="151">
        <f>($F8*S$7*Assumptions!$D$13+$F8*S$8*Assumptions!$D$14)/10^6</f>
        <v>6.8636261446950175E-3</v>
      </c>
      <c r="H8" s="152">
        <f>($F8*T$7*Assumptions!$D$13+$F8*T$8*Assumptions!$D$14)/10^6</f>
        <v>4.7090539003741683E-5</v>
      </c>
      <c r="I8" s="153">
        <f>($F8*U$7*Assumptions!$D$13+$F8*U$8*Assumptions!$D$14)/10^6</f>
        <v>1.527009896612165E-4</v>
      </c>
      <c r="J8" s="134">
        <f t="shared" si="4"/>
        <v>121.48618276110182</v>
      </c>
      <c r="K8" s="94">
        <f t="shared" si="5"/>
        <v>2.2697639799803491</v>
      </c>
      <c r="L8" s="95">
        <f t="shared" si="6"/>
        <v>130.4066451706789</v>
      </c>
      <c r="M8" s="100">
        <f t="shared" si="7"/>
        <v>254.16259191176107</v>
      </c>
      <c r="N8" s="167">
        <f>M8*(1+0.07)^-(B8-Assumptions!$D$4)</f>
        <v>138.24760984345173</v>
      </c>
      <c r="O8" s="169">
        <f t="shared" si="8"/>
        <v>727.29572131889336</v>
      </c>
      <c r="P8" s="95">
        <f t="shared" si="9"/>
        <v>500.86475684718039</v>
      </c>
      <c r="R8" s="30" t="s">
        <v>64</v>
      </c>
      <c r="S8" s="193">
        <f t="shared" ref="S8:V8" si="11">AF26</f>
        <v>2.099484306313415</v>
      </c>
      <c r="T8" s="193">
        <f t="shared" si="11"/>
        <v>4.7858028693373951E-3</v>
      </c>
      <c r="U8" s="193">
        <f t="shared" si="11"/>
        <v>3.2505287070740692E-2</v>
      </c>
      <c r="V8" s="193">
        <f t="shared" si="11"/>
        <v>1238.7315972924489</v>
      </c>
      <c r="X8" s="12" t="s">
        <v>163</v>
      </c>
      <c r="AC8" s="116">
        <v>21</v>
      </c>
      <c r="AD8" s="70" t="s">
        <v>95</v>
      </c>
      <c r="AE8" s="70" t="s">
        <v>94</v>
      </c>
      <c r="AF8" s="196">
        <v>3.7528759722247264E-2</v>
      </c>
      <c r="AG8" s="196">
        <v>1.6122938930079201E-3</v>
      </c>
      <c r="AH8" s="196">
        <v>1.1798384221972261E-3</v>
      </c>
      <c r="AI8" s="196">
        <v>243.79125643460799</v>
      </c>
      <c r="AM8" s="208" t="s">
        <v>111</v>
      </c>
      <c r="AN8" s="207"/>
      <c r="AO8" s="207"/>
      <c r="AP8" s="207"/>
      <c r="AQ8" s="207"/>
    </row>
    <row r="9" spans="2:43" ht="15" customHeight="1" x14ac:dyDescent="0.25">
      <c r="B9" s="2">
        <f t="shared" si="1"/>
        <v>2030</v>
      </c>
      <c r="C9" s="141">
        <f>($F9*$V$7*Assumptions!$D$13+$F9*$V$8*Assumptions!$D$14)/10^6</f>
        <v>8.1783006059846137</v>
      </c>
      <c r="D9" s="142">
        <f t="shared" si="2"/>
        <v>507.05463757104604</v>
      </c>
      <c r="E9" s="99">
        <f>D9*(1+0.03)^-($B9-Assumptions!$D$4)</f>
        <v>377.29627033677974</v>
      </c>
      <c r="F9" s="149">
        <f t="shared" si="3"/>
        <v>22511.14772283053</v>
      </c>
      <c r="G9" s="151">
        <f>($F9*S$7*Assumptions!$D$13+$F9*S$8*Assumptions!$D$14)/10^6</f>
        <v>7.2370765362673008E-3</v>
      </c>
      <c r="H9" s="152">
        <f>($F9*T$7*Assumptions!$D$13+$F9*T$8*Assumptions!$D$14)/10^6</f>
        <v>4.965273861362132E-5</v>
      </c>
      <c r="I9" s="153">
        <f>($F9*U$7*Assumptions!$D$13+$F9*U$8*Assumptions!$D$14)/10^6</f>
        <v>1.6100946147775517E-4</v>
      </c>
      <c r="J9" s="134">
        <f t="shared" si="4"/>
        <v>130.99108530643815</v>
      </c>
      <c r="K9" s="94">
        <f t="shared" si="5"/>
        <v>2.4379494659288068</v>
      </c>
      <c r="L9" s="95">
        <f t="shared" si="6"/>
        <v>139.69180877810038</v>
      </c>
      <c r="M9" s="100">
        <f t="shared" ref="M9:M24" si="12">SUM(J9:L9)</f>
        <v>273.12084355046733</v>
      </c>
      <c r="N9" s="167">
        <f>M9*(1+0.07)^-(B9-Assumptions!$D$4)</f>
        <v>138.84078748611708</v>
      </c>
      <c r="O9" s="169">
        <f t="shared" si="8"/>
        <v>780.17548112151337</v>
      </c>
      <c r="P9" s="95">
        <f t="shared" si="9"/>
        <v>516.13705782289685</v>
      </c>
      <c r="R9" s="12"/>
      <c r="S9" s="191"/>
      <c r="T9" s="192"/>
      <c r="U9" s="191"/>
      <c r="V9" s="190"/>
      <c r="X9" s="116" t="s">
        <v>104</v>
      </c>
      <c r="Y9" s="116" t="s">
        <v>105</v>
      </c>
      <c r="AC9" s="116">
        <v>31</v>
      </c>
      <c r="AD9" s="70" t="s">
        <v>95</v>
      </c>
      <c r="AE9" s="70" t="s">
        <v>94</v>
      </c>
      <c r="AF9" s="196">
        <v>5.602001301010253E-2</v>
      </c>
      <c r="AG9" s="196">
        <v>2.0534055761767299E-3</v>
      </c>
      <c r="AH9" s="196">
        <v>1.6834690354423085E-3</v>
      </c>
      <c r="AI9" s="196">
        <v>318.590574637288</v>
      </c>
      <c r="AM9" s="207"/>
      <c r="AN9" s="207"/>
      <c r="AO9" s="207"/>
      <c r="AP9" s="207"/>
      <c r="AQ9" s="207"/>
    </row>
    <row r="10" spans="2:43" ht="15.75" x14ac:dyDescent="0.25">
      <c r="B10" s="2">
        <f t="shared" si="1"/>
        <v>2031</v>
      </c>
      <c r="C10" s="141">
        <f>($F10*$V$7*Assumptions!$D$13+$F10*$V$8*Assumptions!$D$14)/10^6</f>
        <v>8.6003204020164112</v>
      </c>
      <c r="D10" s="142">
        <f t="shared" si="2"/>
        <v>541.82018532703387</v>
      </c>
      <c r="E10" s="99">
        <f>D10*(1+0.03)^-($B10-Assumptions!$D$4)</f>
        <v>391.42242997093382</v>
      </c>
      <c r="F10" s="149">
        <f t="shared" si="3"/>
        <v>23672.776578032877</v>
      </c>
      <c r="G10" s="151">
        <f>($F10*S$7*Assumptions!$D$13+$F10*S$8*Assumptions!$D$14)/10^6</f>
        <v>7.6105269278397324E-3</v>
      </c>
      <c r="H10" s="152">
        <f>($F10*T$7*Assumptions!$D$13+$F10*T$8*Assumptions!$D$14)/10^6</f>
        <v>5.2214938223501987E-5</v>
      </c>
      <c r="I10" s="153">
        <f>($F10*U$7*Assumptions!$D$13+$F10*U$8*Assumptions!$D$14)/10^6</f>
        <v>1.6931793329429717E-4</v>
      </c>
      <c r="J10" s="134">
        <f t="shared" si="4"/>
        <v>137.75053739389915</v>
      </c>
      <c r="K10" s="94">
        <f t="shared" si="5"/>
        <v>2.5637534667739477</v>
      </c>
      <c r="L10" s="95">
        <f t="shared" si="6"/>
        <v>146.90023892613223</v>
      </c>
      <c r="M10" s="100">
        <f t="shared" si="12"/>
        <v>287.21452978680531</v>
      </c>
      <c r="N10" s="167">
        <f>M10*(1+0.07)^-(B10-Assumptions!$D$4)</f>
        <v>136.45355411955916</v>
      </c>
      <c r="O10" s="169">
        <f t="shared" si="8"/>
        <v>829.03471511383918</v>
      </c>
      <c r="P10" s="95">
        <f t="shared" si="9"/>
        <v>527.87598409049292</v>
      </c>
      <c r="S10" s="17"/>
      <c r="T10" s="17"/>
      <c r="U10" s="17"/>
      <c r="V10" s="17"/>
      <c r="X10" s="116" t="s">
        <v>63</v>
      </c>
      <c r="Y10" s="202">
        <v>24.9</v>
      </c>
      <c r="AC10" s="116">
        <v>32</v>
      </c>
      <c r="AD10" s="70" t="s">
        <v>95</v>
      </c>
      <c r="AE10" s="70" t="s">
        <v>94</v>
      </c>
      <c r="AF10" s="196">
        <v>8.1182565604368817E-2</v>
      </c>
      <c r="AG10" s="196">
        <v>2.2057095109159902E-3</v>
      </c>
      <c r="AH10" s="196">
        <v>2.5484529232710825E-3</v>
      </c>
      <c r="AI10" s="196">
        <v>344.00451224712401</v>
      </c>
      <c r="AM10" s="209" t="s">
        <v>112</v>
      </c>
      <c r="AN10" s="206"/>
      <c r="AO10" s="206"/>
      <c r="AP10" s="206"/>
      <c r="AQ10" s="206"/>
    </row>
    <row r="11" spans="2:43" ht="15.75" x14ac:dyDescent="0.25">
      <c r="B11" s="2">
        <f t="shared" si="1"/>
        <v>2032</v>
      </c>
      <c r="C11" s="141">
        <f>($F11*$V$7*Assumptions!$D$13+$F11*$V$8*Assumptions!$D$14)/10^6</f>
        <v>9.0223401980482087</v>
      </c>
      <c r="D11" s="142">
        <f t="shared" si="2"/>
        <v>577.42977267508536</v>
      </c>
      <c r="E11" s="99">
        <f>D11*(1+0.03)^-($B11-Assumptions!$D$4)</f>
        <v>404.99762477870718</v>
      </c>
      <c r="F11" s="149">
        <f t="shared" si="3"/>
        <v>24834.405433235224</v>
      </c>
      <c r="G11" s="151">
        <f>($F11*S$7*Assumptions!$D$13+$F11*S$8*Assumptions!$D$14)/10^6</f>
        <v>7.9839773194121666E-3</v>
      </c>
      <c r="H11" s="152">
        <f>($F11*T$7*Assumptions!$D$13+$F11*T$8*Assumptions!$D$14)/10^6</f>
        <v>5.4777137833382641E-5</v>
      </c>
      <c r="I11" s="153">
        <f>($F11*U$7*Assumptions!$D$13+$F11*U$8*Assumptions!$D$14)/10^6</f>
        <v>1.776264051108392E-4</v>
      </c>
      <c r="J11" s="134">
        <f t="shared" si="4"/>
        <v>144.50998948136021</v>
      </c>
      <c r="K11" s="94">
        <f t="shared" si="5"/>
        <v>2.6895574676190876</v>
      </c>
      <c r="L11" s="95">
        <f t="shared" si="6"/>
        <v>154.10866907416408</v>
      </c>
      <c r="M11" s="100">
        <f t="shared" si="12"/>
        <v>301.30821602314336</v>
      </c>
      <c r="N11" s="167">
        <f>M11*(1+0.07)^-(B11-Assumptions!$D$4)</f>
        <v>133.78445133176658</v>
      </c>
      <c r="O11" s="169">
        <f t="shared" si="8"/>
        <v>878.73798869822872</v>
      </c>
      <c r="P11" s="95">
        <f t="shared" si="9"/>
        <v>538.78207611047378</v>
      </c>
      <c r="R11" s="12" t="s">
        <v>146</v>
      </c>
      <c r="AC11" s="116">
        <v>41</v>
      </c>
      <c r="AD11" s="70" t="s">
        <v>96</v>
      </c>
      <c r="AE11" s="70" t="s">
        <v>97</v>
      </c>
      <c r="AF11" s="196">
        <v>2.237602310868759</v>
      </c>
      <c r="AG11" s="196">
        <v>5.5717265564873301E-3</v>
      </c>
      <c r="AH11" s="196">
        <v>1.658066855283262E-2</v>
      </c>
      <c r="AI11" s="196">
        <v>1406.7823013201701</v>
      </c>
      <c r="AM11" s="209" t="s">
        <v>113</v>
      </c>
      <c r="AN11" s="206" t="s">
        <v>114</v>
      </c>
      <c r="AO11" s="206" t="s">
        <v>115</v>
      </c>
      <c r="AP11" s="206" t="s">
        <v>116</v>
      </c>
      <c r="AQ11" s="206" t="s">
        <v>117</v>
      </c>
    </row>
    <row r="12" spans="2:43" ht="18" x14ac:dyDescent="0.35">
      <c r="B12" s="2">
        <f t="shared" si="1"/>
        <v>2033</v>
      </c>
      <c r="C12" s="141">
        <f>($F12*$V$7*Assumptions!$D$13+$F12*$V$8*Assumptions!$D$14)/10^6</f>
        <v>9.444359994079834</v>
      </c>
      <c r="D12" s="142">
        <f t="shared" si="2"/>
        <v>613.88339961518921</v>
      </c>
      <c r="E12" s="99">
        <f>D12*(1+0.03)^-($B12-Assumptions!$D$4)</f>
        <v>418.0247235675306</v>
      </c>
      <c r="F12" s="149">
        <f t="shared" si="3"/>
        <v>25996.034288437106</v>
      </c>
      <c r="G12" s="151">
        <f>($F12*S$7*Assumptions!$D$13+$F12*S$8*Assumptions!$D$14)/10^6</f>
        <v>8.357427710984449E-3</v>
      </c>
      <c r="H12" s="152">
        <f>($F12*T$7*Assumptions!$D$13+$F12*T$8*Assumptions!$D$14)/10^6</f>
        <v>5.7339337443262271E-5</v>
      </c>
      <c r="I12" s="153">
        <f>($F12*U$7*Assumptions!$D$13+$F12*U$8*Assumptions!$D$14)/10^6</f>
        <v>1.8593487692737784E-4</v>
      </c>
      <c r="J12" s="134">
        <f t="shared" si="4"/>
        <v>151.26944156881854</v>
      </c>
      <c r="K12" s="94">
        <f t="shared" si="5"/>
        <v>2.8153614684641775</v>
      </c>
      <c r="L12" s="95">
        <f t="shared" si="6"/>
        <v>161.31709922219301</v>
      </c>
      <c r="M12" s="100">
        <f t="shared" si="12"/>
        <v>315.40190225947572</v>
      </c>
      <c r="N12" s="167">
        <f>M12*(1+0.07)^-(B12-Assumptions!$D$4)</f>
        <v>130.88057623409784</v>
      </c>
      <c r="O12" s="169">
        <f t="shared" si="8"/>
        <v>929.28530187466492</v>
      </c>
      <c r="P12" s="95">
        <f t="shared" si="9"/>
        <v>548.90529980162842</v>
      </c>
      <c r="R12" s="195" t="s">
        <v>72</v>
      </c>
      <c r="S12" s="48" t="s">
        <v>158</v>
      </c>
      <c r="T12" s="48" t="s">
        <v>159</v>
      </c>
      <c r="U12" s="48" t="s">
        <v>160</v>
      </c>
      <c r="V12" s="48" t="s">
        <v>161</v>
      </c>
      <c r="X12" s="12" t="s">
        <v>164</v>
      </c>
      <c r="AC12" s="116">
        <v>42</v>
      </c>
      <c r="AD12" s="70" t="s">
        <v>96</v>
      </c>
      <c r="AE12" s="70" t="s">
        <v>97</v>
      </c>
      <c r="AF12" s="196">
        <v>1.9658170115512426</v>
      </c>
      <c r="AG12" s="196">
        <v>5.4889920561794897E-3</v>
      </c>
      <c r="AH12" s="196">
        <v>1.2308421676718551E-2</v>
      </c>
      <c r="AI12" s="196">
        <v>1391.9649569298599</v>
      </c>
      <c r="AM12" s="206" t="s">
        <v>118</v>
      </c>
      <c r="AN12" s="210" t="s">
        <v>119</v>
      </c>
      <c r="AO12" s="210" t="s">
        <v>120</v>
      </c>
      <c r="AP12" s="211">
        <v>80000</v>
      </c>
      <c r="AQ12" s="212">
        <v>0.64</v>
      </c>
    </row>
    <row r="13" spans="2:43" ht="15" customHeight="1" x14ac:dyDescent="0.25">
      <c r="B13" s="2">
        <f t="shared" si="1"/>
        <v>2034</v>
      </c>
      <c r="C13" s="141">
        <f>($F13*$V$7*Assumptions!$D$13+$F13*$V$8*Assumptions!$D$14)/10^6</f>
        <v>9.8663797901116297</v>
      </c>
      <c r="D13" s="142">
        <f t="shared" si="2"/>
        <v>651.18106614736757</v>
      </c>
      <c r="E13" s="99">
        <f>D13*(1+0.03)^-($B13-Assumptions!$D$4)</f>
        <v>430.50739764197681</v>
      </c>
      <c r="F13" s="149">
        <f t="shared" si="3"/>
        <v>27157.663143639453</v>
      </c>
      <c r="G13" s="151">
        <f>($F13*S$7*Assumptions!$D$13+$F13*S$8*Assumptions!$D$14)/10^6</f>
        <v>8.7308781025568823E-3</v>
      </c>
      <c r="H13" s="152">
        <f>($F13*T$7*Assumptions!$D$13+$F13*T$8*Assumptions!$D$14)/10^6</f>
        <v>5.9901537053142939E-5</v>
      </c>
      <c r="I13" s="153">
        <f>($F13*U$7*Assumptions!$D$13+$F13*U$8*Assumptions!$D$14)/10^6</f>
        <v>1.9424334874391984E-4</v>
      </c>
      <c r="J13" s="134">
        <f t="shared" si="4"/>
        <v>158.02889365627956</v>
      </c>
      <c r="K13" s="94">
        <f t="shared" si="5"/>
        <v>2.9411654693093183</v>
      </c>
      <c r="L13" s="95">
        <f t="shared" si="6"/>
        <v>168.52552937022486</v>
      </c>
      <c r="M13" s="100">
        <f t="shared" si="12"/>
        <v>329.49558849581376</v>
      </c>
      <c r="N13" s="167">
        <f>M13*(1+0.07)^-(B13-Assumptions!$D$4)</f>
        <v>127.78407005782631</v>
      </c>
      <c r="O13" s="169">
        <f t="shared" si="8"/>
        <v>980.67665464318134</v>
      </c>
      <c r="P13" s="95">
        <f t="shared" si="9"/>
        <v>558.29146769980309</v>
      </c>
      <c r="R13" s="96">
        <v>2021</v>
      </c>
      <c r="S13" s="194">
        <v>15600</v>
      </c>
      <c r="T13" s="194">
        <v>41500</v>
      </c>
      <c r="U13" s="194">
        <v>748600</v>
      </c>
      <c r="V13" s="194">
        <v>52</v>
      </c>
      <c r="X13" s="116" t="s">
        <v>106</v>
      </c>
      <c r="Y13" s="202">
        <f>Y6*Y10</f>
        <v>6.8475000000000001</v>
      </c>
      <c r="Z13" s="116" t="s">
        <v>107</v>
      </c>
      <c r="AC13" s="116">
        <v>43</v>
      </c>
      <c r="AD13" s="70" t="s">
        <v>96</v>
      </c>
      <c r="AE13" s="70" t="s">
        <v>97</v>
      </c>
      <c r="AF13" s="196">
        <v>1.9469017025302577</v>
      </c>
      <c r="AG13" s="196">
        <v>3.66910948950592E-3</v>
      </c>
      <c r="AH13" s="196">
        <v>5.5096995199883071E-2</v>
      </c>
      <c r="AI13" s="196">
        <v>1071.1129065416801</v>
      </c>
      <c r="AM13" s="206" t="s">
        <v>121</v>
      </c>
      <c r="AN13" s="210" t="s">
        <v>119</v>
      </c>
      <c r="AO13" s="210" t="s">
        <v>120</v>
      </c>
      <c r="AP13" s="211">
        <v>37000</v>
      </c>
      <c r="AQ13" s="212">
        <v>0.9</v>
      </c>
    </row>
    <row r="14" spans="2:43" ht="15.75" x14ac:dyDescent="0.25">
      <c r="B14" s="2">
        <f t="shared" si="1"/>
        <v>2035</v>
      </c>
      <c r="C14" s="141">
        <f>($F14*$V$7*Assumptions!$D$13+$F14*$V$8*Assumptions!$D$14)/10^6</f>
        <v>10.288399586143425</v>
      </c>
      <c r="D14" s="142">
        <f t="shared" si="2"/>
        <v>689.32277227160955</v>
      </c>
      <c r="E14" s="99">
        <f>D14*(1+0.03)^-($B14-Assumptions!$D$4)</f>
        <v>442.4500569951594</v>
      </c>
      <c r="F14" s="149">
        <f t="shared" si="3"/>
        <v>28319.2919988418</v>
      </c>
      <c r="G14" s="151">
        <f>($F14*S$7*Assumptions!$D$13+$F14*S$8*Assumptions!$D$14)/10^6</f>
        <v>9.1043284941293174E-3</v>
      </c>
      <c r="H14" s="152">
        <f>($F14*T$7*Assumptions!$D$13+$F14*T$8*Assumptions!$D$14)/10^6</f>
        <v>6.2463736663023593E-5</v>
      </c>
      <c r="I14" s="153">
        <f>($F14*U$7*Assumptions!$D$13+$F14*U$8*Assumptions!$D$14)/10^6</f>
        <v>2.0255182056046184E-4</v>
      </c>
      <c r="J14" s="134">
        <f t="shared" si="4"/>
        <v>164.78834574374065</v>
      </c>
      <c r="K14" s="94">
        <f t="shared" si="5"/>
        <v>3.0669694701544583</v>
      </c>
      <c r="L14" s="95">
        <f t="shared" si="6"/>
        <v>175.73395951825668</v>
      </c>
      <c r="M14" s="100">
        <f t="shared" si="12"/>
        <v>343.58927473215181</v>
      </c>
      <c r="N14" s="167">
        <f>M14*(1+0.07)^-(B14-Assumptions!$D$4)</f>
        <v>124.5325650184736</v>
      </c>
      <c r="O14" s="169">
        <f t="shared" si="8"/>
        <v>1032.9120470037615</v>
      </c>
      <c r="P14" s="95">
        <f t="shared" si="9"/>
        <v>566.98262201363298</v>
      </c>
      <c r="R14" s="96">
        <v>2022</v>
      </c>
      <c r="S14" s="194">
        <v>15800</v>
      </c>
      <c r="T14" s="194">
        <v>42300</v>
      </c>
      <c r="U14" s="194">
        <v>761600</v>
      </c>
      <c r="V14" s="194">
        <v>53</v>
      </c>
      <c r="X14" s="17"/>
      <c r="AC14" s="116">
        <v>51</v>
      </c>
      <c r="AD14" s="70" t="s">
        <v>98</v>
      </c>
      <c r="AE14" s="70" t="s">
        <v>97</v>
      </c>
      <c r="AF14" s="196">
        <v>2.48942987946789</v>
      </c>
      <c r="AG14" s="196">
        <v>5.2833773025508703E-3</v>
      </c>
      <c r="AH14" s="196">
        <v>3.4321389281753531E-2</v>
      </c>
      <c r="AI14" s="196">
        <v>1427.83446247497</v>
      </c>
      <c r="AM14" s="206" t="s">
        <v>99</v>
      </c>
      <c r="AN14" s="210" t="s">
        <v>119</v>
      </c>
      <c r="AO14" s="210" t="s">
        <v>120</v>
      </c>
      <c r="AP14" s="211">
        <v>32000</v>
      </c>
      <c r="AQ14" s="212">
        <v>0.49</v>
      </c>
    </row>
    <row r="15" spans="2:43" ht="15.75" x14ac:dyDescent="0.25">
      <c r="B15" s="2">
        <f t="shared" si="1"/>
        <v>2036</v>
      </c>
      <c r="C15" s="141">
        <f>($F15*$V$7*Assumptions!$D$13+$F15*$V$8*Assumptions!$D$14)/10^6</f>
        <v>10.710419382175051</v>
      </c>
      <c r="D15" s="142">
        <f t="shared" si="2"/>
        <v>739.01893737007845</v>
      </c>
      <c r="E15" s="99">
        <f>D15*(1+0.03)^-($B15-Assumptions!$D$4)</f>
        <v>460.53216922661318</v>
      </c>
      <c r="F15" s="149">
        <f t="shared" si="3"/>
        <v>29480.920854043681</v>
      </c>
      <c r="G15" s="151">
        <f>($F15*S$7*Assumptions!$D$13+$F15*S$8*Assumptions!$D$14)/10^6</f>
        <v>9.4777788857016015E-3</v>
      </c>
      <c r="H15" s="152">
        <f>($F15*T$7*Assumptions!$D$13+$F15*T$8*Assumptions!$D$14)/10^6</f>
        <v>6.5025936272903223E-5</v>
      </c>
      <c r="I15" s="153">
        <f>($F15*U$7*Assumptions!$D$13+$F15*U$8*Assumptions!$D$14)/10^6</f>
        <v>2.1086029237700051E-4</v>
      </c>
      <c r="J15" s="134">
        <f t="shared" si="4"/>
        <v>171.54779783119898</v>
      </c>
      <c r="K15" s="94">
        <f t="shared" si="5"/>
        <v>3.1927734709995481</v>
      </c>
      <c r="L15" s="95">
        <f t="shared" si="6"/>
        <v>182.94238966628564</v>
      </c>
      <c r="M15" s="100">
        <f t="shared" si="12"/>
        <v>357.68296096848417</v>
      </c>
      <c r="N15" s="167">
        <f>M15*(1+0.07)^-(B15-Assumptions!$D$4)</f>
        <v>121.1595939223557</v>
      </c>
      <c r="O15" s="169">
        <f t="shared" si="8"/>
        <v>1096.7018983385626</v>
      </c>
      <c r="P15" s="95">
        <f t="shared" si="9"/>
        <v>581.6917631489689</v>
      </c>
      <c r="R15" s="96">
        <v>2023</v>
      </c>
      <c r="S15" s="194">
        <v>16000</v>
      </c>
      <c r="T15" s="194">
        <v>43100</v>
      </c>
      <c r="U15" s="194">
        <v>774700</v>
      </c>
      <c r="V15" s="194">
        <v>54</v>
      </c>
      <c r="X15" s="12" t="s">
        <v>135</v>
      </c>
      <c r="Y15" s="311" t="s">
        <v>177</v>
      </c>
      <c r="Z15" s="312"/>
      <c r="AC15" s="116">
        <v>52</v>
      </c>
      <c r="AD15" s="70" t="s">
        <v>98</v>
      </c>
      <c r="AE15" s="70" t="s">
        <v>97</v>
      </c>
      <c r="AF15" s="196">
        <v>0.95074648895471525</v>
      </c>
      <c r="AG15" s="196">
        <v>3.5321878667988801E-3</v>
      </c>
      <c r="AH15" s="196">
        <v>1.5158170819293781E-2</v>
      </c>
      <c r="AI15" s="196">
        <v>862.616489254057</v>
      </c>
      <c r="AM15" s="206" t="s">
        <v>122</v>
      </c>
      <c r="AN15" s="210" t="s">
        <v>119</v>
      </c>
      <c r="AO15" s="210" t="s">
        <v>120</v>
      </c>
      <c r="AP15" s="211">
        <v>30000</v>
      </c>
      <c r="AQ15" s="212">
        <v>0.97</v>
      </c>
    </row>
    <row r="16" spans="2:43" ht="15.75" x14ac:dyDescent="0.25">
      <c r="B16" s="2">
        <f t="shared" si="1"/>
        <v>2037</v>
      </c>
      <c r="C16" s="141">
        <f>($F16*$V$7*Assumptions!$D$13+$F16*$V$8*Assumptions!$D$14)/10^6</f>
        <v>11.132439178206848</v>
      </c>
      <c r="D16" s="142">
        <f t="shared" si="2"/>
        <v>779.27074247447933</v>
      </c>
      <c r="E16" s="99">
        <f>D16*(1+0.03)^-($B16-Assumptions!$D$4)</f>
        <v>471.47161496272548</v>
      </c>
      <c r="F16" s="149">
        <f t="shared" si="3"/>
        <v>30642.549709246028</v>
      </c>
      <c r="G16" s="151">
        <f>($F16*S$7*Assumptions!$D$13+$F16*S$8*Assumptions!$D$14)/10^6</f>
        <v>9.8512292772740331E-3</v>
      </c>
      <c r="H16" s="152">
        <f>($F16*T$7*Assumptions!$D$13+$F16*T$8*Assumptions!$D$14)/10^6</f>
        <v>6.7588135882783897E-5</v>
      </c>
      <c r="I16" s="153">
        <f>($F16*U$7*Assumptions!$D$13+$F16*U$8*Assumptions!$D$14)/10^6</f>
        <v>2.1916876419354254E-4</v>
      </c>
      <c r="J16" s="134">
        <f t="shared" si="4"/>
        <v>178.30724991866001</v>
      </c>
      <c r="K16" s="94">
        <f t="shared" si="5"/>
        <v>3.3185774718446894</v>
      </c>
      <c r="L16" s="95">
        <f t="shared" si="6"/>
        <v>190.15081981431752</v>
      </c>
      <c r="M16" s="100">
        <f t="shared" si="12"/>
        <v>371.77664720482221</v>
      </c>
      <c r="N16" s="167">
        <f>M16*(1+0.07)^-(B16-Assumptions!$D$4)</f>
        <v>117.69496547765712</v>
      </c>
      <c r="O16" s="169">
        <f t="shared" si="8"/>
        <v>1151.0473896793014</v>
      </c>
      <c r="P16" s="95">
        <f t="shared" si="9"/>
        <v>589.16658044038263</v>
      </c>
      <c r="R16" s="96">
        <v>2024</v>
      </c>
      <c r="S16" s="194">
        <v>16200</v>
      </c>
      <c r="T16" s="194">
        <v>44000</v>
      </c>
      <c r="U16" s="194">
        <v>788100</v>
      </c>
      <c r="V16" s="194">
        <v>55</v>
      </c>
      <c r="X16" s="30" t="s">
        <v>47</v>
      </c>
      <c r="Y16" s="48">
        <f>'Travel Time Savings '!I21</f>
        <v>2016</v>
      </c>
      <c r="Z16" s="48">
        <f>'Travel Time Savings '!K21</f>
        <v>2050</v>
      </c>
      <c r="AC16" s="116">
        <v>53</v>
      </c>
      <c r="AD16" s="70" t="s">
        <v>98</v>
      </c>
      <c r="AE16" s="70" t="s">
        <v>97</v>
      </c>
      <c r="AF16" s="196">
        <v>0.89067775827536644</v>
      </c>
      <c r="AG16" s="196">
        <v>3.4020765235606102E-3</v>
      </c>
      <c r="AH16" s="196">
        <v>1.349939126139434E-2</v>
      </c>
      <c r="AI16" s="196">
        <v>829.46088804247995</v>
      </c>
      <c r="AM16" s="206" t="s">
        <v>123</v>
      </c>
      <c r="AN16" s="210" t="s">
        <v>119</v>
      </c>
      <c r="AO16" s="213" t="s">
        <v>124</v>
      </c>
      <c r="AP16" s="210" t="s">
        <v>125</v>
      </c>
      <c r="AQ16" s="212">
        <v>0.44</v>
      </c>
    </row>
    <row r="17" spans="2:43" ht="15.75" x14ac:dyDescent="0.25">
      <c r="B17" s="2">
        <f t="shared" si="1"/>
        <v>2038</v>
      </c>
      <c r="C17" s="141">
        <f>($F17*$V$7*Assumptions!$D$13+$F17*$V$8*Assumptions!$D$14)/10^6</f>
        <v>11.554458974238475</v>
      </c>
      <c r="D17" s="142">
        <f t="shared" si="2"/>
        <v>820.36658717093178</v>
      </c>
      <c r="E17" s="99">
        <f>D17*(1+0.03)^-($B17-Assumptions!$D$4)</f>
        <v>481.87890957277847</v>
      </c>
      <c r="F17" s="149">
        <f t="shared" si="3"/>
        <v>31804.17856444791</v>
      </c>
      <c r="G17" s="151">
        <f>($F17*S$7*Assumptions!$D$13+$F17*S$8*Assumptions!$D$14)/10^6</f>
        <v>1.0224679668846319E-2</v>
      </c>
      <c r="H17" s="152">
        <f>($F17*T$7*Assumptions!$D$13+$F17*T$8*Assumptions!$D$14)/10^6</f>
        <v>7.0150335492663528E-5</v>
      </c>
      <c r="I17" s="153">
        <f>($F17*U$7*Assumptions!$D$13+$F17*U$8*Assumptions!$D$14)/10^6</f>
        <v>2.2747723601008118E-4</v>
      </c>
      <c r="J17" s="134">
        <f t="shared" si="4"/>
        <v>185.06670200611836</v>
      </c>
      <c r="K17" s="94">
        <f t="shared" si="5"/>
        <v>3.4443814726897792</v>
      </c>
      <c r="L17" s="95">
        <f t="shared" si="6"/>
        <v>197.35924996234644</v>
      </c>
      <c r="M17" s="100">
        <f t="shared" si="12"/>
        <v>385.87033344115457</v>
      </c>
      <c r="N17" s="167">
        <f>M17*(1+0.07)^-(B17-Assumptions!$D$4)</f>
        <v>114.16510804422097</v>
      </c>
      <c r="O17" s="169">
        <f t="shared" si="8"/>
        <v>1206.2369206120864</v>
      </c>
      <c r="P17" s="95">
        <f t="shared" si="9"/>
        <v>596.04401761699944</v>
      </c>
      <c r="R17" s="96">
        <v>2025</v>
      </c>
      <c r="S17" s="194">
        <v>16500</v>
      </c>
      <c r="T17" s="194">
        <v>44900</v>
      </c>
      <c r="U17" s="194">
        <v>801700</v>
      </c>
      <c r="V17" s="194">
        <v>56</v>
      </c>
      <c r="X17" s="116" t="s">
        <v>73</v>
      </c>
      <c r="Y17" s="170">
        <f>'Travel Time Savings '!I23</f>
        <v>912.5</v>
      </c>
      <c r="Z17" s="170">
        <f>'Travel Time Savings '!K23</f>
        <v>6680.3541185650583</v>
      </c>
      <c r="AC17" s="116">
        <v>54</v>
      </c>
      <c r="AD17" s="70" t="s">
        <v>98</v>
      </c>
      <c r="AE17" s="70" t="s">
        <v>97</v>
      </c>
      <c r="AF17" s="196">
        <v>1.6481032166429217</v>
      </c>
      <c r="AG17" s="196">
        <v>6.0326542026046303E-3</v>
      </c>
      <c r="AH17" s="196">
        <v>4.2864875162321965E-2</v>
      </c>
      <c r="AI17" s="196">
        <v>1166.1048437433201</v>
      </c>
      <c r="AM17" s="206" t="s">
        <v>126</v>
      </c>
      <c r="AN17" s="210" t="s">
        <v>119</v>
      </c>
      <c r="AO17" s="210" t="s">
        <v>120</v>
      </c>
      <c r="AP17" s="211">
        <v>26000</v>
      </c>
      <c r="AQ17" s="212">
        <v>0.59</v>
      </c>
    </row>
    <row r="18" spans="2:43" ht="15.75" x14ac:dyDescent="0.25">
      <c r="B18" s="2">
        <f t="shared" si="1"/>
        <v>2039</v>
      </c>
      <c r="C18" s="141">
        <f>($F18*$V$7*Assumptions!$D$13+$F18*$V$8*Assumptions!$D$14)/10^6</f>
        <v>11.976478770270271</v>
      </c>
      <c r="D18" s="142">
        <f t="shared" si="2"/>
        <v>862.30647145945954</v>
      </c>
      <c r="E18" s="99">
        <f>D18*(1+0.03)^-($B18-Assumptions!$D$4)</f>
        <v>491.76133150282578</v>
      </c>
      <c r="F18" s="149">
        <f t="shared" si="3"/>
        <v>32965.807419650257</v>
      </c>
      <c r="G18" s="151">
        <f>($F18*S$7*Assumptions!$D$13+$F18*S$8*Assumptions!$D$14)/10^6</f>
        <v>1.0598130060418749E-2</v>
      </c>
      <c r="H18" s="152">
        <f>($F18*T$7*Assumptions!$D$13+$F18*T$8*Assumptions!$D$14)/10^6</f>
        <v>7.2712535102544175E-5</v>
      </c>
      <c r="I18" s="153">
        <f>($F18*U$7*Assumptions!$D$13+$F18*U$8*Assumptions!$D$14)/10^6</f>
        <v>2.3578570782662321E-4</v>
      </c>
      <c r="J18" s="134">
        <f t="shared" si="4"/>
        <v>191.82615409357936</v>
      </c>
      <c r="K18" s="94">
        <f t="shared" si="5"/>
        <v>3.5701854735349188</v>
      </c>
      <c r="L18" s="95">
        <f t="shared" si="6"/>
        <v>204.56768011037829</v>
      </c>
      <c r="M18" s="100">
        <f t="shared" si="12"/>
        <v>399.96401967749256</v>
      </c>
      <c r="N18" s="167">
        <f>M18*(1+0.07)^-(B18-Assumptions!$D$4)</f>
        <v>110.59338434533807</v>
      </c>
      <c r="O18" s="169">
        <f t="shared" si="8"/>
        <v>1262.2704911369522</v>
      </c>
      <c r="P18" s="95">
        <f t="shared" si="9"/>
        <v>602.35471584816389</v>
      </c>
      <c r="R18" s="96">
        <v>2026</v>
      </c>
      <c r="S18" s="194">
        <v>16800</v>
      </c>
      <c r="T18" s="194">
        <v>45700</v>
      </c>
      <c r="U18" s="194">
        <v>814500</v>
      </c>
      <c r="V18" s="194">
        <v>57</v>
      </c>
      <c r="X18" s="216"/>
      <c r="Y18" s="217"/>
      <c r="Z18" s="217"/>
      <c r="AC18" s="116">
        <v>61</v>
      </c>
      <c r="AD18" s="70" t="s">
        <v>99</v>
      </c>
      <c r="AE18" s="70" t="s">
        <v>97</v>
      </c>
      <c r="AF18" s="196">
        <v>3.0234078113615883</v>
      </c>
      <c r="AG18" s="196">
        <v>4.9760807160904204E-3</v>
      </c>
      <c r="AH18" s="196">
        <v>4.3407648080982714E-2</v>
      </c>
      <c r="AI18" s="196">
        <v>1463.90880302132</v>
      </c>
      <c r="AM18" s="206" t="s">
        <v>127</v>
      </c>
      <c r="AN18" s="210" t="s">
        <v>119</v>
      </c>
      <c r="AO18" s="210" t="s">
        <v>120</v>
      </c>
      <c r="AP18" s="211">
        <v>19500</v>
      </c>
      <c r="AQ18" s="212">
        <v>0.84</v>
      </c>
    </row>
    <row r="19" spans="2:43" ht="15.75" x14ac:dyDescent="0.25">
      <c r="B19" s="2">
        <f t="shared" si="1"/>
        <v>2040</v>
      </c>
      <c r="C19" s="141">
        <f>($F19*$V$7*Assumptions!$D$13+$F19*$V$8*Assumptions!$D$14)/10^6</f>
        <v>12.398498566302068</v>
      </c>
      <c r="D19" s="142">
        <f t="shared" si="2"/>
        <v>905.09039534005103</v>
      </c>
      <c r="E19" s="99">
        <f>D19*(1+0.03)^-($B19-Assumptions!$D$4)</f>
        <v>501.12660724671082</v>
      </c>
      <c r="F19" s="149">
        <f t="shared" si="3"/>
        <v>34127.436274852604</v>
      </c>
      <c r="G19" s="151">
        <f>($F19*S$7*Assumptions!$D$13+$F19*S$8*Assumptions!$D$14)/10^6</f>
        <v>1.0971580451991184E-2</v>
      </c>
      <c r="H19" s="152">
        <f>($F19*T$7*Assumptions!$D$13+$F19*T$8*Assumptions!$D$14)/10^6</f>
        <v>7.5274734712424862E-5</v>
      </c>
      <c r="I19" s="153">
        <f>($F19*U$7*Assumptions!$D$13+$F19*U$8*Assumptions!$D$14)/10^6</f>
        <v>2.4409417964316521E-4</v>
      </c>
      <c r="J19" s="134">
        <f t="shared" si="4"/>
        <v>198.58560618104042</v>
      </c>
      <c r="K19" s="94">
        <f t="shared" si="5"/>
        <v>3.6959894743800605</v>
      </c>
      <c r="L19" s="95">
        <f t="shared" si="6"/>
        <v>211.77611025841014</v>
      </c>
      <c r="M19" s="100">
        <f t="shared" si="12"/>
        <v>414.05770591383066</v>
      </c>
      <c r="N19" s="167">
        <f>M19*(1+0.07)^-(B19-Assumptions!$D$4)</f>
        <v>107.00037946965023</v>
      </c>
      <c r="O19" s="169">
        <f t="shared" si="8"/>
        <v>1319.1481012538816</v>
      </c>
      <c r="P19" s="95">
        <f t="shared" si="9"/>
        <v>608.12698671636099</v>
      </c>
      <c r="R19" s="96">
        <v>2027</v>
      </c>
      <c r="S19" s="194">
        <v>17100</v>
      </c>
      <c r="T19" s="194">
        <v>46500</v>
      </c>
      <c r="U19" s="194">
        <v>827400</v>
      </c>
      <c r="V19" s="194">
        <v>58</v>
      </c>
      <c r="X19" s="12" t="s">
        <v>165</v>
      </c>
      <c r="Y19" s="311" t="s">
        <v>177</v>
      </c>
      <c r="Z19" s="312"/>
      <c r="AC19" s="116">
        <v>62</v>
      </c>
      <c r="AD19" s="70" t="s">
        <v>99</v>
      </c>
      <c r="AE19" s="70" t="s">
        <v>97</v>
      </c>
      <c r="AF19" s="196">
        <v>3.7426725771679936</v>
      </c>
      <c r="AG19" s="196">
        <v>5.1160211102583997E-3</v>
      </c>
      <c r="AH19" s="196">
        <v>5.9310023601485649E-2</v>
      </c>
      <c r="AI19" s="196">
        <v>1528.79872430418</v>
      </c>
      <c r="AM19" s="206" t="s">
        <v>123</v>
      </c>
      <c r="AN19" s="210" t="s">
        <v>128</v>
      </c>
      <c r="AO19" s="213" t="s">
        <v>129</v>
      </c>
      <c r="AP19" s="210" t="s">
        <v>130</v>
      </c>
      <c r="AQ19" s="212">
        <v>0.84</v>
      </c>
    </row>
    <row r="20" spans="2:43" ht="15.75" x14ac:dyDescent="0.25">
      <c r="B20" s="2">
        <f t="shared" si="1"/>
        <v>2041</v>
      </c>
      <c r="C20" s="141">
        <f>($F20*$V$7*Assumptions!$D$13+$F20*$V$8*Assumptions!$D$14)/10^6</f>
        <v>12.820518362333695</v>
      </c>
      <c r="D20" s="142">
        <f t="shared" si="2"/>
        <v>948.71835881269351</v>
      </c>
      <c r="E20" s="99">
        <f>D20*(1+0.03)^-($B20-Assumptions!$D$4)</f>
        <v>509.98286682139809</v>
      </c>
      <c r="F20" s="149">
        <f t="shared" si="3"/>
        <v>35289.065130054485</v>
      </c>
      <c r="G20" s="151">
        <f>($F20*S$7*Assumptions!$D$13+$F20*S$8*Assumptions!$D$14)/10^6</f>
        <v>1.1345030843563466E-2</v>
      </c>
      <c r="H20" s="152">
        <f>($F20*T$7*Assumptions!$D$13+$F20*T$8*Assumptions!$D$14)/10^6</f>
        <v>7.7836934322304466E-5</v>
      </c>
      <c r="I20" s="153">
        <f>($F20*U$7*Assumptions!$D$13+$F20*U$8*Assumptions!$D$14)/10^6</f>
        <v>2.5240265145970388E-4</v>
      </c>
      <c r="J20" s="134">
        <f t="shared" si="4"/>
        <v>205.34505826849875</v>
      </c>
      <c r="K20" s="94">
        <f t="shared" si="5"/>
        <v>3.8217934752251495</v>
      </c>
      <c r="L20" s="95">
        <f t="shared" si="6"/>
        <v>218.98454040643909</v>
      </c>
      <c r="M20" s="100">
        <f t="shared" si="12"/>
        <v>428.15139215016302</v>
      </c>
      <c r="N20" s="167">
        <f>M20*(1+0.07)^-(B20-Assumptions!$D$4)</f>
        <v>103.40416431104185</v>
      </c>
      <c r="O20" s="169">
        <f t="shared" si="8"/>
        <v>1376.8697509628564</v>
      </c>
      <c r="P20" s="95">
        <f t="shared" si="9"/>
        <v>613.38703113243992</v>
      </c>
      <c r="R20" s="96">
        <v>2028</v>
      </c>
      <c r="S20" s="194">
        <v>17400</v>
      </c>
      <c r="T20" s="194">
        <v>47300</v>
      </c>
      <c r="U20" s="194">
        <v>840600</v>
      </c>
      <c r="V20" s="194">
        <v>60</v>
      </c>
      <c r="X20" s="203" t="s">
        <v>108</v>
      </c>
      <c r="Y20" s="48">
        <f>Y16</f>
        <v>2016</v>
      </c>
      <c r="Z20" s="48">
        <f>Z16</f>
        <v>2050</v>
      </c>
      <c r="AM20" s="206" t="s">
        <v>131</v>
      </c>
      <c r="AN20" s="210" t="s">
        <v>119</v>
      </c>
      <c r="AO20" s="210">
        <v>2</v>
      </c>
      <c r="AP20" s="210" t="s">
        <v>120</v>
      </c>
      <c r="AQ20" s="212">
        <v>0.17</v>
      </c>
    </row>
    <row r="21" spans="2:43" ht="15.75" x14ac:dyDescent="0.25">
      <c r="B21" s="2">
        <f t="shared" si="1"/>
        <v>2042</v>
      </c>
      <c r="C21" s="141">
        <f>($F21*$V$7*Assumptions!$D$13+$F21*$V$8*Assumptions!$D$14)/10^6</f>
        <v>13.242538158365489</v>
      </c>
      <c r="D21" s="142">
        <f t="shared" si="2"/>
        <v>993.19036187741165</v>
      </c>
      <c r="E21" s="99">
        <f>D21*(1+0.03)^-($B21-Assumptions!$D$4)</f>
        <v>518.33860181268255</v>
      </c>
      <c r="F21" s="149">
        <f t="shared" si="3"/>
        <v>36450.693985256832</v>
      </c>
      <c r="G21" s="151">
        <f>($F21*S$7*Assumptions!$D$13+$F21*S$8*Assumptions!$D$14)/10^6</f>
        <v>1.17184812351359E-2</v>
      </c>
      <c r="H21" s="152">
        <f>($F21*T$7*Assumptions!$D$13+$F21*T$8*Assumptions!$D$14)/10^6</f>
        <v>8.039913393218514E-5</v>
      </c>
      <c r="I21" s="153">
        <f>($F21*U$7*Assumptions!$D$13+$F21*U$8*Assumptions!$D$14)/10^6</f>
        <v>2.6071112327624588E-4</v>
      </c>
      <c r="J21" s="134">
        <f t="shared" si="4"/>
        <v>212.10451035595977</v>
      </c>
      <c r="K21" s="94">
        <f t="shared" si="5"/>
        <v>3.9475974760702903</v>
      </c>
      <c r="L21" s="95">
        <f t="shared" si="6"/>
        <v>226.19297055447092</v>
      </c>
      <c r="M21" s="100">
        <f t="shared" si="12"/>
        <v>442.24507838650095</v>
      </c>
      <c r="N21" s="167">
        <f>M21*(1+0.07)^-(B21-Assumptions!$D$4)</f>
        <v>99.820536427618805</v>
      </c>
      <c r="O21" s="169">
        <f t="shared" si="8"/>
        <v>1435.4354402639126</v>
      </c>
      <c r="P21" s="95">
        <f t="shared" si="9"/>
        <v>618.15913824030133</v>
      </c>
      <c r="R21" s="96">
        <v>2029</v>
      </c>
      <c r="S21" s="194">
        <v>17700</v>
      </c>
      <c r="T21" s="194">
        <v>48200</v>
      </c>
      <c r="U21" s="194">
        <v>854000</v>
      </c>
      <c r="V21" s="194">
        <v>61</v>
      </c>
      <c r="X21" s="204" t="s">
        <v>136</v>
      </c>
      <c r="Y21" s="170">
        <f>Y17*$Y$13</f>
        <v>6248.34375</v>
      </c>
      <c r="Z21" s="170">
        <f t="shared" ref="Z21" si="13">Z17*$Y$13</f>
        <v>45743.724826874241</v>
      </c>
      <c r="AM21" s="206" t="s">
        <v>132</v>
      </c>
      <c r="AN21" s="210" t="s">
        <v>128</v>
      </c>
      <c r="AO21" s="210">
        <v>4.5999999999999996</v>
      </c>
      <c r="AP21" s="210" t="s">
        <v>120</v>
      </c>
      <c r="AQ21" s="212">
        <v>0.39</v>
      </c>
    </row>
    <row r="22" spans="2:43" ht="15.75" x14ac:dyDescent="0.25">
      <c r="B22" s="2">
        <f t="shared" si="1"/>
        <v>2043</v>
      </c>
      <c r="C22" s="141">
        <f>($F22*$V$7*Assumptions!$D$13+$F22*$V$8*Assumptions!$D$14)/10^6</f>
        <v>13.664557954397285</v>
      </c>
      <c r="D22" s="142">
        <f t="shared" si="2"/>
        <v>1052.1709624885909</v>
      </c>
      <c r="E22" s="99">
        <f>D22*(1+0.03)^-($B22-Assumptions!$D$4)</f>
        <v>533.12634463029883</v>
      </c>
      <c r="F22" s="149">
        <f t="shared" si="3"/>
        <v>37612.322840459179</v>
      </c>
      <c r="G22" s="151">
        <f>($F22*S$7*Assumptions!$D$13+$F22*S$8*Assumptions!$D$14)/10^6</f>
        <v>1.2091931626708335E-2</v>
      </c>
      <c r="H22" s="152">
        <f>($F22*T$7*Assumptions!$D$13+$F22*T$8*Assumptions!$D$14)/10^6</f>
        <v>8.2961333542065814E-5</v>
      </c>
      <c r="I22" s="153">
        <f>($F22*U$7*Assumptions!$D$13+$F22*U$8*Assumptions!$D$14)/10^6</f>
        <v>2.6901959509278788E-4</v>
      </c>
      <c r="J22" s="134">
        <f t="shared" si="4"/>
        <v>218.86396244342086</v>
      </c>
      <c r="K22" s="94">
        <f t="shared" si="5"/>
        <v>4.0734014769154312</v>
      </c>
      <c r="L22" s="95">
        <f t="shared" si="6"/>
        <v>233.40140070250277</v>
      </c>
      <c r="M22" s="100">
        <f t="shared" si="12"/>
        <v>456.33876462283905</v>
      </c>
      <c r="N22" s="167">
        <f>M22*(1+0.07)^-(B22-Assumptions!$D$4)</f>
        <v>96.263240146792242</v>
      </c>
      <c r="O22" s="169">
        <f t="shared" si="8"/>
        <v>1508.50972711143</v>
      </c>
      <c r="P22" s="95">
        <f t="shared" si="9"/>
        <v>629.38958477709104</v>
      </c>
      <c r="R22" s="96">
        <v>2030</v>
      </c>
      <c r="S22" s="194">
        <v>18100</v>
      </c>
      <c r="T22" s="194">
        <v>49100</v>
      </c>
      <c r="U22" s="194">
        <v>867600</v>
      </c>
      <c r="V22" s="194">
        <v>62</v>
      </c>
      <c r="AM22" s="206" t="s">
        <v>131</v>
      </c>
      <c r="AN22" s="210" t="s">
        <v>128</v>
      </c>
      <c r="AO22" s="210">
        <v>2</v>
      </c>
      <c r="AP22" s="210" t="s">
        <v>120</v>
      </c>
      <c r="AQ22" s="212">
        <v>0.16</v>
      </c>
    </row>
    <row r="23" spans="2:43" ht="15.75" x14ac:dyDescent="0.25">
      <c r="B23" s="2">
        <f t="shared" si="1"/>
        <v>2044</v>
      </c>
      <c r="C23" s="141">
        <f>($F23*$V$7*Assumptions!$D$13+$F23*$V$8*Assumptions!$D$14)/10^6</f>
        <v>14.086577750428916</v>
      </c>
      <c r="D23" s="142">
        <f t="shared" si="2"/>
        <v>1098.7530645334555</v>
      </c>
      <c r="E23" s="99">
        <f>D23*(1+0.03)^-($B23-Assumptions!$D$4)</f>
        <v>540.51370035042885</v>
      </c>
      <c r="F23" s="149">
        <f t="shared" si="3"/>
        <v>38773.951695661061</v>
      </c>
      <c r="G23" s="151">
        <f>($F23*S$7*Assumptions!$D$13+$F23*S$8*Assumptions!$D$14)/10^6</f>
        <v>1.2465382018280617E-2</v>
      </c>
      <c r="H23" s="152">
        <f>($F23*T$7*Assumptions!$D$13+$F23*T$8*Assumptions!$D$14)/10^6</f>
        <v>8.5523533151945431E-5</v>
      </c>
      <c r="I23" s="153">
        <f>($F23*U$7*Assumptions!$D$13+$F23*U$8*Assumptions!$D$14)/10^6</f>
        <v>2.7732806690932652E-4</v>
      </c>
      <c r="J23" s="134">
        <f t="shared" si="4"/>
        <v>225.62341453087916</v>
      </c>
      <c r="K23" s="94">
        <f t="shared" si="5"/>
        <v>4.199205477760521</v>
      </c>
      <c r="L23" s="95">
        <f t="shared" si="6"/>
        <v>240.60983085053169</v>
      </c>
      <c r="M23" s="100">
        <f t="shared" si="12"/>
        <v>470.43245085917135</v>
      </c>
      <c r="N23" s="167">
        <f>M23*(1+0.07)^-(B23-Assumptions!$D$4)</f>
        <v>92.744167601113872</v>
      </c>
      <c r="O23" s="169">
        <f t="shared" si="8"/>
        <v>1569.1855153926267</v>
      </c>
      <c r="P23" s="95">
        <f t="shared" si="9"/>
        <v>633.25786795154272</v>
      </c>
      <c r="R23" s="96">
        <v>2031</v>
      </c>
      <c r="S23" s="194">
        <v>18100</v>
      </c>
      <c r="T23" s="194">
        <v>49100</v>
      </c>
      <c r="U23" s="194">
        <v>867600</v>
      </c>
      <c r="V23" s="194">
        <v>63</v>
      </c>
      <c r="AM23" s="206"/>
      <c r="AN23" s="206"/>
      <c r="AO23" s="206"/>
      <c r="AP23" s="206"/>
      <c r="AQ23" s="206"/>
    </row>
    <row r="24" spans="2:43" ht="15" customHeight="1" x14ac:dyDescent="0.25">
      <c r="B24" s="2">
        <f t="shared" si="1"/>
        <v>2045</v>
      </c>
      <c r="C24" s="141">
        <f>($F24*$V$7*Assumptions!$D$13+$F24*$V$8*Assumptions!$D$14)/10^6</f>
        <v>14.508597546460711</v>
      </c>
      <c r="D24" s="142">
        <f t="shared" si="2"/>
        <v>1146.1792061703961</v>
      </c>
      <c r="E24" s="99">
        <f>D24*(1+0.03)^-($B24-Assumptions!$D$4)</f>
        <v>547.42157223888921</v>
      </c>
      <c r="F24" s="149">
        <f t="shared" si="3"/>
        <v>39935.580550863408</v>
      </c>
      <c r="G24" s="151">
        <f>($F24*S$7*Assumptions!$D$13+$F24*S$8*Assumptions!$D$14)/10^6</f>
        <v>1.283883240985305E-2</v>
      </c>
      <c r="H24" s="152">
        <f>($F24*T$7*Assumptions!$D$13+$F24*T$8*Assumptions!$D$14)/10^6</f>
        <v>8.8085732761826092E-5</v>
      </c>
      <c r="I24" s="153">
        <f>($F24*U$7*Assumptions!$D$13+$F24*U$8*Assumptions!$D$14)/10^6</f>
        <v>2.8563653872586852E-4</v>
      </c>
      <c r="J24" s="134">
        <f t="shared" si="4"/>
        <v>232.38286661834022</v>
      </c>
      <c r="K24" s="94">
        <f t="shared" si="5"/>
        <v>4.3250094786056614</v>
      </c>
      <c r="L24" s="95">
        <f t="shared" si="6"/>
        <v>247.81826099856352</v>
      </c>
      <c r="M24" s="100">
        <f t="shared" si="12"/>
        <v>484.5261370955094</v>
      </c>
      <c r="N24" s="167">
        <f>M24*(1+0.07)^-(B24-Assumptions!$D$4)</f>
        <v>89.273542247875497</v>
      </c>
      <c r="O24" s="169">
        <f t="shared" si="8"/>
        <v>1630.7053432659054</v>
      </c>
      <c r="P24" s="95">
        <f t="shared" si="9"/>
        <v>636.69511448676474</v>
      </c>
      <c r="R24" s="96">
        <v>2032</v>
      </c>
      <c r="S24" s="194">
        <v>18100</v>
      </c>
      <c r="T24" s="194">
        <v>49100</v>
      </c>
      <c r="U24" s="194">
        <v>867600</v>
      </c>
      <c r="V24" s="194">
        <v>64</v>
      </c>
      <c r="AE24" s="30" t="s">
        <v>62</v>
      </c>
      <c r="AF24" s="83" t="s">
        <v>83</v>
      </c>
      <c r="AG24" s="83" t="s">
        <v>84</v>
      </c>
      <c r="AH24" s="83" t="s">
        <v>85</v>
      </c>
      <c r="AI24" s="83" t="s">
        <v>86</v>
      </c>
      <c r="AM24" s="214" t="s">
        <v>133</v>
      </c>
      <c r="AN24" s="206"/>
      <c r="AO24" s="206"/>
      <c r="AP24" s="206"/>
      <c r="AQ24" s="206"/>
    </row>
    <row r="25" spans="2:43" ht="15.75" x14ac:dyDescent="0.25">
      <c r="B25" s="2">
        <f t="shared" si="1"/>
        <v>2046</v>
      </c>
      <c r="C25" s="141">
        <f>($F25*$V$7*Assumptions!$D$13+$F25*$V$8*Assumptions!$D$14)/10^6</f>
        <v>14.930617342492505</v>
      </c>
      <c r="D25" s="142">
        <f t="shared" si="2"/>
        <v>1194.4493873994004</v>
      </c>
      <c r="E25" s="99">
        <f>D25*(1+0.03)^-($B25-Assumptions!$D$4)</f>
        <v>553.8598831292536</v>
      </c>
      <c r="F25" s="149">
        <f t="shared" si="3"/>
        <v>41097.209406065755</v>
      </c>
      <c r="G25" s="151">
        <f>($F25*S$7*Assumptions!$D$13+$F25*S$8*Assumptions!$D$14)/10^6</f>
        <v>1.3212282801425484E-2</v>
      </c>
      <c r="H25" s="152">
        <f>($F25*T$7*Assumptions!$D$13+$F25*T$8*Assumptions!$D$14)/10^6</f>
        <v>9.0647932371706779E-5</v>
      </c>
      <c r="I25" s="153">
        <f>($F25*U$7*Assumptions!$D$13+$F25*U$8*Assumptions!$D$14)/10^6</f>
        <v>2.9394501054241058E-4</v>
      </c>
      <c r="J25" s="134">
        <f t="shared" si="4"/>
        <v>239.14231870580124</v>
      </c>
      <c r="K25" s="94">
        <f t="shared" si="5"/>
        <v>4.4508134794508027</v>
      </c>
      <c r="L25" s="95">
        <f t="shared" si="6"/>
        <v>255.02669114659543</v>
      </c>
      <c r="M25" s="100">
        <f t="shared" si="7"/>
        <v>498.61982333184744</v>
      </c>
      <c r="N25" s="167">
        <f>M25*(1+0.07)^-(B25-Assumptions!$D$4)</f>
        <v>85.860086303904026</v>
      </c>
      <c r="O25" s="169">
        <f t="shared" si="8"/>
        <v>1693.0692107312479</v>
      </c>
      <c r="P25" s="95">
        <f t="shared" si="9"/>
        <v>639.71996943315764</v>
      </c>
      <c r="R25" s="96">
        <v>2033</v>
      </c>
      <c r="S25" s="194">
        <v>18100</v>
      </c>
      <c r="T25" s="194">
        <v>49100</v>
      </c>
      <c r="U25" s="194">
        <v>867600</v>
      </c>
      <c r="V25" s="194">
        <v>65</v>
      </c>
      <c r="AE25" s="30" t="s">
        <v>63</v>
      </c>
      <c r="AF25" s="193">
        <f>AVERAGE(AF7:AF10)</f>
        <v>0.22790983982547491</v>
      </c>
      <c r="AG25" s="193">
        <f t="shared" ref="AG25:AI25" si="14">AVERAGE(AG7:AG10)</f>
        <v>2.0699004398994176E-3</v>
      </c>
      <c r="AH25" s="193">
        <f t="shared" si="14"/>
        <v>5.8180715878192544E-3</v>
      </c>
      <c r="AI25" s="193">
        <f t="shared" si="14"/>
        <v>317.22468262036</v>
      </c>
      <c r="AM25" s="215" t="s">
        <v>134</v>
      </c>
      <c r="AN25" s="206"/>
      <c r="AO25" s="206"/>
      <c r="AP25" s="206"/>
      <c r="AQ25" s="206"/>
    </row>
    <row r="26" spans="2:43" x14ac:dyDescent="0.25">
      <c r="B26" s="2">
        <f t="shared" si="1"/>
        <v>2047</v>
      </c>
      <c r="C26" s="141">
        <f>($F26*$V$7*Assumptions!$D$13+$F26*$V$8*Assumptions!$D$14)/10^6</f>
        <v>15.352637138524132</v>
      </c>
      <c r="D26" s="142">
        <f t="shared" si="2"/>
        <v>1243.5636082204546</v>
      </c>
      <c r="E26" s="99">
        <f>D26*(1+0.03)^-($B26-Assumptions!$D$4)</f>
        <v>559.8387265691523</v>
      </c>
      <c r="F26" s="149">
        <f t="shared" si="3"/>
        <v>42258.838261267636</v>
      </c>
      <c r="G26" s="151">
        <f>($F26*S$7*Assumptions!$D$13+$F26*S$8*Assumptions!$D$14)/10^6</f>
        <v>1.3585733192997768E-2</v>
      </c>
      <c r="H26" s="152">
        <f>($F26*T$7*Assumptions!$D$13+$F26*T$8*Assumptions!$D$14)/10^6</f>
        <v>9.3210131981586383E-5</v>
      </c>
      <c r="I26" s="153">
        <f>($F26*U$7*Assumptions!$D$13+$F26*U$8*Assumptions!$D$14)/10^6</f>
        <v>3.0225348235894922E-4</v>
      </c>
      <c r="J26" s="134">
        <f t="shared" si="4"/>
        <v>245.9017707932596</v>
      </c>
      <c r="K26" s="94">
        <f t="shared" si="5"/>
        <v>4.5766174802958917</v>
      </c>
      <c r="L26" s="95">
        <f t="shared" si="6"/>
        <v>262.23512129462432</v>
      </c>
      <c r="M26" s="100">
        <f t="shared" si="7"/>
        <v>512.7135095681798</v>
      </c>
      <c r="N26" s="167">
        <f>M26*(1+0.07)^-(B26-Assumptions!$D$4)</f>
        <v>82.511173414689523</v>
      </c>
      <c r="O26" s="169">
        <f t="shared" si="8"/>
        <v>1756.2771177886343</v>
      </c>
      <c r="P26" s="95">
        <f t="shared" si="9"/>
        <v>642.34989998384185</v>
      </c>
      <c r="R26" s="96">
        <v>2034</v>
      </c>
      <c r="S26" s="194">
        <v>18100</v>
      </c>
      <c r="T26" s="194">
        <v>49100</v>
      </c>
      <c r="U26" s="194">
        <v>867600</v>
      </c>
      <c r="V26" s="194">
        <v>66</v>
      </c>
      <c r="AE26" s="30" t="s">
        <v>64</v>
      </c>
      <c r="AF26" s="193">
        <f>AVERAGE(AF11:AF19)</f>
        <v>2.099484306313415</v>
      </c>
      <c r="AG26" s="193">
        <f t="shared" ref="AG26:AI26" si="15">AVERAGE(AG11:AG19)</f>
        <v>4.7858028693373951E-3</v>
      </c>
      <c r="AH26" s="193">
        <f t="shared" si="15"/>
        <v>3.2505287070740692E-2</v>
      </c>
      <c r="AI26" s="193">
        <f t="shared" si="15"/>
        <v>1238.7315972924489</v>
      </c>
    </row>
    <row r="27" spans="2:43" x14ac:dyDescent="0.25">
      <c r="B27" s="2">
        <f t="shared" si="1"/>
        <v>2048</v>
      </c>
      <c r="C27" s="141">
        <f>($F27*$V$7*Assumptions!$D$13+$F27*$V$8*Assumptions!$D$14)/10^6</f>
        <v>15.774656934555928</v>
      </c>
      <c r="D27" s="142">
        <f t="shared" si="2"/>
        <v>1293.5218686335861</v>
      </c>
      <c r="E27" s="99">
        <f>D27*(1+0.03)^-($B27-Assumptions!$D$4)</f>
        <v>565.36833849730965</v>
      </c>
      <c r="F27" s="149">
        <f t="shared" si="3"/>
        <v>43420.467116469983</v>
      </c>
      <c r="G27" s="151">
        <f>($F27*S$7*Assumptions!$D$13+$F27*S$8*Assumptions!$D$14)/10^6</f>
        <v>1.3959183584570201E-2</v>
      </c>
      <c r="H27" s="152">
        <f>($F27*T$7*Assumptions!$D$13+$F27*T$8*Assumptions!$D$14)/10^6</f>
        <v>9.5772331591467057E-5</v>
      </c>
      <c r="I27" s="153">
        <f>($F27*U$7*Assumptions!$D$13+$F27*U$8*Assumptions!$D$14)/10^6</f>
        <v>3.1056195417549122E-4</v>
      </c>
      <c r="J27" s="134">
        <f t="shared" si="4"/>
        <v>252.66122288072063</v>
      </c>
      <c r="K27" s="94">
        <f t="shared" si="5"/>
        <v>4.7024214811410321</v>
      </c>
      <c r="L27" s="95">
        <f t="shared" si="6"/>
        <v>269.4435514426562</v>
      </c>
      <c r="M27" s="100">
        <f t="shared" si="7"/>
        <v>526.80719580451785</v>
      </c>
      <c r="N27" s="167">
        <f>M27*(1+0.07)^-(B27-Assumptions!$D$4)</f>
        <v>79.232967773196407</v>
      </c>
      <c r="O27" s="169">
        <f t="shared" si="8"/>
        <v>1820.3290644381041</v>
      </c>
      <c r="P27" s="95">
        <f t="shared" si="9"/>
        <v>644.60130627050603</v>
      </c>
      <c r="R27" s="96">
        <v>2035</v>
      </c>
      <c r="S27" s="194">
        <v>18100</v>
      </c>
      <c r="T27" s="194">
        <v>49100</v>
      </c>
      <c r="U27" s="194">
        <v>867600</v>
      </c>
      <c r="V27" s="194">
        <v>67</v>
      </c>
    </row>
    <row r="28" spans="2:43" ht="15" customHeight="1" x14ac:dyDescent="0.25">
      <c r="B28" s="2">
        <f t="shared" si="1"/>
        <v>2049</v>
      </c>
      <c r="C28" s="141">
        <f>($F28*$V$7*Assumptions!$D$13+$F28*$V$8*Assumptions!$D$14)/10^6</f>
        <v>16.196676730587726</v>
      </c>
      <c r="D28" s="142">
        <f t="shared" si="2"/>
        <v>1344.3241686387812</v>
      </c>
      <c r="E28" s="99">
        <f>D28*(1+0.03)^-($B28-Assumptions!$D$4)</f>
        <v>570.45907071569923</v>
      </c>
      <c r="F28" s="149">
        <f t="shared" si="3"/>
        <v>44582.09597167233</v>
      </c>
      <c r="G28" s="151">
        <f>($F28*S$7*Assumptions!$D$13+$F28*S$8*Assumptions!$D$14)/10^6</f>
        <v>1.4332633976142631E-2</v>
      </c>
      <c r="H28" s="152">
        <f>($F28*T$7*Assumptions!$D$13+$F28*T$8*Assumptions!$D$14)/10^6</f>
        <v>9.8334531201347717E-5</v>
      </c>
      <c r="I28" s="153">
        <f>($F28*U$7*Assumptions!$D$13+$F28*U$8*Assumptions!$D$14)/10^6</f>
        <v>3.1887042599203322E-4</v>
      </c>
      <c r="J28" s="134">
        <f t="shared" si="4"/>
        <v>259.42067496818163</v>
      </c>
      <c r="K28" s="94">
        <f t="shared" si="5"/>
        <v>4.8282254819861725</v>
      </c>
      <c r="L28" s="95">
        <f t="shared" si="6"/>
        <v>276.65198159068802</v>
      </c>
      <c r="M28" s="100">
        <f t="shared" si="7"/>
        <v>540.90088204085578</v>
      </c>
      <c r="N28" s="167">
        <f>M28*(1+0.07)^-(B28-Assumptions!$D$4)</f>
        <v>76.030550807887806</v>
      </c>
      <c r="O28" s="169">
        <f t="shared" si="8"/>
        <v>1885.225050679637</v>
      </c>
      <c r="P28" s="95">
        <f t="shared" si="9"/>
        <v>646.48962152358706</v>
      </c>
      <c r="R28" s="96">
        <v>2036</v>
      </c>
      <c r="S28" s="194">
        <v>18100</v>
      </c>
      <c r="T28" s="194">
        <v>49100</v>
      </c>
      <c r="U28" s="194">
        <v>867600</v>
      </c>
      <c r="V28" s="194">
        <v>69</v>
      </c>
    </row>
    <row r="29" spans="2:43" x14ac:dyDescent="0.25">
      <c r="B29" s="2">
        <f t="shared" si="1"/>
        <v>2050</v>
      </c>
      <c r="C29" s="141">
        <f>($F29*$V$7*Assumptions!$D$13+$F29*$V$8*Assumptions!$D$14)/10^6</f>
        <v>16.618696526619349</v>
      </c>
      <c r="D29" s="142">
        <f t="shared" si="2"/>
        <v>1412.5892047626446</v>
      </c>
      <c r="E29" s="99">
        <f>D29*(1+0.03)^-($B29-Assumptions!$D$4)</f>
        <v>581.96804899731387</v>
      </c>
      <c r="F29" s="149">
        <f t="shared" si="3"/>
        <v>45743.724826874211</v>
      </c>
      <c r="G29" s="151">
        <f>($F29*S$7*Assumptions!$D$13+$F29*S$8*Assumptions!$D$14)/10^6</f>
        <v>1.4706084367714917E-2</v>
      </c>
      <c r="H29" s="152">
        <f>($F29*T$7*Assumptions!$D$13+$F29*T$8*Assumptions!$D$14)/10^6</f>
        <v>1.0089673081122735E-4</v>
      </c>
      <c r="I29" s="153">
        <f>($F29*U$7*Assumptions!$D$13+$F29*U$8*Assumptions!$D$14)/10^6</f>
        <v>3.2717889780857192E-4</v>
      </c>
      <c r="J29" s="134">
        <f t="shared" si="4"/>
        <v>266.18012705564001</v>
      </c>
      <c r="K29" s="94">
        <f t="shared" si="5"/>
        <v>4.9540294828312632</v>
      </c>
      <c r="L29" s="95">
        <f t="shared" si="6"/>
        <v>283.860411738717</v>
      </c>
      <c r="M29" s="100">
        <f t="shared" si="7"/>
        <v>554.99456827718836</v>
      </c>
      <c r="N29" s="167">
        <f>M29*(1+0.07)^-(B29-Assumptions!$D$4)</f>
        <v>72.9080364710304</v>
      </c>
      <c r="O29" s="169">
        <f t="shared" si="8"/>
        <v>1967.583773039833</v>
      </c>
      <c r="P29" s="95">
        <f t="shared" si="9"/>
        <v>654.87608546834429</v>
      </c>
      <c r="R29" s="96">
        <v>2037</v>
      </c>
      <c r="S29" s="194">
        <v>18100</v>
      </c>
      <c r="T29" s="194">
        <v>49100</v>
      </c>
      <c r="U29" s="194">
        <v>867600</v>
      </c>
      <c r="V29" s="194">
        <v>70</v>
      </c>
    </row>
    <row r="30" spans="2:43" x14ac:dyDescent="0.25">
      <c r="B30" s="2">
        <f t="shared" si="1"/>
        <v>2051</v>
      </c>
      <c r="C30" s="141">
        <f>($F30*$V$7*Assumptions!$D$13+$F30*$V$8*Assumptions!$D$14)/10^6</f>
        <v>17.040716322651146</v>
      </c>
      <c r="D30" s="142">
        <f t="shared" si="2"/>
        <v>1431.4201711026963</v>
      </c>
      <c r="E30" s="99">
        <f>D30*(1+0.03)^-($B30-Assumptions!$D$4)</f>
        <v>572.54966776534434</v>
      </c>
      <c r="F30" s="149">
        <f t="shared" si="3"/>
        <v>46905.353682076558</v>
      </c>
      <c r="G30" s="151">
        <f>($F30*S$7*Assumptions!$D$13+$F30*S$8*Assumptions!$D$14)/10^6</f>
        <v>1.5079534759287352E-2</v>
      </c>
      <c r="H30" s="152">
        <f>($F30*T$7*Assumptions!$D$13+$F30*T$8*Assumptions!$D$14)/10^6</f>
        <v>1.0345893042110801E-4</v>
      </c>
      <c r="I30" s="153">
        <f>($F30*U$7*Assumptions!$D$13+$F30*U$8*Assumptions!$D$14)/10^6</f>
        <v>3.3548736962511397E-4</v>
      </c>
      <c r="J30" s="134">
        <f t="shared" si="4"/>
        <v>271.43162566717234</v>
      </c>
      <c r="K30" s="94">
        <f t="shared" si="5"/>
        <v>4.9867204462974062</v>
      </c>
      <c r="L30" s="95">
        <f t="shared" si="6"/>
        <v>286.07008007933467</v>
      </c>
      <c r="M30" s="100">
        <f t="shared" si="7"/>
        <v>562.48842619280435</v>
      </c>
      <c r="N30" s="167">
        <f>M30*(1+0.07)^-(B30-Assumptions!$D$4)</f>
        <v>69.058395310066317</v>
      </c>
      <c r="O30" s="169">
        <f t="shared" si="8"/>
        <v>1993.9085972955006</v>
      </c>
      <c r="P30" s="95">
        <f t="shared" si="9"/>
        <v>641.60806307541066</v>
      </c>
      <c r="R30" s="96">
        <v>2038</v>
      </c>
      <c r="S30" s="194">
        <v>18100</v>
      </c>
      <c r="T30" s="194">
        <v>49100</v>
      </c>
      <c r="U30" s="194">
        <v>867600</v>
      </c>
      <c r="V30" s="194">
        <v>71</v>
      </c>
    </row>
    <row r="31" spans="2:43" x14ac:dyDescent="0.25">
      <c r="B31" s="2">
        <f t="shared" si="1"/>
        <v>2052</v>
      </c>
      <c r="C31" s="141">
        <f>($F31*$V$7*Assumptions!$D$13+$F31*$V$8*Assumptions!$D$14)/10^6</f>
        <v>17.462736118682944</v>
      </c>
      <c r="D31" s="142">
        <f t="shared" si="2"/>
        <v>1466.8698339693674</v>
      </c>
      <c r="E31" s="99">
        <f>D31*(1+0.03)^-($B31-Assumptions!$D$4)</f>
        <v>569.63988078864736</v>
      </c>
      <c r="F31" s="149">
        <f t="shared" si="3"/>
        <v>48066.982537278906</v>
      </c>
      <c r="G31" s="151">
        <f>($F31*S$7*Assumptions!$D$13+$F31*S$8*Assumptions!$D$14)/10^6</f>
        <v>1.5452985150859785E-2</v>
      </c>
      <c r="H31" s="152">
        <f>($F31*T$7*Assumptions!$D$13+$F31*T$8*Assumptions!$D$14)/10^6</f>
        <v>1.0602113003098867E-4</v>
      </c>
      <c r="I31" s="153">
        <f>($F31*U$7*Assumptions!$D$13+$F31*U$8*Assumptions!$D$14)/10^6</f>
        <v>3.4379584144165597E-4</v>
      </c>
      <c r="J31" s="134">
        <f t="shared" si="4"/>
        <v>278.15373271547611</v>
      </c>
      <c r="K31" s="94">
        <f t="shared" si="5"/>
        <v>5.1102184674936542</v>
      </c>
      <c r="L31" s="95">
        <f t="shared" si="6"/>
        <v>293.15471399730006</v>
      </c>
      <c r="M31" s="100">
        <f t="shared" si="7"/>
        <v>576.41866518026984</v>
      </c>
      <c r="N31" s="167">
        <f>M31*(1+0.07)^-(B31-Assumptions!$D$4)</f>
        <v>66.138927695719076</v>
      </c>
      <c r="O31" s="169">
        <f t="shared" si="8"/>
        <v>2043.2884991496371</v>
      </c>
      <c r="P31" s="95">
        <f t="shared" si="9"/>
        <v>635.77880848436644</v>
      </c>
      <c r="R31" s="96">
        <v>2039</v>
      </c>
      <c r="S31" s="194">
        <v>18100</v>
      </c>
      <c r="T31" s="194">
        <v>49100</v>
      </c>
      <c r="U31" s="194">
        <v>867600</v>
      </c>
      <c r="V31" s="194">
        <v>72</v>
      </c>
    </row>
    <row r="32" spans="2:43" x14ac:dyDescent="0.25">
      <c r="B32" s="2">
        <f t="shared" si="1"/>
        <v>2053</v>
      </c>
      <c r="C32" s="141">
        <f>($F32*$V$7*Assumptions!$D$13+$F32*$V$8*Assumptions!$D$14)/10^6</f>
        <v>17.884755914714567</v>
      </c>
      <c r="D32" s="142">
        <f t="shared" si="2"/>
        <v>1502.3194968360237</v>
      </c>
      <c r="E32" s="99">
        <f>D32*(1+0.03)^-($B32-Assumptions!$D$4)</f>
        <v>566.41388128877679</v>
      </c>
      <c r="F32" s="149">
        <f t="shared" si="3"/>
        <v>49228.611392480787</v>
      </c>
      <c r="G32" s="151">
        <f>($F32*S$7*Assumptions!$D$13+$F32*S$8*Assumptions!$D$14)/10^6</f>
        <v>1.5826435542432068E-2</v>
      </c>
      <c r="H32" s="152">
        <f>($F32*T$7*Assumptions!$D$13+$F32*T$8*Assumptions!$D$14)/10^6</f>
        <v>1.085833296408683E-4</v>
      </c>
      <c r="I32" s="153">
        <f>($F32*U$7*Assumptions!$D$13+$F32*U$8*Assumptions!$D$14)/10^6</f>
        <v>3.5210431325819456E-4</v>
      </c>
      <c r="J32" s="134">
        <f t="shared" si="4"/>
        <v>284.87583976377721</v>
      </c>
      <c r="K32" s="94">
        <f t="shared" si="5"/>
        <v>5.2337164886898524</v>
      </c>
      <c r="L32" s="95">
        <f t="shared" si="6"/>
        <v>300.2393479152625</v>
      </c>
      <c r="M32" s="100">
        <f t="shared" si="7"/>
        <v>590.34890416772964</v>
      </c>
      <c r="N32" s="167">
        <f>M32*(1+0.07)^-(B32-Assumptions!$D$4)</f>
        <v>63.305886941018272</v>
      </c>
      <c r="O32" s="169">
        <f t="shared" si="8"/>
        <v>2092.6684010037534</v>
      </c>
      <c r="P32" s="95">
        <f t="shared" si="9"/>
        <v>629.71976822979502</v>
      </c>
      <c r="R32" s="96">
        <v>2040</v>
      </c>
      <c r="S32" s="194">
        <v>18100</v>
      </c>
      <c r="T32" s="194">
        <v>49100</v>
      </c>
      <c r="U32" s="194">
        <v>867600</v>
      </c>
      <c r="V32" s="194">
        <v>73</v>
      </c>
    </row>
    <row r="33" spans="1:28" x14ac:dyDescent="0.25">
      <c r="B33" s="2">
        <f t="shared" si="1"/>
        <v>2054</v>
      </c>
      <c r="C33" s="141">
        <f>($F33*$V$7*Assumptions!$D$13+$F33*$V$8*Assumptions!$D$14)/10^6</f>
        <v>18.306775710746361</v>
      </c>
      <c r="D33" s="142">
        <f t="shared" si="2"/>
        <v>1537.7691597026944</v>
      </c>
      <c r="E33" s="99">
        <f>D33*(1+0.03)^-($B33-Assumptions!$D$4)</f>
        <v>562.89255789069512</v>
      </c>
      <c r="F33" s="149">
        <f t="shared" si="3"/>
        <v>50390.240247683134</v>
      </c>
      <c r="G33" s="151">
        <f>($F33*S$7*Assumptions!$D$13+$F33*S$8*Assumptions!$D$14)/10^6</f>
        <v>1.6199885934004499E-2</v>
      </c>
      <c r="H33" s="152">
        <f>($F33*T$7*Assumptions!$D$13+$F33*T$8*Assumptions!$D$14)/10^6</f>
        <v>1.1114552925074896E-4</v>
      </c>
      <c r="I33" s="153">
        <f>($F33*U$7*Assumptions!$D$13+$F33*U$8*Assumptions!$D$14)/10^6</f>
        <v>3.6041278507473656E-4</v>
      </c>
      <c r="J33" s="134">
        <f t="shared" si="4"/>
        <v>291.59794681208098</v>
      </c>
      <c r="K33" s="94">
        <f t="shared" si="5"/>
        <v>5.3572145098860995</v>
      </c>
      <c r="L33" s="95">
        <f t="shared" si="6"/>
        <v>307.32398183322789</v>
      </c>
      <c r="M33" s="100">
        <f t="shared" si="7"/>
        <v>604.27914315519502</v>
      </c>
      <c r="N33" s="167">
        <f>M33*(1+0.07)^-(B33-Assumptions!$D$4)</f>
        <v>60.560459741515118</v>
      </c>
      <c r="O33" s="169">
        <f t="shared" si="8"/>
        <v>2142.0483028578892</v>
      </c>
      <c r="P33" s="95">
        <f t="shared" si="9"/>
        <v>623.45301763221028</v>
      </c>
      <c r="R33" s="96">
        <v>2041</v>
      </c>
      <c r="S33" s="194">
        <v>18100</v>
      </c>
      <c r="T33" s="194">
        <v>49100</v>
      </c>
      <c r="U33" s="194">
        <v>867600</v>
      </c>
      <c r="V33" s="194">
        <v>74</v>
      </c>
    </row>
    <row r="34" spans="1:28" ht="15.75" thickBot="1" x14ac:dyDescent="0.3">
      <c r="B34" s="3">
        <f t="shared" si="1"/>
        <v>2055</v>
      </c>
      <c r="C34" s="143">
        <f>($F34*$V$7*Assumptions!$D$13+$F34*$V$8*Assumptions!$D$14)/10^6</f>
        <v>18.728795506778162</v>
      </c>
      <c r="D34" s="144">
        <f t="shared" si="2"/>
        <v>1573.2188225693656</v>
      </c>
      <c r="E34" s="132">
        <f>D34*(1+0.03)^-($B34-Assumptions!$D$4)</f>
        <v>559.09585066081161</v>
      </c>
      <c r="F34" s="150">
        <f t="shared" si="3"/>
        <v>51551.869102885481</v>
      </c>
      <c r="G34" s="154">
        <f>($F34*S$7*Assumptions!$D$13+$F34*S$8*Assumptions!$D$14)/10^6</f>
        <v>1.6573336325576938E-2</v>
      </c>
      <c r="H34" s="155">
        <f>($F34*T$7*Assumptions!$D$13+$F34*T$8*Assumptions!$D$14)/10^6</f>
        <v>1.1370772886062963E-4</v>
      </c>
      <c r="I34" s="156">
        <f>($F34*U$7*Assumptions!$D$13+$F34*U$8*Assumptions!$D$14)/10^6</f>
        <v>3.6872125689127856E-4</v>
      </c>
      <c r="J34" s="135">
        <f t="shared" si="4"/>
        <v>298.32005386038486</v>
      </c>
      <c r="K34" s="131">
        <f t="shared" si="5"/>
        <v>5.4807125310823483</v>
      </c>
      <c r="L34" s="132">
        <f t="shared" si="6"/>
        <v>314.40861575119322</v>
      </c>
      <c r="M34" s="133">
        <f>SUM(J34:L34)</f>
        <v>618.20938214266039</v>
      </c>
      <c r="N34" s="168">
        <f>M34*(1+0.07)^-(B34-Assumptions!$D$4)</f>
        <v>57.90330763020706</v>
      </c>
      <c r="O34" s="144">
        <f t="shared" si="8"/>
        <v>2191.4282047120259</v>
      </c>
      <c r="P34" s="132">
        <f t="shared" si="9"/>
        <v>616.99915829101872</v>
      </c>
      <c r="R34" s="96">
        <v>2042</v>
      </c>
      <c r="S34" s="194">
        <v>18100</v>
      </c>
      <c r="T34" s="194">
        <v>49100</v>
      </c>
      <c r="U34" s="194">
        <v>867600</v>
      </c>
      <c r="V34" s="194">
        <v>75</v>
      </c>
    </row>
    <row r="35" spans="1:28" x14ac:dyDescent="0.25">
      <c r="B35" s="4"/>
      <c r="C35" s="362">
        <f>SUM(C5:C34)</f>
        <v>378.28525392953708</v>
      </c>
      <c r="D35" s="98" t="s">
        <v>2</v>
      </c>
      <c r="E35" s="145">
        <f>SUM(E5:E34)</f>
        <v>14528.73690844104</v>
      </c>
      <c r="F35" s="97"/>
      <c r="G35" s="363">
        <f>SUM(G5:G34)</f>
        <v>0.33474916943332039</v>
      </c>
      <c r="H35" s="363">
        <f t="shared" ref="H35:I35" si="16">SUM(H5:H34)</f>
        <v>2.296675035520944E-3</v>
      </c>
      <c r="I35" s="363">
        <f t="shared" si="16"/>
        <v>7.4474524665430492E-3</v>
      </c>
      <c r="J35" s="4"/>
      <c r="K35" s="4"/>
      <c r="L35" s="4"/>
      <c r="M35" s="98" t="s">
        <v>2</v>
      </c>
      <c r="N35" s="145">
        <f>SUM(N5:N34)</f>
        <v>3105.0593362444042</v>
      </c>
      <c r="O35" s="145">
        <f>SUM(O5:O34)</f>
        <v>41168.878934687578</v>
      </c>
      <c r="P35" s="145">
        <f>SUM(P5:P34)</f>
        <v>17633.796244685451</v>
      </c>
      <c r="Q35" s="88"/>
      <c r="R35" s="96">
        <v>2043</v>
      </c>
      <c r="S35" s="194">
        <v>18100</v>
      </c>
      <c r="T35" s="194">
        <v>49100</v>
      </c>
      <c r="U35" s="194">
        <v>867600</v>
      </c>
      <c r="V35" s="194">
        <v>77</v>
      </c>
    </row>
    <row r="36" spans="1:28" x14ac:dyDescent="0.25">
      <c r="G36" s="32">
        <f>G35*1000</f>
        <v>334.74916943332039</v>
      </c>
      <c r="H36" s="32">
        <f t="shared" ref="H36:I36" si="17">H35*1000</f>
        <v>2.296675035520944</v>
      </c>
      <c r="I36" s="32">
        <f t="shared" si="17"/>
        <v>7.4474524665430488</v>
      </c>
      <c r="Q36" s="88"/>
      <c r="R36" s="96">
        <v>2044</v>
      </c>
      <c r="S36" s="194">
        <v>18100</v>
      </c>
      <c r="T36" s="194">
        <v>49100</v>
      </c>
      <c r="U36" s="194">
        <v>867600</v>
      </c>
      <c r="V36" s="194">
        <v>78</v>
      </c>
    </row>
    <row r="37" spans="1:28" x14ac:dyDescent="0.25">
      <c r="B37" s="12" t="s">
        <v>3</v>
      </c>
      <c r="C37" s="12"/>
      <c r="D37" s="12"/>
      <c r="E37" s="12"/>
      <c r="R37" s="96">
        <v>2045</v>
      </c>
      <c r="S37" s="194">
        <v>18100</v>
      </c>
      <c r="T37" s="194">
        <v>49100</v>
      </c>
      <c r="U37" s="194">
        <v>867600</v>
      </c>
      <c r="V37" s="194">
        <v>79</v>
      </c>
    </row>
    <row r="38" spans="1:28" ht="15" customHeight="1" x14ac:dyDescent="0.25">
      <c r="A38" s="13" t="s">
        <v>27</v>
      </c>
      <c r="B38" s="285" t="s">
        <v>443</v>
      </c>
      <c r="C38" s="285"/>
      <c r="D38" s="285"/>
      <c r="E38" s="285"/>
      <c r="F38" s="285"/>
      <c r="G38" s="285"/>
      <c r="H38" s="285"/>
      <c r="I38" s="285"/>
      <c r="J38" s="285"/>
      <c r="K38" s="285"/>
      <c r="L38" s="285"/>
      <c r="M38" s="285"/>
      <c r="R38" s="96">
        <v>2046</v>
      </c>
      <c r="S38" s="194">
        <v>18100</v>
      </c>
      <c r="T38" s="194">
        <v>49100</v>
      </c>
      <c r="U38" s="194">
        <v>867600</v>
      </c>
      <c r="V38" s="194">
        <v>80</v>
      </c>
    </row>
    <row r="39" spans="1:28" x14ac:dyDescent="0.25">
      <c r="B39" s="285"/>
      <c r="C39" s="285"/>
      <c r="D39" s="285"/>
      <c r="E39" s="285"/>
      <c r="F39" s="285"/>
      <c r="G39" s="285"/>
      <c r="H39" s="285"/>
      <c r="I39" s="285"/>
      <c r="J39" s="285"/>
      <c r="K39" s="285"/>
      <c r="L39" s="285"/>
      <c r="M39" s="285"/>
      <c r="R39" s="96">
        <v>2047</v>
      </c>
      <c r="S39" s="194">
        <v>18100</v>
      </c>
      <c r="T39" s="194">
        <v>49100</v>
      </c>
      <c r="U39" s="194">
        <v>867600</v>
      </c>
      <c r="V39" s="194">
        <v>81</v>
      </c>
      <c r="X39" s="77"/>
      <c r="Y39" s="77"/>
      <c r="Z39" s="77"/>
    </row>
    <row r="40" spans="1:28" x14ac:dyDescent="0.25">
      <c r="B40" s="285"/>
      <c r="C40" s="285"/>
      <c r="D40" s="285"/>
      <c r="E40" s="285"/>
      <c r="F40" s="285"/>
      <c r="G40" s="285"/>
      <c r="H40" s="285"/>
      <c r="I40" s="285"/>
      <c r="J40" s="285"/>
      <c r="K40" s="285"/>
      <c r="L40" s="285"/>
      <c r="M40" s="285"/>
      <c r="R40" s="96">
        <v>2048</v>
      </c>
      <c r="S40" s="194">
        <v>18100</v>
      </c>
      <c r="T40" s="194">
        <v>49100</v>
      </c>
      <c r="U40" s="194">
        <v>867600</v>
      </c>
      <c r="V40" s="194">
        <v>82</v>
      </c>
      <c r="X40" s="77"/>
      <c r="Y40" s="77"/>
      <c r="Z40" s="77"/>
    </row>
    <row r="41" spans="1:28" x14ac:dyDescent="0.25">
      <c r="B41" s="285"/>
      <c r="C41" s="285"/>
      <c r="D41" s="285"/>
      <c r="E41" s="285"/>
      <c r="F41" s="285"/>
      <c r="G41" s="285"/>
      <c r="H41" s="285"/>
      <c r="I41" s="285"/>
      <c r="J41" s="285"/>
      <c r="K41" s="285"/>
      <c r="L41" s="285"/>
      <c r="M41" s="285"/>
      <c r="R41" s="96">
        <v>2049</v>
      </c>
      <c r="S41" s="194">
        <v>18100</v>
      </c>
      <c r="T41" s="194">
        <v>49100</v>
      </c>
      <c r="U41" s="194">
        <v>867600</v>
      </c>
      <c r="V41" s="194">
        <v>83</v>
      </c>
      <c r="X41" s="77"/>
      <c r="Y41" s="77"/>
      <c r="Z41" s="77"/>
    </row>
    <row r="42" spans="1:28" ht="15" customHeight="1" x14ac:dyDescent="0.25">
      <c r="B42" s="12"/>
      <c r="C42" s="12"/>
      <c r="D42" s="12"/>
      <c r="E42" s="12"/>
      <c r="R42" s="96">
        <v>2050</v>
      </c>
      <c r="S42" s="194">
        <v>18100</v>
      </c>
      <c r="T42" s="194">
        <v>49100</v>
      </c>
      <c r="U42" s="194">
        <v>867600</v>
      </c>
      <c r="V42" s="194">
        <v>85</v>
      </c>
      <c r="X42" s="77"/>
      <c r="Y42" s="77"/>
      <c r="Z42" s="77"/>
    </row>
    <row r="43" spans="1:28" ht="15.75" customHeight="1" x14ac:dyDescent="0.25">
      <c r="A43" s="13" t="s">
        <v>34</v>
      </c>
      <c r="B43" s="285" t="s">
        <v>155</v>
      </c>
      <c r="C43" s="285"/>
      <c r="D43" s="285"/>
      <c r="E43" s="285"/>
      <c r="F43" s="285"/>
      <c r="G43" s="285"/>
      <c r="H43" s="285"/>
      <c r="I43" s="285"/>
      <c r="J43" s="285"/>
      <c r="K43" s="285"/>
      <c r="L43" s="285"/>
      <c r="M43" s="285"/>
      <c r="R43" s="96">
        <v>2050</v>
      </c>
      <c r="S43" s="194">
        <v>18000</v>
      </c>
      <c r="T43" s="194">
        <v>48200</v>
      </c>
      <c r="U43" s="194">
        <v>852700</v>
      </c>
      <c r="V43" s="194">
        <v>84</v>
      </c>
      <c r="X43" s="77"/>
      <c r="Y43" s="77"/>
      <c r="Z43" s="77"/>
    </row>
    <row r="44" spans="1:28" ht="15" customHeight="1" x14ac:dyDescent="0.25">
      <c r="B44" s="285"/>
      <c r="C44" s="285"/>
      <c r="D44" s="285"/>
      <c r="E44" s="285"/>
      <c r="F44" s="285"/>
      <c r="G44" s="285"/>
      <c r="H44" s="285"/>
      <c r="I44" s="285"/>
      <c r="J44" s="285"/>
      <c r="K44" s="285"/>
      <c r="L44" s="285"/>
      <c r="M44" s="285"/>
      <c r="R44" s="197">
        <v>2051</v>
      </c>
      <c r="S44" s="198">
        <f>S43</f>
        <v>18000</v>
      </c>
      <c r="T44" s="198">
        <f t="shared" ref="T44:U44" si="18">T43</f>
        <v>48200</v>
      </c>
      <c r="U44" s="198">
        <f t="shared" si="18"/>
        <v>852700</v>
      </c>
      <c r="V44" s="198">
        <f>V43</f>
        <v>84</v>
      </c>
      <c r="W44" s="205" t="s">
        <v>101</v>
      </c>
      <c r="AA44" s="77"/>
      <c r="AB44" s="77"/>
    </row>
    <row r="45" spans="1:28" ht="15" customHeight="1" x14ac:dyDescent="0.25">
      <c r="A45" s="13"/>
      <c r="B45" s="49"/>
      <c r="C45" s="49"/>
      <c r="D45" s="49"/>
      <c r="E45" s="49"/>
      <c r="F45" s="31"/>
      <c r="G45" s="88"/>
      <c r="H45" s="88"/>
      <c r="I45" s="31"/>
      <c r="R45" s="197">
        <v>2052</v>
      </c>
      <c r="S45" s="198">
        <f t="shared" ref="S45:S47" si="19">S44</f>
        <v>18000</v>
      </c>
      <c r="T45" s="198">
        <f t="shared" ref="T45:T47" si="20">T44</f>
        <v>48200</v>
      </c>
      <c r="U45" s="198">
        <f t="shared" ref="U45:U47" si="21">U44</f>
        <v>852700</v>
      </c>
      <c r="V45" s="198">
        <f t="shared" ref="V45:V47" si="22">V44</f>
        <v>84</v>
      </c>
      <c r="W45" s="200"/>
      <c r="AA45" s="77"/>
      <c r="AB45" s="77"/>
    </row>
    <row r="46" spans="1:28" x14ac:dyDescent="0.25">
      <c r="A46" s="13"/>
      <c r="B46" s="77"/>
      <c r="C46" s="77"/>
      <c r="D46" s="77"/>
      <c r="E46" s="77"/>
      <c r="F46" s="77"/>
      <c r="G46" s="77"/>
      <c r="H46" s="77"/>
      <c r="I46" s="77"/>
      <c r="R46" s="197">
        <v>2053</v>
      </c>
      <c r="S46" s="198">
        <f t="shared" si="19"/>
        <v>18000</v>
      </c>
      <c r="T46" s="198">
        <f t="shared" si="20"/>
        <v>48200</v>
      </c>
      <c r="U46" s="198">
        <f t="shared" si="21"/>
        <v>852700</v>
      </c>
      <c r="V46" s="198">
        <f t="shared" si="22"/>
        <v>84</v>
      </c>
      <c r="W46" s="200"/>
      <c r="AA46" s="77"/>
      <c r="AB46" s="77"/>
    </row>
    <row r="47" spans="1:28" x14ac:dyDescent="0.25">
      <c r="A47" s="13"/>
      <c r="B47" s="77"/>
      <c r="C47" s="77"/>
      <c r="D47" s="77"/>
      <c r="E47" s="77"/>
      <c r="F47" s="77"/>
      <c r="G47" s="77"/>
      <c r="H47" s="77"/>
      <c r="I47" s="77"/>
      <c r="R47" s="197">
        <v>2054</v>
      </c>
      <c r="S47" s="198">
        <f t="shared" si="19"/>
        <v>18000</v>
      </c>
      <c r="T47" s="198">
        <f t="shared" si="20"/>
        <v>48200</v>
      </c>
      <c r="U47" s="198">
        <f t="shared" si="21"/>
        <v>852700</v>
      </c>
      <c r="V47" s="198">
        <f t="shared" si="22"/>
        <v>84</v>
      </c>
      <c r="W47" s="200"/>
      <c r="AA47" s="77"/>
      <c r="AB47" s="77"/>
    </row>
    <row r="48" spans="1:28" x14ac:dyDescent="0.25">
      <c r="A48" s="13"/>
      <c r="B48" s="77"/>
      <c r="C48" s="77"/>
      <c r="D48" s="77"/>
      <c r="E48" s="77"/>
      <c r="F48" s="77"/>
      <c r="G48" s="77"/>
      <c r="H48" s="77"/>
      <c r="I48" s="77"/>
      <c r="R48" s="197">
        <v>2055</v>
      </c>
      <c r="S48" s="198">
        <f t="shared" ref="S48:S51" si="23">S47</f>
        <v>18000</v>
      </c>
      <c r="T48" s="198">
        <f t="shared" ref="T48:T51" si="24">T47</f>
        <v>48200</v>
      </c>
      <c r="U48" s="198">
        <f t="shared" ref="U48:U51" si="25">U47</f>
        <v>852700</v>
      </c>
      <c r="V48" s="198">
        <f t="shared" ref="V48:V51" si="26">V47</f>
        <v>84</v>
      </c>
      <c r="W48" s="200"/>
      <c r="AA48" s="77"/>
      <c r="AB48" s="77"/>
    </row>
    <row r="49" spans="1:22" x14ac:dyDescent="0.25">
      <c r="A49" s="13"/>
      <c r="B49" s="77"/>
      <c r="C49" s="77"/>
      <c r="D49" s="77"/>
      <c r="E49" s="77"/>
      <c r="F49" s="77"/>
      <c r="G49" s="77"/>
      <c r="H49" s="77"/>
      <c r="I49" s="77"/>
      <c r="R49" s="197">
        <v>2056</v>
      </c>
      <c r="S49" s="198">
        <f t="shared" si="23"/>
        <v>18000</v>
      </c>
      <c r="T49" s="198">
        <f t="shared" si="24"/>
        <v>48200</v>
      </c>
      <c r="U49" s="198">
        <f t="shared" si="25"/>
        <v>852700</v>
      </c>
      <c r="V49" s="198">
        <f t="shared" si="26"/>
        <v>84</v>
      </c>
    </row>
    <row r="50" spans="1:22" x14ac:dyDescent="0.25">
      <c r="A50" s="13"/>
      <c r="B50" s="77"/>
      <c r="C50" s="77"/>
      <c r="D50" s="77"/>
      <c r="E50" s="77"/>
      <c r="F50" s="77"/>
      <c r="G50" s="77"/>
      <c r="H50" s="77"/>
      <c r="I50" s="77"/>
      <c r="R50" s="197">
        <v>2057</v>
      </c>
      <c r="S50" s="198">
        <f t="shared" si="23"/>
        <v>18000</v>
      </c>
      <c r="T50" s="198">
        <f t="shared" si="24"/>
        <v>48200</v>
      </c>
      <c r="U50" s="198">
        <f t="shared" si="25"/>
        <v>852700</v>
      </c>
      <c r="V50" s="198">
        <f t="shared" si="26"/>
        <v>84</v>
      </c>
    </row>
    <row r="51" spans="1:22" x14ac:dyDescent="0.25">
      <c r="A51" s="13"/>
      <c r="B51" s="49"/>
      <c r="C51" s="49"/>
      <c r="D51" s="49"/>
      <c r="E51" s="49"/>
      <c r="F51" s="31"/>
      <c r="G51" s="31"/>
      <c r="H51" s="31"/>
      <c r="I51" s="31"/>
      <c r="R51" s="197">
        <v>2058</v>
      </c>
      <c r="S51" s="198">
        <f t="shared" si="23"/>
        <v>18000</v>
      </c>
      <c r="T51" s="198">
        <f t="shared" si="24"/>
        <v>48200</v>
      </c>
      <c r="U51" s="198">
        <f t="shared" si="25"/>
        <v>852700</v>
      </c>
      <c r="V51" s="198">
        <f t="shared" si="26"/>
        <v>84</v>
      </c>
    </row>
    <row r="52" spans="1:22" x14ac:dyDescent="0.25">
      <c r="B52" s="49"/>
      <c r="C52" s="49"/>
      <c r="D52" s="49"/>
      <c r="E52" s="49"/>
      <c r="F52" s="31"/>
      <c r="G52" s="31"/>
      <c r="H52" s="31"/>
      <c r="I52" s="31"/>
    </row>
    <row r="53" spans="1:22" x14ac:dyDescent="0.25">
      <c r="B53" s="49"/>
      <c r="C53" s="49"/>
      <c r="D53" s="364" t="s">
        <v>396</v>
      </c>
      <c r="E53" s="365" t="s">
        <v>177</v>
      </c>
      <c r="F53" s="31"/>
      <c r="G53" s="31"/>
      <c r="H53" s="31"/>
      <c r="I53" s="31"/>
      <c r="J53" s="52"/>
      <c r="L53" s="88"/>
      <c r="M53" s="88"/>
    </row>
    <row r="54" spans="1:22" x14ac:dyDescent="0.25">
      <c r="B54" s="49"/>
      <c r="C54" s="49"/>
      <c r="D54" s="366" t="s">
        <v>397</v>
      </c>
      <c r="E54" s="367">
        <f>C35</f>
        <v>378.28525392953708</v>
      </c>
      <c r="F54" s="31"/>
      <c r="G54" s="31"/>
      <c r="H54" s="31"/>
      <c r="I54" s="31"/>
      <c r="J54" s="52"/>
      <c r="L54" s="88"/>
      <c r="M54" s="88"/>
      <c r="N54" s="147"/>
      <c r="O54" s="147"/>
      <c r="P54" s="147"/>
    </row>
    <row r="55" spans="1:22" x14ac:dyDescent="0.25">
      <c r="A55" s="13"/>
      <c r="B55" s="49"/>
      <c r="C55" s="49"/>
      <c r="D55" s="366" t="s">
        <v>398</v>
      </c>
      <c r="E55" s="367">
        <f>G36</f>
        <v>334.74916943332039</v>
      </c>
      <c r="F55" s="31"/>
      <c r="G55" s="31"/>
      <c r="H55" s="31"/>
      <c r="I55" s="31"/>
      <c r="L55" s="88"/>
      <c r="M55" s="88"/>
      <c r="N55" s="147"/>
      <c r="O55" s="147"/>
      <c r="P55" s="147"/>
    </row>
    <row r="56" spans="1:22" x14ac:dyDescent="0.25">
      <c r="B56" s="49"/>
      <c r="C56" s="49"/>
      <c r="D56" s="366" t="s">
        <v>399</v>
      </c>
      <c r="E56" s="367">
        <f>H36</f>
        <v>2.296675035520944</v>
      </c>
      <c r="F56" s="31"/>
      <c r="G56" s="31"/>
      <c r="H56" s="31"/>
      <c r="I56" s="31"/>
      <c r="L56" s="88"/>
      <c r="M56" s="88"/>
      <c r="N56" s="147"/>
      <c r="O56" s="147"/>
      <c r="P56" s="147"/>
    </row>
    <row r="57" spans="1:22" x14ac:dyDescent="0.25">
      <c r="B57" s="49"/>
      <c r="C57" s="49"/>
      <c r="D57" s="368" t="s">
        <v>400</v>
      </c>
      <c r="E57" s="369">
        <f>I36</f>
        <v>7.4474524665430488</v>
      </c>
      <c r="F57" s="31"/>
      <c r="G57" s="31"/>
      <c r="H57" s="31"/>
      <c r="I57" s="31"/>
      <c r="J57" s="88"/>
      <c r="K57" s="88"/>
      <c r="L57" s="88"/>
      <c r="M57" s="88"/>
    </row>
    <row r="58" spans="1:22" x14ac:dyDescent="0.25">
      <c r="B58" s="49"/>
      <c r="C58" s="49"/>
      <c r="D58" s="49"/>
      <c r="E58" s="49"/>
      <c r="F58" s="31"/>
      <c r="G58" s="31"/>
      <c r="H58" s="31"/>
      <c r="I58" s="31"/>
      <c r="K58" s="88"/>
      <c r="L58" s="88"/>
      <c r="M58" s="88"/>
    </row>
    <row r="59" spans="1:22" x14ac:dyDescent="0.25">
      <c r="B59" s="49"/>
      <c r="C59" s="49"/>
      <c r="D59" s="49"/>
      <c r="E59" s="49"/>
      <c r="F59" s="31"/>
      <c r="G59" s="31"/>
      <c r="H59" s="31"/>
      <c r="I59" s="31"/>
      <c r="J59" s="31"/>
      <c r="L59" s="88"/>
      <c r="M59" s="88"/>
    </row>
    <row r="60" spans="1:22" x14ac:dyDescent="0.25">
      <c r="B60" s="49"/>
      <c r="C60" s="49"/>
      <c r="D60" s="49"/>
      <c r="E60" s="49"/>
      <c r="F60" s="31"/>
      <c r="G60" s="31"/>
      <c r="H60" s="31"/>
      <c r="I60" s="31"/>
      <c r="J60" s="31"/>
    </row>
    <row r="61" spans="1:22" x14ac:dyDescent="0.25">
      <c r="B61" s="49"/>
      <c r="C61" s="49"/>
      <c r="D61" s="49"/>
      <c r="E61" s="49"/>
      <c r="F61" s="31"/>
      <c r="G61" s="31"/>
      <c r="H61" s="31"/>
      <c r="I61" s="31"/>
      <c r="J61" s="31"/>
      <c r="K61" s="31"/>
    </row>
    <row r="62" spans="1:22" x14ac:dyDescent="0.25">
      <c r="B62" s="49"/>
      <c r="C62" s="49"/>
      <c r="D62" s="49"/>
      <c r="E62" s="49"/>
      <c r="F62" s="31"/>
      <c r="G62" s="31"/>
      <c r="H62" s="31"/>
      <c r="I62" s="31"/>
      <c r="J62" s="31"/>
      <c r="K62" s="31"/>
    </row>
    <row r="63" spans="1:22" x14ac:dyDescent="0.25">
      <c r="A63" s="13"/>
      <c r="B63" s="49"/>
      <c r="C63" s="49"/>
      <c r="D63" s="49"/>
      <c r="E63" s="49"/>
      <c r="F63" s="31"/>
      <c r="G63" s="31"/>
      <c r="H63" s="31"/>
      <c r="I63" s="31"/>
      <c r="J63" s="31"/>
      <c r="K63" s="31"/>
    </row>
    <row r="64" spans="1:22" x14ac:dyDescent="0.25">
      <c r="J64" s="31"/>
      <c r="K64" s="31"/>
    </row>
    <row r="65" spans="1:12" x14ac:dyDescent="0.25">
      <c r="F65" s="88"/>
      <c r="I65" s="88"/>
      <c r="J65" s="31"/>
      <c r="K65" s="31"/>
    </row>
    <row r="66" spans="1:12" x14ac:dyDescent="0.25">
      <c r="B66" s="88"/>
      <c r="C66" s="88"/>
      <c r="D66" s="88"/>
      <c r="E66" s="88"/>
      <c r="F66" s="88"/>
      <c r="I66" s="88"/>
      <c r="J66" s="31"/>
      <c r="K66" s="31"/>
    </row>
    <row r="67" spans="1:12" x14ac:dyDescent="0.25">
      <c r="J67" s="31"/>
      <c r="K67" s="31"/>
    </row>
    <row r="68" spans="1:12" x14ac:dyDescent="0.25">
      <c r="A68" s="13"/>
      <c r="B68" s="31"/>
      <c r="C68" s="31"/>
      <c r="D68" s="31"/>
      <c r="E68" s="31"/>
      <c r="F68" s="31"/>
      <c r="G68" s="31"/>
      <c r="H68" s="31"/>
      <c r="I68" s="31"/>
      <c r="J68" s="31"/>
      <c r="K68" s="31"/>
    </row>
    <row r="69" spans="1:12" x14ac:dyDescent="0.25">
      <c r="B69" s="31"/>
      <c r="C69" s="31"/>
      <c r="D69" s="31"/>
      <c r="E69" s="31"/>
      <c r="F69" s="31"/>
      <c r="G69" s="31"/>
      <c r="H69" s="31"/>
      <c r="J69" s="31"/>
      <c r="K69" s="31"/>
    </row>
    <row r="70" spans="1:12" x14ac:dyDescent="0.25">
      <c r="J70" s="31"/>
      <c r="K70" s="31"/>
    </row>
    <row r="71" spans="1:12" x14ac:dyDescent="0.25">
      <c r="A71" s="13"/>
      <c r="J71" s="31"/>
      <c r="K71" s="31"/>
    </row>
    <row r="72" spans="1:12" x14ac:dyDescent="0.25">
      <c r="J72" s="31"/>
      <c r="K72" s="31"/>
    </row>
    <row r="74" spans="1:12" x14ac:dyDescent="0.25">
      <c r="J74" s="88"/>
    </row>
    <row r="75" spans="1:12" x14ac:dyDescent="0.25">
      <c r="J75" s="88"/>
      <c r="L75" s="31"/>
    </row>
    <row r="77" spans="1:12" x14ac:dyDescent="0.25">
      <c r="J77" s="31"/>
      <c r="K77" s="31"/>
    </row>
  </sheetData>
  <mergeCells count="22">
    <mergeCell ref="Y15:Z15"/>
    <mergeCell ref="Y19:Z19"/>
    <mergeCell ref="O3:O4"/>
    <mergeCell ref="O2:P2"/>
    <mergeCell ref="F2:N2"/>
    <mergeCell ref="L3:L4"/>
    <mergeCell ref="M3:M4"/>
    <mergeCell ref="N3:N4"/>
    <mergeCell ref="P3:P4"/>
    <mergeCell ref="C2:E2"/>
    <mergeCell ref="B43:M44"/>
    <mergeCell ref="F3:F4"/>
    <mergeCell ref="K3:K4"/>
    <mergeCell ref="G3:G4"/>
    <mergeCell ref="H3:H4"/>
    <mergeCell ref="I3:I4"/>
    <mergeCell ref="J3:J4"/>
    <mergeCell ref="B3:B4"/>
    <mergeCell ref="C3:C4"/>
    <mergeCell ref="D3:D4"/>
    <mergeCell ref="E3:E4"/>
    <mergeCell ref="B38:M41"/>
  </mergeCells>
  <hyperlinks>
    <hyperlink ref="AM8" r:id="rId1" xr:uid="{19D84491-4571-46C4-BC8F-D148FCCB050C}"/>
    <hyperlink ref="AM25" r:id="rId2" xr:uid="{38FAD483-B71F-4E28-8A2C-781253F244C5}"/>
  </hyperlinks>
  <pageMargins left="0.25" right="0.25" top="0.75" bottom="0.75" header="0.3" footer="0.3"/>
  <pageSetup paperSize="3" scale="27"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42D0-9A3A-4DD4-814B-F857395D9C21}">
  <sheetPr>
    <tabColor rgb="FFC00000"/>
    <pageSetUpPr fitToPage="1"/>
  </sheetPr>
  <dimension ref="A1:G56"/>
  <sheetViews>
    <sheetView view="pageBreakPreview" zoomScale="85" zoomScaleNormal="85" zoomScaleSheetLayoutView="85" workbookViewId="0">
      <selection activeCell="F11" sqref="F11"/>
    </sheetView>
  </sheetViews>
  <sheetFormatPr defaultRowHeight="15" x14ac:dyDescent="0.25"/>
  <cols>
    <col min="2" max="3" width="15.7109375" customWidth="1"/>
    <col min="4" max="5" width="15.5703125" customWidth="1"/>
    <col min="6" max="7" width="23.5703125" customWidth="1"/>
    <col min="8" max="9" width="22.7109375" customWidth="1"/>
    <col min="13" max="13" width="28.7109375" bestFit="1" customWidth="1"/>
    <col min="15" max="15" width="11.28515625" bestFit="1" customWidth="1"/>
  </cols>
  <sheetData>
    <row r="1" spans="2:7" x14ac:dyDescent="0.25">
      <c r="B1" s="17"/>
      <c r="C1" s="17"/>
      <c r="D1" s="17"/>
    </row>
    <row r="2" spans="2:7" ht="15.75" thickBot="1" x14ac:dyDescent="0.3">
      <c r="B2" s="12" t="s">
        <v>6</v>
      </c>
    </row>
    <row r="3" spans="2:7" ht="22.5" customHeight="1" x14ac:dyDescent="0.25">
      <c r="B3" s="292" t="s">
        <v>0</v>
      </c>
      <c r="C3" s="305" t="s">
        <v>81</v>
      </c>
      <c r="D3" s="305" t="s">
        <v>50</v>
      </c>
      <c r="E3" s="146"/>
    </row>
    <row r="4" spans="2:7" ht="22.5" customHeight="1" thickBot="1" x14ac:dyDescent="0.3">
      <c r="B4" s="293"/>
      <c r="C4" s="323"/>
      <c r="D4" s="323"/>
      <c r="E4" s="146"/>
    </row>
    <row r="5" spans="2:7" ht="15.75" customHeight="1" x14ac:dyDescent="0.25">
      <c r="B5" s="15">
        <f>Assumptions!$D$8</f>
        <v>2026</v>
      </c>
      <c r="C5" s="16">
        <f>$G$8</f>
        <v>4949</v>
      </c>
      <c r="D5" s="16">
        <f>C5*(1+0.07)^-($B5-Assumptions!$D$4)</f>
        <v>3297.7276656679205</v>
      </c>
    </row>
    <row r="6" spans="2:7" ht="15.75" customHeight="1" x14ac:dyDescent="0.25">
      <c r="B6" s="39">
        <f>B5+1</f>
        <v>2027</v>
      </c>
      <c r="C6" s="175">
        <f t="shared" ref="C6:C34" si="0">$G$8</f>
        <v>4949</v>
      </c>
      <c r="D6" s="175">
        <f>C6*(1+0.07)^-($B6-Assumptions!$D$4)</f>
        <v>3081.9884725868415</v>
      </c>
      <c r="F6" s="12" t="s">
        <v>170</v>
      </c>
    </row>
    <row r="7" spans="2:7" ht="15.75" customHeight="1" x14ac:dyDescent="0.25">
      <c r="B7" s="2">
        <f>+B6+1</f>
        <v>2028</v>
      </c>
      <c r="C7" s="9">
        <f t="shared" si="0"/>
        <v>4949</v>
      </c>
      <c r="D7" s="9">
        <f>C7*(1+0.07)^-($B7-Assumptions!$D$4)</f>
        <v>2880.3630584923749</v>
      </c>
      <c r="F7" s="30"/>
      <c r="G7" s="48" t="s">
        <v>171</v>
      </c>
    </row>
    <row r="8" spans="2:7" ht="15.75" customHeight="1" x14ac:dyDescent="0.25">
      <c r="B8" s="2">
        <f t="shared" ref="B8:B34" si="1">+B7+1</f>
        <v>2029</v>
      </c>
      <c r="C8" s="9">
        <f t="shared" si="0"/>
        <v>4949</v>
      </c>
      <c r="D8" s="9">
        <f>C8*(1+0.07)^-($B8-Assumptions!$D$4)</f>
        <v>2691.9280920489487</v>
      </c>
      <c r="F8" s="30" t="s">
        <v>4</v>
      </c>
      <c r="G8" s="361">
        <f>0.35*14140</f>
        <v>4949</v>
      </c>
    </row>
    <row r="9" spans="2:7" ht="15.75" customHeight="1" x14ac:dyDescent="0.25">
      <c r="B9" s="2">
        <f t="shared" si="1"/>
        <v>2030</v>
      </c>
      <c r="C9" s="9">
        <f t="shared" si="0"/>
        <v>4949</v>
      </c>
      <c r="D9" s="9">
        <f>C9*(1+0.07)^-($B9-Assumptions!$D$4)</f>
        <v>2515.8206467747182</v>
      </c>
    </row>
    <row r="10" spans="2:7" ht="15.75" customHeight="1" x14ac:dyDescent="0.25">
      <c r="B10" s="2">
        <f t="shared" si="1"/>
        <v>2031</v>
      </c>
      <c r="C10" s="9">
        <f t="shared" si="0"/>
        <v>4949</v>
      </c>
      <c r="D10" s="9">
        <f>C10*(1+0.07)^-($B10-Assumptions!$D$4)</f>
        <v>2351.2342493221663</v>
      </c>
    </row>
    <row r="11" spans="2:7" ht="15.75" customHeight="1" x14ac:dyDescent="0.25">
      <c r="B11" s="2">
        <f t="shared" si="1"/>
        <v>2032</v>
      </c>
      <c r="C11" s="9">
        <f t="shared" si="0"/>
        <v>4949</v>
      </c>
      <c r="D11" s="9">
        <f>C11*(1+0.07)^-($B11-Assumptions!$D$4)</f>
        <v>2197.4151862823987</v>
      </c>
    </row>
    <row r="12" spans="2:7" ht="15.75" customHeight="1" x14ac:dyDescent="0.25">
      <c r="B12" s="2">
        <f t="shared" si="1"/>
        <v>2033</v>
      </c>
      <c r="C12" s="9">
        <f t="shared" si="0"/>
        <v>4949</v>
      </c>
      <c r="D12" s="9">
        <f>C12*(1+0.07)^-($B12-Assumptions!$D$4)</f>
        <v>2053.6590526003724</v>
      </c>
    </row>
    <row r="13" spans="2:7" ht="15.75" customHeight="1" x14ac:dyDescent="0.25">
      <c r="B13" s="2">
        <f t="shared" si="1"/>
        <v>2034</v>
      </c>
      <c r="C13" s="9">
        <f t="shared" si="0"/>
        <v>4949</v>
      </c>
      <c r="D13" s="9">
        <f>C13*(1+0.07)^-($B13-Assumptions!$D$4)</f>
        <v>1919.307525794741</v>
      </c>
    </row>
    <row r="14" spans="2:7" ht="15.75" customHeight="1" x14ac:dyDescent="0.25">
      <c r="B14" s="2">
        <f t="shared" si="1"/>
        <v>2035</v>
      </c>
      <c r="C14" s="9">
        <f t="shared" si="0"/>
        <v>4949</v>
      </c>
      <c r="D14" s="9">
        <f>C14*(1+0.07)^-($B14-Assumptions!$D$4)</f>
        <v>1793.7453512100381</v>
      </c>
    </row>
    <row r="15" spans="2:7" ht="15.75" customHeight="1" x14ac:dyDescent="0.25">
      <c r="B15" s="2">
        <f t="shared" si="1"/>
        <v>2036</v>
      </c>
      <c r="C15" s="9">
        <f t="shared" si="0"/>
        <v>4949</v>
      </c>
      <c r="D15" s="9">
        <f>C15*(1+0.07)^-($B15-Assumptions!$D$4)</f>
        <v>1676.3975244953629</v>
      </c>
    </row>
    <row r="16" spans="2:7" ht="15.75" customHeight="1" x14ac:dyDescent="0.25">
      <c r="B16" s="2">
        <f t="shared" si="1"/>
        <v>2037</v>
      </c>
      <c r="C16" s="9">
        <f t="shared" si="0"/>
        <v>4949</v>
      </c>
      <c r="D16" s="9">
        <f>C16*(1+0.07)^-($B16-Assumptions!$D$4)</f>
        <v>1566.7266584068814</v>
      </c>
    </row>
    <row r="17" spans="2:4" ht="15.75" customHeight="1" x14ac:dyDescent="0.25">
      <c r="B17" s="2">
        <f t="shared" si="1"/>
        <v>2038</v>
      </c>
      <c r="C17" s="9">
        <f t="shared" si="0"/>
        <v>4949</v>
      </c>
      <c r="D17" s="9">
        <f>C17*(1+0.07)^-($B17-Assumptions!$D$4)</f>
        <v>1464.2305218755898</v>
      </c>
    </row>
    <row r="18" spans="2:4" ht="15.75" customHeight="1" x14ac:dyDescent="0.25">
      <c r="B18" s="2">
        <f t="shared" si="1"/>
        <v>2039</v>
      </c>
      <c r="C18" s="9">
        <f t="shared" si="0"/>
        <v>4949</v>
      </c>
      <c r="D18" s="9">
        <f>C18*(1+0.07)^-($B18-Assumptions!$D$4)</f>
        <v>1368.4397400706446</v>
      </c>
    </row>
    <row r="19" spans="2:4" ht="15.75" customHeight="1" x14ac:dyDescent="0.25">
      <c r="B19" s="2">
        <f t="shared" si="1"/>
        <v>2040</v>
      </c>
      <c r="C19" s="9">
        <f t="shared" si="0"/>
        <v>4949</v>
      </c>
      <c r="D19" s="9">
        <f>C19*(1+0.07)^-($B19-Assumptions!$D$4)</f>
        <v>1278.9156449258362</v>
      </c>
    </row>
    <row r="20" spans="2:4" ht="15.75" customHeight="1" x14ac:dyDescent="0.25">
      <c r="B20" s="2">
        <f t="shared" si="1"/>
        <v>2041</v>
      </c>
      <c r="C20" s="9">
        <f t="shared" si="0"/>
        <v>4949</v>
      </c>
      <c r="D20" s="9">
        <f>C20*(1+0.07)^-($B20-Assumptions!$D$4)</f>
        <v>1195.2482662858283</v>
      </c>
    </row>
    <row r="21" spans="2:4" ht="15.75" customHeight="1" x14ac:dyDescent="0.25">
      <c r="B21" s="2">
        <f t="shared" si="1"/>
        <v>2042</v>
      </c>
      <c r="C21" s="9">
        <f t="shared" si="0"/>
        <v>4949</v>
      </c>
      <c r="D21" s="9">
        <f>C21*(1+0.07)^-($B21-Assumptions!$D$4)</f>
        <v>1117.0544544727368</v>
      </c>
    </row>
    <row r="22" spans="2:4" ht="15.75" customHeight="1" x14ac:dyDescent="0.25">
      <c r="B22" s="2">
        <f t="shared" si="1"/>
        <v>2043</v>
      </c>
      <c r="C22" s="9">
        <f t="shared" si="0"/>
        <v>4949</v>
      </c>
      <c r="D22" s="9">
        <f>C22*(1+0.07)^-($B22-Assumptions!$D$4)</f>
        <v>1043.9761256754548</v>
      </c>
    </row>
    <row r="23" spans="2:4" ht="15.75" customHeight="1" x14ac:dyDescent="0.25">
      <c r="B23" s="2">
        <f t="shared" si="1"/>
        <v>2044</v>
      </c>
      <c r="C23" s="9">
        <f t="shared" si="0"/>
        <v>4949</v>
      </c>
      <c r="D23" s="9">
        <f>C23*(1+0.07)^-($B23-Assumptions!$D$4)</f>
        <v>975.67862212659327</v>
      </c>
    </row>
    <row r="24" spans="2:4" ht="15.75" customHeight="1" x14ac:dyDescent="0.25">
      <c r="B24" s="2">
        <f t="shared" si="1"/>
        <v>2045</v>
      </c>
      <c r="C24" s="9">
        <f t="shared" si="0"/>
        <v>4949</v>
      </c>
      <c r="D24" s="9">
        <f>C24*(1+0.07)^-($B24-Assumptions!$D$4)</f>
        <v>911.84917955756362</v>
      </c>
    </row>
    <row r="25" spans="2:4" ht="15.75" customHeight="1" x14ac:dyDescent="0.25">
      <c r="B25" s="2">
        <f t="shared" si="1"/>
        <v>2046</v>
      </c>
      <c r="C25" s="9">
        <f t="shared" si="0"/>
        <v>4949</v>
      </c>
      <c r="D25" s="9">
        <f>C25*(1+0.07)^-($B25-Assumptions!$D$4)</f>
        <v>852.19549491361101</v>
      </c>
    </row>
    <row r="26" spans="2:4" ht="15.75" customHeight="1" x14ac:dyDescent="0.25">
      <c r="B26" s="2">
        <f t="shared" si="1"/>
        <v>2047</v>
      </c>
      <c r="C26" s="9">
        <f t="shared" si="0"/>
        <v>4949</v>
      </c>
      <c r="D26" s="9">
        <f>C26*(1+0.07)^-($B26-Assumptions!$D$4)</f>
        <v>796.4443877697297</v>
      </c>
    </row>
    <row r="27" spans="2:4" ht="15.75" customHeight="1" x14ac:dyDescent="0.25">
      <c r="B27" s="2">
        <f t="shared" si="1"/>
        <v>2048</v>
      </c>
      <c r="C27" s="9">
        <f t="shared" si="0"/>
        <v>4949</v>
      </c>
      <c r="D27" s="9">
        <f>C27*(1+0.07)^-($B27-Assumptions!$D$4)</f>
        <v>744.3405493175045</v>
      </c>
    </row>
    <row r="28" spans="2:4" ht="15.75" customHeight="1" x14ac:dyDescent="0.25">
      <c r="B28" s="2">
        <f t="shared" si="1"/>
        <v>2049</v>
      </c>
      <c r="C28" s="9">
        <f t="shared" si="0"/>
        <v>4949</v>
      </c>
      <c r="D28" s="9">
        <f>C28*(1+0.07)^-($B28-Assumptions!$D$4)</f>
        <v>695.64537319392957</v>
      </c>
    </row>
    <row r="29" spans="2:4" ht="15.75" customHeight="1" x14ac:dyDescent="0.25">
      <c r="B29" s="2">
        <f t="shared" si="1"/>
        <v>2050</v>
      </c>
      <c r="C29" s="9">
        <f t="shared" si="0"/>
        <v>4949</v>
      </c>
      <c r="D29" s="9">
        <f>C29*(1+0.07)^-($B29-Assumptions!$D$4)</f>
        <v>650.13586279806498</v>
      </c>
    </row>
    <row r="30" spans="2:4" ht="15.75" customHeight="1" x14ac:dyDescent="0.25">
      <c r="B30" s="2">
        <f t="shared" si="1"/>
        <v>2051</v>
      </c>
      <c r="C30" s="9">
        <f t="shared" si="0"/>
        <v>4949</v>
      </c>
      <c r="D30" s="9">
        <f>C30*(1+0.07)^-($B30-Assumptions!$D$4)</f>
        <v>607.60361009164933</v>
      </c>
    </row>
    <row r="31" spans="2:4" ht="15.75" customHeight="1" x14ac:dyDescent="0.25">
      <c r="B31" s="2">
        <f t="shared" si="1"/>
        <v>2052</v>
      </c>
      <c r="C31" s="9">
        <f t="shared" si="0"/>
        <v>4949</v>
      </c>
      <c r="D31" s="9">
        <f>C31*(1+0.07)^-($B31-Assumptions!$D$4)</f>
        <v>567.853841207149</v>
      </c>
    </row>
    <row r="32" spans="2:4" ht="15.75" customHeight="1" x14ac:dyDescent="0.25">
      <c r="B32" s="2">
        <f t="shared" si="1"/>
        <v>2053</v>
      </c>
      <c r="C32" s="9">
        <f t="shared" si="0"/>
        <v>4949</v>
      </c>
      <c r="D32" s="9">
        <f>C32*(1+0.07)^-($B32-Assumptions!$D$4)</f>
        <v>530.70452449266259</v>
      </c>
    </row>
    <row r="33" spans="1:4" ht="15.75" customHeight="1" x14ac:dyDescent="0.25">
      <c r="B33" s="2">
        <f t="shared" si="1"/>
        <v>2054</v>
      </c>
      <c r="C33" s="9">
        <f t="shared" si="0"/>
        <v>4949</v>
      </c>
      <c r="D33" s="9">
        <f>C33*(1+0.07)^-($B33-Assumptions!$D$4)</f>
        <v>495.98553690903054</v>
      </c>
    </row>
    <row r="34" spans="1:4" ht="15.75" customHeight="1" thickBot="1" x14ac:dyDescent="0.3">
      <c r="B34" s="3">
        <f t="shared" si="1"/>
        <v>2055</v>
      </c>
      <c r="C34" s="10">
        <f t="shared" si="0"/>
        <v>4949</v>
      </c>
      <c r="D34" s="10">
        <f>C34*(1+0.07)^-($B34-Assumptions!$D$4)</f>
        <v>463.53788496171069</v>
      </c>
    </row>
    <row r="35" spans="1:4" ht="15.75" customHeight="1" x14ac:dyDescent="0.25">
      <c r="B35" s="4"/>
      <c r="C35" s="11">
        <f>SUM(C5:C34)</f>
        <v>148470</v>
      </c>
      <c r="D35" s="6">
        <f>SUM(D5:D34)</f>
        <v>43786.153104328056</v>
      </c>
    </row>
    <row r="36" spans="1:4" ht="15.75" customHeight="1" x14ac:dyDescent="0.25">
      <c r="B36" s="4"/>
      <c r="C36" s="6"/>
      <c r="D36" s="85"/>
    </row>
    <row r="37" spans="1:4" ht="15.75" customHeight="1" x14ac:dyDescent="0.25"/>
    <row r="38" spans="1:4" ht="15.75" customHeight="1" x14ac:dyDescent="0.25">
      <c r="B38" s="12" t="s">
        <v>3</v>
      </c>
    </row>
    <row r="39" spans="1:4" ht="15.75" customHeight="1" x14ac:dyDescent="0.25">
      <c r="A39" s="13" t="s">
        <v>27</v>
      </c>
      <c r="B39" s="414" t="s">
        <v>444</v>
      </c>
      <c r="C39" s="414"/>
      <c r="D39" s="414"/>
    </row>
    <row r="40" spans="1:4" ht="15.75" customHeight="1" x14ac:dyDescent="0.25">
      <c r="B40" s="414"/>
      <c r="C40" s="414"/>
      <c r="D40" s="414"/>
    </row>
    <row r="41" spans="1:4" ht="15.75" customHeight="1" x14ac:dyDescent="0.25">
      <c r="B41" s="414"/>
      <c r="C41" s="414"/>
      <c r="D41" s="414"/>
    </row>
    <row r="42" spans="1:4" ht="15.75" customHeight="1" x14ac:dyDescent="0.25">
      <c r="B42" s="414"/>
      <c r="C42" s="414"/>
      <c r="D42" s="414"/>
    </row>
    <row r="43" spans="1:4" ht="15.75" customHeight="1" x14ac:dyDescent="0.25">
      <c r="A43" s="13"/>
      <c r="B43" s="414"/>
      <c r="C43" s="414"/>
      <c r="D43" s="414"/>
    </row>
    <row r="44" spans="1:4" ht="15.75" customHeight="1" x14ac:dyDescent="0.25">
      <c r="B44" s="414"/>
      <c r="C44" s="414"/>
      <c r="D44" s="414"/>
    </row>
    <row r="45" spans="1:4" x14ac:dyDescent="0.25">
      <c r="B45" s="31"/>
      <c r="C45" s="31"/>
    </row>
    <row r="46" spans="1:4" ht="15" customHeight="1" x14ac:dyDescent="0.25">
      <c r="B46" s="31"/>
      <c r="C46" s="31"/>
    </row>
    <row r="50" spans="1:1" x14ac:dyDescent="0.25">
      <c r="A50" s="13"/>
    </row>
    <row r="52" spans="1:1" ht="15" customHeight="1" x14ac:dyDescent="0.25"/>
    <row r="56" spans="1:1" x14ac:dyDescent="0.25">
      <c r="A56" s="13"/>
    </row>
  </sheetData>
  <mergeCells count="4">
    <mergeCell ref="D3:D4"/>
    <mergeCell ref="B3:B4"/>
    <mergeCell ref="C3:C4"/>
    <mergeCell ref="B39:D44"/>
  </mergeCells>
  <pageMargins left="0.25" right="0.25" top="0.75" bottom="0.75" header="0.3" footer="0.3"/>
  <pageSetup paperSize="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B11E-5564-43B9-BDCE-DF1593063F52}">
  <sheetPr>
    <tabColor rgb="FFC00000"/>
    <pageSetUpPr fitToPage="1"/>
  </sheetPr>
  <dimension ref="A2:N72"/>
  <sheetViews>
    <sheetView view="pageBreakPreview" zoomScale="85" zoomScaleNormal="85" zoomScaleSheetLayoutView="85" workbookViewId="0">
      <selection activeCell="I47" sqref="I47"/>
    </sheetView>
  </sheetViews>
  <sheetFormatPr defaultRowHeight="15" x14ac:dyDescent="0.25"/>
  <cols>
    <col min="2" max="5" width="15.7109375" customWidth="1"/>
    <col min="6" max="7" width="15.5703125" customWidth="1"/>
    <col min="8" max="8" width="12.85546875" customWidth="1"/>
    <col min="9" max="9" width="19" customWidth="1"/>
    <col min="10" max="10" width="12.42578125" customWidth="1"/>
    <col min="11" max="11" width="41" customWidth="1"/>
    <col min="12" max="12" width="11.28515625" customWidth="1"/>
    <col min="13" max="13" width="13.28515625" customWidth="1"/>
    <col min="14" max="14" width="24.42578125" customWidth="1"/>
  </cols>
  <sheetData>
    <row r="2" spans="2:14" ht="15.75" thickBot="1" x14ac:dyDescent="0.3">
      <c r="B2" s="12" t="s">
        <v>181</v>
      </c>
    </row>
    <row r="3" spans="2:14" ht="22.5" customHeight="1" x14ac:dyDescent="0.25">
      <c r="B3" s="292" t="s">
        <v>0</v>
      </c>
      <c r="C3" s="288" t="s">
        <v>182</v>
      </c>
      <c r="D3" s="290" t="s">
        <v>1</v>
      </c>
      <c r="E3" s="288" t="s">
        <v>183</v>
      </c>
      <c r="F3" s="305" t="s">
        <v>50</v>
      </c>
      <c r="G3" s="146"/>
    </row>
    <row r="4" spans="2:14" ht="22.5" customHeight="1" thickBot="1" x14ac:dyDescent="0.3">
      <c r="B4" s="293"/>
      <c r="C4" s="289"/>
      <c r="D4" s="291"/>
      <c r="E4" s="289"/>
      <c r="F4" s="323"/>
      <c r="G4" s="146"/>
      <c r="H4" s="12" t="s">
        <v>184</v>
      </c>
      <c r="K4" s="12" t="s">
        <v>185</v>
      </c>
    </row>
    <row r="5" spans="2:14" ht="15.75" customHeight="1" x14ac:dyDescent="0.25">
      <c r="B5" s="15">
        <f>Assumptions!D5</f>
        <v>2024</v>
      </c>
      <c r="C5" s="84">
        <f>_xlfn.XLOOKUP($B5,$H$6:$H$7,$I$6:$I$7)</f>
        <v>4824563.5</v>
      </c>
      <c r="D5" s="16">
        <f>C5*(1+0.07)^-($B5-Assumptions!$D$4)</f>
        <v>3680636.3943692502</v>
      </c>
      <c r="E5" s="18" t="s">
        <v>5</v>
      </c>
      <c r="F5" s="16" t="str">
        <f>+E5</f>
        <v>N/A</v>
      </c>
      <c r="H5" s="48" t="s">
        <v>72</v>
      </c>
      <c r="I5" s="48" t="s">
        <v>186</v>
      </c>
      <c r="K5" s="30" t="s">
        <v>187</v>
      </c>
      <c r="L5" s="48" t="s">
        <v>19</v>
      </c>
      <c r="M5" s="48" t="s">
        <v>186</v>
      </c>
      <c r="N5" s="48" t="s">
        <v>188</v>
      </c>
    </row>
    <row r="6" spans="2:14" ht="15.75" customHeight="1" thickBot="1" x14ac:dyDescent="0.3">
      <c r="B6" s="180">
        <f>B5+1</f>
        <v>2025</v>
      </c>
      <c r="C6" s="253">
        <f>_xlfn.XLOOKUP($B6,$H$6:$H$7,$I$6:$I$7)</f>
        <v>4824563.5</v>
      </c>
      <c r="D6" s="254">
        <f>C6*(1+0.07)^-($B6-Assumptions!$D$4)</f>
        <v>3439847.0975413555</v>
      </c>
      <c r="E6" s="255" t="s">
        <v>5</v>
      </c>
      <c r="F6" s="254" t="str">
        <f t="shared" ref="F6:F35" si="0">+E6</f>
        <v>N/A</v>
      </c>
      <c r="H6" s="116">
        <f>B5</f>
        <v>2024</v>
      </c>
      <c r="I6" s="241">
        <f>M7/2</f>
        <v>4824563.5</v>
      </c>
      <c r="K6" s="70" t="s">
        <v>189</v>
      </c>
      <c r="L6" s="260">
        <v>80</v>
      </c>
      <c r="M6" s="201">
        <f>J14</f>
        <v>9649127</v>
      </c>
      <c r="N6" s="201">
        <f>M6*(1-$L$9/L6)</f>
        <v>6030704.375</v>
      </c>
    </row>
    <row r="7" spans="2:14" ht="15.75" customHeight="1" x14ac:dyDescent="0.25">
      <c r="B7" s="1">
        <f>B6+1</f>
        <v>2026</v>
      </c>
      <c r="C7" s="84"/>
      <c r="D7" s="218">
        <f>C7*(1+0.07)^-($B7-Assumptions!$D$4)</f>
        <v>0</v>
      </c>
      <c r="E7" s="219" t="s">
        <v>5</v>
      </c>
      <c r="F7" s="218" t="str">
        <f t="shared" si="0"/>
        <v>N/A</v>
      </c>
      <c r="H7" s="116">
        <f>B6</f>
        <v>2025</v>
      </c>
      <c r="I7" s="241">
        <f>I6</f>
        <v>4824563.5</v>
      </c>
      <c r="L7" s="235" t="s">
        <v>4</v>
      </c>
      <c r="M7" s="201">
        <f>SUM(M6:M6)</f>
        <v>9649127</v>
      </c>
      <c r="N7" s="201">
        <f>SUM(N6:N6)</f>
        <v>6030704.375</v>
      </c>
    </row>
    <row r="8" spans="2:14" ht="15.75" customHeight="1" x14ac:dyDescent="0.25">
      <c r="B8" s="2">
        <f>+B7+1</f>
        <v>2027</v>
      </c>
      <c r="C8" s="256"/>
      <c r="D8" s="9">
        <f>C8*(1+0.07)^-($B8-Assumptions!$D$4)</f>
        <v>0</v>
      </c>
      <c r="E8" s="7" t="s">
        <v>5</v>
      </c>
      <c r="F8" s="9" t="str">
        <f t="shared" si="0"/>
        <v>N/A</v>
      </c>
      <c r="H8" s="116" t="s">
        <v>190</v>
      </c>
      <c r="I8" s="241">
        <f>SUM(I6:I7)</f>
        <v>9649127</v>
      </c>
    </row>
    <row r="9" spans="2:14" ht="15.75" customHeight="1" x14ac:dyDescent="0.25">
      <c r="B9" s="2">
        <f t="shared" ref="B9:B36" si="1">+B8+1</f>
        <v>2028</v>
      </c>
      <c r="C9" s="7"/>
      <c r="D9" s="9">
        <f>C9*(1+0.07)^-($B9-Assumptions!$D$4)</f>
        <v>0</v>
      </c>
      <c r="E9" s="7" t="s">
        <v>5</v>
      </c>
      <c r="F9" s="9" t="str">
        <f t="shared" si="0"/>
        <v>N/A</v>
      </c>
      <c r="K9" s="70" t="s">
        <v>191</v>
      </c>
      <c r="L9" s="70">
        <f>Assumptions!D7</f>
        <v>30</v>
      </c>
    </row>
    <row r="10" spans="2:14" ht="15.75" customHeight="1" x14ac:dyDescent="0.25">
      <c r="B10" s="2">
        <f t="shared" si="1"/>
        <v>2029</v>
      </c>
      <c r="C10" s="7"/>
      <c r="D10" s="9">
        <f>C10*(1+0.07)^-($B10-Assumptions!$D$4)</f>
        <v>0</v>
      </c>
      <c r="E10" s="7" t="s">
        <v>5</v>
      </c>
      <c r="F10" s="9" t="str">
        <f t="shared" si="0"/>
        <v>N/A</v>
      </c>
    </row>
    <row r="11" spans="2:14" ht="15.75" customHeight="1" x14ac:dyDescent="0.25">
      <c r="B11" s="2">
        <f t="shared" si="1"/>
        <v>2030</v>
      </c>
      <c r="C11" s="7"/>
      <c r="D11" s="9">
        <f>C11*(1+0.07)^-($B11-Assumptions!$D$4)</f>
        <v>0</v>
      </c>
      <c r="E11" s="7" t="s">
        <v>5</v>
      </c>
      <c r="F11" s="9" t="str">
        <f t="shared" si="0"/>
        <v>N/A</v>
      </c>
    </row>
    <row r="12" spans="2:14" ht="15.75" customHeight="1" x14ac:dyDescent="0.25">
      <c r="B12" s="2">
        <f t="shared" si="1"/>
        <v>2031</v>
      </c>
      <c r="C12" s="7"/>
      <c r="D12" s="9">
        <f>C12*(1+0.07)^-($B12-Assumptions!$D$4)</f>
        <v>0</v>
      </c>
      <c r="E12" s="7" t="s">
        <v>5</v>
      </c>
      <c r="F12" s="9" t="str">
        <f t="shared" si="0"/>
        <v>N/A</v>
      </c>
    </row>
    <row r="13" spans="2:14" ht="15.75" customHeight="1" x14ac:dyDescent="0.25">
      <c r="B13" s="2">
        <f t="shared" si="1"/>
        <v>2032</v>
      </c>
      <c r="C13" s="7"/>
      <c r="D13" s="9">
        <f>C13*(1+0.07)^-($B13-Assumptions!$D$4)</f>
        <v>0</v>
      </c>
      <c r="E13" s="7" t="s">
        <v>5</v>
      </c>
      <c r="F13" s="9" t="str">
        <f t="shared" si="0"/>
        <v>N/A</v>
      </c>
    </row>
    <row r="14" spans="2:14" ht="15.75" customHeight="1" x14ac:dyDescent="0.25">
      <c r="B14" s="2">
        <f t="shared" si="1"/>
        <v>2033</v>
      </c>
      <c r="C14" s="7"/>
      <c r="D14" s="9">
        <f>C14*(1+0.07)^-($B14-Assumptions!$D$4)</f>
        <v>0</v>
      </c>
      <c r="E14" s="7" t="s">
        <v>5</v>
      </c>
      <c r="F14" s="9" t="str">
        <f t="shared" si="0"/>
        <v>N/A</v>
      </c>
      <c r="I14" t="s">
        <v>192</v>
      </c>
      <c r="J14" s="73">
        <v>9649127</v>
      </c>
    </row>
    <row r="15" spans="2:14" ht="15.75" customHeight="1" x14ac:dyDescent="0.25">
      <c r="B15" s="2">
        <f t="shared" si="1"/>
        <v>2034</v>
      </c>
      <c r="C15" s="7"/>
      <c r="D15" s="9">
        <f>C15*(1+0.07)^-($B15-Assumptions!$D$4)</f>
        <v>0</v>
      </c>
      <c r="E15" s="7" t="s">
        <v>5</v>
      </c>
      <c r="F15" s="9" t="str">
        <f t="shared" si="0"/>
        <v>N/A</v>
      </c>
    </row>
    <row r="16" spans="2:14" ht="15.75" customHeight="1" x14ac:dyDescent="0.25">
      <c r="B16" s="2">
        <f t="shared" si="1"/>
        <v>2035</v>
      </c>
      <c r="C16" s="7"/>
      <c r="D16" s="9">
        <f>C16*(1+0.07)^-($B16-Assumptions!$D$4)</f>
        <v>0</v>
      </c>
      <c r="E16" s="7" t="s">
        <v>5</v>
      </c>
      <c r="F16" s="9" t="str">
        <f t="shared" si="0"/>
        <v>N/A</v>
      </c>
    </row>
    <row r="17" spans="2:6" ht="15.75" customHeight="1" x14ac:dyDescent="0.25">
      <c r="B17" s="2">
        <f t="shared" si="1"/>
        <v>2036</v>
      </c>
      <c r="C17" s="7"/>
      <c r="D17" s="9">
        <f>C17*(1+0.07)^-($B17-Assumptions!$D$4)</f>
        <v>0</v>
      </c>
      <c r="E17" s="7" t="s">
        <v>5</v>
      </c>
      <c r="F17" s="9" t="str">
        <f t="shared" si="0"/>
        <v>N/A</v>
      </c>
    </row>
    <row r="18" spans="2:6" ht="15.75" customHeight="1" x14ac:dyDescent="0.25">
      <c r="B18" s="2">
        <f t="shared" si="1"/>
        <v>2037</v>
      </c>
      <c r="C18" s="7"/>
      <c r="D18" s="9">
        <f>C18*(1+0.07)^-($B18-Assumptions!$D$4)</f>
        <v>0</v>
      </c>
      <c r="E18" s="7" t="s">
        <v>5</v>
      </c>
      <c r="F18" s="9" t="str">
        <f t="shared" si="0"/>
        <v>N/A</v>
      </c>
    </row>
    <row r="19" spans="2:6" ht="15.75" customHeight="1" x14ac:dyDescent="0.25">
      <c r="B19" s="2">
        <f t="shared" si="1"/>
        <v>2038</v>
      </c>
      <c r="C19" s="7"/>
      <c r="D19" s="9">
        <f>C19*(1+0.07)^-($B19-Assumptions!$D$4)</f>
        <v>0</v>
      </c>
      <c r="E19" s="7" t="s">
        <v>5</v>
      </c>
      <c r="F19" s="9" t="str">
        <f t="shared" si="0"/>
        <v>N/A</v>
      </c>
    </row>
    <row r="20" spans="2:6" ht="15.75" customHeight="1" x14ac:dyDescent="0.25">
      <c r="B20" s="2">
        <f t="shared" si="1"/>
        <v>2039</v>
      </c>
      <c r="C20" s="7"/>
      <c r="D20" s="9">
        <f>C20*(1+0.07)^-($B20-Assumptions!$D$4)</f>
        <v>0</v>
      </c>
      <c r="E20" s="7" t="s">
        <v>5</v>
      </c>
      <c r="F20" s="9" t="str">
        <f t="shared" si="0"/>
        <v>N/A</v>
      </c>
    </row>
    <row r="21" spans="2:6" ht="15.75" customHeight="1" x14ac:dyDescent="0.25">
      <c r="B21" s="2">
        <f t="shared" si="1"/>
        <v>2040</v>
      </c>
      <c r="C21" s="7"/>
      <c r="D21" s="9">
        <f>C21*(1+0.07)^-($B21-Assumptions!$D$4)</f>
        <v>0</v>
      </c>
      <c r="E21" s="7" t="s">
        <v>5</v>
      </c>
      <c r="F21" s="9" t="str">
        <f t="shared" si="0"/>
        <v>N/A</v>
      </c>
    </row>
    <row r="22" spans="2:6" ht="15.75" customHeight="1" x14ac:dyDescent="0.25">
      <c r="B22" s="2">
        <f t="shared" si="1"/>
        <v>2041</v>
      </c>
      <c r="C22" s="7"/>
      <c r="D22" s="9">
        <f>C22*(1+0.07)^-($B22-Assumptions!$D$4)</f>
        <v>0</v>
      </c>
      <c r="E22" s="7" t="s">
        <v>5</v>
      </c>
      <c r="F22" s="9" t="str">
        <f t="shared" si="0"/>
        <v>N/A</v>
      </c>
    </row>
    <row r="23" spans="2:6" ht="15.75" customHeight="1" x14ac:dyDescent="0.25">
      <c r="B23" s="2">
        <f t="shared" si="1"/>
        <v>2042</v>
      </c>
      <c r="C23" s="7"/>
      <c r="D23" s="9">
        <f>C23*(1+0.07)^-($B23-Assumptions!$D$4)</f>
        <v>0</v>
      </c>
      <c r="E23" s="7" t="s">
        <v>5</v>
      </c>
      <c r="F23" s="9" t="str">
        <f t="shared" si="0"/>
        <v>N/A</v>
      </c>
    </row>
    <row r="24" spans="2:6" ht="15.75" customHeight="1" x14ac:dyDescent="0.25">
      <c r="B24" s="2">
        <f t="shared" si="1"/>
        <v>2043</v>
      </c>
      <c r="C24" s="7"/>
      <c r="D24" s="9">
        <f>C24*(1+0.07)^-($B24-Assumptions!$D$4)</f>
        <v>0</v>
      </c>
      <c r="E24" s="7" t="s">
        <v>5</v>
      </c>
      <c r="F24" s="9" t="str">
        <f t="shared" si="0"/>
        <v>N/A</v>
      </c>
    </row>
    <row r="25" spans="2:6" ht="15.75" customHeight="1" x14ac:dyDescent="0.25">
      <c r="B25" s="2">
        <f t="shared" si="1"/>
        <v>2044</v>
      </c>
      <c r="C25" s="7"/>
      <c r="D25" s="9">
        <f>C25*(1+0.07)^-($B25-Assumptions!$D$4)</f>
        <v>0</v>
      </c>
      <c r="E25" s="7" t="s">
        <v>5</v>
      </c>
      <c r="F25" s="9" t="str">
        <f t="shared" si="0"/>
        <v>N/A</v>
      </c>
    </row>
    <row r="26" spans="2:6" ht="15.75" customHeight="1" x14ac:dyDescent="0.25">
      <c r="B26" s="2">
        <f t="shared" si="1"/>
        <v>2045</v>
      </c>
      <c r="C26" s="258"/>
      <c r="D26" s="259">
        <f>C26*(1+0.07)^-($B26-Assumptions!$D$4)</f>
        <v>0</v>
      </c>
      <c r="E26" s="258" t="s">
        <v>5</v>
      </c>
      <c r="F26" s="259" t="str">
        <f t="shared" si="0"/>
        <v>N/A</v>
      </c>
    </row>
    <row r="27" spans="2:6" ht="15.75" customHeight="1" x14ac:dyDescent="0.25">
      <c r="B27" s="2">
        <f t="shared" si="1"/>
        <v>2046</v>
      </c>
      <c r="C27" s="258"/>
      <c r="D27" s="259">
        <f>C27*(1+0.07)^-($B27-Assumptions!$D$4)</f>
        <v>0</v>
      </c>
      <c r="E27" s="258" t="s">
        <v>5</v>
      </c>
      <c r="F27" s="259" t="str">
        <f t="shared" si="0"/>
        <v>N/A</v>
      </c>
    </row>
    <row r="28" spans="2:6" ht="15.75" customHeight="1" x14ac:dyDescent="0.25">
      <c r="B28" s="2">
        <f t="shared" si="1"/>
        <v>2047</v>
      </c>
      <c r="C28" s="258"/>
      <c r="D28" s="259">
        <f>C28*(1+0.07)^-($B28-Assumptions!$D$4)</f>
        <v>0</v>
      </c>
      <c r="E28" s="258" t="s">
        <v>5</v>
      </c>
      <c r="F28" s="259" t="str">
        <f t="shared" si="0"/>
        <v>N/A</v>
      </c>
    </row>
    <row r="29" spans="2:6" ht="15.75" customHeight="1" x14ac:dyDescent="0.25">
      <c r="B29" s="2">
        <f t="shared" si="1"/>
        <v>2048</v>
      </c>
      <c r="C29" s="258"/>
      <c r="D29" s="259">
        <f>C29*(1+0.07)^-($B29-Assumptions!$D$4)</f>
        <v>0</v>
      </c>
      <c r="E29" s="258" t="s">
        <v>5</v>
      </c>
      <c r="F29" s="259" t="str">
        <f t="shared" si="0"/>
        <v>N/A</v>
      </c>
    </row>
    <row r="30" spans="2:6" ht="15.75" customHeight="1" x14ac:dyDescent="0.25">
      <c r="B30" s="2">
        <f t="shared" si="1"/>
        <v>2049</v>
      </c>
      <c r="C30" s="258"/>
      <c r="D30" s="259">
        <f>C30*(1+0.07)^-($B30-Assumptions!$D$4)</f>
        <v>0</v>
      </c>
      <c r="E30" s="258" t="s">
        <v>5</v>
      </c>
      <c r="F30" s="259" t="str">
        <f t="shared" si="0"/>
        <v>N/A</v>
      </c>
    </row>
    <row r="31" spans="2:6" ht="15.75" customHeight="1" x14ac:dyDescent="0.25">
      <c r="B31" s="2">
        <f t="shared" si="1"/>
        <v>2050</v>
      </c>
      <c r="C31" s="258"/>
      <c r="D31" s="259">
        <f>C31*(1+0.07)^-($B31-Assumptions!$D$4)</f>
        <v>0</v>
      </c>
      <c r="E31" s="258" t="s">
        <v>5</v>
      </c>
      <c r="F31" s="259" t="str">
        <f t="shared" si="0"/>
        <v>N/A</v>
      </c>
    </row>
    <row r="32" spans="2:6" ht="15.75" customHeight="1" x14ac:dyDescent="0.25">
      <c r="B32" s="2">
        <f t="shared" si="1"/>
        <v>2051</v>
      </c>
      <c r="C32" s="258"/>
      <c r="D32" s="259">
        <f>C32*(1+0.07)^-($B32-Assumptions!$D$4)</f>
        <v>0</v>
      </c>
      <c r="E32" s="258" t="s">
        <v>5</v>
      </c>
      <c r="F32" s="259" t="str">
        <f t="shared" si="0"/>
        <v>N/A</v>
      </c>
    </row>
    <row r="33" spans="1:6" ht="15.75" customHeight="1" x14ac:dyDescent="0.25">
      <c r="B33" s="2">
        <f t="shared" si="1"/>
        <v>2052</v>
      </c>
      <c r="C33" s="258"/>
      <c r="D33" s="259">
        <f>C33*(1+0.07)^-($B33-Assumptions!$D$4)</f>
        <v>0</v>
      </c>
      <c r="E33" s="258" t="s">
        <v>5</v>
      </c>
      <c r="F33" s="259" t="str">
        <f t="shared" si="0"/>
        <v>N/A</v>
      </c>
    </row>
    <row r="34" spans="1:6" ht="15.75" customHeight="1" x14ac:dyDescent="0.25">
      <c r="B34" s="2">
        <f t="shared" si="1"/>
        <v>2053</v>
      </c>
      <c r="C34" s="258"/>
      <c r="D34" s="259">
        <f>C34*(1+0.07)^-($B34-Assumptions!$D$4)</f>
        <v>0</v>
      </c>
      <c r="E34" s="258" t="s">
        <v>5</v>
      </c>
      <c r="F34" s="259" t="str">
        <f t="shared" si="0"/>
        <v>N/A</v>
      </c>
    </row>
    <row r="35" spans="1:6" ht="15.75" customHeight="1" x14ac:dyDescent="0.25">
      <c r="B35" s="2">
        <f t="shared" si="1"/>
        <v>2054</v>
      </c>
      <c r="C35" s="258"/>
      <c r="D35" s="259">
        <f>C35*(1+0.07)^-($B35-Assumptions!$D$4)</f>
        <v>0</v>
      </c>
      <c r="E35" s="258" t="s">
        <v>5</v>
      </c>
      <c r="F35" s="259" t="str">
        <f t="shared" si="0"/>
        <v>N/A</v>
      </c>
    </row>
    <row r="36" spans="1:6" ht="15.75" customHeight="1" thickBot="1" x14ac:dyDescent="0.3">
      <c r="B36" s="3">
        <f t="shared" si="1"/>
        <v>2055</v>
      </c>
      <c r="C36" s="8"/>
      <c r="D36" s="10">
        <f>C36*(1+0.07)^-($B36-Assumptions!$D$4)</f>
        <v>0</v>
      </c>
      <c r="E36" s="20">
        <f>N7</f>
        <v>6030704.375</v>
      </c>
      <c r="F36" s="10">
        <f>E36*(1+0.07)^-($B36-Assumptions!$D$4)</f>
        <v>564853.49582073861</v>
      </c>
    </row>
    <row r="37" spans="1:6" ht="15.75" customHeight="1" x14ac:dyDescent="0.25">
      <c r="B37" s="4"/>
      <c r="C37" s="6">
        <f>SUM(C5:C36)</f>
        <v>9649127</v>
      </c>
      <c r="D37" s="11">
        <f>SUM(D5:D36)</f>
        <v>7120483.4919106057</v>
      </c>
      <c r="E37" s="19"/>
      <c r="F37" s="6">
        <f>SUM(F5:F36)</f>
        <v>564853.49582073861</v>
      </c>
    </row>
    <row r="38" spans="1:6" ht="15.75" customHeight="1" x14ac:dyDescent="0.25">
      <c r="B38" s="4"/>
      <c r="C38" s="4"/>
      <c r="D38" s="6"/>
      <c r="E38" s="19"/>
      <c r="F38" s="85"/>
    </row>
    <row r="39" spans="1:6" ht="15.75" customHeight="1" x14ac:dyDescent="0.25">
      <c r="B39" s="4"/>
      <c r="C39" s="51"/>
      <c r="D39" s="51"/>
      <c r="E39" s="19"/>
      <c r="F39" s="85"/>
    </row>
    <row r="40" spans="1:6" ht="15.75" customHeight="1" x14ac:dyDescent="0.25">
      <c r="B40" s="86" t="s">
        <v>49</v>
      </c>
      <c r="C40" s="87">
        <f>D37</f>
        <v>7120483.4919106057</v>
      </c>
      <c r="D40" s="73"/>
    </row>
    <row r="41" spans="1:6" ht="15.75" customHeight="1" x14ac:dyDescent="0.25"/>
    <row r="42" spans="1:6" ht="15.75" customHeight="1" x14ac:dyDescent="0.25">
      <c r="B42" s="12" t="s">
        <v>3</v>
      </c>
    </row>
    <row r="43" spans="1:6" ht="15.75" customHeight="1" x14ac:dyDescent="0.25">
      <c r="A43" s="13" t="s">
        <v>27</v>
      </c>
      <c r="B43" s="285" t="s">
        <v>445</v>
      </c>
      <c r="C43" s="285"/>
      <c r="D43" s="285"/>
      <c r="E43" s="285"/>
      <c r="F43" s="285"/>
    </row>
    <row r="44" spans="1:6" ht="15.75" customHeight="1" x14ac:dyDescent="0.25">
      <c r="B44" s="285"/>
      <c r="C44" s="285"/>
      <c r="D44" s="285"/>
      <c r="E44" s="285"/>
      <c r="F44" s="285"/>
    </row>
    <row r="45" spans="1:6" ht="15.75" customHeight="1" x14ac:dyDescent="0.25">
      <c r="B45" s="285"/>
      <c r="C45" s="285"/>
      <c r="D45" s="285"/>
      <c r="E45" s="285"/>
      <c r="F45" s="285"/>
    </row>
    <row r="46" spans="1:6" ht="15.75" customHeight="1" x14ac:dyDescent="0.25">
      <c r="B46" s="285"/>
      <c r="C46" s="285"/>
      <c r="D46" s="285"/>
      <c r="E46" s="285"/>
      <c r="F46" s="285"/>
    </row>
    <row r="47" spans="1:6" ht="15.75" customHeight="1" x14ac:dyDescent="0.25">
      <c r="B47" s="89"/>
      <c r="C47" s="89"/>
      <c r="D47" s="89"/>
      <c r="E47" s="89"/>
      <c r="F47" s="89"/>
    </row>
    <row r="48" spans="1:6" ht="15.75" customHeight="1" x14ac:dyDescent="0.25">
      <c r="A48" s="13" t="s">
        <v>34</v>
      </c>
      <c r="B48" s="285" t="s">
        <v>446</v>
      </c>
      <c r="C48" s="285"/>
      <c r="D48" s="285"/>
      <c r="E48" s="285"/>
      <c r="F48" s="285"/>
    </row>
    <row r="49" spans="1:6" ht="15.75" customHeight="1" x14ac:dyDescent="0.25">
      <c r="B49" s="285"/>
      <c r="C49" s="285"/>
      <c r="D49" s="285"/>
      <c r="E49" s="285"/>
      <c r="F49" s="285"/>
    </row>
    <row r="50" spans="1:6" ht="15.75" customHeight="1" x14ac:dyDescent="0.25">
      <c r="B50" s="285"/>
      <c r="C50" s="285"/>
      <c r="D50" s="285"/>
      <c r="E50" s="285"/>
      <c r="F50" s="285"/>
    </row>
    <row r="51" spans="1:6" ht="15.75" customHeight="1" x14ac:dyDescent="0.25">
      <c r="A51" s="13"/>
      <c r="B51" s="285"/>
      <c r="C51" s="285"/>
      <c r="D51" s="285"/>
      <c r="E51" s="285"/>
      <c r="F51" s="285"/>
    </row>
    <row r="52" spans="1:6" ht="15.75" customHeight="1" x14ac:dyDescent="0.25">
      <c r="B52" s="285"/>
      <c r="C52" s="285"/>
      <c r="D52" s="285"/>
      <c r="E52" s="285"/>
      <c r="F52" s="285"/>
    </row>
    <row r="53" spans="1:6" ht="15.75" customHeight="1" x14ac:dyDescent="0.25">
      <c r="B53" s="285"/>
      <c r="C53" s="285"/>
      <c r="D53" s="285"/>
      <c r="E53" s="285"/>
      <c r="F53" s="285"/>
    </row>
    <row r="54" spans="1:6" ht="15.75" customHeight="1" x14ac:dyDescent="0.25">
      <c r="B54" s="285"/>
      <c r="C54" s="285"/>
      <c r="D54" s="285"/>
      <c r="E54" s="285"/>
      <c r="F54" s="285"/>
    </row>
    <row r="55" spans="1:6" ht="15.75" customHeight="1" x14ac:dyDescent="0.25">
      <c r="B55" s="285"/>
      <c r="C55" s="285"/>
      <c r="D55" s="285"/>
      <c r="E55" s="285"/>
      <c r="F55" s="285"/>
    </row>
    <row r="56" spans="1:6" ht="15.75" customHeight="1" x14ac:dyDescent="0.25"/>
    <row r="57" spans="1:6" x14ac:dyDescent="0.25">
      <c r="A57" s="13"/>
    </row>
    <row r="58" spans="1:6" ht="15" customHeight="1" x14ac:dyDescent="0.25"/>
    <row r="66" ht="15" customHeight="1" x14ac:dyDescent="0.25"/>
    <row r="72" ht="15" customHeight="1" x14ac:dyDescent="0.25"/>
  </sheetData>
  <mergeCells count="7">
    <mergeCell ref="B48:F55"/>
    <mergeCell ref="B3:B4"/>
    <mergeCell ref="C3:C4"/>
    <mergeCell ref="D3:D4"/>
    <mergeCell ref="E3:E4"/>
    <mergeCell ref="F3:F4"/>
    <mergeCell ref="B43:F46"/>
  </mergeCells>
  <pageMargins left="0.25" right="0.25" top="0.75" bottom="0.75" header="0.3" footer="0.3"/>
  <pageSetup paperSize="3"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67C3-CF6C-4E0A-A6B5-96CE1507835D}">
  <dimension ref="A1:DC4"/>
  <sheetViews>
    <sheetView topLeftCell="J1" workbookViewId="0">
      <selection activeCell="W8" sqref="W8:W9"/>
    </sheetView>
  </sheetViews>
  <sheetFormatPr defaultRowHeight="15" x14ac:dyDescent="0.25"/>
  <cols>
    <col min="24" max="24" width="25.42578125" customWidth="1"/>
  </cols>
  <sheetData>
    <row r="1" spans="1:107" s="350" customFormat="1" x14ac:dyDescent="0.25">
      <c r="A1" s="350" t="s">
        <v>227</v>
      </c>
      <c r="B1" s="350" t="s">
        <v>228</v>
      </c>
      <c r="C1" s="350" t="s">
        <v>229</v>
      </c>
      <c r="D1" s="350" t="s">
        <v>230</v>
      </c>
      <c r="E1" s="350" t="s">
        <v>231</v>
      </c>
      <c r="F1" s="350" t="s">
        <v>232</v>
      </c>
      <c r="G1" s="350" t="s">
        <v>233</v>
      </c>
      <c r="H1" s="350" t="s">
        <v>234</v>
      </c>
      <c r="I1" s="350" t="s">
        <v>235</v>
      </c>
      <c r="J1" s="350" t="s">
        <v>236</v>
      </c>
      <c r="K1" s="350" t="s">
        <v>237</v>
      </c>
      <c r="L1" s="350" t="s">
        <v>238</v>
      </c>
      <c r="M1" s="350" t="s">
        <v>239</v>
      </c>
      <c r="N1" s="350" t="s">
        <v>240</v>
      </c>
      <c r="O1" s="350" t="s">
        <v>241</v>
      </c>
      <c r="P1" s="350" t="s">
        <v>242</v>
      </c>
      <c r="Q1" s="350" t="s">
        <v>243</v>
      </c>
      <c r="R1" s="350" t="s">
        <v>244</v>
      </c>
      <c r="S1" s="350" t="s">
        <v>245</v>
      </c>
      <c r="T1" s="350" t="s">
        <v>246</v>
      </c>
      <c r="U1" s="350" t="s">
        <v>247</v>
      </c>
      <c r="V1" s="350" t="s">
        <v>248</v>
      </c>
      <c r="W1" s="350" t="s">
        <v>249</v>
      </c>
      <c r="X1" s="353" t="s">
        <v>250</v>
      </c>
      <c r="Y1" s="350" t="s">
        <v>251</v>
      </c>
      <c r="Z1" s="350" t="s">
        <v>252</v>
      </c>
      <c r="AA1" s="350" t="s">
        <v>253</v>
      </c>
      <c r="AB1" s="350" t="s">
        <v>254</v>
      </c>
      <c r="AC1" s="350" t="s">
        <v>255</v>
      </c>
      <c r="AD1" s="350" t="s">
        <v>256</v>
      </c>
      <c r="AE1" s="350" t="s">
        <v>257</v>
      </c>
      <c r="AF1" s="350" t="s">
        <v>258</v>
      </c>
      <c r="AG1" s="350" t="s">
        <v>259</v>
      </c>
      <c r="AH1" s="350" t="s">
        <v>260</v>
      </c>
      <c r="AI1" s="350" t="s">
        <v>261</v>
      </c>
      <c r="AJ1" s="350" t="s">
        <v>262</v>
      </c>
      <c r="AK1" s="350" t="s">
        <v>263</v>
      </c>
      <c r="AL1" s="350" t="s">
        <v>264</v>
      </c>
      <c r="AM1" s="350" t="s">
        <v>265</v>
      </c>
      <c r="AN1" s="350" t="s">
        <v>266</v>
      </c>
      <c r="AO1" s="350" t="s">
        <v>267</v>
      </c>
      <c r="AP1" s="350" t="s">
        <v>268</v>
      </c>
      <c r="AQ1" s="350" t="s">
        <v>269</v>
      </c>
      <c r="AR1" s="350" t="s">
        <v>270</v>
      </c>
      <c r="AS1" s="350" t="s">
        <v>271</v>
      </c>
      <c r="AT1" s="350" t="s">
        <v>272</v>
      </c>
      <c r="AU1" s="350" t="s">
        <v>273</v>
      </c>
      <c r="AV1" s="350" t="s">
        <v>274</v>
      </c>
      <c r="AW1" s="350" t="s">
        <v>275</v>
      </c>
      <c r="AX1" s="350" t="s">
        <v>276</v>
      </c>
      <c r="AY1" s="350" t="s">
        <v>277</v>
      </c>
      <c r="AZ1" s="350" t="s">
        <v>278</v>
      </c>
      <c r="BA1" s="350" t="s">
        <v>279</v>
      </c>
      <c r="BB1" s="350" t="s">
        <v>280</v>
      </c>
      <c r="BC1" s="350" t="s">
        <v>281</v>
      </c>
      <c r="BD1" s="350" t="s">
        <v>282</v>
      </c>
      <c r="BE1" s="350" t="s">
        <v>283</v>
      </c>
      <c r="BF1" s="350" t="s">
        <v>284</v>
      </c>
      <c r="BG1" s="350" t="s">
        <v>285</v>
      </c>
      <c r="BH1" s="350" t="s">
        <v>286</v>
      </c>
      <c r="BI1" s="350" t="s">
        <v>287</v>
      </c>
      <c r="BJ1" s="350" t="s">
        <v>288</v>
      </c>
      <c r="BK1" s="350" t="s">
        <v>289</v>
      </c>
      <c r="BL1" s="350" t="s">
        <v>290</v>
      </c>
      <c r="BM1" s="350" t="s">
        <v>291</v>
      </c>
      <c r="BN1" s="350" t="s">
        <v>292</v>
      </c>
      <c r="BO1" s="350" t="s">
        <v>293</v>
      </c>
      <c r="BP1" s="350" t="s">
        <v>294</v>
      </c>
      <c r="BQ1" s="350" t="s">
        <v>295</v>
      </c>
      <c r="BR1" s="350" t="s">
        <v>296</v>
      </c>
      <c r="BS1" s="350" t="s">
        <v>297</v>
      </c>
      <c r="BT1" s="350" t="s">
        <v>298</v>
      </c>
      <c r="BU1" s="350" t="s">
        <v>299</v>
      </c>
      <c r="BV1" s="350" t="s">
        <v>300</v>
      </c>
      <c r="BW1" s="350" t="s">
        <v>301</v>
      </c>
      <c r="BX1" s="350" t="s">
        <v>302</v>
      </c>
      <c r="BY1" s="350" t="s">
        <v>303</v>
      </c>
      <c r="BZ1" s="350" t="s">
        <v>304</v>
      </c>
      <c r="CA1" s="350" t="s">
        <v>305</v>
      </c>
      <c r="CB1" s="350" t="s">
        <v>306</v>
      </c>
      <c r="CC1" s="350" t="s">
        <v>307</v>
      </c>
      <c r="CD1" s="350" t="s">
        <v>308</v>
      </c>
      <c r="CE1" s="350" t="s">
        <v>309</v>
      </c>
      <c r="CF1" s="350" t="s">
        <v>310</v>
      </c>
      <c r="CG1" s="350" t="s">
        <v>311</v>
      </c>
      <c r="CH1" s="350" t="s">
        <v>312</v>
      </c>
      <c r="CI1" s="350" t="s">
        <v>313</v>
      </c>
      <c r="CJ1" s="350" t="s">
        <v>314</v>
      </c>
      <c r="CK1" s="350" t="s">
        <v>315</v>
      </c>
      <c r="CL1" s="350" t="s">
        <v>316</v>
      </c>
      <c r="CM1" s="350" t="s">
        <v>317</v>
      </c>
      <c r="CN1" s="350" t="s">
        <v>318</v>
      </c>
      <c r="CO1" s="350" t="s">
        <v>319</v>
      </c>
      <c r="CP1" s="350" t="s">
        <v>320</v>
      </c>
      <c r="CQ1" s="350" t="s">
        <v>321</v>
      </c>
      <c r="CR1" s="350" t="s">
        <v>322</v>
      </c>
      <c r="CS1" s="350" t="s">
        <v>323</v>
      </c>
      <c r="CT1" s="350" t="s">
        <v>324</v>
      </c>
      <c r="CU1" s="350" t="s">
        <v>325</v>
      </c>
      <c r="CV1" s="350" t="s">
        <v>326</v>
      </c>
      <c r="CW1" s="350" t="s">
        <v>327</v>
      </c>
      <c r="CX1" s="350" t="s">
        <v>328</v>
      </c>
      <c r="CY1" s="350" t="s">
        <v>329</v>
      </c>
      <c r="CZ1" s="350" t="s">
        <v>330</v>
      </c>
      <c r="DA1" s="350" t="s">
        <v>331</v>
      </c>
      <c r="DB1" s="350" t="s">
        <v>332</v>
      </c>
      <c r="DC1" s="350" t="s">
        <v>333</v>
      </c>
    </row>
    <row r="2" spans="1:107" s="350" customFormat="1" x14ac:dyDescent="0.25">
      <c r="A2" s="350">
        <v>11046267</v>
      </c>
      <c r="B2" s="350" t="s">
        <v>334</v>
      </c>
      <c r="C2" s="350">
        <v>55</v>
      </c>
      <c r="D2" s="350">
        <v>0.03</v>
      </c>
      <c r="E2" s="350" t="s">
        <v>335</v>
      </c>
      <c r="G2" s="350" t="s">
        <v>336</v>
      </c>
      <c r="H2" s="350" t="s">
        <v>337</v>
      </c>
      <c r="I2" s="350" t="s">
        <v>338</v>
      </c>
      <c r="K2" s="350">
        <v>15001619</v>
      </c>
      <c r="L2" s="350">
        <v>150420265</v>
      </c>
      <c r="M2" s="351">
        <v>44594</v>
      </c>
      <c r="N2" s="350">
        <v>11</v>
      </c>
      <c r="O2" s="350">
        <v>2015</v>
      </c>
      <c r="P2" s="350" t="s">
        <v>339</v>
      </c>
      <c r="Q2" s="350">
        <v>19</v>
      </c>
      <c r="S2" s="350" t="s">
        <v>340</v>
      </c>
      <c r="T2" s="350">
        <v>0</v>
      </c>
      <c r="U2" s="350">
        <v>1</v>
      </c>
      <c r="V2" s="350" t="s">
        <v>341</v>
      </c>
      <c r="W2" s="350" t="s">
        <v>342</v>
      </c>
      <c r="X2" s="353" t="s">
        <v>343</v>
      </c>
      <c r="Y2" s="350" t="s">
        <v>344</v>
      </c>
      <c r="Z2" s="350" t="s">
        <v>345</v>
      </c>
      <c r="AB2" s="350" t="s">
        <v>346</v>
      </c>
      <c r="AC2" s="350" t="s">
        <v>347</v>
      </c>
      <c r="AD2" s="350" t="s">
        <v>348</v>
      </c>
      <c r="AE2" s="350" t="s">
        <v>349</v>
      </c>
      <c r="AF2" s="350" t="s">
        <v>350</v>
      </c>
      <c r="AG2" s="350" t="s">
        <v>351</v>
      </c>
      <c r="AH2" s="350" t="s">
        <v>352</v>
      </c>
      <c r="AI2" s="350" t="s">
        <v>353</v>
      </c>
      <c r="AJ2" s="350" t="s">
        <v>354</v>
      </c>
      <c r="AK2" s="350" t="s">
        <v>355</v>
      </c>
      <c r="AL2" s="350">
        <v>22</v>
      </c>
      <c r="AM2" s="350" t="s">
        <v>356</v>
      </c>
      <c r="AN2" s="350" t="s">
        <v>357</v>
      </c>
      <c r="AO2" s="350" t="s">
        <v>358</v>
      </c>
      <c r="AS2" s="350" t="s">
        <v>359</v>
      </c>
      <c r="AT2" s="350" t="s">
        <v>360</v>
      </c>
      <c r="AU2" s="350">
        <v>55</v>
      </c>
      <c r="AV2" s="350" t="s">
        <v>361</v>
      </c>
      <c r="AW2" s="350" t="s">
        <v>362</v>
      </c>
      <c r="CT2" s="350">
        <v>334411.42540000001</v>
      </c>
      <c r="CU2" s="350">
        <v>4995175.0466999998</v>
      </c>
      <c r="CV2" s="350">
        <v>45.09066207</v>
      </c>
      <c r="CW2" s="350">
        <v>-95.104300010000003</v>
      </c>
      <c r="CX2" s="352">
        <v>42046.832638888889</v>
      </c>
      <c r="CY2" s="350" t="s">
        <v>363</v>
      </c>
      <c r="CZ2" s="350" t="s">
        <v>364</v>
      </c>
      <c r="DA2" s="350" t="s">
        <v>365</v>
      </c>
      <c r="DB2" s="350" t="s">
        <v>365</v>
      </c>
      <c r="DC2" s="350" t="s">
        <v>366</v>
      </c>
    </row>
    <row r="3" spans="1:107" s="350" customFormat="1" x14ac:dyDescent="0.25">
      <c r="A3" s="350">
        <v>655831</v>
      </c>
      <c r="B3" s="350" t="s">
        <v>334</v>
      </c>
      <c r="C3" s="350">
        <v>5</v>
      </c>
      <c r="D3" s="350">
        <v>15.343</v>
      </c>
      <c r="E3" s="350" t="s">
        <v>335</v>
      </c>
      <c r="G3" s="350" t="s">
        <v>336</v>
      </c>
      <c r="H3" s="350" t="s">
        <v>337</v>
      </c>
      <c r="I3" s="350" t="s">
        <v>338</v>
      </c>
      <c r="K3" s="350">
        <v>18017272</v>
      </c>
      <c r="L3" s="350">
        <v>183040072</v>
      </c>
      <c r="M3" s="351">
        <v>44844</v>
      </c>
      <c r="N3" s="350">
        <v>31</v>
      </c>
      <c r="O3" s="350">
        <v>2018</v>
      </c>
      <c r="P3" s="350" t="s">
        <v>339</v>
      </c>
      <c r="Q3" s="350">
        <v>12</v>
      </c>
      <c r="R3" s="350" t="s">
        <v>367</v>
      </c>
      <c r="S3" s="350" t="s">
        <v>340</v>
      </c>
      <c r="T3" s="350">
        <v>0</v>
      </c>
      <c r="U3" s="350">
        <v>1</v>
      </c>
      <c r="W3" s="350" t="s">
        <v>368</v>
      </c>
      <c r="X3" s="353" t="s">
        <v>343</v>
      </c>
      <c r="Y3" s="350" t="s">
        <v>369</v>
      </c>
      <c r="Z3" s="350" t="s">
        <v>370</v>
      </c>
      <c r="AB3" s="350" t="s">
        <v>371</v>
      </c>
      <c r="AC3" s="350" t="s">
        <v>347</v>
      </c>
      <c r="AD3" s="350" t="s">
        <v>372</v>
      </c>
      <c r="AF3" s="350" t="s">
        <v>373</v>
      </c>
      <c r="AG3" s="350" t="s">
        <v>374</v>
      </c>
      <c r="AH3" s="350" t="s">
        <v>352</v>
      </c>
      <c r="AI3" s="350" t="s">
        <v>353</v>
      </c>
      <c r="AJ3" s="350" t="s">
        <v>354</v>
      </c>
      <c r="AK3" s="350" t="s">
        <v>355</v>
      </c>
      <c r="AL3" s="350">
        <v>32</v>
      </c>
      <c r="AM3" s="350" t="s">
        <v>356</v>
      </c>
      <c r="AN3" s="350" t="s">
        <v>357</v>
      </c>
      <c r="AO3" s="350" t="s">
        <v>375</v>
      </c>
      <c r="AS3" s="350" t="s">
        <v>376</v>
      </c>
      <c r="AT3" s="350" t="s">
        <v>377</v>
      </c>
      <c r="AV3" s="350" t="s">
        <v>361</v>
      </c>
      <c r="AW3" s="350" t="s">
        <v>362</v>
      </c>
      <c r="CT3" s="350">
        <v>336080.23359999998</v>
      </c>
      <c r="CU3" s="350">
        <v>4996715.6825999999</v>
      </c>
      <c r="CV3" s="350">
        <v>45.104910029999999</v>
      </c>
      <c r="CW3" s="350">
        <v>-95.083611189999999</v>
      </c>
      <c r="CX3" s="352">
        <v>43404.508333333331</v>
      </c>
      <c r="CY3" s="350" t="s">
        <v>363</v>
      </c>
      <c r="CZ3" s="350" t="s">
        <v>364</v>
      </c>
      <c r="DA3" s="350" t="s">
        <v>378</v>
      </c>
      <c r="DB3" s="350" t="s">
        <v>379</v>
      </c>
      <c r="DC3" s="350" t="s">
        <v>380</v>
      </c>
    </row>
    <row r="4" spans="1:107" s="350" customFormat="1" x14ac:dyDescent="0.25">
      <c r="A4" s="350">
        <v>776138</v>
      </c>
      <c r="B4" s="350" t="s">
        <v>334</v>
      </c>
      <c r="C4" s="350">
        <v>5</v>
      </c>
      <c r="D4" s="350">
        <v>15.35</v>
      </c>
      <c r="E4" s="350" t="s">
        <v>335</v>
      </c>
      <c r="G4" s="350" t="s">
        <v>336</v>
      </c>
      <c r="H4" s="350" t="s">
        <v>337</v>
      </c>
      <c r="I4" s="350" t="s">
        <v>338</v>
      </c>
      <c r="K4" s="350">
        <v>19018764</v>
      </c>
      <c r="L4" s="350">
        <v>193650238</v>
      </c>
      <c r="M4" s="351">
        <v>44907</v>
      </c>
      <c r="N4" s="350">
        <v>31</v>
      </c>
      <c r="O4" s="350">
        <v>2019</v>
      </c>
      <c r="P4" s="350" t="s">
        <v>381</v>
      </c>
      <c r="Q4" s="350">
        <v>12</v>
      </c>
      <c r="S4" s="350" t="s">
        <v>340</v>
      </c>
      <c r="T4" s="350">
        <v>0</v>
      </c>
      <c r="U4" s="350">
        <v>2</v>
      </c>
      <c r="V4" s="350" t="s">
        <v>382</v>
      </c>
      <c r="W4" s="350" t="s">
        <v>383</v>
      </c>
      <c r="X4" s="353" t="s">
        <v>343</v>
      </c>
      <c r="Y4" s="350" t="s">
        <v>369</v>
      </c>
      <c r="Z4" s="350" t="s">
        <v>370</v>
      </c>
      <c r="AB4" s="350" t="s">
        <v>384</v>
      </c>
      <c r="AC4" s="350" t="s">
        <v>347</v>
      </c>
      <c r="AD4" s="350" t="s">
        <v>385</v>
      </c>
      <c r="AF4" s="350" t="s">
        <v>373</v>
      </c>
      <c r="AG4" s="350" t="s">
        <v>386</v>
      </c>
      <c r="AH4" s="350" t="s">
        <v>352</v>
      </c>
      <c r="AI4" s="350" t="s">
        <v>353</v>
      </c>
      <c r="AJ4" s="350" t="s">
        <v>354</v>
      </c>
      <c r="AK4" s="350" t="s">
        <v>387</v>
      </c>
      <c r="AL4" s="350">
        <v>34</v>
      </c>
      <c r="AM4" s="350" t="s">
        <v>388</v>
      </c>
      <c r="AN4" s="350" t="s">
        <v>357</v>
      </c>
      <c r="AO4" s="350" t="s">
        <v>375</v>
      </c>
      <c r="AS4" s="350" t="s">
        <v>376</v>
      </c>
      <c r="AT4" s="350" t="s">
        <v>377</v>
      </c>
      <c r="AU4" s="350">
        <v>55</v>
      </c>
      <c r="AV4" s="350" t="s">
        <v>361</v>
      </c>
      <c r="AW4" s="350" t="s">
        <v>362</v>
      </c>
      <c r="AX4" s="350" t="s">
        <v>352</v>
      </c>
      <c r="AY4" s="350" t="s">
        <v>353</v>
      </c>
      <c r="AZ4" s="350" t="s">
        <v>354</v>
      </c>
      <c r="BA4" s="350" t="s">
        <v>387</v>
      </c>
      <c r="BB4" s="350">
        <v>24</v>
      </c>
      <c r="BC4" s="350" t="s">
        <v>388</v>
      </c>
      <c r="BD4" s="350" t="s">
        <v>357</v>
      </c>
      <c r="BE4" s="350" t="s">
        <v>375</v>
      </c>
      <c r="BI4" s="350" t="s">
        <v>376</v>
      </c>
      <c r="BJ4" s="350" t="s">
        <v>377</v>
      </c>
      <c r="BK4" s="350">
        <v>55</v>
      </c>
      <c r="BL4" s="350" t="s">
        <v>361</v>
      </c>
      <c r="BM4" s="350" t="s">
        <v>362</v>
      </c>
      <c r="CT4" s="350">
        <v>336080.52140000003</v>
      </c>
      <c r="CU4" s="350">
        <v>4996726.5053000003</v>
      </c>
      <c r="CV4" s="350">
        <v>45.105007450000002</v>
      </c>
      <c r="CW4" s="350">
        <v>-95.083611079999997</v>
      </c>
      <c r="CX4" s="352">
        <v>43830.5</v>
      </c>
      <c r="CY4" s="350" t="s">
        <v>363</v>
      </c>
      <c r="CZ4" s="350" t="s">
        <v>364</v>
      </c>
      <c r="DA4" s="350" t="s">
        <v>378</v>
      </c>
      <c r="DB4" s="350" t="s">
        <v>379</v>
      </c>
      <c r="DC4" s="350" t="s">
        <v>389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1F68-7C8E-43D8-AED3-B381E56239E3}">
  <sheetPr>
    <outlinePr summaryBelow="0" summaryRight="0"/>
  </sheetPr>
  <dimension ref="A1:J983"/>
  <sheetViews>
    <sheetView showGridLines="0" workbookViewId="0">
      <selection activeCell="E35" sqref="E35"/>
    </sheetView>
  </sheetViews>
  <sheetFormatPr defaultColWidth="12.5703125" defaultRowHeight="15.75" customHeight="1" x14ac:dyDescent="0.2"/>
  <cols>
    <col min="1" max="16384" width="12.5703125" style="333"/>
  </cols>
  <sheetData>
    <row r="1" spans="1:10" ht="15.75" customHeight="1" thickTop="1" thickBot="1" x14ac:dyDescent="0.25">
      <c r="A1" s="330" t="s">
        <v>218</v>
      </c>
      <c r="B1" s="331"/>
      <c r="C1" s="331"/>
      <c r="D1" s="331"/>
      <c r="E1" s="331"/>
      <c r="F1" s="331"/>
      <c r="G1" s="331"/>
      <c r="H1" s="331"/>
      <c r="I1" s="332"/>
    </row>
    <row r="2" spans="1:10" ht="15.75" customHeight="1" thickBot="1" x14ac:dyDescent="0.25">
      <c r="A2" s="334" t="s">
        <v>72</v>
      </c>
      <c r="B2" s="335" t="s">
        <v>219</v>
      </c>
      <c r="C2" s="336"/>
      <c r="D2" s="336"/>
      <c r="E2" s="337"/>
      <c r="F2" s="335" t="s">
        <v>220</v>
      </c>
      <c r="G2" s="336"/>
      <c r="H2" s="336"/>
      <c r="I2" s="338"/>
    </row>
    <row r="3" spans="1:10" ht="15.75" customHeight="1" thickBot="1" x14ac:dyDescent="0.25">
      <c r="A3" s="339"/>
      <c r="B3" s="340" t="s">
        <v>4</v>
      </c>
      <c r="C3" s="340" t="s">
        <v>221</v>
      </c>
      <c r="D3" s="340" t="s">
        <v>222</v>
      </c>
      <c r="E3" s="340" t="s">
        <v>178</v>
      </c>
      <c r="F3" s="340" t="s">
        <v>4</v>
      </c>
      <c r="G3" s="340" t="s">
        <v>221</v>
      </c>
      <c r="H3" s="340" t="s">
        <v>222</v>
      </c>
      <c r="I3" s="341" t="s">
        <v>178</v>
      </c>
    </row>
    <row r="4" spans="1:10" ht="15.75" customHeight="1" x14ac:dyDescent="0.2">
      <c r="A4" s="342">
        <v>2007</v>
      </c>
      <c r="B4" s="343">
        <v>299</v>
      </c>
      <c r="C4" s="343">
        <v>227</v>
      </c>
      <c r="D4" s="343">
        <v>57</v>
      </c>
      <c r="E4" s="343">
        <v>15</v>
      </c>
      <c r="F4" s="343">
        <v>879</v>
      </c>
      <c r="G4" s="343">
        <v>841</v>
      </c>
      <c r="H4" s="343">
        <v>30</v>
      </c>
      <c r="I4" s="344">
        <v>8</v>
      </c>
      <c r="J4" s="333">
        <f>B4/SUM(B4,F4)</f>
        <v>0.25382003395585739</v>
      </c>
    </row>
    <row r="5" spans="1:10" ht="15.75" customHeight="1" x14ac:dyDescent="0.2">
      <c r="A5" s="342">
        <v>2008</v>
      </c>
      <c r="B5" s="343">
        <v>266</v>
      </c>
      <c r="C5" s="343">
        <v>199</v>
      </c>
      <c r="D5" s="343">
        <v>62</v>
      </c>
      <c r="E5" s="343">
        <v>5</v>
      </c>
      <c r="F5" s="343">
        <v>904</v>
      </c>
      <c r="G5" s="343">
        <v>838</v>
      </c>
      <c r="H5" s="343">
        <v>53</v>
      </c>
      <c r="I5" s="344">
        <v>13</v>
      </c>
      <c r="J5" s="333">
        <f t="shared" ref="J5:J18" si="0">B5/SUM(B5,F5)</f>
        <v>0.22735042735042735</v>
      </c>
    </row>
    <row r="6" spans="1:10" ht="15.75" customHeight="1" x14ac:dyDescent="0.2">
      <c r="A6" s="342">
        <v>2009</v>
      </c>
      <c r="B6" s="343">
        <v>226</v>
      </c>
      <c r="C6" s="343">
        <v>161</v>
      </c>
      <c r="D6" s="343">
        <v>58</v>
      </c>
      <c r="E6" s="343">
        <v>7</v>
      </c>
      <c r="F6" s="343">
        <v>643</v>
      </c>
      <c r="G6" s="343">
        <v>602</v>
      </c>
      <c r="H6" s="343">
        <v>36</v>
      </c>
      <c r="I6" s="344">
        <v>5</v>
      </c>
      <c r="J6" s="333">
        <f t="shared" si="0"/>
        <v>0.26006904487917148</v>
      </c>
    </row>
    <row r="7" spans="1:10" ht="15.75" customHeight="1" x14ac:dyDescent="0.2">
      <c r="A7" s="342">
        <v>2010</v>
      </c>
      <c r="B7" s="343">
        <v>226</v>
      </c>
      <c r="C7" s="343">
        <v>136</v>
      </c>
      <c r="D7" s="343">
        <v>79</v>
      </c>
      <c r="E7" s="343">
        <v>11</v>
      </c>
      <c r="F7" s="343">
        <v>782</v>
      </c>
      <c r="G7" s="343">
        <v>718</v>
      </c>
      <c r="H7" s="343">
        <v>47</v>
      </c>
      <c r="I7" s="344">
        <v>17</v>
      </c>
      <c r="J7" s="333">
        <f t="shared" si="0"/>
        <v>0.22420634920634921</v>
      </c>
    </row>
    <row r="8" spans="1:10" ht="15.75" customHeight="1" x14ac:dyDescent="0.2">
      <c r="A8" s="342">
        <v>2011</v>
      </c>
      <c r="B8" s="343">
        <v>211</v>
      </c>
      <c r="C8" s="343">
        <v>138</v>
      </c>
      <c r="D8" s="343">
        <v>61</v>
      </c>
      <c r="E8" s="343">
        <v>12</v>
      </c>
      <c r="F8" s="343">
        <v>885</v>
      </c>
      <c r="G8" s="343">
        <v>830</v>
      </c>
      <c r="H8" s="343">
        <v>43</v>
      </c>
      <c r="I8" s="344">
        <v>12</v>
      </c>
      <c r="J8" s="333">
        <f t="shared" si="0"/>
        <v>0.19251824817518248</v>
      </c>
    </row>
    <row r="9" spans="1:10" ht="15.75" customHeight="1" x14ac:dyDescent="0.2">
      <c r="A9" s="342">
        <v>2012</v>
      </c>
      <c r="B9" s="343">
        <v>199</v>
      </c>
      <c r="C9" s="343">
        <v>135</v>
      </c>
      <c r="D9" s="343">
        <v>54</v>
      </c>
      <c r="E9" s="343">
        <v>10</v>
      </c>
      <c r="F9" s="343">
        <v>817</v>
      </c>
      <c r="G9" s="343">
        <v>761</v>
      </c>
      <c r="H9" s="343">
        <v>39</v>
      </c>
      <c r="I9" s="344">
        <v>17</v>
      </c>
      <c r="J9" s="333">
        <f t="shared" si="0"/>
        <v>0.19586614173228348</v>
      </c>
    </row>
    <row r="10" spans="1:10" ht="15.75" customHeight="1" x14ac:dyDescent="0.2">
      <c r="A10" s="342">
        <v>2013</v>
      </c>
      <c r="B10" s="343">
        <v>207</v>
      </c>
      <c r="C10" s="343">
        <v>141</v>
      </c>
      <c r="D10" s="343">
        <v>51</v>
      </c>
      <c r="E10" s="343">
        <v>15</v>
      </c>
      <c r="F10" s="343">
        <v>848</v>
      </c>
      <c r="G10" s="343">
        <v>780</v>
      </c>
      <c r="H10" s="343">
        <v>49</v>
      </c>
      <c r="I10" s="344">
        <v>19</v>
      </c>
      <c r="J10" s="333">
        <f t="shared" si="0"/>
        <v>0.1962085308056872</v>
      </c>
    </row>
    <row r="11" spans="1:10" ht="15.75" customHeight="1" x14ac:dyDescent="0.2">
      <c r="A11" s="342">
        <v>2014</v>
      </c>
      <c r="B11" s="343">
        <v>235</v>
      </c>
      <c r="C11" s="343">
        <v>144</v>
      </c>
      <c r="D11" s="343">
        <v>73</v>
      </c>
      <c r="E11" s="343">
        <v>18</v>
      </c>
      <c r="F11" s="343">
        <v>736</v>
      </c>
      <c r="G11" s="343">
        <v>664</v>
      </c>
      <c r="H11" s="343">
        <v>50</v>
      </c>
      <c r="I11" s="344">
        <v>22</v>
      </c>
      <c r="J11" s="333">
        <f t="shared" si="0"/>
        <v>0.2420185375901133</v>
      </c>
    </row>
    <row r="12" spans="1:10" ht="15.75" customHeight="1" x14ac:dyDescent="0.2">
      <c r="A12" s="342">
        <v>2015</v>
      </c>
      <c r="B12" s="343">
        <v>209</v>
      </c>
      <c r="C12" s="343">
        <v>128</v>
      </c>
      <c r="D12" s="343">
        <v>65</v>
      </c>
      <c r="E12" s="343">
        <v>16</v>
      </c>
      <c r="F12" s="343">
        <v>946</v>
      </c>
      <c r="G12" s="343">
        <v>873</v>
      </c>
      <c r="H12" s="343">
        <v>54</v>
      </c>
      <c r="I12" s="344">
        <v>19</v>
      </c>
      <c r="J12" s="333">
        <f t="shared" si="0"/>
        <v>0.18095238095238095</v>
      </c>
    </row>
    <row r="13" spans="1:10" ht="15.75" customHeight="1" x14ac:dyDescent="0.2">
      <c r="A13" s="342">
        <v>2016</v>
      </c>
      <c r="B13" s="343">
        <v>229</v>
      </c>
      <c r="C13" s="343">
        <v>130</v>
      </c>
      <c r="D13" s="343">
        <v>81</v>
      </c>
      <c r="E13" s="343">
        <v>18</v>
      </c>
      <c r="F13" s="343">
        <v>730</v>
      </c>
      <c r="G13" s="343">
        <v>675</v>
      </c>
      <c r="H13" s="343">
        <v>43</v>
      </c>
      <c r="I13" s="344">
        <v>12</v>
      </c>
      <c r="J13" s="333">
        <f t="shared" si="0"/>
        <v>0.23879040667361837</v>
      </c>
    </row>
    <row r="14" spans="1:10" ht="15.75" customHeight="1" x14ac:dyDescent="0.2">
      <c r="A14" s="342">
        <v>2017</v>
      </c>
      <c r="B14" s="343">
        <v>241</v>
      </c>
      <c r="C14" s="343">
        <v>140</v>
      </c>
      <c r="D14" s="343">
        <v>84</v>
      </c>
      <c r="E14" s="343">
        <v>17</v>
      </c>
      <c r="F14" s="343">
        <v>754</v>
      </c>
      <c r="G14" s="343">
        <v>680</v>
      </c>
      <c r="H14" s="343">
        <v>55</v>
      </c>
      <c r="I14" s="344">
        <v>19</v>
      </c>
      <c r="J14" s="333">
        <f t="shared" si="0"/>
        <v>0.2422110552763819</v>
      </c>
    </row>
    <row r="15" spans="1:10" ht="15.75" customHeight="1" x14ac:dyDescent="0.2">
      <c r="A15" s="342">
        <v>2018</v>
      </c>
      <c r="B15" s="343">
        <v>230</v>
      </c>
      <c r="C15" s="343">
        <v>132</v>
      </c>
      <c r="D15" s="343">
        <v>85</v>
      </c>
      <c r="E15" s="343">
        <v>13</v>
      </c>
      <c r="F15" s="343">
        <v>716</v>
      </c>
      <c r="G15" s="343">
        <v>620</v>
      </c>
      <c r="H15" s="343">
        <v>73</v>
      </c>
      <c r="I15" s="344">
        <v>23</v>
      </c>
      <c r="J15" s="333">
        <f t="shared" si="0"/>
        <v>0.24312896405919662</v>
      </c>
    </row>
    <row r="16" spans="1:10" ht="15.75" customHeight="1" x14ac:dyDescent="0.2">
      <c r="A16" s="342">
        <v>2019</v>
      </c>
      <c r="B16" s="343">
        <v>246</v>
      </c>
      <c r="C16" s="343">
        <v>128</v>
      </c>
      <c r="D16" s="343">
        <v>100</v>
      </c>
      <c r="E16" s="343">
        <v>18</v>
      </c>
      <c r="F16" s="343">
        <v>739</v>
      </c>
      <c r="G16" s="343">
        <v>664</v>
      </c>
      <c r="H16" s="343">
        <v>55</v>
      </c>
      <c r="I16" s="344">
        <v>20</v>
      </c>
      <c r="J16" s="333">
        <f t="shared" si="0"/>
        <v>0.24974619289340103</v>
      </c>
    </row>
    <row r="17" spans="1:10" ht="15.75" customHeight="1" x14ac:dyDescent="0.2">
      <c r="A17" s="342">
        <v>2020</v>
      </c>
      <c r="B17" s="343">
        <v>173</v>
      </c>
      <c r="C17" s="343">
        <v>94</v>
      </c>
      <c r="D17" s="343">
        <v>69</v>
      </c>
      <c r="E17" s="343">
        <v>10</v>
      </c>
      <c r="F17" s="343">
        <v>584</v>
      </c>
      <c r="G17" s="343">
        <v>499</v>
      </c>
      <c r="H17" s="343">
        <v>61</v>
      </c>
      <c r="I17" s="344">
        <v>24</v>
      </c>
      <c r="J17" s="333">
        <f t="shared" si="0"/>
        <v>0.2285336856010568</v>
      </c>
    </row>
    <row r="18" spans="1:10" ht="15.75" customHeight="1" thickBot="1" x14ac:dyDescent="0.25">
      <c r="A18" s="342">
        <v>2021</v>
      </c>
      <c r="B18" s="343">
        <v>209</v>
      </c>
      <c r="C18" s="343">
        <v>128</v>
      </c>
      <c r="D18" s="343">
        <v>75</v>
      </c>
      <c r="E18" s="343">
        <v>6</v>
      </c>
      <c r="F18" s="343">
        <v>566</v>
      </c>
      <c r="G18" s="343">
        <v>510</v>
      </c>
      <c r="H18" s="343">
        <v>32</v>
      </c>
      <c r="I18" s="344">
        <v>24</v>
      </c>
      <c r="J18" s="333">
        <f t="shared" si="0"/>
        <v>0.26967741935483869</v>
      </c>
    </row>
    <row r="19" spans="1:10" ht="15.75" customHeight="1" thickBot="1" x14ac:dyDescent="0.25">
      <c r="A19" s="345" t="s">
        <v>223</v>
      </c>
      <c r="B19" s="346"/>
      <c r="C19" s="346"/>
      <c r="D19" s="346"/>
      <c r="E19" s="346"/>
      <c r="F19" s="346"/>
      <c r="G19" s="346"/>
      <c r="H19" s="346"/>
      <c r="I19" s="347"/>
      <c r="J19" s="348">
        <f>SUM(B4:B18)/SUM(B4:B18,F4:F18)</f>
        <v>0.22805490458654168</v>
      </c>
    </row>
    <row r="20" spans="1:10" ht="15.75" customHeight="1" thickTop="1" x14ac:dyDescent="0.2">
      <c r="A20" s="349" t="s">
        <v>224</v>
      </c>
      <c r="B20" s="343"/>
      <c r="C20" s="343"/>
      <c r="D20" s="343"/>
      <c r="E20" s="343"/>
      <c r="F20" s="343"/>
      <c r="G20" s="343"/>
      <c r="H20" s="343"/>
      <c r="I20" s="343"/>
    </row>
    <row r="21" spans="1:10" ht="15.75" customHeight="1" x14ac:dyDescent="0.2">
      <c r="A21" s="349"/>
      <c r="B21" s="343"/>
      <c r="C21" s="343"/>
      <c r="D21" s="343"/>
      <c r="E21" s="343"/>
      <c r="F21" s="343"/>
      <c r="G21" s="343"/>
      <c r="H21" s="343"/>
      <c r="I21" s="343"/>
    </row>
    <row r="22" spans="1:10" ht="12.75" x14ac:dyDescent="0.2">
      <c r="A22" s="349"/>
      <c r="B22" s="343"/>
      <c r="C22" s="343"/>
      <c r="D22" s="343"/>
      <c r="E22" s="343"/>
      <c r="F22" s="343"/>
      <c r="G22" s="343"/>
      <c r="H22" s="343"/>
      <c r="I22" s="343"/>
    </row>
    <row r="23" spans="1:10" ht="12.75" x14ac:dyDescent="0.2">
      <c r="A23" s="349"/>
      <c r="B23" s="343"/>
      <c r="C23" s="343"/>
      <c r="D23" s="343"/>
      <c r="E23" s="343"/>
      <c r="F23" s="343"/>
      <c r="G23" s="343"/>
      <c r="H23" s="343"/>
      <c r="I23" s="343"/>
    </row>
    <row r="24" spans="1:10" ht="12.75" x14ac:dyDescent="0.2">
      <c r="A24" s="349"/>
      <c r="B24" s="343"/>
      <c r="C24" s="343"/>
      <c r="D24" s="343"/>
      <c r="E24" s="343"/>
      <c r="F24" s="343"/>
      <c r="G24" s="343"/>
      <c r="H24" s="343"/>
      <c r="I24" s="343"/>
    </row>
    <row r="25" spans="1:10" ht="12.75" x14ac:dyDescent="0.2">
      <c r="A25" s="349"/>
      <c r="B25" s="343"/>
      <c r="C25" s="343"/>
      <c r="D25" s="343"/>
      <c r="E25" s="343"/>
      <c r="F25" s="343"/>
      <c r="G25" s="343"/>
      <c r="H25" s="343"/>
      <c r="I25" s="343"/>
    </row>
    <row r="26" spans="1:10" ht="12.75" x14ac:dyDescent="0.2">
      <c r="A26" s="349"/>
      <c r="B26" s="343"/>
      <c r="C26" s="343"/>
      <c r="D26" s="343"/>
      <c r="E26" s="343"/>
      <c r="F26" s="343"/>
      <c r="G26" s="343"/>
      <c r="H26" s="343"/>
      <c r="I26" s="343"/>
    </row>
    <row r="27" spans="1:10" ht="12.75" x14ac:dyDescent="0.2">
      <c r="A27" s="349"/>
      <c r="B27" s="343"/>
      <c r="C27" s="343"/>
      <c r="D27" s="343"/>
      <c r="E27" s="343"/>
      <c r="F27" s="343"/>
      <c r="G27" s="343"/>
      <c r="H27" s="343"/>
      <c r="I27" s="343"/>
    </row>
    <row r="28" spans="1:10" ht="12.75" x14ac:dyDescent="0.2">
      <c r="A28" s="349"/>
      <c r="B28" s="343"/>
      <c r="C28" s="343"/>
      <c r="D28" s="343"/>
      <c r="E28" s="343"/>
      <c r="F28" s="343"/>
      <c r="G28" s="343"/>
      <c r="H28" s="343"/>
      <c r="I28" s="343"/>
    </row>
    <row r="29" spans="1:10" ht="12.75" x14ac:dyDescent="0.2">
      <c r="A29" s="349"/>
      <c r="B29" s="343"/>
      <c r="C29" s="343"/>
      <c r="D29" s="343"/>
      <c r="E29" s="343"/>
      <c r="F29" s="343"/>
      <c r="G29" s="343"/>
      <c r="H29" s="343"/>
      <c r="I29" s="343"/>
    </row>
    <row r="30" spans="1:10" ht="12.75" x14ac:dyDescent="0.2">
      <c r="A30" s="349"/>
      <c r="B30" s="343"/>
      <c r="C30" s="343"/>
      <c r="D30" s="343"/>
      <c r="E30" s="343"/>
      <c r="F30" s="343"/>
      <c r="G30" s="343"/>
      <c r="H30" s="343"/>
      <c r="I30" s="343"/>
    </row>
    <row r="31" spans="1:10" ht="12.75" x14ac:dyDescent="0.2">
      <c r="A31" s="349"/>
      <c r="B31" s="343"/>
      <c r="C31" s="343"/>
      <c r="D31" s="343"/>
      <c r="E31" s="343"/>
      <c r="F31" s="343"/>
      <c r="G31" s="343"/>
      <c r="H31" s="343"/>
      <c r="I31" s="343"/>
    </row>
    <row r="32" spans="1:10" ht="12.75" x14ac:dyDescent="0.2">
      <c r="A32" s="349"/>
      <c r="B32" s="343"/>
      <c r="C32" s="343"/>
      <c r="D32" s="343"/>
      <c r="E32" s="343"/>
      <c r="F32" s="343"/>
      <c r="G32" s="343"/>
      <c r="H32" s="343"/>
      <c r="I32" s="343"/>
    </row>
    <row r="33" spans="1:9" ht="12.75" x14ac:dyDescent="0.2">
      <c r="A33" s="349"/>
      <c r="B33" s="343"/>
      <c r="C33" s="343"/>
      <c r="D33" s="343"/>
      <c r="E33" s="343"/>
      <c r="F33" s="343"/>
      <c r="G33" s="343"/>
      <c r="H33" s="343"/>
      <c r="I33" s="343"/>
    </row>
    <row r="34" spans="1:9" ht="12.75" x14ac:dyDescent="0.2">
      <c r="A34" s="349"/>
      <c r="B34" s="343"/>
      <c r="C34" s="343"/>
      <c r="D34" s="343"/>
      <c r="E34" s="343"/>
      <c r="F34" s="343"/>
      <c r="G34" s="343"/>
      <c r="H34" s="343"/>
      <c r="I34" s="343"/>
    </row>
    <row r="35" spans="1:9" ht="12.75" x14ac:dyDescent="0.2">
      <c r="A35" s="349"/>
      <c r="B35" s="343"/>
      <c r="C35" s="343"/>
      <c r="D35" s="343"/>
      <c r="E35" s="343"/>
      <c r="F35" s="343"/>
      <c r="G35" s="343"/>
      <c r="H35" s="343"/>
      <c r="I35" s="343"/>
    </row>
    <row r="36" spans="1:9" ht="12.75" x14ac:dyDescent="0.2">
      <c r="A36" s="349"/>
      <c r="B36" s="343"/>
      <c r="C36" s="343"/>
      <c r="D36" s="343"/>
      <c r="E36" s="343"/>
      <c r="F36" s="343"/>
      <c r="G36" s="343"/>
      <c r="H36" s="343"/>
      <c r="I36" s="343"/>
    </row>
    <row r="37" spans="1:9" ht="12.75" x14ac:dyDescent="0.2">
      <c r="A37" s="349"/>
      <c r="B37" s="343"/>
      <c r="C37" s="343"/>
      <c r="D37" s="343"/>
      <c r="E37" s="343"/>
      <c r="F37" s="343"/>
      <c r="G37" s="343"/>
      <c r="H37" s="343"/>
      <c r="I37" s="343"/>
    </row>
    <row r="38" spans="1:9" ht="12.75" x14ac:dyDescent="0.2">
      <c r="A38" s="349"/>
      <c r="B38" s="343"/>
      <c r="C38" s="343"/>
      <c r="D38" s="343"/>
      <c r="E38" s="343"/>
      <c r="F38" s="343"/>
      <c r="G38" s="343"/>
      <c r="H38" s="343"/>
      <c r="I38" s="343"/>
    </row>
    <row r="39" spans="1:9" ht="12.75" x14ac:dyDescent="0.2">
      <c r="A39" s="349"/>
      <c r="B39" s="343"/>
      <c r="C39" s="343"/>
      <c r="D39" s="343"/>
      <c r="E39" s="343"/>
      <c r="F39" s="343"/>
      <c r="G39" s="343"/>
      <c r="H39" s="343"/>
      <c r="I39" s="343"/>
    </row>
    <row r="40" spans="1:9" ht="12.75" x14ac:dyDescent="0.2">
      <c r="A40" s="349"/>
      <c r="B40" s="343"/>
      <c r="C40" s="343"/>
      <c r="D40" s="343"/>
      <c r="E40" s="343"/>
      <c r="F40" s="343"/>
      <c r="G40" s="343"/>
      <c r="H40" s="343"/>
      <c r="I40" s="343"/>
    </row>
    <row r="41" spans="1:9" ht="12.75" x14ac:dyDescent="0.2">
      <c r="A41" s="349"/>
      <c r="B41" s="343"/>
      <c r="C41" s="343"/>
      <c r="D41" s="343"/>
      <c r="E41" s="343"/>
      <c r="F41" s="343"/>
      <c r="G41" s="343"/>
      <c r="H41" s="343"/>
      <c r="I41" s="343"/>
    </row>
    <row r="42" spans="1:9" ht="12.75" x14ac:dyDescent="0.2">
      <c r="A42" s="349"/>
      <c r="B42" s="343"/>
      <c r="C42" s="343"/>
      <c r="D42" s="343"/>
      <c r="E42" s="343"/>
      <c r="F42" s="343"/>
      <c r="G42" s="343"/>
      <c r="H42" s="343"/>
      <c r="I42" s="343"/>
    </row>
    <row r="43" spans="1:9" ht="12.75" x14ac:dyDescent="0.2">
      <c r="A43" s="349"/>
      <c r="B43" s="343"/>
      <c r="C43" s="343"/>
      <c r="D43" s="343"/>
      <c r="E43" s="343"/>
      <c r="F43" s="343"/>
      <c r="G43" s="343"/>
      <c r="H43" s="343"/>
      <c r="I43" s="343"/>
    </row>
    <row r="44" spans="1:9" ht="12.75" x14ac:dyDescent="0.2">
      <c r="A44" s="349"/>
      <c r="B44" s="343"/>
      <c r="C44" s="343"/>
      <c r="D44" s="343"/>
      <c r="E44" s="343"/>
      <c r="F44" s="343"/>
      <c r="G44" s="343"/>
      <c r="H44" s="343"/>
      <c r="I44" s="343"/>
    </row>
    <row r="45" spans="1:9" ht="12.75" x14ac:dyDescent="0.2">
      <c r="A45" s="349"/>
      <c r="B45" s="343"/>
      <c r="C45" s="343"/>
      <c r="D45" s="343"/>
      <c r="E45" s="343"/>
      <c r="F45" s="343"/>
      <c r="G45" s="343"/>
      <c r="H45" s="343"/>
      <c r="I45" s="343"/>
    </row>
    <row r="46" spans="1:9" ht="12.75" x14ac:dyDescent="0.2">
      <c r="A46" s="349"/>
      <c r="B46" s="343"/>
      <c r="C46" s="343"/>
      <c r="D46" s="343"/>
      <c r="E46" s="343"/>
      <c r="F46" s="343"/>
      <c r="G46" s="343"/>
      <c r="H46" s="343"/>
      <c r="I46" s="343"/>
    </row>
    <row r="47" spans="1:9" ht="12.75" x14ac:dyDescent="0.2">
      <c r="A47" s="349"/>
      <c r="B47" s="343"/>
      <c r="C47" s="343"/>
      <c r="D47" s="343"/>
      <c r="E47" s="343"/>
      <c r="F47" s="343"/>
      <c r="G47" s="343"/>
      <c r="H47" s="343"/>
      <c r="I47" s="343"/>
    </row>
    <row r="48" spans="1:9" ht="12.75" x14ac:dyDescent="0.2">
      <c r="A48" s="349"/>
      <c r="B48" s="343"/>
      <c r="C48" s="343"/>
      <c r="D48" s="343"/>
      <c r="E48" s="343"/>
      <c r="F48" s="343"/>
      <c r="G48" s="343"/>
      <c r="H48" s="343"/>
      <c r="I48" s="343"/>
    </row>
    <row r="49" spans="1:9" ht="12.75" x14ac:dyDescent="0.2">
      <c r="A49" s="349"/>
      <c r="B49" s="343"/>
      <c r="C49" s="343"/>
      <c r="D49" s="343"/>
      <c r="E49" s="343"/>
      <c r="F49" s="343"/>
      <c r="G49" s="343"/>
      <c r="H49" s="343"/>
      <c r="I49" s="343"/>
    </row>
    <row r="50" spans="1:9" ht="12.75" x14ac:dyDescent="0.2">
      <c r="A50" s="349"/>
      <c r="B50" s="343"/>
      <c r="C50" s="343"/>
      <c r="D50" s="343"/>
      <c r="E50" s="343"/>
      <c r="F50" s="343"/>
      <c r="G50" s="343"/>
      <c r="H50" s="343"/>
      <c r="I50" s="343"/>
    </row>
    <row r="51" spans="1:9" ht="12.75" x14ac:dyDescent="0.2">
      <c r="A51" s="349"/>
      <c r="B51" s="343"/>
      <c r="C51" s="343"/>
      <c r="D51" s="343"/>
      <c r="E51" s="343"/>
      <c r="F51" s="343"/>
      <c r="G51" s="343"/>
      <c r="H51" s="343"/>
      <c r="I51" s="343"/>
    </row>
    <row r="52" spans="1:9" ht="12.75" x14ac:dyDescent="0.2">
      <c r="A52" s="349"/>
      <c r="B52" s="343"/>
      <c r="C52" s="343"/>
      <c r="D52" s="343"/>
      <c r="E52" s="343"/>
      <c r="F52" s="343"/>
      <c r="G52" s="343"/>
      <c r="H52" s="343"/>
      <c r="I52" s="343"/>
    </row>
    <row r="53" spans="1:9" ht="12.75" x14ac:dyDescent="0.2">
      <c r="A53" s="349"/>
      <c r="B53" s="343"/>
      <c r="C53" s="343"/>
      <c r="D53" s="343"/>
      <c r="E53" s="343"/>
      <c r="F53" s="343"/>
      <c r="G53" s="343"/>
      <c r="H53" s="343"/>
      <c r="I53" s="343"/>
    </row>
    <row r="54" spans="1:9" ht="12.75" x14ac:dyDescent="0.2">
      <c r="A54" s="349"/>
      <c r="B54" s="343"/>
      <c r="C54" s="343"/>
      <c r="D54" s="343"/>
      <c r="E54" s="343"/>
      <c r="F54" s="343"/>
      <c r="G54" s="343"/>
      <c r="H54" s="343"/>
      <c r="I54" s="343"/>
    </row>
    <row r="55" spans="1:9" ht="12.75" x14ac:dyDescent="0.2">
      <c r="A55" s="349"/>
      <c r="B55" s="343"/>
      <c r="C55" s="343"/>
      <c r="D55" s="343"/>
      <c r="E55" s="343"/>
      <c r="F55" s="343"/>
      <c r="G55" s="343"/>
      <c r="H55" s="343"/>
      <c r="I55" s="343"/>
    </row>
    <row r="56" spans="1:9" ht="12.75" x14ac:dyDescent="0.2">
      <c r="A56" s="349"/>
      <c r="B56" s="343"/>
      <c r="C56" s="343"/>
      <c r="D56" s="343"/>
      <c r="E56" s="343"/>
      <c r="F56" s="343"/>
      <c r="G56" s="343"/>
      <c r="H56" s="343"/>
      <c r="I56" s="343"/>
    </row>
    <row r="57" spans="1:9" ht="12.75" x14ac:dyDescent="0.2">
      <c r="A57" s="349"/>
      <c r="B57" s="343"/>
      <c r="C57" s="343"/>
      <c r="D57" s="343"/>
      <c r="E57" s="343"/>
      <c r="F57" s="343"/>
      <c r="G57" s="343"/>
      <c r="H57" s="343"/>
      <c r="I57" s="343"/>
    </row>
    <row r="58" spans="1:9" ht="12.75" x14ac:dyDescent="0.2">
      <c r="A58" s="349"/>
      <c r="B58" s="343"/>
      <c r="C58" s="343"/>
      <c r="D58" s="343"/>
      <c r="E58" s="343"/>
      <c r="F58" s="343"/>
      <c r="G58" s="343"/>
      <c r="H58" s="343"/>
      <c r="I58" s="343"/>
    </row>
    <row r="59" spans="1:9" ht="12.75" x14ac:dyDescent="0.2">
      <c r="A59" s="349"/>
      <c r="B59" s="343"/>
      <c r="C59" s="343"/>
      <c r="D59" s="343"/>
      <c r="E59" s="343"/>
      <c r="F59" s="343"/>
      <c r="G59" s="343"/>
      <c r="H59" s="343"/>
      <c r="I59" s="343"/>
    </row>
    <row r="60" spans="1:9" ht="12.75" x14ac:dyDescent="0.2">
      <c r="A60" s="349"/>
      <c r="B60" s="343"/>
      <c r="C60" s="343"/>
      <c r="D60" s="343"/>
      <c r="E60" s="343"/>
      <c r="F60" s="343"/>
      <c r="G60" s="343"/>
      <c r="H60" s="343"/>
      <c r="I60" s="343"/>
    </row>
    <row r="61" spans="1:9" ht="12.75" x14ac:dyDescent="0.2">
      <c r="A61" s="349"/>
      <c r="B61" s="343"/>
      <c r="C61" s="343"/>
      <c r="D61" s="343"/>
      <c r="E61" s="343"/>
      <c r="F61" s="343"/>
      <c r="G61" s="343"/>
      <c r="H61" s="343"/>
      <c r="I61" s="343"/>
    </row>
    <row r="62" spans="1:9" ht="12.75" x14ac:dyDescent="0.2">
      <c r="A62" s="349"/>
      <c r="B62" s="343"/>
      <c r="C62" s="343"/>
      <c r="D62" s="343"/>
      <c r="E62" s="343"/>
      <c r="F62" s="343"/>
      <c r="G62" s="343"/>
      <c r="H62" s="343"/>
      <c r="I62" s="343"/>
    </row>
    <row r="63" spans="1:9" ht="12.75" x14ac:dyDescent="0.2">
      <c r="A63" s="349"/>
      <c r="B63" s="343"/>
      <c r="C63" s="343"/>
      <c r="D63" s="343"/>
      <c r="E63" s="343"/>
      <c r="F63" s="343"/>
      <c r="G63" s="343"/>
      <c r="H63" s="343"/>
      <c r="I63" s="343"/>
    </row>
    <row r="64" spans="1:9" ht="12.75" x14ac:dyDescent="0.2">
      <c r="A64" s="349"/>
      <c r="B64" s="343"/>
      <c r="C64" s="343"/>
      <c r="D64" s="343"/>
      <c r="E64" s="343"/>
      <c r="F64" s="343"/>
      <c r="G64" s="343"/>
      <c r="H64" s="343"/>
      <c r="I64" s="343"/>
    </row>
    <row r="65" spans="1:9" ht="12.75" x14ac:dyDescent="0.2">
      <c r="A65" s="349"/>
      <c r="B65" s="343"/>
      <c r="C65" s="343"/>
      <c r="D65" s="343"/>
      <c r="E65" s="343"/>
      <c r="F65" s="343"/>
      <c r="G65" s="343"/>
      <c r="H65" s="343"/>
      <c r="I65" s="343"/>
    </row>
    <row r="66" spans="1:9" ht="12.75" x14ac:dyDescent="0.2">
      <c r="A66" s="349"/>
      <c r="B66" s="343"/>
      <c r="C66" s="343"/>
      <c r="D66" s="343"/>
      <c r="E66" s="343"/>
      <c r="F66" s="343"/>
      <c r="G66" s="343"/>
      <c r="H66" s="343"/>
      <c r="I66" s="343"/>
    </row>
    <row r="67" spans="1:9" ht="12.75" x14ac:dyDescent="0.2">
      <c r="A67" s="349"/>
      <c r="B67" s="343"/>
      <c r="C67" s="343"/>
      <c r="D67" s="343"/>
      <c r="E67" s="343"/>
      <c r="F67" s="343"/>
      <c r="G67" s="343"/>
      <c r="H67" s="343"/>
      <c r="I67" s="343"/>
    </row>
    <row r="68" spans="1:9" ht="12.75" x14ac:dyDescent="0.2">
      <c r="A68" s="349"/>
      <c r="B68" s="343"/>
      <c r="C68" s="343"/>
      <c r="D68" s="343"/>
      <c r="E68" s="343"/>
      <c r="F68" s="343"/>
      <c r="G68" s="343"/>
      <c r="H68" s="343"/>
      <c r="I68" s="343"/>
    </row>
    <row r="69" spans="1:9" ht="12.75" x14ac:dyDescent="0.2">
      <c r="A69" s="349"/>
      <c r="B69" s="343"/>
      <c r="C69" s="343"/>
      <c r="D69" s="343"/>
      <c r="E69" s="343"/>
      <c r="F69" s="343"/>
      <c r="G69" s="343"/>
      <c r="H69" s="343"/>
      <c r="I69" s="343"/>
    </row>
    <row r="70" spans="1:9" ht="12.75" x14ac:dyDescent="0.2">
      <c r="A70" s="349"/>
      <c r="B70" s="343"/>
      <c r="C70" s="343"/>
      <c r="D70" s="343"/>
      <c r="E70" s="343"/>
      <c r="F70" s="343"/>
      <c r="G70" s="343"/>
      <c r="H70" s="343"/>
      <c r="I70" s="343"/>
    </row>
    <row r="71" spans="1:9" ht="12.75" x14ac:dyDescent="0.2">
      <c r="A71" s="349"/>
      <c r="B71" s="343"/>
      <c r="C71" s="343"/>
      <c r="D71" s="343"/>
      <c r="E71" s="343"/>
      <c r="F71" s="343"/>
      <c r="G71" s="343"/>
      <c r="H71" s="343"/>
      <c r="I71" s="343"/>
    </row>
    <row r="72" spans="1:9" ht="12.75" x14ac:dyDescent="0.2">
      <c r="A72" s="349"/>
      <c r="B72" s="343"/>
      <c r="C72" s="343"/>
      <c r="D72" s="343"/>
      <c r="E72" s="343"/>
      <c r="F72" s="343"/>
      <c r="G72" s="343"/>
      <c r="H72" s="343"/>
      <c r="I72" s="343"/>
    </row>
    <row r="73" spans="1:9" ht="12.75" x14ac:dyDescent="0.2">
      <c r="A73" s="349"/>
      <c r="B73" s="343"/>
      <c r="C73" s="343"/>
      <c r="D73" s="343"/>
      <c r="E73" s="343"/>
      <c r="F73" s="343"/>
      <c r="G73" s="343"/>
      <c r="H73" s="343"/>
      <c r="I73" s="343"/>
    </row>
    <row r="74" spans="1:9" ht="12.75" x14ac:dyDescent="0.2">
      <c r="A74" s="349"/>
      <c r="B74" s="343"/>
      <c r="C74" s="343"/>
      <c r="D74" s="343"/>
      <c r="E74" s="343"/>
      <c r="F74" s="343"/>
      <c r="G74" s="343"/>
      <c r="H74" s="343"/>
      <c r="I74" s="343"/>
    </row>
    <row r="75" spans="1:9" ht="12.75" x14ac:dyDescent="0.2">
      <c r="A75" s="349"/>
      <c r="B75" s="343"/>
      <c r="C75" s="343"/>
      <c r="D75" s="343"/>
      <c r="E75" s="343"/>
      <c r="F75" s="343"/>
      <c r="G75" s="343"/>
      <c r="H75" s="343"/>
      <c r="I75" s="343"/>
    </row>
    <row r="76" spans="1:9" ht="12.75" x14ac:dyDescent="0.2">
      <c r="A76" s="349"/>
      <c r="B76" s="343"/>
      <c r="C76" s="343"/>
      <c r="D76" s="343"/>
      <c r="E76" s="343"/>
      <c r="F76" s="343"/>
      <c r="G76" s="343"/>
      <c r="H76" s="343"/>
      <c r="I76" s="343"/>
    </row>
    <row r="77" spans="1:9" ht="12.75" x14ac:dyDescent="0.2">
      <c r="A77" s="349"/>
      <c r="B77" s="343"/>
      <c r="C77" s="343"/>
      <c r="D77" s="343"/>
      <c r="E77" s="343"/>
      <c r="F77" s="343"/>
      <c r="G77" s="343"/>
      <c r="H77" s="343"/>
      <c r="I77" s="343"/>
    </row>
    <row r="78" spans="1:9" ht="12.75" x14ac:dyDescent="0.2">
      <c r="A78" s="349"/>
      <c r="B78" s="343"/>
      <c r="C78" s="343"/>
      <c r="D78" s="343"/>
      <c r="E78" s="343"/>
      <c r="F78" s="343"/>
      <c r="G78" s="343"/>
      <c r="H78" s="343"/>
      <c r="I78" s="343"/>
    </row>
    <row r="79" spans="1:9" ht="12.75" x14ac:dyDescent="0.2">
      <c r="A79" s="349"/>
      <c r="B79" s="343"/>
      <c r="C79" s="343"/>
      <c r="D79" s="343"/>
      <c r="E79" s="343"/>
      <c r="F79" s="343"/>
      <c r="G79" s="343"/>
      <c r="H79" s="343"/>
      <c r="I79" s="343"/>
    </row>
    <row r="80" spans="1:9" ht="12.75" x14ac:dyDescent="0.2">
      <c r="A80" s="349"/>
      <c r="B80" s="343"/>
      <c r="C80" s="343"/>
      <c r="D80" s="343"/>
      <c r="E80" s="343"/>
      <c r="F80" s="343"/>
      <c r="G80" s="343"/>
      <c r="H80" s="343"/>
      <c r="I80" s="343"/>
    </row>
    <row r="81" spans="1:9" ht="12.75" x14ac:dyDescent="0.2">
      <c r="A81" s="349"/>
      <c r="B81" s="343"/>
      <c r="C81" s="343"/>
      <c r="D81" s="343"/>
      <c r="E81" s="343"/>
      <c r="F81" s="343"/>
      <c r="G81" s="343"/>
      <c r="H81" s="343"/>
      <c r="I81" s="343"/>
    </row>
    <row r="82" spans="1:9" ht="12.75" x14ac:dyDescent="0.2">
      <c r="A82" s="349"/>
      <c r="B82" s="343"/>
      <c r="C82" s="343"/>
      <c r="D82" s="343"/>
      <c r="E82" s="343"/>
      <c r="F82" s="343"/>
      <c r="G82" s="343"/>
      <c r="H82" s="343"/>
      <c r="I82" s="343"/>
    </row>
    <row r="83" spans="1:9" ht="12.75" x14ac:dyDescent="0.2">
      <c r="A83" s="349"/>
      <c r="B83" s="343"/>
      <c r="C83" s="343"/>
      <c r="D83" s="343"/>
      <c r="E83" s="343"/>
      <c r="F83" s="343"/>
      <c r="G83" s="343"/>
      <c r="H83" s="343"/>
      <c r="I83" s="343"/>
    </row>
    <row r="84" spans="1:9" ht="12.75" x14ac:dyDescent="0.2">
      <c r="A84" s="349"/>
      <c r="B84" s="343"/>
      <c r="C84" s="343"/>
      <c r="D84" s="343"/>
      <c r="E84" s="343"/>
      <c r="F84" s="343"/>
      <c r="G84" s="343"/>
      <c r="H84" s="343"/>
      <c r="I84" s="343"/>
    </row>
    <row r="85" spans="1:9" ht="12.75" x14ac:dyDescent="0.2">
      <c r="A85" s="349"/>
      <c r="B85" s="343"/>
      <c r="C85" s="343"/>
      <c r="D85" s="343"/>
      <c r="E85" s="343"/>
      <c r="F85" s="343"/>
      <c r="G85" s="343"/>
      <c r="H85" s="343"/>
      <c r="I85" s="343"/>
    </row>
    <row r="86" spans="1:9" ht="12.75" x14ac:dyDescent="0.2">
      <c r="A86" s="349"/>
      <c r="B86" s="343"/>
      <c r="C86" s="343"/>
      <c r="D86" s="343"/>
      <c r="E86" s="343"/>
      <c r="F86" s="343"/>
      <c r="G86" s="343"/>
      <c r="H86" s="343"/>
      <c r="I86" s="343"/>
    </row>
    <row r="87" spans="1:9" ht="12.75" x14ac:dyDescent="0.2">
      <c r="A87" s="349"/>
      <c r="B87" s="343"/>
      <c r="C87" s="343"/>
      <c r="D87" s="343"/>
      <c r="E87" s="343"/>
      <c r="F87" s="343"/>
      <c r="G87" s="343"/>
      <c r="H87" s="343"/>
      <c r="I87" s="343"/>
    </row>
    <row r="88" spans="1:9" ht="12.75" x14ac:dyDescent="0.2">
      <c r="A88" s="349"/>
      <c r="B88" s="343"/>
      <c r="C88" s="343"/>
      <c r="D88" s="343"/>
      <c r="E88" s="343"/>
      <c r="F88" s="343"/>
      <c r="G88" s="343"/>
      <c r="H88" s="343"/>
      <c r="I88" s="343"/>
    </row>
    <row r="89" spans="1:9" ht="12.75" x14ac:dyDescent="0.2">
      <c r="A89" s="349"/>
      <c r="B89" s="343"/>
      <c r="C89" s="343"/>
      <c r="D89" s="343"/>
      <c r="E89" s="343"/>
      <c r="F89" s="343"/>
      <c r="G89" s="343"/>
      <c r="H89" s="343"/>
      <c r="I89" s="343"/>
    </row>
    <row r="90" spans="1:9" ht="12.75" x14ac:dyDescent="0.2">
      <c r="A90" s="349"/>
      <c r="B90" s="343"/>
      <c r="C90" s="343"/>
      <c r="D90" s="343"/>
      <c r="E90" s="343"/>
      <c r="F90" s="343"/>
      <c r="G90" s="343"/>
      <c r="H90" s="343"/>
      <c r="I90" s="343"/>
    </row>
    <row r="91" spans="1:9" ht="12.75" x14ac:dyDescent="0.2">
      <c r="A91" s="349"/>
      <c r="B91" s="343"/>
      <c r="C91" s="343"/>
      <c r="D91" s="343"/>
      <c r="E91" s="343"/>
      <c r="F91" s="343"/>
      <c r="G91" s="343"/>
      <c r="H91" s="343"/>
      <c r="I91" s="343"/>
    </row>
    <row r="92" spans="1:9" ht="12.75" x14ac:dyDescent="0.2">
      <c r="A92" s="349"/>
      <c r="B92" s="343"/>
      <c r="C92" s="343"/>
      <c r="D92" s="343"/>
      <c r="E92" s="343"/>
      <c r="F92" s="343"/>
      <c r="G92" s="343"/>
      <c r="H92" s="343"/>
      <c r="I92" s="343"/>
    </row>
    <row r="93" spans="1:9" ht="12.75" x14ac:dyDescent="0.2">
      <c r="A93" s="349"/>
      <c r="B93" s="343"/>
      <c r="C93" s="343"/>
      <c r="D93" s="343"/>
      <c r="E93" s="343"/>
      <c r="F93" s="343"/>
      <c r="G93" s="343"/>
      <c r="H93" s="343"/>
      <c r="I93" s="343"/>
    </row>
    <row r="94" spans="1:9" ht="12.75" x14ac:dyDescent="0.2">
      <c r="A94" s="349"/>
      <c r="B94" s="343"/>
      <c r="C94" s="343"/>
      <c r="D94" s="343"/>
      <c r="E94" s="343"/>
      <c r="F94" s="343"/>
      <c r="G94" s="343"/>
      <c r="H94" s="343"/>
      <c r="I94" s="343"/>
    </row>
    <row r="95" spans="1:9" ht="12.75" x14ac:dyDescent="0.2">
      <c r="A95" s="349"/>
      <c r="B95" s="343"/>
      <c r="C95" s="343"/>
      <c r="D95" s="343"/>
      <c r="E95" s="343"/>
      <c r="F95" s="343"/>
      <c r="G95" s="343"/>
      <c r="H95" s="343"/>
      <c r="I95" s="343"/>
    </row>
    <row r="96" spans="1:9" ht="12.75" x14ac:dyDescent="0.2">
      <c r="A96" s="349"/>
      <c r="B96" s="343"/>
      <c r="C96" s="343"/>
      <c r="D96" s="343"/>
      <c r="E96" s="343"/>
      <c r="F96" s="343"/>
      <c r="G96" s="343"/>
      <c r="H96" s="343"/>
      <c r="I96" s="343"/>
    </row>
    <row r="97" spans="1:9" ht="12.75" x14ac:dyDescent="0.2">
      <c r="A97" s="349"/>
      <c r="B97" s="343"/>
      <c r="C97" s="343"/>
      <c r="D97" s="343"/>
      <c r="E97" s="343"/>
      <c r="F97" s="343"/>
      <c r="G97" s="343"/>
      <c r="H97" s="343"/>
      <c r="I97" s="343"/>
    </row>
    <row r="98" spans="1:9" ht="12.75" x14ac:dyDescent="0.2">
      <c r="A98" s="349"/>
      <c r="B98" s="343"/>
      <c r="C98" s="343"/>
      <c r="D98" s="343"/>
      <c r="E98" s="343"/>
      <c r="F98" s="343"/>
      <c r="G98" s="343"/>
      <c r="H98" s="343"/>
      <c r="I98" s="343"/>
    </row>
    <row r="99" spans="1:9" ht="12.75" x14ac:dyDescent="0.2">
      <c r="A99" s="349"/>
      <c r="B99" s="343"/>
      <c r="C99" s="343"/>
      <c r="D99" s="343"/>
      <c r="E99" s="343"/>
      <c r="F99" s="343"/>
      <c r="G99" s="343"/>
      <c r="H99" s="343"/>
      <c r="I99" s="343"/>
    </row>
    <row r="100" spans="1:9" ht="12.75" x14ac:dyDescent="0.2">
      <c r="A100" s="349"/>
      <c r="B100" s="343"/>
      <c r="C100" s="343"/>
      <c r="D100" s="343"/>
      <c r="E100" s="343"/>
      <c r="F100" s="343"/>
      <c r="G100" s="343"/>
      <c r="H100" s="343"/>
      <c r="I100" s="343"/>
    </row>
    <row r="101" spans="1:9" ht="12.75" x14ac:dyDescent="0.2">
      <c r="A101" s="349"/>
      <c r="B101" s="343"/>
      <c r="C101" s="343"/>
      <c r="D101" s="343"/>
      <c r="E101" s="343"/>
      <c r="F101" s="343"/>
      <c r="G101" s="343"/>
      <c r="H101" s="343"/>
      <c r="I101" s="343"/>
    </row>
    <row r="102" spans="1:9" ht="12.75" x14ac:dyDescent="0.2">
      <c r="A102" s="349"/>
      <c r="B102" s="343"/>
      <c r="C102" s="343"/>
      <c r="D102" s="343"/>
      <c r="E102" s="343"/>
      <c r="F102" s="343"/>
      <c r="G102" s="343"/>
      <c r="H102" s="343"/>
      <c r="I102" s="343"/>
    </row>
    <row r="103" spans="1:9" ht="12.75" x14ac:dyDescent="0.2">
      <c r="A103" s="349"/>
      <c r="B103" s="343"/>
      <c r="C103" s="343"/>
      <c r="D103" s="343"/>
      <c r="E103" s="343"/>
      <c r="F103" s="343"/>
      <c r="G103" s="343"/>
      <c r="H103" s="343"/>
      <c r="I103" s="343"/>
    </row>
    <row r="104" spans="1:9" ht="12.75" x14ac:dyDescent="0.2">
      <c r="A104" s="349"/>
      <c r="B104" s="343"/>
      <c r="C104" s="343"/>
      <c r="D104" s="343"/>
      <c r="E104" s="343"/>
      <c r="F104" s="343"/>
      <c r="G104" s="343"/>
      <c r="H104" s="343"/>
      <c r="I104" s="343"/>
    </row>
    <row r="105" spans="1:9" ht="12.75" x14ac:dyDescent="0.2">
      <c r="A105" s="349"/>
      <c r="B105" s="343"/>
      <c r="C105" s="343"/>
      <c r="D105" s="343"/>
      <c r="E105" s="343"/>
      <c r="F105" s="343"/>
      <c r="G105" s="343"/>
      <c r="H105" s="343"/>
      <c r="I105" s="343"/>
    </row>
    <row r="106" spans="1:9" ht="12.75" x14ac:dyDescent="0.2">
      <c r="A106" s="349"/>
      <c r="B106" s="343"/>
      <c r="C106" s="343"/>
      <c r="D106" s="343"/>
      <c r="E106" s="343"/>
      <c r="F106" s="343"/>
      <c r="G106" s="343"/>
      <c r="H106" s="343"/>
      <c r="I106" s="343"/>
    </row>
    <row r="107" spans="1:9" ht="12.75" x14ac:dyDescent="0.2">
      <c r="A107" s="349"/>
      <c r="B107" s="343"/>
      <c r="C107" s="343"/>
      <c r="D107" s="343"/>
      <c r="E107" s="343"/>
      <c r="F107" s="343"/>
      <c r="G107" s="343"/>
      <c r="H107" s="343"/>
      <c r="I107" s="343"/>
    </row>
    <row r="108" spans="1:9" ht="12.75" x14ac:dyDescent="0.2">
      <c r="A108" s="349"/>
      <c r="B108" s="343"/>
      <c r="C108" s="343"/>
      <c r="D108" s="343"/>
      <c r="E108" s="343"/>
      <c r="F108" s="343"/>
      <c r="G108" s="343"/>
      <c r="H108" s="343"/>
      <c r="I108" s="343"/>
    </row>
    <row r="109" spans="1:9" ht="12.75" x14ac:dyDescent="0.2">
      <c r="A109" s="349"/>
      <c r="B109" s="343"/>
      <c r="C109" s="343"/>
      <c r="D109" s="343"/>
      <c r="E109" s="343"/>
      <c r="F109" s="343"/>
      <c r="G109" s="343"/>
      <c r="H109" s="343"/>
      <c r="I109" s="343"/>
    </row>
    <row r="110" spans="1:9" ht="12.75" x14ac:dyDescent="0.2">
      <c r="A110" s="349"/>
      <c r="B110" s="343"/>
      <c r="C110" s="343"/>
      <c r="D110" s="343"/>
      <c r="E110" s="343"/>
      <c r="F110" s="343"/>
      <c r="G110" s="343"/>
      <c r="H110" s="343"/>
      <c r="I110" s="343"/>
    </row>
    <row r="111" spans="1:9" ht="12.75" x14ac:dyDescent="0.2">
      <c r="A111" s="349"/>
      <c r="B111" s="343"/>
      <c r="C111" s="343"/>
      <c r="D111" s="343"/>
      <c r="E111" s="343"/>
      <c r="F111" s="343"/>
      <c r="G111" s="343"/>
      <c r="H111" s="343"/>
      <c r="I111" s="343"/>
    </row>
    <row r="112" spans="1:9" ht="12.75" x14ac:dyDescent="0.2">
      <c r="A112" s="349"/>
      <c r="B112" s="343"/>
      <c r="C112" s="343"/>
      <c r="D112" s="343"/>
      <c r="E112" s="343"/>
      <c r="F112" s="343"/>
      <c r="G112" s="343"/>
      <c r="H112" s="343"/>
      <c r="I112" s="343"/>
    </row>
    <row r="113" spans="1:9" ht="12.75" x14ac:dyDescent="0.2">
      <c r="A113" s="349"/>
      <c r="B113" s="343"/>
      <c r="C113" s="343"/>
      <c r="D113" s="343"/>
      <c r="E113" s="343"/>
      <c r="F113" s="343"/>
      <c r="G113" s="343"/>
      <c r="H113" s="343"/>
      <c r="I113" s="343"/>
    </row>
    <row r="114" spans="1:9" ht="12.75" x14ac:dyDescent="0.2">
      <c r="A114" s="349"/>
      <c r="B114" s="343"/>
      <c r="C114" s="343"/>
      <c r="D114" s="343"/>
      <c r="E114" s="343"/>
      <c r="F114" s="343"/>
      <c r="G114" s="343"/>
      <c r="H114" s="343"/>
      <c r="I114" s="343"/>
    </row>
    <row r="115" spans="1:9" ht="12.75" x14ac:dyDescent="0.2">
      <c r="A115" s="349"/>
      <c r="B115" s="343"/>
      <c r="C115" s="343"/>
      <c r="D115" s="343"/>
      <c r="E115" s="343"/>
      <c r="F115" s="343"/>
      <c r="G115" s="343"/>
      <c r="H115" s="343"/>
      <c r="I115" s="343"/>
    </row>
    <row r="116" spans="1:9" ht="12.75" x14ac:dyDescent="0.2">
      <c r="A116" s="349"/>
      <c r="B116" s="343"/>
      <c r="C116" s="343"/>
      <c r="D116" s="343"/>
      <c r="E116" s="343"/>
      <c r="F116" s="343"/>
      <c r="G116" s="343"/>
      <c r="H116" s="343"/>
      <c r="I116" s="343"/>
    </row>
    <row r="117" spans="1:9" ht="12.75" x14ac:dyDescent="0.2">
      <c r="A117" s="349"/>
      <c r="B117" s="343"/>
      <c r="C117" s="343"/>
      <c r="D117" s="343"/>
      <c r="E117" s="343"/>
      <c r="F117" s="343"/>
      <c r="G117" s="343"/>
      <c r="H117" s="343"/>
      <c r="I117" s="343"/>
    </row>
    <row r="118" spans="1:9" ht="12.75" x14ac:dyDescent="0.2">
      <c r="A118" s="349"/>
      <c r="B118" s="343"/>
      <c r="C118" s="343"/>
      <c r="D118" s="343"/>
      <c r="E118" s="343"/>
      <c r="F118" s="343"/>
      <c r="G118" s="343"/>
      <c r="H118" s="343"/>
      <c r="I118" s="343"/>
    </row>
    <row r="119" spans="1:9" ht="12.75" x14ac:dyDescent="0.2">
      <c r="A119" s="349"/>
      <c r="B119" s="343"/>
      <c r="C119" s="343"/>
      <c r="D119" s="343"/>
      <c r="E119" s="343"/>
      <c r="F119" s="343"/>
      <c r="G119" s="343"/>
      <c r="H119" s="343"/>
      <c r="I119" s="343"/>
    </row>
    <row r="120" spans="1:9" ht="12.75" x14ac:dyDescent="0.2">
      <c r="A120" s="349"/>
      <c r="B120" s="343"/>
      <c r="C120" s="343"/>
      <c r="D120" s="343"/>
      <c r="E120" s="343"/>
      <c r="F120" s="343"/>
      <c r="G120" s="343"/>
      <c r="H120" s="343"/>
      <c r="I120" s="343"/>
    </row>
    <row r="121" spans="1:9" ht="12.75" x14ac:dyDescent="0.2">
      <c r="A121" s="349"/>
      <c r="B121" s="343"/>
      <c r="C121" s="343"/>
      <c r="D121" s="343"/>
      <c r="E121" s="343"/>
      <c r="F121" s="343"/>
      <c r="G121" s="343"/>
      <c r="H121" s="343"/>
      <c r="I121" s="343"/>
    </row>
    <row r="122" spans="1:9" ht="12.75" x14ac:dyDescent="0.2">
      <c r="A122" s="349"/>
      <c r="B122" s="343"/>
      <c r="C122" s="343"/>
      <c r="D122" s="343"/>
      <c r="E122" s="343"/>
      <c r="F122" s="343"/>
      <c r="G122" s="343"/>
      <c r="H122" s="343"/>
      <c r="I122" s="343"/>
    </row>
    <row r="123" spans="1:9" ht="12.75" x14ac:dyDescent="0.2">
      <c r="A123" s="349"/>
      <c r="B123" s="343"/>
      <c r="C123" s="343"/>
      <c r="D123" s="343"/>
      <c r="E123" s="343"/>
      <c r="F123" s="343"/>
      <c r="G123" s="343"/>
      <c r="H123" s="343"/>
      <c r="I123" s="343"/>
    </row>
    <row r="124" spans="1:9" ht="12.75" x14ac:dyDescent="0.2">
      <c r="A124" s="349"/>
      <c r="B124" s="343"/>
      <c r="C124" s="343"/>
      <c r="D124" s="343"/>
      <c r="E124" s="343"/>
      <c r="F124" s="343"/>
      <c r="G124" s="343"/>
      <c r="H124" s="343"/>
      <c r="I124" s="343"/>
    </row>
    <row r="125" spans="1:9" ht="12.75" x14ac:dyDescent="0.2">
      <c r="A125" s="349"/>
      <c r="B125" s="343"/>
      <c r="C125" s="343"/>
      <c r="D125" s="343"/>
      <c r="E125" s="343"/>
      <c r="F125" s="343"/>
      <c r="G125" s="343"/>
      <c r="H125" s="343"/>
      <c r="I125" s="343"/>
    </row>
    <row r="126" spans="1:9" ht="12.75" x14ac:dyDescent="0.2">
      <c r="A126" s="349"/>
      <c r="B126" s="343"/>
      <c r="C126" s="343"/>
      <c r="D126" s="343"/>
      <c r="E126" s="343"/>
      <c r="F126" s="343"/>
      <c r="G126" s="343"/>
      <c r="H126" s="343"/>
      <c r="I126" s="343"/>
    </row>
    <row r="127" spans="1:9" ht="12.75" x14ac:dyDescent="0.2">
      <c r="A127" s="349"/>
      <c r="B127" s="343"/>
      <c r="C127" s="343"/>
      <c r="D127" s="343"/>
      <c r="E127" s="343"/>
      <c r="F127" s="343"/>
      <c r="G127" s="343"/>
      <c r="H127" s="343"/>
      <c r="I127" s="343"/>
    </row>
    <row r="128" spans="1:9" ht="12.75" x14ac:dyDescent="0.2">
      <c r="A128" s="349"/>
      <c r="B128" s="343"/>
      <c r="C128" s="343"/>
      <c r="D128" s="343"/>
      <c r="E128" s="343"/>
      <c r="F128" s="343"/>
      <c r="G128" s="343"/>
      <c r="H128" s="343"/>
      <c r="I128" s="343"/>
    </row>
    <row r="129" spans="1:9" ht="12.75" x14ac:dyDescent="0.2">
      <c r="A129" s="349"/>
      <c r="B129" s="343"/>
      <c r="C129" s="343"/>
      <c r="D129" s="343"/>
      <c r="E129" s="343"/>
      <c r="F129" s="343"/>
      <c r="G129" s="343"/>
      <c r="H129" s="343"/>
      <c r="I129" s="343"/>
    </row>
    <row r="130" spans="1:9" ht="12.75" x14ac:dyDescent="0.2">
      <c r="A130" s="349"/>
      <c r="B130" s="343"/>
      <c r="C130" s="343"/>
      <c r="D130" s="343"/>
      <c r="E130" s="343"/>
      <c r="F130" s="343"/>
      <c r="G130" s="343"/>
      <c r="H130" s="343"/>
      <c r="I130" s="343"/>
    </row>
    <row r="131" spans="1:9" ht="12.75" x14ac:dyDescent="0.2">
      <c r="A131" s="349"/>
      <c r="B131" s="343"/>
      <c r="C131" s="343"/>
      <c r="D131" s="343"/>
      <c r="E131" s="343"/>
      <c r="F131" s="343"/>
      <c r="G131" s="343"/>
      <c r="H131" s="343"/>
      <c r="I131" s="343"/>
    </row>
    <row r="132" spans="1:9" ht="12.75" x14ac:dyDescent="0.2">
      <c r="A132" s="349"/>
      <c r="B132" s="343"/>
      <c r="C132" s="343"/>
      <c r="D132" s="343"/>
      <c r="E132" s="343"/>
      <c r="F132" s="343"/>
      <c r="G132" s="343"/>
      <c r="H132" s="343"/>
      <c r="I132" s="343"/>
    </row>
    <row r="133" spans="1:9" ht="12.75" x14ac:dyDescent="0.2">
      <c r="A133" s="349"/>
      <c r="B133" s="343"/>
      <c r="C133" s="343"/>
      <c r="D133" s="343"/>
      <c r="E133" s="343"/>
      <c r="F133" s="343"/>
      <c r="G133" s="343"/>
      <c r="H133" s="343"/>
      <c r="I133" s="343"/>
    </row>
    <row r="134" spans="1:9" ht="12.75" x14ac:dyDescent="0.2">
      <c r="A134" s="349"/>
      <c r="B134" s="343"/>
      <c r="C134" s="343"/>
      <c r="D134" s="343"/>
      <c r="E134" s="343"/>
      <c r="F134" s="343"/>
      <c r="G134" s="343"/>
      <c r="H134" s="343"/>
      <c r="I134" s="343"/>
    </row>
    <row r="135" spans="1:9" ht="12.75" x14ac:dyDescent="0.2">
      <c r="A135" s="349"/>
      <c r="B135" s="343"/>
      <c r="C135" s="343"/>
      <c r="D135" s="343"/>
      <c r="E135" s="343"/>
      <c r="F135" s="343"/>
      <c r="G135" s="343"/>
      <c r="H135" s="343"/>
      <c r="I135" s="343"/>
    </row>
    <row r="136" spans="1:9" ht="12.75" x14ac:dyDescent="0.2">
      <c r="A136" s="349"/>
      <c r="B136" s="343"/>
      <c r="C136" s="343"/>
      <c r="D136" s="343"/>
      <c r="E136" s="343"/>
      <c r="F136" s="343"/>
      <c r="G136" s="343"/>
      <c r="H136" s="343"/>
      <c r="I136" s="343"/>
    </row>
    <row r="137" spans="1:9" ht="12.75" x14ac:dyDescent="0.2">
      <c r="A137" s="349"/>
      <c r="B137" s="343"/>
      <c r="C137" s="343"/>
      <c r="D137" s="343"/>
      <c r="E137" s="343"/>
      <c r="F137" s="343"/>
      <c r="G137" s="343"/>
      <c r="H137" s="343"/>
      <c r="I137" s="343"/>
    </row>
    <row r="138" spans="1:9" ht="12.75" x14ac:dyDescent="0.2">
      <c r="A138" s="349"/>
      <c r="B138" s="343"/>
      <c r="C138" s="343"/>
      <c r="D138" s="343"/>
      <c r="E138" s="343"/>
      <c r="F138" s="343"/>
      <c r="G138" s="343"/>
      <c r="H138" s="343"/>
      <c r="I138" s="343"/>
    </row>
    <row r="139" spans="1:9" ht="12.75" x14ac:dyDescent="0.2">
      <c r="A139" s="349"/>
      <c r="B139" s="343"/>
      <c r="C139" s="343"/>
      <c r="D139" s="343"/>
      <c r="E139" s="343"/>
      <c r="F139" s="343"/>
      <c r="G139" s="343"/>
      <c r="H139" s="343"/>
      <c r="I139" s="343"/>
    </row>
    <row r="140" spans="1:9" ht="12.75" x14ac:dyDescent="0.2">
      <c r="A140" s="349"/>
      <c r="B140" s="343"/>
      <c r="C140" s="343"/>
      <c r="D140" s="343"/>
      <c r="E140" s="343"/>
      <c r="F140" s="343"/>
      <c r="G140" s="343"/>
      <c r="H140" s="343"/>
      <c r="I140" s="343"/>
    </row>
    <row r="141" spans="1:9" ht="12.75" x14ac:dyDescent="0.2">
      <c r="A141" s="349"/>
      <c r="B141" s="343"/>
      <c r="C141" s="343"/>
      <c r="D141" s="343"/>
      <c r="E141" s="343"/>
      <c r="F141" s="343"/>
      <c r="G141" s="343"/>
      <c r="H141" s="343"/>
      <c r="I141" s="343"/>
    </row>
    <row r="142" spans="1:9" ht="12.75" x14ac:dyDescent="0.2">
      <c r="A142" s="349"/>
      <c r="B142" s="343"/>
      <c r="C142" s="343"/>
      <c r="D142" s="343"/>
      <c r="E142" s="343"/>
      <c r="F142" s="343"/>
      <c r="G142" s="343"/>
      <c r="H142" s="343"/>
      <c r="I142" s="343"/>
    </row>
    <row r="143" spans="1:9" ht="12.75" x14ac:dyDescent="0.2">
      <c r="A143" s="349"/>
      <c r="B143" s="343"/>
      <c r="C143" s="343"/>
      <c r="D143" s="343"/>
      <c r="E143" s="343"/>
      <c r="F143" s="343"/>
      <c r="G143" s="343"/>
      <c r="H143" s="343"/>
      <c r="I143" s="343"/>
    </row>
    <row r="144" spans="1:9" ht="12.75" x14ac:dyDescent="0.2">
      <c r="A144" s="349"/>
      <c r="B144" s="343"/>
      <c r="C144" s="343"/>
      <c r="D144" s="343"/>
      <c r="E144" s="343"/>
      <c r="F144" s="343"/>
      <c r="G144" s="343"/>
      <c r="H144" s="343"/>
      <c r="I144" s="343"/>
    </row>
    <row r="145" spans="1:9" ht="12.75" x14ac:dyDescent="0.2">
      <c r="A145" s="349"/>
      <c r="B145" s="343"/>
      <c r="C145" s="343"/>
      <c r="D145" s="343"/>
      <c r="E145" s="343"/>
      <c r="F145" s="343"/>
      <c r="G145" s="343"/>
      <c r="H145" s="343"/>
      <c r="I145" s="343"/>
    </row>
    <row r="146" spans="1:9" ht="12.75" x14ac:dyDescent="0.2">
      <c r="A146" s="349"/>
      <c r="B146" s="343"/>
      <c r="C146" s="343"/>
      <c r="D146" s="343"/>
      <c r="E146" s="343"/>
      <c r="F146" s="343"/>
      <c r="G146" s="343"/>
      <c r="H146" s="343"/>
      <c r="I146" s="343"/>
    </row>
    <row r="147" spans="1:9" ht="12.75" x14ac:dyDescent="0.2">
      <c r="A147" s="349"/>
      <c r="B147" s="343"/>
      <c r="C147" s="343"/>
      <c r="D147" s="343"/>
      <c r="E147" s="343"/>
      <c r="F147" s="343"/>
      <c r="G147" s="343"/>
      <c r="H147" s="343"/>
      <c r="I147" s="343"/>
    </row>
    <row r="148" spans="1:9" ht="12.75" x14ac:dyDescent="0.2">
      <c r="A148" s="349"/>
      <c r="B148" s="343"/>
      <c r="C148" s="343"/>
      <c r="D148" s="343"/>
      <c r="E148" s="343"/>
      <c r="F148" s="343"/>
      <c r="G148" s="343"/>
      <c r="H148" s="343"/>
      <c r="I148" s="343"/>
    </row>
    <row r="149" spans="1:9" ht="12.75" x14ac:dyDescent="0.2">
      <c r="A149" s="349"/>
      <c r="B149" s="343"/>
      <c r="C149" s="343"/>
      <c r="D149" s="343"/>
      <c r="E149" s="343"/>
      <c r="F149" s="343"/>
      <c r="G149" s="343"/>
      <c r="H149" s="343"/>
      <c r="I149" s="343"/>
    </row>
    <row r="150" spans="1:9" ht="12.75" x14ac:dyDescent="0.2">
      <c r="A150" s="349"/>
      <c r="B150" s="343"/>
      <c r="C150" s="343"/>
      <c r="D150" s="343"/>
      <c r="E150" s="343"/>
      <c r="F150" s="343"/>
      <c r="G150" s="343"/>
      <c r="H150" s="343"/>
      <c r="I150" s="343"/>
    </row>
    <row r="151" spans="1:9" ht="12.75" x14ac:dyDescent="0.2">
      <c r="A151" s="349"/>
      <c r="B151" s="343"/>
      <c r="C151" s="343"/>
      <c r="D151" s="343"/>
      <c r="E151" s="343"/>
      <c r="F151" s="343"/>
      <c r="G151" s="343"/>
      <c r="H151" s="343"/>
      <c r="I151" s="343"/>
    </row>
    <row r="152" spans="1:9" ht="12.75" x14ac:dyDescent="0.2">
      <c r="A152" s="349"/>
      <c r="B152" s="343"/>
      <c r="C152" s="343"/>
      <c r="D152" s="343"/>
      <c r="E152" s="343"/>
      <c r="F152" s="343"/>
      <c r="G152" s="343"/>
      <c r="H152" s="343"/>
      <c r="I152" s="343"/>
    </row>
    <row r="153" spans="1:9" ht="12.75" x14ac:dyDescent="0.2">
      <c r="A153" s="349"/>
      <c r="B153" s="343"/>
      <c r="C153" s="343"/>
      <c r="D153" s="343"/>
      <c r="E153" s="343"/>
      <c r="F153" s="343"/>
      <c r="G153" s="343"/>
      <c r="H153" s="343"/>
      <c r="I153" s="343"/>
    </row>
    <row r="154" spans="1:9" ht="12.75" x14ac:dyDescent="0.2">
      <c r="A154" s="349"/>
      <c r="B154" s="343"/>
      <c r="C154" s="343"/>
      <c r="D154" s="343"/>
      <c r="E154" s="343"/>
      <c r="F154" s="343"/>
      <c r="G154" s="343"/>
      <c r="H154" s="343"/>
      <c r="I154" s="343"/>
    </row>
    <row r="155" spans="1:9" ht="12.75" x14ac:dyDescent="0.2">
      <c r="A155" s="349"/>
      <c r="B155" s="343"/>
      <c r="C155" s="343"/>
      <c r="D155" s="343"/>
      <c r="E155" s="343"/>
      <c r="F155" s="343"/>
      <c r="G155" s="343"/>
      <c r="H155" s="343"/>
      <c r="I155" s="343"/>
    </row>
    <row r="156" spans="1:9" ht="12.75" x14ac:dyDescent="0.2">
      <c r="A156" s="349"/>
      <c r="B156" s="343"/>
      <c r="C156" s="343"/>
      <c r="D156" s="343"/>
      <c r="E156" s="343"/>
      <c r="F156" s="343"/>
      <c r="G156" s="343"/>
      <c r="H156" s="343"/>
      <c r="I156" s="343"/>
    </row>
    <row r="157" spans="1:9" ht="12.75" x14ac:dyDescent="0.2">
      <c r="A157" s="349"/>
      <c r="B157" s="343"/>
      <c r="C157" s="343"/>
      <c r="D157" s="343"/>
      <c r="E157" s="343"/>
      <c r="F157" s="343"/>
      <c r="G157" s="343"/>
      <c r="H157" s="343"/>
      <c r="I157" s="343"/>
    </row>
    <row r="158" spans="1:9" ht="12.75" x14ac:dyDescent="0.2">
      <c r="A158" s="349"/>
      <c r="B158" s="343"/>
      <c r="C158" s="343"/>
      <c r="D158" s="343"/>
      <c r="E158" s="343"/>
      <c r="F158" s="343"/>
      <c r="G158" s="343"/>
      <c r="H158" s="343"/>
      <c r="I158" s="343"/>
    </row>
    <row r="159" spans="1:9" ht="12.75" x14ac:dyDescent="0.2">
      <c r="A159" s="349"/>
      <c r="B159" s="343"/>
      <c r="C159" s="343"/>
      <c r="D159" s="343"/>
      <c r="E159" s="343"/>
      <c r="F159" s="343"/>
      <c r="G159" s="343"/>
      <c r="H159" s="343"/>
      <c r="I159" s="343"/>
    </row>
    <row r="160" spans="1:9" ht="12.75" x14ac:dyDescent="0.2">
      <c r="A160" s="349"/>
      <c r="B160" s="343"/>
      <c r="C160" s="343"/>
      <c r="D160" s="343"/>
      <c r="E160" s="343"/>
      <c r="F160" s="343"/>
      <c r="G160" s="343"/>
      <c r="H160" s="343"/>
      <c r="I160" s="343"/>
    </row>
    <row r="161" spans="1:9" ht="12.75" x14ac:dyDescent="0.2">
      <c r="A161" s="349"/>
      <c r="B161" s="343"/>
      <c r="C161" s="343"/>
      <c r="D161" s="343"/>
      <c r="E161" s="343"/>
      <c r="F161" s="343"/>
      <c r="G161" s="343"/>
      <c r="H161" s="343"/>
      <c r="I161" s="343"/>
    </row>
    <row r="162" spans="1:9" ht="12.75" x14ac:dyDescent="0.2">
      <c r="A162" s="349"/>
      <c r="B162" s="343"/>
      <c r="C162" s="343"/>
      <c r="D162" s="343"/>
      <c r="E162" s="343"/>
      <c r="F162" s="343"/>
      <c r="G162" s="343"/>
      <c r="H162" s="343"/>
      <c r="I162" s="343"/>
    </row>
    <row r="163" spans="1:9" ht="12.75" x14ac:dyDescent="0.2">
      <c r="A163" s="349"/>
      <c r="B163" s="343"/>
      <c r="C163" s="343"/>
      <c r="D163" s="343"/>
      <c r="E163" s="343"/>
      <c r="F163" s="343"/>
      <c r="G163" s="343"/>
      <c r="H163" s="343"/>
      <c r="I163" s="343"/>
    </row>
    <row r="164" spans="1:9" ht="12.75" x14ac:dyDescent="0.2">
      <c r="A164" s="349"/>
      <c r="B164" s="343"/>
      <c r="C164" s="343"/>
      <c r="D164" s="343"/>
      <c r="E164" s="343"/>
      <c r="F164" s="343"/>
      <c r="G164" s="343"/>
      <c r="H164" s="343"/>
      <c r="I164" s="343"/>
    </row>
    <row r="165" spans="1:9" ht="12.75" x14ac:dyDescent="0.2">
      <c r="A165" s="349"/>
      <c r="B165" s="343"/>
      <c r="C165" s="343"/>
      <c r="D165" s="343"/>
      <c r="E165" s="343"/>
      <c r="F165" s="343"/>
      <c r="G165" s="343"/>
      <c r="H165" s="343"/>
      <c r="I165" s="343"/>
    </row>
    <row r="166" spans="1:9" ht="12.75" x14ac:dyDescent="0.2">
      <c r="A166" s="349"/>
      <c r="B166" s="343"/>
      <c r="C166" s="343"/>
      <c r="D166" s="343"/>
      <c r="E166" s="343"/>
      <c r="F166" s="343"/>
      <c r="G166" s="343"/>
      <c r="H166" s="343"/>
      <c r="I166" s="343"/>
    </row>
    <row r="167" spans="1:9" ht="12.75" x14ac:dyDescent="0.2">
      <c r="A167" s="349"/>
      <c r="B167" s="343"/>
      <c r="C167" s="343"/>
      <c r="D167" s="343"/>
      <c r="E167" s="343"/>
      <c r="F167" s="343"/>
      <c r="G167" s="343"/>
      <c r="H167" s="343"/>
      <c r="I167" s="343"/>
    </row>
    <row r="168" spans="1:9" ht="12.75" x14ac:dyDescent="0.2">
      <c r="A168" s="349"/>
      <c r="B168" s="343"/>
      <c r="C168" s="343"/>
      <c r="D168" s="343"/>
      <c r="E168" s="343"/>
      <c r="F168" s="343"/>
      <c r="G168" s="343"/>
      <c r="H168" s="343"/>
      <c r="I168" s="343"/>
    </row>
    <row r="169" spans="1:9" ht="12.75" x14ac:dyDescent="0.2">
      <c r="A169" s="349"/>
      <c r="B169" s="343"/>
      <c r="C169" s="343"/>
      <c r="D169" s="343"/>
      <c r="E169" s="343"/>
      <c r="F169" s="343"/>
      <c r="G169" s="343"/>
      <c r="H169" s="343"/>
      <c r="I169" s="343"/>
    </row>
    <row r="170" spans="1:9" ht="12.75" x14ac:dyDescent="0.2">
      <c r="A170" s="349"/>
      <c r="B170" s="343"/>
      <c r="C170" s="343"/>
      <c r="D170" s="343"/>
      <c r="E170" s="343"/>
      <c r="F170" s="343"/>
      <c r="G170" s="343"/>
      <c r="H170" s="343"/>
      <c r="I170" s="343"/>
    </row>
    <row r="171" spans="1:9" ht="12.75" x14ac:dyDescent="0.2">
      <c r="A171" s="349"/>
      <c r="B171" s="343"/>
      <c r="C171" s="343"/>
      <c r="D171" s="343"/>
      <c r="E171" s="343"/>
      <c r="F171" s="343"/>
      <c r="G171" s="343"/>
      <c r="H171" s="343"/>
      <c r="I171" s="343"/>
    </row>
    <row r="172" spans="1:9" ht="12.75" x14ac:dyDescent="0.2">
      <c r="A172" s="349"/>
      <c r="B172" s="343"/>
      <c r="C172" s="343"/>
      <c r="D172" s="343"/>
      <c r="E172" s="343"/>
      <c r="F172" s="343"/>
      <c r="G172" s="343"/>
      <c r="H172" s="343"/>
      <c r="I172" s="343"/>
    </row>
    <row r="173" spans="1:9" ht="12.75" x14ac:dyDescent="0.2">
      <c r="A173" s="349"/>
      <c r="B173" s="343"/>
      <c r="C173" s="343"/>
      <c r="D173" s="343"/>
      <c r="E173" s="343"/>
      <c r="F173" s="343"/>
      <c r="G173" s="343"/>
      <c r="H173" s="343"/>
      <c r="I173" s="343"/>
    </row>
    <row r="174" spans="1:9" ht="12.75" x14ac:dyDescent="0.2">
      <c r="A174" s="349"/>
      <c r="B174" s="343"/>
      <c r="C174" s="343"/>
      <c r="D174" s="343"/>
      <c r="E174" s="343"/>
      <c r="F174" s="343"/>
      <c r="G174" s="343"/>
      <c r="H174" s="343"/>
      <c r="I174" s="343"/>
    </row>
    <row r="175" spans="1:9" ht="12.75" x14ac:dyDescent="0.2">
      <c r="A175" s="349"/>
      <c r="B175" s="343"/>
      <c r="C175" s="343"/>
      <c r="D175" s="343"/>
      <c r="E175" s="343"/>
      <c r="F175" s="343"/>
      <c r="G175" s="343"/>
      <c r="H175" s="343"/>
      <c r="I175" s="343"/>
    </row>
    <row r="176" spans="1:9" ht="12.75" x14ac:dyDescent="0.2">
      <c r="A176" s="349"/>
      <c r="B176" s="343"/>
      <c r="C176" s="343"/>
      <c r="D176" s="343"/>
      <c r="E176" s="343"/>
      <c r="F176" s="343"/>
      <c r="G176" s="343"/>
      <c r="H176" s="343"/>
      <c r="I176" s="343"/>
    </row>
    <row r="177" spans="1:9" ht="12.75" x14ac:dyDescent="0.2">
      <c r="A177" s="349"/>
      <c r="B177" s="343"/>
      <c r="C177" s="343"/>
      <c r="D177" s="343"/>
      <c r="E177" s="343"/>
      <c r="F177" s="343"/>
      <c r="G177" s="343"/>
      <c r="H177" s="343"/>
      <c r="I177" s="343"/>
    </row>
    <row r="178" spans="1:9" ht="12.75" x14ac:dyDescent="0.2">
      <c r="A178" s="349"/>
      <c r="B178" s="343"/>
      <c r="C178" s="343"/>
      <c r="D178" s="343"/>
      <c r="E178" s="343"/>
      <c r="F178" s="343"/>
      <c r="G178" s="343"/>
      <c r="H178" s="343"/>
      <c r="I178" s="343"/>
    </row>
    <row r="179" spans="1:9" ht="12.75" x14ac:dyDescent="0.2">
      <c r="A179" s="349"/>
      <c r="B179" s="343"/>
      <c r="C179" s="343"/>
      <c r="D179" s="343"/>
      <c r="E179" s="343"/>
      <c r="F179" s="343"/>
      <c r="G179" s="343"/>
      <c r="H179" s="343"/>
      <c r="I179" s="343"/>
    </row>
    <row r="180" spans="1:9" ht="12.75" x14ac:dyDescent="0.2">
      <c r="A180" s="349"/>
      <c r="B180" s="343"/>
      <c r="C180" s="343"/>
      <c r="D180" s="343"/>
      <c r="E180" s="343"/>
      <c r="F180" s="343"/>
      <c r="G180" s="343"/>
      <c r="H180" s="343"/>
      <c r="I180" s="343"/>
    </row>
    <row r="181" spans="1:9" ht="12.75" x14ac:dyDescent="0.2">
      <c r="A181" s="349"/>
      <c r="B181" s="343"/>
      <c r="C181" s="343"/>
      <c r="D181" s="343"/>
      <c r="E181" s="343"/>
      <c r="F181" s="343"/>
      <c r="G181" s="343"/>
      <c r="H181" s="343"/>
      <c r="I181" s="343"/>
    </row>
    <row r="182" spans="1:9" ht="12.75" x14ac:dyDescent="0.2">
      <c r="A182" s="349"/>
      <c r="B182" s="343"/>
      <c r="C182" s="343"/>
      <c r="D182" s="343"/>
      <c r="E182" s="343"/>
      <c r="F182" s="343"/>
      <c r="G182" s="343"/>
      <c r="H182" s="343"/>
      <c r="I182" s="343"/>
    </row>
    <row r="183" spans="1:9" ht="12.75" x14ac:dyDescent="0.2">
      <c r="A183" s="349"/>
      <c r="B183" s="343"/>
      <c r="C183" s="343"/>
      <c r="D183" s="343"/>
      <c r="E183" s="343"/>
      <c r="F183" s="343"/>
      <c r="G183" s="343"/>
      <c r="H183" s="343"/>
      <c r="I183" s="343"/>
    </row>
    <row r="184" spans="1:9" ht="12.75" x14ac:dyDescent="0.2">
      <c r="A184" s="349"/>
      <c r="B184" s="343"/>
      <c r="C184" s="343"/>
      <c r="D184" s="343"/>
      <c r="E184" s="343"/>
      <c r="F184" s="343"/>
      <c r="G184" s="343"/>
      <c r="H184" s="343"/>
      <c r="I184" s="343"/>
    </row>
    <row r="185" spans="1:9" ht="12.75" x14ac:dyDescent="0.2">
      <c r="A185" s="349"/>
      <c r="B185" s="343"/>
      <c r="C185" s="343"/>
      <c r="D185" s="343"/>
      <c r="E185" s="343"/>
      <c r="F185" s="343"/>
      <c r="G185" s="343"/>
      <c r="H185" s="343"/>
      <c r="I185" s="343"/>
    </row>
    <row r="186" spans="1:9" ht="12.75" x14ac:dyDescent="0.2">
      <c r="A186" s="349"/>
      <c r="B186" s="343"/>
      <c r="C186" s="343"/>
      <c r="D186" s="343"/>
      <c r="E186" s="343"/>
      <c r="F186" s="343"/>
      <c r="G186" s="343"/>
      <c r="H186" s="343"/>
      <c r="I186" s="343"/>
    </row>
    <row r="187" spans="1:9" ht="12.75" x14ac:dyDescent="0.2">
      <c r="A187" s="349"/>
      <c r="B187" s="343"/>
      <c r="C187" s="343"/>
      <c r="D187" s="343"/>
      <c r="E187" s="343"/>
      <c r="F187" s="343"/>
      <c r="G187" s="343"/>
      <c r="H187" s="343"/>
      <c r="I187" s="343"/>
    </row>
    <row r="188" spans="1:9" ht="12.75" x14ac:dyDescent="0.2">
      <c r="A188" s="349"/>
      <c r="B188" s="343"/>
      <c r="C188" s="343"/>
      <c r="D188" s="343"/>
      <c r="E188" s="343"/>
      <c r="F188" s="343"/>
      <c r="G188" s="343"/>
      <c r="H188" s="343"/>
      <c r="I188" s="343"/>
    </row>
    <row r="189" spans="1:9" ht="12.75" x14ac:dyDescent="0.2">
      <c r="A189" s="349"/>
      <c r="B189" s="343"/>
      <c r="C189" s="343"/>
      <c r="D189" s="343"/>
      <c r="E189" s="343"/>
      <c r="F189" s="343"/>
      <c r="G189" s="343"/>
      <c r="H189" s="343"/>
      <c r="I189" s="343"/>
    </row>
    <row r="190" spans="1:9" ht="12.75" x14ac:dyDescent="0.2">
      <c r="A190" s="349"/>
      <c r="B190" s="343"/>
      <c r="C190" s="343"/>
      <c r="D190" s="343"/>
      <c r="E190" s="343"/>
      <c r="F190" s="343"/>
      <c r="G190" s="343"/>
      <c r="H190" s="343"/>
      <c r="I190" s="343"/>
    </row>
    <row r="191" spans="1:9" ht="12.75" x14ac:dyDescent="0.2">
      <c r="A191" s="349"/>
      <c r="B191" s="343"/>
      <c r="C191" s="343"/>
      <c r="D191" s="343"/>
      <c r="E191" s="343"/>
      <c r="F191" s="343"/>
      <c r="G191" s="343"/>
      <c r="H191" s="343"/>
      <c r="I191" s="343"/>
    </row>
    <row r="192" spans="1:9" ht="12.75" x14ac:dyDescent="0.2">
      <c r="A192" s="349"/>
      <c r="B192" s="343"/>
      <c r="C192" s="343"/>
      <c r="D192" s="343"/>
      <c r="E192" s="343"/>
      <c r="F192" s="343"/>
      <c r="G192" s="343"/>
      <c r="H192" s="343"/>
      <c r="I192" s="343"/>
    </row>
    <row r="193" spans="1:9" ht="12.75" x14ac:dyDescent="0.2">
      <c r="A193" s="349"/>
      <c r="B193" s="343"/>
      <c r="C193" s="343"/>
      <c r="D193" s="343"/>
      <c r="E193" s="343"/>
      <c r="F193" s="343"/>
      <c r="G193" s="343"/>
      <c r="H193" s="343"/>
      <c r="I193" s="343"/>
    </row>
    <row r="194" spans="1:9" ht="12.75" x14ac:dyDescent="0.2">
      <c r="A194" s="349"/>
      <c r="B194" s="343"/>
      <c r="C194" s="343"/>
      <c r="D194" s="343"/>
      <c r="E194" s="343"/>
      <c r="F194" s="343"/>
      <c r="G194" s="343"/>
      <c r="H194" s="343"/>
      <c r="I194" s="343"/>
    </row>
    <row r="195" spans="1:9" ht="12.75" x14ac:dyDescent="0.2">
      <c r="A195" s="349"/>
      <c r="B195" s="343"/>
      <c r="C195" s="343"/>
      <c r="D195" s="343"/>
      <c r="E195" s="343"/>
      <c r="F195" s="343"/>
      <c r="G195" s="343"/>
      <c r="H195" s="343"/>
      <c r="I195" s="343"/>
    </row>
    <row r="196" spans="1:9" ht="12.75" x14ac:dyDescent="0.2">
      <c r="A196" s="349"/>
      <c r="B196" s="343"/>
      <c r="C196" s="343"/>
      <c r="D196" s="343"/>
      <c r="E196" s="343"/>
      <c r="F196" s="343"/>
      <c r="G196" s="343"/>
      <c r="H196" s="343"/>
      <c r="I196" s="343"/>
    </row>
    <row r="197" spans="1:9" ht="12.75" x14ac:dyDescent="0.2">
      <c r="A197" s="349"/>
      <c r="B197" s="343"/>
      <c r="C197" s="343"/>
      <c r="D197" s="343"/>
      <c r="E197" s="343"/>
      <c r="F197" s="343"/>
      <c r="G197" s="343"/>
      <c r="H197" s="343"/>
      <c r="I197" s="343"/>
    </row>
    <row r="198" spans="1:9" ht="12.75" x14ac:dyDescent="0.2">
      <c r="A198" s="349"/>
      <c r="B198" s="343"/>
      <c r="C198" s="343"/>
      <c r="D198" s="343"/>
      <c r="E198" s="343"/>
      <c r="F198" s="343"/>
      <c r="G198" s="343"/>
      <c r="H198" s="343"/>
      <c r="I198" s="343"/>
    </row>
    <row r="199" spans="1:9" ht="12.75" x14ac:dyDescent="0.2">
      <c r="A199" s="349"/>
      <c r="B199" s="343"/>
      <c r="C199" s="343"/>
      <c r="D199" s="343"/>
      <c r="E199" s="343"/>
      <c r="F199" s="343"/>
      <c r="G199" s="343"/>
      <c r="H199" s="343"/>
      <c r="I199" s="343"/>
    </row>
    <row r="200" spans="1:9" ht="12.75" x14ac:dyDescent="0.2">
      <c r="A200" s="349"/>
      <c r="B200" s="343"/>
      <c r="C200" s="343"/>
      <c r="D200" s="343"/>
      <c r="E200" s="343"/>
      <c r="F200" s="343"/>
      <c r="G200" s="343"/>
      <c r="H200" s="343"/>
      <c r="I200" s="343"/>
    </row>
    <row r="201" spans="1:9" ht="12.75" x14ac:dyDescent="0.2">
      <c r="A201" s="349"/>
      <c r="B201" s="343"/>
      <c r="C201" s="343"/>
      <c r="D201" s="343"/>
      <c r="E201" s="343"/>
      <c r="F201" s="343"/>
      <c r="G201" s="343"/>
      <c r="H201" s="343"/>
      <c r="I201" s="343"/>
    </row>
    <row r="202" spans="1:9" ht="12.75" x14ac:dyDescent="0.2">
      <c r="A202" s="349"/>
      <c r="B202" s="343"/>
      <c r="C202" s="343"/>
      <c r="D202" s="343"/>
      <c r="E202" s="343"/>
      <c r="F202" s="343"/>
      <c r="G202" s="343"/>
      <c r="H202" s="343"/>
      <c r="I202" s="343"/>
    </row>
    <row r="203" spans="1:9" ht="12.75" x14ac:dyDescent="0.2">
      <c r="A203" s="349"/>
      <c r="B203" s="343"/>
      <c r="C203" s="343"/>
      <c r="D203" s="343"/>
      <c r="E203" s="343"/>
      <c r="F203" s="343"/>
      <c r="G203" s="343"/>
      <c r="H203" s="343"/>
      <c r="I203" s="343"/>
    </row>
    <row r="204" spans="1:9" ht="12.75" x14ac:dyDescent="0.2">
      <c r="A204" s="349"/>
      <c r="B204" s="343"/>
      <c r="C204" s="343"/>
      <c r="D204" s="343"/>
      <c r="E204" s="343"/>
      <c r="F204" s="343"/>
      <c r="G204" s="343"/>
      <c r="H204" s="343"/>
      <c r="I204" s="343"/>
    </row>
    <row r="205" spans="1:9" ht="12.75" x14ac:dyDescent="0.2">
      <c r="A205" s="349"/>
      <c r="B205" s="343"/>
      <c r="C205" s="343"/>
      <c r="D205" s="343"/>
      <c r="E205" s="343"/>
      <c r="F205" s="343"/>
      <c r="G205" s="343"/>
      <c r="H205" s="343"/>
      <c r="I205" s="343"/>
    </row>
    <row r="206" spans="1:9" ht="12.75" x14ac:dyDescent="0.2">
      <c r="A206" s="349"/>
      <c r="B206" s="343"/>
      <c r="C206" s="343"/>
      <c r="D206" s="343"/>
      <c r="E206" s="343"/>
      <c r="F206" s="343"/>
      <c r="G206" s="343"/>
      <c r="H206" s="343"/>
      <c r="I206" s="343"/>
    </row>
    <row r="207" spans="1:9" ht="12.75" x14ac:dyDescent="0.2">
      <c r="A207" s="349"/>
      <c r="B207" s="343"/>
      <c r="C207" s="343"/>
      <c r="D207" s="343"/>
      <c r="E207" s="343"/>
      <c r="F207" s="343"/>
      <c r="G207" s="343"/>
      <c r="H207" s="343"/>
      <c r="I207" s="343"/>
    </row>
    <row r="208" spans="1:9" ht="12.75" x14ac:dyDescent="0.2">
      <c r="A208" s="349"/>
      <c r="B208" s="343"/>
      <c r="C208" s="343"/>
      <c r="D208" s="343"/>
      <c r="E208" s="343"/>
      <c r="F208" s="343"/>
      <c r="G208" s="343"/>
      <c r="H208" s="343"/>
      <c r="I208" s="343"/>
    </row>
    <row r="209" spans="1:9" ht="12.75" x14ac:dyDescent="0.2">
      <c r="A209" s="349"/>
      <c r="B209" s="343"/>
      <c r="C209" s="343"/>
      <c r="D209" s="343"/>
      <c r="E209" s="343"/>
      <c r="F209" s="343"/>
      <c r="G209" s="343"/>
      <c r="H209" s="343"/>
      <c r="I209" s="343"/>
    </row>
    <row r="210" spans="1:9" ht="12.75" x14ac:dyDescent="0.2">
      <c r="A210" s="349"/>
      <c r="B210" s="343"/>
      <c r="C210" s="343"/>
      <c r="D210" s="343"/>
      <c r="E210" s="343"/>
      <c r="F210" s="343"/>
      <c r="G210" s="343"/>
      <c r="H210" s="343"/>
      <c r="I210" s="343"/>
    </row>
    <row r="211" spans="1:9" ht="12.75" x14ac:dyDescent="0.2">
      <c r="A211" s="349"/>
      <c r="B211" s="343"/>
      <c r="C211" s="343"/>
      <c r="D211" s="343"/>
      <c r="E211" s="343"/>
      <c r="F211" s="343"/>
      <c r="G211" s="343"/>
      <c r="H211" s="343"/>
      <c r="I211" s="343"/>
    </row>
    <row r="212" spans="1:9" ht="12.75" x14ac:dyDescent="0.2">
      <c r="A212" s="349"/>
      <c r="B212" s="343"/>
      <c r="C212" s="343"/>
      <c r="D212" s="343"/>
      <c r="E212" s="343"/>
      <c r="F212" s="343"/>
      <c r="G212" s="343"/>
      <c r="H212" s="343"/>
      <c r="I212" s="343"/>
    </row>
    <row r="213" spans="1:9" ht="12.75" x14ac:dyDescent="0.2">
      <c r="A213" s="349"/>
      <c r="B213" s="343"/>
      <c r="C213" s="343"/>
      <c r="D213" s="343"/>
      <c r="E213" s="343"/>
      <c r="F213" s="343"/>
      <c r="G213" s="343"/>
      <c r="H213" s="343"/>
      <c r="I213" s="343"/>
    </row>
    <row r="214" spans="1:9" ht="12.75" x14ac:dyDescent="0.2">
      <c r="A214" s="349"/>
      <c r="B214" s="343"/>
      <c r="C214" s="343"/>
      <c r="D214" s="343"/>
      <c r="E214" s="343"/>
      <c r="F214" s="343"/>
      <c r="G214" s="343"/>
      <c r="H214" s="343"/>
      <c r="I214" s="343"/>
    </row>
    <row r="215" spans="1:9" ht="12.75" x14ac:dyDescent="0.2">
      <c r="A215" s="349"/>
      <c r="B215" s="343"/>
      <c r="C215" s="343"/>
      <c r="D215" s="343"/>
      <c r="E215" s="343"/>
      <c r="F215" s="343"/>
      <c r="G215" s="343"/>
      <c r="H215" s="343"/>
      <c r="I215" s="343"/>
    </row>
    <row r="216" spans="1:9" ht="12.75" x14ac:dyDescent="0.2">
      <c r="A216" s="349"/>
      <c r="B216" s="343"/>
      <c r="C216" s="343"/>
      <c r="D216" s="343"/>
      <c r="E216" s="343"/>
      <c r="F216" s="343"/>
      <c r="G216" s="343"/>
      <c r="H216" s="343"/>
      <c r="I216" s="343"/>
    </row>
    <row r="217" spans="1:9" ht="12.75" x14ac:dyDescent="0.2">
      <c r="A217" s="349"/>
      <c r="B217" s="343"/>
      <c r="C217" s="343"/>
      <c r="D217" s="343"/>
      <c r="E217" s="343"/>
      <c r="F217" s="343"/>
      <c r="G217" s="343"/>
      <c r="H217" s="343"/>
      <c r="I217" s="343"/>
    </row>
    <row r="218" spans="1:9" ht="12.75" x14ac:dyDescent="0.2">
      <c r="A218" s="349"/>
      <c r="B218" s="343"/>
      <c r="C218" s="343"/>
      <c r="D218" s="343"/>
      <c r="E218" s="343"/>
      <c r="F218" s="343"/>
      <c r="G218" s="343"/>
      <c r="H218" s="343"/>
      <c r="I218" s="343"/>
    </row>
    <row r="219" spans="1:9" ht="12.75" x14ac:dyDescent="0.2">
      <c r="A219" s="349"/>
      <c r="B219" s="343"/>
      <c r="C219" s="343"/>
      <c r="D219" s="343"/>
      <c r="E219" s="343"/>
      <c r="F219" s="343"/>
      <c r="G219" s="343"/>
      <c r="H219" s="343"/>
      <c r="I219" s="343"/>
    </row>
    <row r="220" spans="1:9" ht="12.75" x14ac:dyDescent="0.2">
      <c r="A220" s="349"/>
      <c r="B220" s="343"/>
      <c r="C220" s="343"/>
      <c r="D220" s="343"/>
      <c r="E220" s="343"/>
      <c r="F220" s="343"/>
      <c r="G220" s="343"/>
      <c r="H220" s="343"/>
      <c r="I220" s="343"/>
    </row>
    <row r="221" spans="1:9" ht="12.75" x14ac:dyDescent="0.2">
      <c r="A221" s="349"/>
      <c r="B221" s="343"/>
      <c r="C221" s="343"/>
      <c r="D221" s="343"/>
      <c r="E221" s="343"/>
      <c r="F221" s="343"/>
      <c r="G221" s="343"/>
      <c r="H221" s="343"/>
      <c r="I221" s="343"/>
    </row>
    <row r="222" spans="1:9" ht="12.75" x14ac:dyDescent="0.2">
      <c r="A222" s="349"/>
      <c r="B222" s="343"/>
      <c r="C222" s="343"/>
      <c r="D222" s="343"/>
      <c r="E222" s="343"/>
      <c r="F222" s="343"/>
      <c r="G222" s="343"/>
      <c r="H222" s="343"/>
      <c r="I222" s="343"/>
    </row>
    <row r="223" spans="1:9" ht="12.75" x14ac:dyDescent="0.2">
      <c r="A223" s="349"/>
      <c r="B223" s="343"/>
      <c r="C223" s="343"/>
      <c r="D223" s="343"/>
      <c r="E223" s="343"/>
      <c r="F223" s="343"/>
      <c r="G223" s="343"/>
      <c r="H223" s="343"/>
      <c r="I223" s="343"/>
    </row>
    <row r="224" spans="1:9" ht="12.75" x14ac:dyDescent="0.2">
      <c r="A224" s="349"/>
      <c r="B224" s="343"/>
      <c r="C224" s="343"/>
      <c r="D224" s="343"/>
      <c r="E224" s="343"/>
      <c r="F224" s="343"/>
      <c r="G224" s="343"/>
      <c r="H224" s="343"/>
      <c r="I224" s="343"/>
    </row>
    <row r="225" spans="1:9" ht="12.75" x14ac:dyDescent="0.2">
      <c r="A225" s="349"/>
      <c r="B225" s="343"/>
      <c r="C225" s="343"/>
      <c r="D225" s="343"/>
      <c r="E225" s="343"/>
      <c r="F225" s="343"/>
      <c r="G225" s="343"/>
      <c r="H225" s="343"/>
      <c r="I225" s="343"/>
    </row>
    <row r="226" spans="1:9" ht="12.75" x14ac:dyDescent="0.2">
      <c r="A226" s="349"/>
      <c r="B226" s="343"/>
      <c r="C226" s="343"/>
      <c r="D226" s="343"/>
      <c r="E226" s="343"/>
      <c r="F226" s="343"/>
      <c r="G226" s="343"/>
      <c r="H226" s="343"/>
      <c r="I226" s="343"/>
    </row>
    <row r="227" spans="1:9" ht="12.75" x14ac:dyDescent="0.2">
      <c r="A227" s="349"/>
      <c r="B227" s="343"/>
      <c r="C227" s="343"/>
      <c r="D227" s="343"/>
      <c r="E227" s="343"/>
      <c r="F227" s="343"/>
      <c r="G227" s="343"/>
      <c r="H227" s="343"/>
      <c r="I227" s="343"/>
    </row>
    <row r="228" spans="1:9" ht="12.75" x14ac:dyDescent="0.2">
      <c r="A228" s="349"/>
      <c r="B228" s="343"/>
      <c r="C228" s="343"/>
      <c r="D228" s="343"/>
      <c r="E228" s="343"/>
      <c r="F228" s="343"/>
      <c r="G228" s="343"/>
      <c r="H228" s="343"/>
      <c r="I228" s="343"/>
    </row>
    <row r="229" spans="1:9" ht="12.75" x14ac:dyDescent="0.2">
      <c r="A229" s="349"/>
      <c r="B229" s="343"/>
      <c r="C229" s="343"/>
      <c r="D229" s="343"/>
      <c r="E229" s="343"/>
      <c r="F229" s="343"/>
      <c r="G229" s="343"/>
      <c r="H229" s="343"/>
      <c r="I229" s="343"/>
    </row>
    <row r="230" spans="1:9" ht="12.75" x14ac:dyDescent="0.2">
      <c r="A230" s="349"/>
      <c r="B230" s="343"/>
      <c r="C230" s="343"/>
      <c r="D230" s="343"/>
      <c r="E230" s="343"/>
      <c r="F230" s="343"/>
      <c r="G230" s="343"/>
      <c r="H230" s="343"/>
      <c r="I230" s="343"/>
    </row>
    <row r="231" spans="1:9" ht="12.75" x14ac:dyDescent="0.2">
      <c r="A231" s="349"/>
      <c r="B231" s="343"/>
      <c r="C231" s="343"/>
      <c r="D231" s="343"/>
      <c r="E231" s="343"/>
      <c r="F231" s="343"/>
      <c r="G231" s="343"/>
      <c r="H231" s="343"/>
      <c r="I231" s="343"/>
    </row>
    <row r="232" spans="1:9" ht="12.75" x14ac:dyDescent="0.2">
      <c r="A232" s="349"/>
      <c r="B232" s="343"/>
      <c r="C232" s="343"/>
      <c r="D232" s="343"/>
      <c r="E232" s="343"/>
      <c r="F232" s="343"/>
      <c r="G232" s="343"/>
      <c r="H232" s="343"/>
      <c r="I232" s="343"/>
    </row>
    <row r="233" spans="1:9" ht="12.75" x14ac:dyDescent="0.2">
      <c r="A233" s="349"/>
      <c r="B233" s="343"/>
      <c r="C233" s="343"/>
      <c r="D233" s="343"/>
      <c r="E233" s="343"/>
      <c r="F233" s="343"/>
      <c r="G233" s="343"/>
      <c r="H233" s="343"/>
      <c r="I233" s="343"/>
    </row>
    <row r="234" spans="1:9" ht="12.75" x14ac:dyDescent="0.2">
      <c r="A234" s="349"/>
      <c r="B234" s="343"/>
      <c r="C234" s="343"/>
      <c r="D234" s="343"/>
      <c r="E234" s="343"/>
      <c r="F234" s="343"/>
      <c r="G234" s="343"/>
      <c r="H234" s="343"/>
      <c r="I234" s="343"/>
    </row>
    <row r="235" spans="1:9" ht="12.75" x14ac:dyDescent="0.2">
      <c r="A235" s="349"/>
      <c r="B235" s="343"/>
      <c r="C235" s="343"/>
      <c r="D235" s="343"/>
      <c r="E235" s="343"/>
      <c r="F235" s="343"/>
      <c r="G235" s="343"/>
      <c r="H235" s="343"/>
      <c r="I235" s="343"/>
    </row>
    <row r="236" spans="1:9" ht="12.75" x14ac:dyDescent="0.2">
      <c r="A236" s="349"/>
      <c r="B236" s="343"/>
      <c r="C236" s="343"/>
      <c r="D236" s="343"/>
      <c r="E236" s="343"/>
      <c r="F236" s="343"/>
      <c r="G236" s="343"/>
      <c r="H236" s="343"/>
      <c r="I236" s="343"/>
    </row>
    <row r="237" spans="1:9" ht="12.75" x14ac:dyDescent="0.2">
      <c r="A237" s="349"/>
      <c r="B237" s="343"/>
      <c r="C237" s="343"/>
      <c r="D237" s="343"/>
      <c r="E237" s="343"/>
      <c r="F237" s="343"/>
      <c r="G237" s="343"/>
      <c r="H237" s="343"/>
      <c r="I237" s="343"/>
    </row>
    <row r="238" spans="1:9" ht="12.75" x14ac:dyDescent="0.2">
      <c r="A238" s="349"/>
      <c r="B238" s="343"/>
      <c r="C238" s="343"/>
      <c r="D238" s="343"/>
      <c r="E238" s="343"/>
      <c r="F238" s="343"/>
      <c r="G238" s="343"/>
      <c r="H238" s="343"/>
      <c r="I238" s="343"/>
    </row>
    <row r="239" spans="1:9" ht="12.75" x14ac:dyDescent="0.2">
      <c r="A239" s="349"/>
      <c r="B239" s="343"/>
      <c r="C239" s="343"/>
      <c r="D239" s="343"/>
      <c r="E239" s="343"/>
      <c r="F239" s="343"/>
      <c r="G239" s="343"/>
      <c r="H239" s="343"/>
      <c r="I239" s="343"/>
    </row>
    <row r="240" spans="1:9" ht="12.75" x14ac:dyDescent="0.2">
      <c r="A240" s="349"/>
      <c r="B240" s="343"/>
      <c r="C240" s="343"/>
      <c r="D240" s="343"/>
      <c r="E240" s="343"/>
      <c r="F240" s="343"/>
      <c r="G240" s="343"/>
      <c r="H240" s="343"/>
      <c r="I240" s="343"/>
    </row>
    <row r="241" spans="1:9" ht="12.75" x14ac:dyDescent="0.2">
      <c r="A241" s="349"/>
      <c r="B241" s="343"/>
      <c r="C241" s="343"/>
      <c r="D241" s="343"/>
      <c r="E241" s="343"/>
      <c r="F241" s="343"/>
      <c r="G241" s="343"/>
      <c r="H241" s="343"/>
      <c r="I241" s="343"/>
    </row>
    <row r="242" spans="1:9" ht="12.75" x14ac:dyDescent="0.2">
      <c r="A242" s="349"/>
      <c r="B242" s="343"/>
      <c r="C242" s="343"/>
      <c r="D242" s="343"/>
      <c r="E242" s="343"/>
      <c r="F242" s="343"/>
      <c r="G242" s="343"/>
      <c r="H242" s="343"/>
      <c r="I242" s="343"/>
    </row>
    <row r="243" spans="1:9" ht="12.75" x14ac:dyDescent="0.2">
      <c r="A243" s="349"/>
      <c r="B243" s="343"/>
      <c r="C243" s="343"/>
      <c r="D243" s="343"/>
      <c r="E243" s="343"/>
      <c r="F243" s="343"/>
      <c r="G243" s="343"/>
      <c r="H243" s="343"/>
      <c r="I243" s="343"/>
    </row>
    <row r="244" spans="1:9" ht="12.75" x14ac:dyDescent="0.2">
      <c r="A244" s="349"/>
      <c r="B244" s="343"/>
      <c r="C244" s="343"/>
      <c r="D244" s="343"/>
      <c r="E244" s="343"/>
      <c r="F244" s="343"/>
      <c r="G244" s="343"/>
      <c r="H244" s="343"/>
      <c r="I244" s="343"/>
    </row>
    <row r="245" spans="1:9" ht="12.75" x14ac:dyDescent="0.2">
      <c r="A245" s="349"/>
      <c r="B245" s="343"/>
      <c r="C245" s="343"/>
      <c r="D245" s="343"/>
      <c r="E245" s="343"/>
      <c r="F245" s="343"/>
      <c r="G245" s="343"/>
      <c r="H245" s="343"/>
      <c r="I245" s="343"/>
    </row>
    <row r="246" spans="1:9" ht="12.75" x14ac:dyDescent="0.2">
      <c r="A246" s="349"/>
      <c r="B246" s="343"/>
      <c r="C246" s="343"/>
      <c r="D246" s="343"/>
      <c r="E246" s="343"/>
      <c r="F246" s="343"/>
      <c r="G246" s="343"/>
      <c r="H246" s="343"/>
      <c r="I246" s="343"/>
    </row>
    <row r="247" spans="1:9" ht="12.75" x14ac:dyDescent="0.2">
      <c r="A247" s="349"/>
      <c r="B247" s="343"/>
      <c r="C247" s="343"/>
      <c r="D247" s="343"/>
      <c r="E247" s="343"/>
      <c r="F247" s="343"/>
      <c r="G247" s="343"/>
      <c r="H247" s="343"/>
      <c r="I247" s="343"/>
    </row>
    <row r="248" spans="1:9" ht="12.75" x14ac:dyDescent="0.2">
      <c r="A248" s="349"/>
      <c r="B248" s="343"/>
      <c r="C248" s="343"/>
      <c r="D248" s="343"/>
      <c r="E248" s="343"/>
      <c r="F248" s="343"/>
      <c r="G248" s="343"/>
      <c r="H248" s="343"/>
      <c r="I248" s="343"/>
    </row>
    <row r="249" spans="1:9" ht="12.75" x14ac:dyDescent="0.2">
      <c r="A249" s="349"/>
      <c r="B249" s="343"/>
      <c r="C249" s="343"/>
      <c r="D249" s="343"/>
      <c r="E249" s="343"/>
      <c r="F249" s="343"/>
      <c r="G249" s="343"/>
      <c r="H249" s="343"/>
      <c r="I249" s="343"/>
    </row>
    <row r="250" spans="1:9" ht="12.75" x14ac:dyDescent="0.2">
      <c r="A250" s="349"/>
      <c r="B250" s="343"/>
      <c r="C250" s="343"/>
      <c r="D250" s="343"/>
      <c r="E250" s="343"/>
      <c r="F250" s="343"/>
      <c r="G250" s="343"/>
      <c r="H250" s="343"/>
      <c r="I250" s="343"/>
    </row>
    <row r="251" spans="1:9" ht="12.75" x14ac:dyDescent="0.2">
      <c r="A251" s="349"/>
      <c r="B251" s="343"/>
      <c r="C251" s="343"/>
      <c r="D251" s="343"/>
      <c r="E251" s="343"/>
      <c r="F251" s="343"/>
      <c r="G251" s="343"/>
      <c r="H251" s="343"/>
      <c r="I251" s="343"/>
    </row>
    <row r="252" spans="1:9" ht="12.75" x14ac:dyDescent="0.2">
      <c r="A252" s="349"/>
      <c r="B252" s="343"/>
      <c r="C252" s="343"/>
      <c r="D252" s="343"/>
      <c r="E252" s="343"/>
      <c r="F252" s="343"/>
      <c r="G252" s="343"/>
      <c r="H252" s="343"/>
      <c r="I252" s="343"/>
    </row>
    <row r="253" spans="1:9" ht="12.75" x14ac:dyDescent="0.2">
      <c r="A253" s="349"/>
      <c r="B253" s="343"/>
      <c r="C253" s="343"/>
      <c r="D253" s="343"/>
      <c r="E253" s="343"/>
      <c r="F253" s="343"/>
      <c r="G253" s="343"/>
      <c r="H253" s="343"/>
      <c r="I253" s="343"/>
    </row>
    <row r="254" spans="1:9" ht="12.75" x14ac:dyDescent="0.2">
      <c r="A254" s="349"/>
      <c r="B254" s="343"/>
      <c r="C254" s="343"/>
      <c r="D254" s="343"/>
      <c r="E254" s="343"/>
      <c r="F254" s="343"/>
      <c r="G254" s="343"/>
      <c r="H254" s="343"/>
      <c r="I254" s="343"/>
    </row>
    <row r="255" spans="1:9" ht="12.75" x14ac:dyDescent="0.2">
      <c r="A255" s="349"/>
      <c r="B255" s="343"/>
      <c r="C255" s="343"/>
      <c r="D255" s="343"/>
      <c r="E255" s="343"/>
      <c r="F255" s="343"/>
      <c r="G255" s="343"/>
      <c r="H255" s="343"/>
      <c r="I255" s="343"/>
    </row>
    <row r="256" spans="1:9" ht="12.75" x14ac:dyDescent="0.2">
      <c r="A256" s="349"/>
      <c r="B256" s="343"/>
      <c r="C256" s="343"/>
      <c r="D256" s="343"/>
      <c r="E256" s="343"/>
      <c r="F256" s="343"/>
      <c r="G256" s="343"/>
      <c r="H256" s="343"/>
      <c r="I256" s="343"/>
    </row>
    <row r="257" spans="1:9" ht="12.75" x14ac:dyDescent="0.2">
      <c r="A257" s="349"/>
      <c r="B257" s="343"/>
      <c r="C257" s="343"/>
      <c r="D257" s="343"/>
      <c r="E257" s="343"/>
      <c r="F257" s="343"/>
      <c r="G257" s="343"/>
      <c r="H257" s="343"/>
      <c r="I257" s="343"/>
    </row>
    <row r="258" spans="1:9" ht="12.75" x14ac:dyDescent="0.2">
      <c r="A258" s="349"/>
      <c r="B258" s="343"/>
      <c r="C258" s="343"/>
      <c r="D258" s="343"/>
      <c r="E258" s="343"/>
      <c r="F258" s="343"/>
      <c r="G258" s="343"/>
      <c r="H258" s="343"/>
      <c r="I258" s="343"/>
    </row>
    <row r="259" spans="1:9" ht="12.75" x14ac:dyDescent="0.2">
      <c r="A259" s="349"/>
      <c r="B259" s="343"/>
      <c r="C259" s="343"/>
      <c r="D259" s="343"/>
      <c r="E259" s="343"/>
      <c r="F259" s="343"/>
      <c r="G259" s="343"/>
      <c r="H259" s="343"/>
      <c r="I259" s="343"/>
    </row>
    <row r="260" spans="1:9" ht="12.75" x14ac:dyDescent="0.2">
      <c r="A260" s="349"/>
      <c r="B260" s="343"/>
      <c r="C260" s="343"/>
      <c r="D260" s="343"/>
      <c r="E260" s="343"/>
      <c r="F260" s="343"/>
      <c r="G260" s="343"/>
      <c r="H260" s="343"/>
      <c r="I260" s="343"/>
    </row>
    <row r="261" spans="1:9" ht="12.75" x14ac:dyDescent="0.2">
      <c r="A261" s="349"/>
      <c r="B261" s="343"/>
      <c r="C261" s="343"/>
      <c r="D261" s="343"/>
      <c r="E261" s="343"/>
      <c r="F261" s="343"/>
      <c r="G261" s="343"/>
      <c r="H261" s="343"/>
      <c r="I261" s="343"/>
    </row>
    <row r="262" spans="1:9" ht="12.75" x14ac:dyDescent="0.2">
      <c r="A262" s="349"/>
      <c r="B262" s="343"/>
      <c r="C262" s="343"/>
      <c r="D262" s="343"/>
      <c r="E262" s="343"/>
      <c r="F262" s="343"/>
      <c r="G262" s="343"/>
      <c r="H262" s="343"/>
      <c r="I262" s="343"/>
    </row>
    <row r="263" spans="1:9" ht="12.75" x14ac:dyDescent="0.2">
      <c r="A263" s="349"/>
      <c r="B263" s="343"/>
      <c r="C263" s="343"/>
      <c r="D263" s="343"/>
      <c r="E263" s="343"/>
      <c r="F263" s="343"/>
      <c r="G263" s="343"/>
      <c r="H263" s="343"/>
      <c r="I263" s="343"/>
    </row>
    <row r="264" spans="1:9" ht="12.75" x14ac:dyDescent="0.2">
      <c r="A264" s="349"/>
      <c r="B264" s="343"/>
      <c r="C264" s="343"/>
      <c r="D264" s="343"/>
      <c r="E264" s="343"/>
      <c r="F264" s="343"/>
      <c r="G264" s="343"/>
      <c r="H264" s="343"/>
      <c r="I264" s="343"/>
    </row>
    <row r="265" spans="1:9" ht="12.75" x14ac:dyDescent="0.2">
      <c r="A265" s="349"/>
      <c r="B265" s="343"/>
      <c r="C265" s="343"/>
      <c r="D265" s="343"/>
      <c r="E265" s="343"/>
      <c r="F265" s="343"/>
      <c r="G265" s="343"/>
      <c r="H265" s="343"/>
      <c r="I265" s="343"/>
    </row>
    <row r="266" spans="1:9" ht="12.75" x14ac:dyDescent="0.2">
      <c r="A266" s="349"/>
      <c r="B266" s="343"/>
      <c r="C266" s="343"/>
      <c r="D266" s="343"/>
      <c r="E266" s="343"/>
      <c r="F266" s="343"/>
      <c r="G266" s="343"/>
      <c r="H266" s="343"/>
      <c r="I266" s="343"/>
    </row>
    <row r="267" spans="1:9" ht="12.75" x14ac:dyDescent="0.2">
      <c r="A267" s="349"/>
      <c r="B267" s="343"/>
      <c r="C267" s="343"/>
      <c r="D267" s="343"/>
      <c r="E267" s="343"/>
      <c r="F267" s="343"/>
      <c r="G267" s="343"/>
      <c r="H267" s="343"/>
      <c r="I267" s="343"/>
    </row>
    <row r="268" spans="1:9" ht="12.75" x14ac:dyDescent="0.2">
      <c r="A268" s="349"/>
      <c r="B268" s="343"/>
      <c r="C268" s="343"/>
      <c r="D268" s="343"/>
      <c r="E268" s="343"/>
      <c r="F268" s="343"/>
      <c r="G268" s="343"/>
      <c r="H268" s="343"/>
      <c r="I268" s="343"/>
    </row>
    <row r="269" spans="1:9" ht="12.75" x14ac:dyDescent="0.2">
      <c r="A269" s="349"/>
      <c r="B269" s="343"/>
      <c r="C269" s="343"/>
      <c r="D269" s="343"/>
      <c r="E269" s="343"/>
      <c r="F269" s="343"/>
      <c r="G269" s="343"/>
      <c r="H269" s="343"/>
      <c r="I269" s="343"/>
    </row>
    <row r="270" spans="1:9" ht="12.75" x14ac:dyDescent="0.2">
      <c r="A270" s="349"/>
      <c r="B270" s="343"/>
      <c r="C270" s="343"/>
      <c r="D270" s="343"/>
      <c r="E270" s="343"/>
      <c r="F270" s="343"/>
      <c r="G270" s="343"/>
      <c r="H270" s="343"/>
      <c r="I270" s="343"/>
    </row>
    <row r="271" spans="1:9" ht="12.75" x14ac:dyDescent="0.2">
      <c r="A271" s="349"/>
      <c r="B271" s="343"/>
      <c r="C271" s="343"/>
      <c r="D271" s="343"/>
      <c r="E271" s="343"/>
      <c r="F271" s="343"/>
      <c r="G271" s="343"/>
      <c r="H271" s="343"/>
      <c r="I271" s="343"/>
    </row>
    <row r="272" spans="1:9" ht="12.75" x14ac:dyDescent="0.2">
      <c r="A272" s="349"/>
      <c r="B272" s="343"/>
      <c r="C272" s="343"/>
      <c r="D272" s="343"/>
      <c r="E272" s="343"/>
      <c r="F272" s="343"/>
      <c r="G272" s="343"/>
      <c r="H272" s="343"/>
      <c r="I272" s="343"/>
    </row>
    <row r="273" spans="1:9" ht="12.75" x14ac:dyDescent="0.2">
      <c r="A273" s="349"/>
      <c r="B273" s="343"/>
      <c r="C273" s="343"/>
      <c r="D273" s="343"/>
      <c r="E273" s="343"/>
      <c r="F273" s="343"/>
      <c r="G273" s="343"/>
      <c r="H273" s="343"/>
      <c r="I273" s="343"/>
    </row>
    <row r="274" spans="1:9" ht="12.75" x14ac:dyDescent="0.2">
      <c r="A274" s="349"/>
      <c r="B274" s="343"/>
      <c r="C274" s="343"/>
      <c r="D274" s="343"/>
      <c r="E274" s="343"/>
      <c r="F274" s="343"/>
      <c r="G274" s="343"/>
      <c r="H274" s="343"/>
      <c r="I274" s="343"/>
    </row>
    <row r="275" spans="1:9" ht="12.75" x14ac:dyDescent="0.2">
      <c r="A275" s="349"/>
      <c r="B275" s="343"/>
      <c r="C275" s="343"/>
      <c r="D275" s="343"/>
      <c r="E275" s="343"/>
      <c r="F275" s="343"/>
      <c r="G275" s="343"/>
      <c r="H275" s="343"/>
      <c r="I275" s="343"/>
    </row>
    <row r="276" spans="1:9" ht="12.75" x14ac:dyDescent="0.2">
      <c r="A276" s="349"/>
      <c r="B276" s="343"/>
      <c r="C276" s="343"/>
      <c r="D276" s="343"/>
      <c r="E276" s="343"/>
      <c r="F276" s="343"/>
      <c r="G276" s="343"/>
      <c r="H276" s="343"/>
      <c r="I276" s="343"/>
    </row>
    <row r="277" spans="1:9" ht="12.75" x14ac:dyDescent="0.2">
      <c r="A277" s="349"/>
      <c r="B277" s="343"/>
      <c r="C277" s="343"/>
      <c r="D277" s="343"/>
      <c r="E277" s="343"/>
      <c r="F277" s="343"/>
      <c r="G277" s="343"/>
      <c r="H277" s="343"/>
      <c r="I277" s="343"/>
    </row>
    <row r="278" spans="1:9" ht="12.75" x14ac:dyDescent="0.2">
      <c r="A278" s="349"/>
      <c r="B278" s="343"/>
      <c r="C278" s="343"/>
      <c r="D278" s="343"/>
      <c r="E278" s="343"/>
      <c r="F278" s="343"/>
      <c r="G278" s="343"/>
      <c r="H278" s="343"/>
      <c r="I278" s="343"/>
    </row>
    <row r="279" spans="1:9" ht="12.75" x14ac:dyDescent="0.2">
      <c r="A279" s="349"/>
      <c r="B279" s="343"/>
      <c r="C279" s="343"/>
      <c r="D279" s="343"/>
      <c r="E279" s="343"/>
      <c r="F279" s="343"/>
      <c r="G279" s="343"/>
      <c r="H279" s="343"/>
      <c r="I279" s="343"/>
    </row>
    <row r="280" spans="1:9" ht="12.75" x14ac:dyDescent="0.2">
      <c r="A280" s="349"/>
      <c r="B280" s="343"/>
      <c r="C280" s="343"/>
      <c r="D280" s="343"/>
      <c r="E280" s="343"/>
      <c r="F280" s="343"/>
      <c r="G280" s="343"/>
      <c r="H280" s="343"/>
      <c r="I280" s="343"/>
    </row>
    <row r="281" spans="1:9" ht="12.75" x14ac:dyDescent="0.2">
      <c r="A281" s="349"/>
      <c r="B281" s="343"/>
      <c r="C281" s="343"/>
      <c r="D281" s="343"/>
      <c r="E281" s="343"/>
      <c r="F281" s="343"/>
      <c r="G281" s="343"/>
      <c r="H281" s="343"/>
      <c r="I281" s="343"/>
    </row>
    <row r="282" spans="1:9" ht="12.75" x14ac:dyDescent="0.2">
      <c r="A282" s="349"/>
      <c r="B282" s="343"/>
      <c r="C282" s="343"/>
      <c r="D282" s="343"/>
      <c r="E282" s="343"/>
      <c r="F282" s="343"/>
      <c r="G282" s="343"/>
      <c r="H282" s="343"/>
      <c r="I282" s="343"/>
    </row>
    <row r="283" spans="1:9" ht="12.75" x14ac:dyDescent="0.2">
      <c r="A283" s="349"/>
      <c r="B283" s="343"/>
      <c r="C283" s="343"/>
      <c r="D283" s="343"/>
      <c r="E283" s="343"/>
      <c r="F283" s="343"/>
      <c r="G283" s="343"/>
      <c r="H283" s="343"/>
      <c r="I283" s="343"/>
    </row>
    <row r="284" spans="1:9" ht="12.75" x14ac:dyDescent="0.2">
      <c r="A284" s="349"/>
      <c r="B284" s="343"/>
      <c r="C284" s="343"/>
      <c r="D284" s="343"/>
      <c r="E284" s="343"/>
      <c r="F284" s="343"/>
      <c r="G284" s="343"/>
      <c r="H284" s="343"/>
      <c r="I284" s="343"/>
    </row>
    <row r="285" spans="1:9" ht="12.75" x14ac:dyDescent="0.2">
      <c r="A285" s="349"/>
      <c r="B285" s="343"/>
      <c r="C285" s="343"/>
      <c r="D285" s="343"/>
      <c r="E285" s="343"/>
      <c r="F285" s="343"/>
      <c r="G285" s="343"/>
      <c r="H285" s="343"/>
      <c r="I285" s="343"/>
    </row>
    <row r="286" spans="1:9" ht="12.75" x14ac:dyDescent="0.2">
      <c r="A286" s="349"/>
      <c r="B286" s="343"/>
      <c r="C286" s="343"/>
      <c r="D286" s="343"/>
      <c r="E286" s="343"/>
      <c r="F286" s="343"/>
      <c r="G286" s="343"/>
      <c r="H286" s="343"/>
      <c r="I286" s="343"/>
    </row>
    <row r="287" spans="1:9" ht="12.75" x14ac:dyDescent="0.2">
      <c r="A287" s="349"/>
      <c r="B287" s="343"/>
      <c r="C287" s="343"/>
      <c r="D287" s="343"/>
      <c r="E287" s="343"/>
      <c r="F287" s="343"/>
      <c r="G287" s="343"/>
      <c r="H287" s="343"/>
      <c r="I287" s="343"/>
    </row>
    <row r="288" spans="1:9" ht="12.75" x14ac:dyDescent="0.2">
      <c r="A288" s="349"/>
      <c r="B288" s="343"/>
      <c r="C288" s="343"/>
      <c r="D288" s="343"/>
      <c r="E288" s="343"/>
      <c r="F288" s="343"/>
      <c r="G288" s="343"/>
      <c r="H288" s="343"/>
      <c r="I288" s="343"/>
    </row>
    <row r="289" spans="1:9" ht="12.75" x14ac:dyDescent="0.2">
      <c r="A289" s="349"/>
      <c r="B289" s="343"/>
      <c r="C289" s="343"/>
      <c r="D289" s="343"/>
      <c r="E289" s="343"/>
      <c r="F289" s="343"/>
      <c r="G289" s="343"/>
      <c r="H289" s="343"/>
      <c r="I289" s="343"/>
    </row>
    <row r="290" spans="1:9" ht="12.75" x14ac:dyDescent="0.2">
      <c r="A290" s="349"/>
      <c r="B290" s="343"/>
      <c r="C290" s="343"/>
      <c r="D290" s="343"/>
      <c r="E290" s="343"/>
      <c r="F290" s="343"/>
      <c r="G290" s="343"/>
      <c r="H290" s="343"/>
      <c r="I290" s="343"/>
    </row>
    <row r="291" spans="1:9" ht="12.75" x14ac:dyDescent="0.2">
      <c r="A291" s="349"/>
      <c r="B291" s="343"/>
      <c r="C291" s="343"/>
      <c r="D291" s="343"/>
      <c r="E291" s="343"/>
      <c r="F291" s="343"/>
      <c r="G291" s="343"/>
      <c r="H291" s="343"/>
      <c r="I291" s="343"/>
    </row>
    <row r="292" spans="1:9" ht="12.75" x14ac:dyDescent="0.2">
      <c r="A292" s="349"/>
      <c r="B292" s="343"/>
      <c r="C292" s="343"/>
      <c r="D292" s="343"/>
      <c r="E292" s="343"/>
      <c r="F292" s="343"/>
      <c r="G292" s="343"/>
      <c r="H292" s="343"/>
      <c r="I292" s="343"/>
    </row>
    <row r="293" spans="1:9" ht="12.75" x14ac:dyDescent="0.2">
      <c r="A293" s="349"/>
      <c r="B293" s="343"/>
      <c r="C293" s="343"/>
      <c r="D293" s="343"/>
      <c r="E293" s="343"/>
      <c r="F293" s="343"/>
      <c r="G293" s="343"/>
      <c r="H293" s="343"/>
      <c r="I293" s="343"/>
    </row>
    <row r="294" spans="1:9" ht="12.75" x14ac:dyDescent="0.2">
      <c r="A294" s="349"/>
      <c r="B294" s="343"/>
      <c r="C294" s="343"/>
      <c r="D294" s="343"/>
      <c r="E294" s="343"/>
      <c r="F294" s="343"/>
      <c r="G294" s="343"/>
      <c r="H294" s="343"/>
      <c r="I294" s="343"/>
    </row>
    <row r="295" spans="1:9" ht="12.75" x14ac:dyDescent="0.2">
      <c r="A295" s="349"/>
      <c r="B295" s="343"/>
      <c r="C295" s="343"/>
      <c r="D295" s="343"/>
      <c r="E295" s="343"/>
      <c r="F295" s="343"/>
      <c r="G295" s="343"/>
      <c r="H295" s="343"/>
      <c r="I295" s="343"/>
    </row>
    <row r="296" spans="1:9" ht="12.75" x14ac:dyDescent="0.2">
      <c r="A296" s="349"/>
      <c r="B296" s="343"/>
      <c r="C296" s="343"/>
      <c r="D296" s="343"/>
      <c r="E296" s="343"/>
      <c r="F296" s="343"/>
      <c r="G296" s="343"/>
      <c r="H296" s="343"/>
      <c r="I296" s="343"/>
    </row>
    <row r="297" spans="1:9" ht="12.75" x14ac:dyDescent="0.2">
      <c r="A297" s="349"/>
      <c r="B297" s="343"/>
      <c r="C297" s="343"/>
      <c r="D297" s="343"/>
      <c r="E297" s="343"/>
      <c r="F297" s="343"/>
      <c r="G297" s="343"/>
      <c r="H297" s="343"/>
      <c r="I297" s="343"/>
    </row>
    <row r="298" spans="1:9" ht="12.75" x14ac:dyDescent="0.2">
      <c r="A298" s="349"/>
      <c r="B298" s="343"/>
      <c r="C298" s="343"/>
      <c r="D298" s="343"/>
      <c r="E298" s="343"/>
      <c r="F298" s="343"/>
      <c r="G298" s="343"/>
      <c r="H298" s="343"/>
      <c r="I298" s="343"/>
    </row>
    <row r="299" spans="1:9" ht="12.75" x14ac:dyDescent="0.2">
      <c r="A299" s="349"/>
      <c r="B299" s="343"/>
      <c r="C299" s="343"/>
      <c r="D299" s="343"/>
      <c r="E299" s="343"/>
      <c r="F299" s="343"/>
      <c r="G299" s="343"/>
      <c r="H299" s="343"/>
      <c r="I299" s="343"/>
    </row>
    <row r="300" spans="1:9" ht="12.75" x14ac:dyDescent="0.2">
      <c r="A300" s="349"/>
      <c r="B300" s="343"/>
      <c r="C300" s="343"/>
      <c r="D300" s="343"/>
      <c r="E300" s="343"/>
      <c r="F300" s="343"/>
      <c r="G300" s="343"/>
      <c r="H300" s="343"/>
      <c r="I300" s="343"/>
    </row>
    <row r="301" spans="1:9" ht="12.75" x14ac:dyDescent="0.2">
      <c r="A301" s="349"/>
      <c r="B301" s="343"/>
      <c r="C301" s="343"/>
      <c r="D301" s="343"/>
      <c r="E301" s="343"/>
      <c r="F301" s="343"/>
      <c r="G301" s="343"/>
      <c r="H301" s="343"/>
      <c r="I301" s="343"/>
    </row>
    <row r="302" spans="1:9" ht="12.75" x14ac:dyDescent="0.2">
      <c r="A302" s="349"/>
      <c r="B302" s="343"/>
      <c r="C302" s="343"/>
      <c r="D302" s="343"/>
      <c r="E302" s="343"/>
      <c r="F302" s="343"/>
      <c r="G302" s="343"/>
      <c r="H302" s="343"/>
      <c r="I302" s="343"/>
    </row>
    <row r="303" spans="1:9" ht="12.75" x14ac:dyDescent="0.2">
      <c r="A303" s="349"/>
      <c r="B303" s="343"/>
      <c r="C303" s="343"/>
      <c r="D303" s="343"/>
      <c r="E303" s="343"/>
      <c r="F303" s="343"/>
      <c r="G303" s="343"/>
      <c r="H303" s="343"/>
      <c r="I303" s="343"/>
    </row>
    <row r="304" spans="1:9" ht="12.75" x14ac:dyDescent="0.2">
      <c r="A304" s="349"/>
      <c r="B304" s="343"/>
      <c r="C304" s="343"/>
      <c r="D304" s="343"/>
      <c r="E304" s="343"/>
      <c r="F304" s="343"/>
      <c r="G304" s="343"/>
      <c r="H304" s="343"/>
      <c r="I304" s="343"/>
    </row>
    <row r="305" spans="1:9" ht="12.75" x14ac:dyDescent="0.2">
      <c r="A305" s="349"/>
      <c r="B305" s="343"/>
      <c r="C305" s="343"/>
      <c r="D305" s="343"/>
      <c r="E305" s="343"/>
      <c r="F305" s="343"/>
      <c r="G305" s="343"/>
      <c r="H305" s="343"/>
      <c r="I305" s="343"/>
    </row>
    <row r="306" spans="1:9" ht="12.75" x14ac:dyDescent="0.2">
      <c r="A306" s="349"/>
      <c r="B306" s="343"/>
      <c r="C306" s="343"/>
      <c r="D306" s="343"/>
      <c r="E306" s="343"/>
      <c r="F306" s="343"/>
      <c r="G306" s="343"/>
      <c r="H306" s="343"/>
      <c r="I306" s="343"/>
    </row>
    <row r="307" spans="1:9" ht="12.75" x14ac:dyDescent="0.2">
      <c r="A307" s="349"/>
      <c r="B307" s="343"/>
      <c r="C307" s="343"/>
      <c r="D307" s="343"/>
      <c r="E307" s="343"/>
      <c r="F307" s="343"/>
      <c r="G307" s="343"/>
      <c r="H307" s="343"/>
      <c r="I307" s="343"/>
    </row>
    <row r="308" spans="1:9" ht="12.75" x14ac:dyDescent="0.2">
      <c r="A308" s="349"/>
      <c r="B308" s="343"/>
      <c r="C308" s="343"/>
      <c r="D308" s="343"/>
      <c r="E308" s="343"/>
      <c r="F308" s="343"/>
      <c r="G308" s="343"/>
      <c r="H308" s="343"/>
      <c r="I308" s="343"/>
    </row>
    <row r="309" spans="1:9" ht="12.75" x14ac:dyDescent="0.2">
      <c r="A309" s="349"/>
      <c r="B309" s="343"/>
      <c r="C309" s="343"/>
      <c r="D309" s="343"/>
      <c r="E309" s="343"/>
      <c r="F309" s="343"/>
      <c r="G309" s="343"/>
      <c r="H309" s="343"/>
      <c r="I309" s="343"/>
    </row>
    <row r="310" spans="1:9" ht="12.75" x14ac:dyDescent="0.2">
      <c r="A310" s="349"/>
      <c r="B310" s="343"/>
      <c r="C310" s="343"/>
      <c r="D310" s="343"/>
      <c r="E310" s="343"/>
      <c r="F310" s="343"/>
      <c r="G310" s="343"/>
      <c r="H310" s="343"/>
      <c r="I310" s="343"/>
    </row>
    <row r="311" spans="1:9" ht="12.75" x14ac:dyDescent="0.2">
      <c r="A311" s="349"/>
      <c r="B311" s="343"/>
      <c r="C311" s="343"/>
      <c r="D311" s="343"/>
      <c r="E311" s="343"/>
      <c r="F311" s="343"/>
      <c r="G311" s="343"/>
      <c r="H311" s="343"/>
      <c r="I311" s="343"/>
    </row>
    <row r="312" spans="1:9" ht="12.75" x14ac:dyDescent="0.2">
      <c r="A312" s="349"/>
      <c r="B312" s="343"/>
      <c r="C312" s="343"/>
      <c r="D312" s="343"/>
      <c r="E312" s="343"/>
      <c r="F312" s="343"/>
      <c r="G312" s="343"/>
      <c r="H312" s="343"/>
      <c r="I312" s="343"/>
    </row>
    <row r="313" spans="1:9" ht="12.75" x14ac:dyDescent="0.2">
      <c r="A313" s="349"/>
      <c r="B313" s="343"/>
      <c r="C313" s="343"/>
      <c r="D313" s="343"/>
      <c r="E313" s="343"/>
      <c r="F313" s="343"/>
      <c r="G313" s="343"/>
      <c r="H313" s="343"/>
      <c r="I313" s="343"/>
    </row>
    <row r="314" spans="1:9" ht="12.75" x14ac:dyDescent="0.2">
      <c r="A314" s="349"/>
      <c r="B314" s="343"/>
      <c r="C314" s="343"/>
      <c r="D314" s="343"/>
      <c r="E314" s="343"/>
      <c r="F314" s="343"/>
      <c r="G314" s="343"/>
      <c r="H314" s="343"/>
      <c r="I314" s="343"/>
    </row>
    <row r="315" spans="1:9" ht="12.75" x14ac:dyDescent="0.2">
      <c r="A315" s="349"/>
      <c r="B315" s="343"/>
      <c r="C315" s="343"/>
      <c r="D315" s="343"/>
      <c r="E315" s="343"/>
      <c r="F315" s="343"/>
      <c r="G315" s="343"/>
      <c r="H315" s="343"/>
      <c r="I315" s="343"/>
    </row>
    <row r="316" spans="1:9" ht="12.75" x14ac:dyDescent="0.2">
      <c r="A316" s="349"/>
      <c r="B316" s="343"/>
      <c r="C316" s="343"/>
      <c r="D316" s="343"/>
      <c r="E316" s="343"/>
      <c r="F316" s="343"/>
      <c r="G316" s="343"/>
      <c r="H316" s="343"/>
      <c r="I316" s="343"/>
    </row>
    <row r="317" spans="1:9" ht="12.75" x14ac:dyDescent="0.2">
      <c r="A317" s="349"/>
      <c r="B317" s="343"/>
      <c r="C317" s="343"/>
      <c r="D317" s="343"/>
      <c r="E317" s="343"/>
      <c r="F317" s="343"/>
      <c r="G317" s="343"/>
      <c r="H317" s="343"/>
      <c r="I317" s="343"/>
    </row>
    <row r="318" spans="1:9" ht="12.75" x14ac:dyDescent="0.2">
      <c r="A318" s="349"/>
      <c r="B318" s="343"/>
      <c r="C318" s="343"/>
      <c r="D318" s="343"/>
      <c r="E318" s="343"/>
      <c r="F318" s="343"/>
      <c r="G318" s="343"/>
      <c r="H318" s="343"/>
      <c r="I318" s="343"/>
    </row>
    <row r="319" spans="1:9" ht="12.75" x14ac:dyDescent="0.2">
      <c r="A319" s="349"/>
      <c r="B319" s="343"/>
      <c r="C319" s="343"/>
      <c r="D319" s="343"/>
      <c r="E319" s="343"/>
      <c r="F319" s="343"/>
      <c r="G319" s="343"/>
      <c r="H319" s="343"/>
      <c r="I319" s="343"/>
    </row>
    <row r="320" spans="1:9" ht="12.75" x14ac:dyDescent="0.2">
      <c r="A320" s="349"/>
      <c r="B320" s="343"/>
      <c r="C320" s="343"/>
      <c r="D320" s="343"/>
      <c r="E320" s="343"/>
      <c r="F320" s="343"/>
      <c r="G320" s="343"/>
      <c r="H320" s="343"/>
      <c r="I320" s="343"/>
    </row>
    <row r="321" spans="1:9" ht="12.75" x14ac:dyDescent="0.2">
      <c r="A321" s="349"/>
      <c r="B321" s="343"/>
      <c r="C321" s="343"/>
      <c r="D321" s="343"/>
      <c r="E321" s="343"/>
      <c r="F321" s="343"/>
      <c r="G321" s="343"/>
      <c r="H321" s="343"/>
      <c r="I321" s="343"/>
    </row>
    <row r="322" spans="1:9" ht="12.75" x14ac:dyDescent="0.2">
      <c r="A322" s="349"/>
      <c r="B322" s="343"/>
      <c r="C322" s="343"/>
      <c r="D322" s="343"/>
      <c r="E322" s="343"/>
      <c r="F322" s="343"/>
      <c r="G322" s="343"/>
      <c r="H322" s="343"/>
      <c r="I322" s="343"/>
    </row>
    <row r="323" spans="1:9" ht="12.75" x14ac:dyDescent="0.2">
      <c r="A323" s="349"/>
      <c r="B323" s="343"/>
      <c r="C323" s="343"/>
      <c r="D323" s="343"/>
      <c r="E323" s="343"/>
      <c r="F323" s="343"/>
      <c r="G323" s="343"/>
      <c r="H323" s="343"/>
      <c r="I323" s="343"/>
    </row>
    <row r="324" spans="1:9" ht="12.75" x14ac:dyDescent="0.2">
      <c r="A324" s="349"/>
      <c r="B324" s="343"/>
      <c r="C324" s="343"/>
      <c r="D324" s="343"/>
      <c r="E324" s="343"/>
      <c r="F324" s="343"/>
      <c r="G324" s="343"/>
      <c r="H324" s="343"/>
      <c r="I324" s="343"/>
    </row>
    <row r="325" spans="1:9" ht="12.75" x14ac:dyDescent="0.2">
      <c r="A325" s="349"/>
      <c r="B325" s="343"/>
      <c r="C325" s="343"/>
      <c r="D325" s="343"/>
      <c r="E325" s="343"/>
      <c r="F325" s="343"/>
      <c r="G325" s="343"/>
      <c r="H325" s="343"/>
      <c r="I325" s="343"/>
    </row>
    <row r="326" spans="1:9" ht="12.75" x14ac:dyDescent="0.2">
      <c r="A326" s="349"/>
      <c r="B326" s="343"/>
      <c r="C326" s="343"/>
      <c r="D326" s="343"/>
      <c r="E326" s="343"/>
      <c r="F326" s="343"/>
      <c r="G326" s="343"/>
      <c r="H326" s="343"/>
      <c r="I326" s="343"/>
    </row>
    <row r="327" spans="1:9" ht="12.75" x14ac:dyDescent="0.2">
      <c r="A327" s="349"/>
      <c r="B327" s="343"/>
      <c r="C327" s="343"/>
      <c r="D327" s="343"/>
      <c r="E327" s="343"/>
      <c r="F327" s="343"/>
      <c r="G327" s="343"/>
      <c r="H327" s="343"/>
      <c r="I327" s="343"/>
    </row>
    <row r="328" spans="1:9" ht="12.75" x14ac:dyDescent="0.2">
      <c r="A328" s="349"/>
      <c r="B328" s="343"/>
      <c r="C328" s="343"/>
      <c r="D328" s="343"/>
      <c r="E328" s="343"/>
      <c r="F328" s="343"/>
      <c r="G328" s="343"/>
      <c r="H328" s="343"/>
      <c r="I328" s="343"/>
    </row>
    <row r="329" spans="1:9" ht="12.75" x14ac:dyDescent="0.2">
      <c r="A329" s="349"/>
      <c r="B329" s="343"/>
      <c r="C329" s="343"/>
      <c r="D329" s="343"/>
      <c r="E329" s="343"/>
      <c r="F329" s="343"/>
      <c r="G329" s="343"/>
      <c r="H329" s="343"/>
      <c r="I329" s="343"/>
    </row>
    <row r="330" spans="1:9" ht="12.75" x14ac:dyDescent="0.2">
      <c r="A330" s="349"/>
      <c r="B330" s="343"/>
      <c r="C330" s="343"/>
      <c r="D330" s="343"/>
      <c r="E330" s="343"/>
      <c r="F330" s="343"/>
      <c r="G330" s="343"/>
      <c r="H330" s="343"/>
      <c r="I330" s="343"/>
    </row>
    <row r="331" spans="1:9" ht="12.75" x14ac:dyDescent="0.2">
      <c r="A331" s="349"/>
      <c r="B331" s="343"/>
      <c r="C331" s="343"/>
      <c r="D331" s="343"/>
      <c r="E331" s="343"/>
      <c r="F331" s="343"/>
      <c r="G331" s="343"/>
      <c r="H331" s="343"/>
      <c r="I331" s="343"/>
    </row>
    <row r="332" spans="1:9" ht="12.75" x14ac:dyDescent="0.2">
      <c r="A332" s="349"/>
      <c r="B332" s="343"/>
      <c r="C332" s="343"/>
      <c r="D332" s="343"/>
      <c r="E332" s="343"/>
      <c r="F332" s="343"/>
      <c r="G332" s="343"/>
      <c r="H332" s="343"/>
      <c r="I332" s="343"/>
    </row>
    <row r="333" spans="1:9" ht="12.75" x14ac:dyDescent="0.2">
      <c r="A333" s="349"/>
      <c r="B333" s="343"/>
      <c r="C333" s="343"/>
      <c r="D333" s="343"/>
      <c r="E333" s="343"/>
      <c r="F333" s="343"/>
      <c r="G333" s="343"/>
      <c r="H333" s="343"/>
      <c r="I333" s="343"/>
    </row>
    <row r="334" spans="1:9" ht="12.75" x14ac:dyDescent="0.2">
      <c r="A334" s="349"/>
      <c r="B334" s="343"/>
      <c r="C334" s="343"/>
      <c r="D334" s="343"/>
      <c r="E334" s="343"/>
      <c r="F334" s="343"/>
      <c r="G334" s="343"/>
      <c r="H334" s="343"/>
      <c r="I334" s="343"/>
    </row>
    <row r="335" spans="1:9" ht="12.75" x14ac:dyDescent="0.2">
      <c r="A335" s="349"/>
      <c r="B335" s="343"/>
      <c r="C335" s="343"/>
      <c r="D335" s="343"/>
      <c r="E335" s="343"/>
      <c r="F335" s="343"/>
      <c r="G335" s="343"/>
      <c r="H335" s="343"/>
      <c r="I335" s="343"/>
    </row>
    <row r="336" spans="1:9" ht="12.75" x14ac:dyDescent="0.2">
      <c r="A336" s="349"/>
      <c r="B336" s="343"/>
      <c r="C336" s="343"/>
      <c r="D336" s="343"/>
      <c r="E336" s="343"/>
      <c r="F336" s="343"/>
      <c r="G336" s="343"/>
      <c r="H336" s="343"/>
      <c r="I336" s="343"/>
    </row>
    <row r="337" spans="1:9" ht="12.75" x14ac:dyDescent="0.2">
      <c r="A337" s="349"/>
      <c r="B337" s="343"/>
      <c r="C337" s="343"/>
      <c r="D337" s="343"/>
      <c r="E337" s="343"/>
      <c r="F337" s="343"/>
      <c r="G337" s="343"/>
      <c r="H337" s="343"/>
      <c r="I337" s="343"/>
    </row>
    <row r="338" spans="1:9" ht="12.75" x14ac:dyDescent="0.2">
      <c r="A338" s="349"/>
      <c r="B338" s="343"/>
      <c r="C338" s="343"/>
      <c r="D338" s="343"/>
      <c r="E338" s="343"/>
      <c r="F338" s="343"/>
      <c r="G338" s="343"/>
      <c r="H338" s="343"/>
      <c r="I338" s="343"/>
    </row>
    <row r="339" spans="1:9" ht="12.75" x14ac:dyDescent="0.2">
      <c r="A339" s="349"/>
      <c r="B339" s="343"/>
      <c r="C339" s="343"/>
      <c r="D339" s="343"/>
      <c r="E339" s="343"/>
      <c r="F339" s="343"/>
      <c r="G339" s="343"/>
      <c r="H339" s="343"/>
      <c r="I339" s="343"/>
    </row>
    <row r="340" spans="1:9" ht="12.75" x14ac:dyDescent="0.2">
      <c r="A340" s="349"/>
      <c r="B340" s="343"/>
      <c r="C340" s="343"/>
      <c r="D340" s="343"/>
      <c r="E340" s="343"/>
      <c r="F340" s="343"/>
      <c r="G340" s="343"/>
      <c r="H340" s="343"/>
      <c r="I340" s="343"/>
    </row>
    <row r="341" spans="1:9" ht="12.75" x14ac:dyDescent="0.2">
      <c r="A341" s="349"/>
      <c r="B341" s="343"/>
      <c r="C341" s="343"/>
      <c r="D341" s="343"/>
      <c r="E341" s="343"/>
      <c r="F341" s="343"/>
      <c r="G341" s="343"/>
      <c r="H341" s="343"/>
      <c r="I341" s="343"/>
    </row>
    <row r="342" spans="1:9" ht="12.75" x14ac:dyDescent="0.2">
      <c r="A342" s="349"/>
      <c r="B342" s="343"/>
      <c r="C342" s="343"/>
      <c r="D342" s="343"/>
      <c r="E342" s="343"/>
      <c r="F342" s="343"/>
      <c r="G342" s="343"/>
      <c r="H342" s="343"/>
      <c r="I342" s="343"/>
    </row>
    <row r="343" spans="1:9" ht="12.75" x14ac:dyDescent="0.2">
      <c r="A343" s="349"/>
      <c r="B343" s="343"/>
      <c r="C343" s="343"/>
      <c r="D343" s="343"/>
      <c r="E343" s="343"/>
      <c r="F343" s="343"/>
      <c r="G343" s="343"/>
      <c r="H343" s="343"/>
      <c r="I343" s="343"/>
    </row>
    <row r="344" spans="1:9" ht="12.75" x14ac:dyDescent="0.2">
      <c r="A344" s="349"/>
      <c r="B344" s="343"/>
      <c r="C344" s="343"/>
      <c r="D344" s="343"/>
      <c r="E344" s="343"/>
      <c r="F344" s="343"/>
      <c r="G344" s="343"/>
      <c r="H344" s="343"/>
      <c r="I344" s="343"/>
    </row>
    <row r="345" spans="1:9" ht="12.75" x14ac:dyDescent="0.2">
      <c r="A345" s="349"/>
      <c r="B345" s="343"/>
      <c r="C345" s="343"/>
      <c r="D345" s="343"/>
      <c r="E345" s="343"/>
      <c r="F345" s="343"/>
      <c r="G345" s="343"/>
      <c r="H345" s="343"/>
      <c r="I345" s="343"/>
    </row>
    <row r="346" spans="1:9" ht="12.75" x14ac:dyDescent="0.2">
      <c r="A346" s="349"/>
      <c r="B346" s="343"/>
      <c r="C346" s="343"/>
      <c r="D346" s="343"/>
      <c r="E346" s="343"/>
      <c r="F346" s="343"/>
      <c r="G346" s="343"/>
      <c r="H346" s="343"/>
      <c r="I346" s="343"/>
    </row>
    <row r="347" spans="1:9" ht="12.75" x14ac:dyDescent="0.2">
      <c r="A347" s="349"/>
      <c r="B347" s="343"/>
      <c r="C347" s="343"/>
      <c r="D347" s="343"/>
      <c r="E347" s="343"/>
      <c r="F347" s="343"/>
      <c r="G347" s="343"/>
      <c r="H347" s="343"/>
      <c r="I347" s="343"/>
    </row>
    <row r="348" spans="1:9" ht="12.75" x14ac:dyDescent="0.2">
      <c r="A348" s="349"/>
      <c r="B348" s="343"/>
      <c r="C348" s="343"/>
      <c r="D348" s="343"/>
      <c r="E348" s="343"/>
      <c r="F348" s="343"/>
      <c r="G348" s="343"/>
      <c r="H348" s="343"/>
      <c r="I348" s="343"/>
    </row>
    <row r="349" spans="1:9" ht="12.75" x14ac:dyDescent="0.2">
      <c r="A349" s="349"/>
      <c r="B349" s="343"/>
      <c r="C349" s="343"/>
      <c r="D349" s="343"/>
      <c r="E349" s="343"/>
      <c r="F349" s="343"/>
      <c r="G349" s="343"/>
      <c r="H349" s="343"/>
      <c r="I349" s="343"/>
    </row>
    <row r="350" spans="1:9" ht="12.75" x14ac:dyDescent="0.2">
      <c r="A350" s="349"/>
      <c r="B350" s="343"/>
      <c r="C350" s="343"/>
      <c r="D350" s="343"/>
      <c r="E350" s="343"/>
      <c r="F350" s="343"/>
      <c r="G350" s="343"/>
      <c r="H350" s="343"/>
      <c r="I350" s="343"/>
    </row>
    <row r="351" spans="1:9" ht="12.75" x14ac:dyDescent="0.2">
      <c r="A351" s="349"/>
      <c r="B351" s="343"/>
      <c r="C351" s="343"/>
      <c r="D351" s="343"/>
      <c r="E351" s="343"/>
      <c r="F351" s="343"/>
      <c r="G351" s="343"/>
      <c r="H351" s="343"/>
      <c r="I351" s="343"/>
    </row>
    <row r="352" spans="1:9" ht="12.75" x14ac:dyDescent="0.2">
      <c r="A352" s="349"/>
      <c r="B352" s="343"/>
      <c r="C352" s="343"/>
      <c r="D352" s="343"/>
      <c r="E352" s="343"/>
      <c r="F352" s="343"/>
      <c r="G352" s="343"/>
      <c r="H352" s="343"/>
      <c r="I352" s="343"/>
    </row>
    <row r="353" spans="1:9" ht="12.75" x14ac:dyDescent="0.2">
      <c r="A353" s="349"/>
      <c r="B353" s="343"/>
      <c r="C353" s="343"/>
      <c r="D353" s="343"/>
      <c r="E353" s="343"/>
      <c r="F353" s="343"/>
      <c r="G353" s="343"/>
      <c r="H353" s="343"/>
      <c r="I353" s="343"/>
    </row>
    <row r="354" spans="1:9" ht="12.75" x14ac:dyDescent="0.2">
      <c r="A354" s="349"/>
      <c r="B354" s="343"/>
      <c r="C354" s="343"/>
      <c r="D354" s="343"/>
      <c r="E354" s="343"/>
      <c r="F354" s="343"/>
      <c r="G354" s="343"/>
      <c r="H354" s="343"/>
      <c r="I354" s="343"/>
    </row>
    <row r="355" spans="1:9" ht="12.75" x14ac:dyDescent="0.2">
      <c r="A355" s="349"/>
      <c r="B355" s="343"/>
      <c r="C355" s="343"/>
      <c r="D355" s="343"/>
      <c r="E355" s="343"/>
      <c r="F355" s="343"/>
      <c r="G355" s="343"/>
      <c r="H355" s="343"/>
      <c r="I355" s="343"/>
    </row>
    <row r="356" spans="1:9" ht="12.75" x14ac:dyDescent="0.2">
      <c r="A356" s="349"/>
      <c r="B356" s="343"/>
      <c r="C356" s="343"/>
      <c r="D356" s="343"/>
      <c r="E356" s="343"/>
      <c r="F356" s="343"/>
      <c r="G356" s="343"/>
      <c r="H356" s="343"/>
      <c r="I356" s="343"/>
    </row>
    <row r="357" spans="1:9" ht="12.75" x14ac:dyDescent="0.2">
      <c r="A357" s="349"/>
      <c r="B357" s="343"/>
      <c r="C357" s="343"/>
      <c r="D357" s="343"/>
      <c r="E357" s="343"/>
      <c r="F357" s="343"/>
      <c r="G357" s="343"/>
      <c r="H357" s="343"/>
      <c r="I357" s="343"/>
    </row>
    <row r="358" spans="1:9" ht="12.75" x14ac:dyDescent="0.2">
      <c r="A358" s="349"/>
      <c r="B358" s="343"/>
      <c r="C358" s="343"/>
      <c r="D358" s="343"/>
      <c r="E358" s="343"/>
      <c r="F358" s="343"/>
      <c r="G358" s="343"/>
      <c r="H358" s="343"/>
      <c r="I358" s="343"/>
    </row>
    <row r="359" spans="1:9" ht="12.75" x14ac:dyDescent="0.2">
      <c r="A359" s="349"/>
      <c r="B359" s="343"/>
      <c r="C359" s="343"/>
      <c r="D359" s="343"/>
      <c r="E359" s="343"/>
      <c r="F359" s="343"/>
      <c r="G359" s="343"/>
      <c r="H359" s="343"/>
      <c r="I359" s="343"/>
    </row>
    <row r="360" spans="1:9" ht="12.75" x14ac:dyDescent="0.2">
      <c r="A360" s="349"/>
      <c r="B360" s="343"/>
      <c r="C360" s="343"/>
      <c r="D360" s="343"/>
      <c r="E360" s="343"/>
      <c r="F360" s="343"/>
      <c r="G360" s="343"/>
      <c r="H360" s="343"/>
      <c r="I360" s="343"/>
    </row>
    <row r="361" spans="1:9" ht="12.75" x14ac:dyDescent="0.2">
      <c r="A361" s="349"/>
      <c r="B361" s="343"/>
      <c r="C361" s="343"/>
      <c r="D361" s="343"/>
      <c r="E361" s="343"/>
      <c r="F361" s="343"/>
      <c r="G361" s="343"/>
      <c r="H361" s="343"/>
      <c r="I361" s="343"/>
    </row>
    <row r="362" spans="1:9" ht="12.75" x14ac:dyDescent="0.2">
      <c r="A362" s="349"/>
      <c r="B362" s="343"/>
      <c r="C362" s="343"/>
      <c r="D362" s="343"/>
      <c r="E362" s="343"/>
      <c r="F362" s="343"/>
      <c r="G362" s="343"/>
      <c r="H362" s="343"/>
      <c r="I362" s="343"/>
    </row>
    <row r="363" spans="1:9" ht="12.75" x14ac:dyDescent="0.2">
      <c r="A363" s="349"/>
      <c r="B363" s="343"/>
      <c r="C363" s="343"/>
      <c r="D363" s="343"/>
      <c r="E363" s="343"/>
      <c r="F363" s="343"/>
      <c r="G363" s="343"/>
      <c r="H363" s="343"/>
      <c r="I363" s="343"/>
    </row>
    <row r="364" spans="1:9" ht="12.75" x14ac:dyDescent="0.2">
      <c r="A364" s="349"/>
      <c r="B364" s="343"/>
      <c r="C364" s="343"/>
      <c r="D364" s="343"/>
      <c r="E364" s="343"/>
      <c r="F364" s="343"/>
      <c r="G364" s="343"/>
      <c r="H364" s="343"/>
      <c r="I364" s="343"/>
    </row>
    <row r="365" spans="1:9" ht="12.75" x14ac:dyDescent="0.2">
      <c r="A365" s="349"/>
      <c r="B365" s="343"/>
      <c r="C365" s="343"/>
      <c r="D365" s="343"/>
      <c r="E365" s="343"/>
      <c r="F365" s="343"/>
      <c r="G365" s="343"/>
      <c r="H365" s="343"/>
      <c r="I365" s="343"/>
    </row>
    <row r="366" spans="1:9" ht="12.75" x14ac:dyDescent="0.2">
      <c r="A366" s="349"/>
      <c r="B366" s="343"/>
      <c r="C366" s="343"/>
      <c r="D366" s="343"/>
      <c r="E366" s="343"/>
      <c r="F366" s="343"/>
      <c r="G366" s="343"/>
      <c r="H366" s="343"/>
      <c r="I366" s="343"/>
    </row>
    <row r="367" spans="1:9" ht="12.75" x14ac:dyDescent="0.2">
      <c r="A367" s="349"/>
      <c r="B367" s="343"/>
      <c r="C367" s="343"/>
      <c r="D367" s="343"/>
      <c r="E367" s="343"/>
      <c r="F367" s="343"/>
      <c r="G367" s="343"/>
      <c r="H367" s="343"/>
      <c r="I367" s="343"/>
    </row>
    <row r="368" spans="1:9" ht="12.75" x14ac:dyDescent="0.2">
      <c r="A368" s="349"/>
      <c r="B368" s="343"/>
      <c r="C368" s="343"/>
      <c r="D368" s="343"/>
      <c r="E368" s="343"/>
      <c r="F368" s="343"/>
      <c r="G368" s="343"/>
      <c r="H368" s="343"/>
      <c r="I368" s="343"/>
    </row>
    <row r="369" spans="1:9" ht="12.75" x14ac:dyDescent="0.2">
      <c r="A369" s="349"/>
      <c r="B369" s="343"/>
      <c r="C369" s="343"/>
      <c r="D369" s="343"/>
      <c r="E369" s="343"/>
      <c r="F369" s="343"/>
      <c r="G369" s="343"/>
      <c r="H369" s="343"/>
      <c r="I369" s="343"/>
    </row>
    <row r="370" spans="1:9" ht="12.75" x14ac:dyDescent="0.2">
      <c r="A370" s="349"/>
      <c r="B370" s="343"/>
      <c r="C370" s="343"/>
      <c r="D370" s="343"/>
      <c r="E370" s="343"/>
      <c r="F370" s="343"/>
      <c r="G370" s="343"/>
      <c r="H370" s="343"/>
      <c r="I370" s="343"/>
    </row>
    <row r="371" spans="1:9" ht="12.75" x14ac:dyDescent="0.2">
      <c r="A371" s="349"/>
      <c r="B371" s="343"/>
      <c r="C371" s="343"/>
      <c r="D371" s="343"/>
      <c r="E371" s="343"/>
      <c r="F371" s="343"/>
      <c r="G371" s="343"/>
      <c r="H371" s="343"/>
      <c r="I371" s="343"/>
    </row>
    <row r="372" spans="1:9" ht="12.75" x14ac:dyDescent="0.2">
      <c r="A372" s="349"/>
      <c r="B372" s="343"/>
      <c r="C372" s="343"/>
      <c r="D372" s="343"/>
      <c r="E372" s="343"/>
      <c r="F372" s="343"/>
      <c r="G372" s="343"/>
      <c r="H372" s="343"/>
      <c r="I372" s="343"/>
    </row>
    <row r="373" spans="1:9" ht="12.75" x14ac:dyDescent="0.2">
      <c r="A373" s="349"/>
      <c r="B373" s="343"/>
      <c r="C373" s="343"/>
      <c r="D373" s="343"/>
      <c r="E373" s="343"/>
      <c r="F373" s="343"/>
      <c r="G373" s="343"/>
      <c r="H373" s="343"/>
      <c r="I373" s="343"/>
    </row>
    <row r="374" spans="1:9" ht="12.75" x14ac:dyDescent="0.2">
      <c r="A374" s="349"/>
      <c r="B374" s="343"/>
      <c r="C374" s="343"/>
      <c r="D374" s="343"/>
      <c r="E374" s="343"/>
      <c r="F374" s="343"/>
      <c r="G374" s="343"/>
      <c r="H374" s="343"/>
      <c r="I374" s="343"/>
    </row>
    <row r="375" spans="1:9" ht="12.75" x14ac:dyDescent="0.2">
      <c r="A375" s="349"/>
      <c r="B375" s="343"/>
      <c r="C375" s="343"/>
      <c r="D375" s="343"/>
      <c r="E375" s="343"/>
      <c r="F375" s="343"/>
      <c r="G375" s="343"/>
      <c r="H375" s="343"/>
      <c r="I375" s="343"/>
    </row>
    <row r="376" spans="1:9" ht="12.75" x14ac:dyDescent="0.2">
      <c r="A376" s="349"/>
      <c r="B376" s="343"/>
      <c r="C376" s="343"/>
      <c r="D376" s="343"/>
      <c r="E376" s="343"/>
      <c r="F376" s="343"/>
      <c r="G376" s="343"/>
      <c r="H376" s="343"/>
      <c r="I376" s="343"/>
    </row>
    <row r="377" spans="1:9" ht="12.75" x14ac:dyDescent="0.2">
      <c r="A377" s="349"/>
      <c r="B377" s="343"/>
      <c r="C377" s="343"/>
      <c r="D377" s="343"/>
      <c r="E377" s="343"/>
      <c r="F377" s="343"/>
      <c r="G377" s="343"/>
      <c r="H377" s="343"/>
      <c r="I377" s="343"/>
    </row>
    <row r="378" spans="1:9" ht="12.75" x14ac:dyDescent="0.2">
      <c r="A378" s="349"/>
      <c r="B378" s="343"/>
      <c r="C378" s="343"/>
      <c r="D378" s="343"/>
      <c r="E378" s="343"/>
      <c r="F378" s="343"/>
      <c r="G378" s="343"/>
      <c r="H378" s="343"/>
      <c r="I378" s="343"/>
    </row>
    <row r="379" spans="1:9" ht="12.75" x14ac:dyDescent="0.2">
      <c r="A379" s="349"/>
      <c r="B379" s="343"/>
      <c r="C379" s="343"/>
      <c r="D379" s="343"/>
      <c r="E379" s="343"/>
      <c r="F379" s="343"/>
      <c r="G379" s="343"/>
      <c r="H379" s="343"/>
      <c r="I379" s="343"/>
    </row>
    <row r="380" spans="1:9" ht="12.75" x14ac:dyDescent="0.2">
      <c r="A380" s="349"/>
      <c r="B380" s="343"/>
      <c r="C380" s="343"/>
      <c r="D380" s="343"/>
      <c r="E380" s="343"/>
      <c r="F380" s="343"/>
      <c r="G380" s="343"/>
      <c r="H380" s="343"/>
      <c r="I380" s="343"/>
    </row>
    <row r="381" spans="1:9" ht="12.75" x14ac:dyDescent="0.2">
      <c r="A381" s="349"/>
      <c r="B381" s="343"/>
      <c r="C381" s="343"/>
      <c r="D381" s="343"/>
      <c r="E381" s="343"/>
      <c r="F381" s="343"/>
      <c r="G381" s="343"/>
      <c r="H381" s="343"/>
      <c r="I381" s="343"/>
    </row>
    <row r="382" spans="1:9" ht="12.75" x14ac:dyDescent="0.2">
      <c r="A382" s="349"/>
      <c r="B382" s="343"/>
      <c r="C382" s="343"/>
      <c r="D382" s="343"/>
      <c r="E382" s="343"/>
      <c r="F382" s="343"/>
      <c r="G382" s="343"/>
      <c r="H382" s="343"/>
      <c r="I382" s="343"/>
    </row>
    <row r="383" spans="1:9" ht="12.75" x14ac:dyDescent="0.2">
      <c r="A383" s="349"/>
      <c r="B383" s="343"/>
      <c r="C383" s="343"/>
      <c r="D383" s="343"/>
      <c r="E383" s="343"/>
      <c r="F383" s="343"/>
      <c r="G383" s="343"/>
      <c r="H383" s="343"/>
      <c r="I383" s="343"/>
    </row>
    <row r="384" spans="1:9" ht="12.75" x14ac:dyDescent="0.2">
      <c r="A384" s="349"/>
      <c r="B384" s="343"/>
      <c r="C384" s="343"/>
      <c r="D384" s="343"/>
      <c r="E384" s="343"/>
      <c r="F384" s="343"/>
      <c r="G384" s="343"/>
      <c r="H384" s="343"/>
      <c r="I384" s="343"/>
    </row>
    <row r="385" spans="1:9" ht="12.75" x14ac:dyDescent="0.2">
      <c r="A385" s="349"/>
      <c r="B385" s="343"/>
      <c r="C385" s="343"/>
      <c r="D385" s="343"/>
      <c r="E385" s="343"/>
      <c r="F385" s="343"/>
      <c r="G385" s="343"/>
      <c r="H385" s="343"/>
      <c r="I385" s="343"/>
    </row>
    <row r="386" spans="1:9" ht="12.75" x14ac:dyDescent="0.2">
      <c r="A386" s="349"/>
      <c r="B386" s="343"/>
      <c r="C386" s="343"/>
      <c r="D386" s="343"/>
      <c r="E386" s="343"/>
      <c r="F386" s="343"/>
      <c r="G386" s="343"/>
      <c r="H386" s="343"/>
      <c r="I386" s="343"/>
    </row>
    <row r="387" spans="1:9" ht="12.75" x14ac:dyDescent="0.2">
      <c r="A387" s="349"/>
      <c r="B387" s="343"/>
      <c r="C387" s="343"/>
      <c r="D387" s="343"/>
      <c r="E387" s="343"/>
      <c r="F387" s="343"/>
      <c r="G387" s="343"/>
      <c r="H387" s="343"/>
      <c r="I387" s="343"/>
    </row>
    <row r="388" spans="1:9" ht="12.75" x14ac:dyDescent="0.2">
      <c r="A388" s="349"/>
      <c r="B388" s="343"/>
      <c r="C388" s="343"/>
      <c r="D388" s="343"/>
      <c r="E388" s="343"/>
      <c r="F388" s="343"/>
      <c r="G388" s="343"/>
      <c r="H388" s="343"/>
      <c r="I388" s="343"/>
    </row>
    <row r="389" spans="1:9" ht="12.75" x14ac:dyDescent="0.2">
      <c r="A389" s="349"/>
      <c r="B389" s="343"/>
      <c r="C389" s="343"/>
      <c r="D389" s="343"/>
      <c r="E389" s="343"/>
      <c r="F389" s="343"/>
      <c r="G389" s="343"/>
      <c r="H389" s="343"/>
      <c r="I389" s="343"/>
    </row>
    <row r="390" spans="1:9" ht="12.75" x14ac:dyDescent="0.2">
      <c r="A390" s="349"/>
      <c r="B390" s="343"/>
      <c r="C390" s="343"/>
      <c r="D390" s="343"/>
      <c r="E390" s="343"/>
      <c r="F390" s="343"/>
      <c r="G390" s="343"/>
      <c r="H390" s="343"/>
      <c r="I390" s="343"/>
    </row>
    <row r="391" spans="1:9" ht="12.75" x14ac:dyDescent="0.2">
      <c r="A391" s="349"/>
      <c r="B391" s="343"/>
      <c r="C391" s="343"/>
      <c r="D391" s="343"/>
      <c r="E391" s="343"/>
      <c r="F391" s="343"/>
      <c r="G391" s="343"/>
      <c r="H391" s="343"/>
      <c r="I391" s="343"/>
    </row>
    <row r="392" spans="1:9" ht="12.75" x14ac:dyDescent="0.2">
      <c r="A392" s="349"/>
      <c r="B392" s="343"/>
      <c r="C392" s="343"/>
      <c r="D392" s="343"/>
      <c r="E392" s="343"/>
      <c r="F392" s="343"/>
      <c r="G392" s="343"/>
      <c r="H392" s="343"/>
      <c r="I392" s="343"/>
    </row>
    <row r="393" spans="1:9" ht="12.75" x14ac:dyDescent="0.2">
      <c r="A393" s="349"/>
      <c r="B393" s="343"/>
      <c r="C393" s="343"/>
      <c r="D393" s="343"/>
      <c r="E393" s="343"/>
      <c r="F393" s="343"/>
      <c r="G393" s="343"/>
      <c r="H393" s="343"/>
      <c r="I393" s="343"/>
    </row>
    <row r="394" spans="1:9" ht="12.75" x14ac:dyDescent="0.2">
      <c r="A394" s="349"/>
      <c r="B394" s="343"/>
      <c r="C394" s="343"/>
      <c r="D394" s="343"/>
      <c r="E394" s="343"/>
      <c r="F394" s="343"/>
      <c r="G394" s="343"/>
      <c r="H394" s="343"/>
      <c r="I394" s="343"/>
    </row>
    <row r="395" spans="1:9" ht="12.75" x14ac:dyDescent="0.2">
      <c r="A395" s="349"/>
      <c r="B395" s="343"/>
      <c r="C395" s="343"/>
      <c r="D395" s="343"/>
      <c r="E395" s="343"/>
      <c r="F395" s="343"/>
      <c r="G395" s="343"/>
      <c r="H395" s="343"/>
      <c r="I395" s="343"/>
    </row>
    <row r="396" spans="1:9" ht="12.75" x14ac:dyDescent="0.2">
      <c r="A396" s="349"/>
      <c r="B396" s="343"/>
      <c r="C396" s="343"/>
      <c r="D396" s="343"/>
      <c r="E396" s="343"/>
      <c r="F396" s="343"/>
      <c r="G396" s="343"/>
      <c r="H396" s="343"/>
      <c r="I396" s="343"/>
    </row>
    <row r="397" spans="1:9" ht="12.75" x14ac:dyDescent="0.2">
      <c r="A397" s="349"/>
      <c r="B397" s="343"/>
      <c r="C397" s="343"/>
      <c r="D397" s="343"/>
      <c r="E397" s="343"/>
      <c r="F397" s="343"/>
      <c r="G397" s="343"/>
      <c r="H397" s="343"/>
      <c r="I397" s="343"/>
    </row>
    <row r="398" spans="1:9" ht="12.75" x14ac:dyDescent="0.2">
      <c r="A398" s="349"/>
      <c r="B398" s="343"/>
      <c r="C398" s="343"/>
      <c r="D398" s="343"/>
      <c r="E398" s="343"/>
      <c r="F398" s="343"/>
      <c r="G398" s="343"/>
      <c r="H398" s="343"/>
      <c r="I398" s="343"/>
    </row>
    <row r="399" spans="1:9" ht="12.75" x14ac:dyDescent="0.2">
      <c r="A399" s="349"/>
      <c r="B399" s="343"/>
      <c r="C399" s="343"/>
      <c r="D399" s="343"/>
      <c r="E399" s="343"/>
      <c r="F399" s="343"/>
      <c r="G399" s="343"/>
      <c r="H399" s="343"/>
      <c r="I399" s="343"/>
    </row>
    <row r="400" spans="1:9" ht="12.75" x14ac:dyDescent="0.2">
      <c r="A400" s="349"/>
      <c r="B400" s="343"/>
      <c r="C400" s="343"/>
      <c r="D400" s="343"/>
      <c r="E400" s="343"/>
      <c r="F400" s="343"/>
      <c r="G400" s="343"/>
      <c r="H400" s="343"/>
      <c r="I400" s="343"/>
    </row>
    <row r="401" spans="1:9" ht="12.75" x14ac:dyDescent="0.2">
      <c r="A401" s="349"/>
      <c r="B401" s="343"/>
      <c r="C401" s="343"/>
      <c r="D401" s="343"/>
      <c r="E401" s="343"/>
      <c r="F401" s="343"/>
      <c r="G401" s="343"/>
      <c r="H401" s="343"/>
      <c r="I401" s="343"/>
    </row>
    <row r="402" spans="1:9" ht="12.75" x14ac:dyDescent="0.2">
      <c r="A402" s="349"/>
      <c r="B402" s="343"/>
      <c r="C402" s="343"/>
      <c r="D402" s="343"/>
      <c r="E402" s="343"/>
      <c r="F402" s="343"/>
      <c r="G402" s="343"/>
      <c r="H402" s="343"/>
      <c r="I402" s="343"/>
    </row>
    <row r="403" spans="1:9" ht="12.75" x14ac:dyDescent="0.2">
      <c r="A403" s="349"/>
      <c r="B403" s="343"/>
      <c r="C403" s="343"/>
      <c r="D403" s="343"/>
      <c r="E403" s="343"/>
      <c r="F403" s="343"/>
      <c r="G403" s="343"/>
      <c r="H403" s="343"/>
      <c r="I403" s="343"/>
    </row>
    <row r="404" spans="1:9" ht="12.75" x14ac:dyDescent="0.2">
      <c r="A404" s="349"/>
      <c r="B404" s="343"/>
      <c r="C404" s="343"/>
      <c r="D404" s="343"/>
      <c r="E404" s="343"/>
      <c r="F404" s="343"/>
      <c r="G404" s="343"/>
      <c r="H404" s="343"/>
      <c r="I404" s="343"/>
    </row>
    <row r="405" spans="1:9" ht="12.75" x14ac:dyDescent="0.2">
      <c r="A405" s="349"/>
      <c r="B405" s="343"/>
      <c r="C405" s="343"/>
      <c r="D405" s="343"/>
      <c r="E405" s="343"/>
      <c r="F405" s="343"/>
      <c r="G405" s="343"/>
      <c r="H405" s="343"/>
      <c r="I405" s="343"/>
    </row>
    <row r="406" spans="1:9" ht="12.75" x14ac:dyDescent="0.2">
      <c r="A406" s="349"/>
      <c r="B406" s="343"/>
      <c r="C406" s="343"/>
      <c r="D406" s="343"/>
      <c r="E406" s="343"/>
      <c r="F406" s="343"/>
      <c r="G406" s="343"/>
      <c r="H406" s="343"/>
      <c r="I406" s="343"/>
    </row>
    <row r="407" spans="1:9" ht="12.75" x14ac:dyDescent="0.2">
      <c r="A407" s="349"/>
      <c r="B407" s="343"/>
      <c r="C407" s="343"/>
      <c r="D407" s="343"/>
      <c r="E407" s="343"/>
      <c r="F407" s="343"/>
      <c r="G407" s="343"/>
      <c r="H407" s="343"/>
      <c r="I407" s="343"/>
    </row>
    <row r="408" spans="1:9" ht="12.75" x14ac:dyDescent="0.2">
      <c r="A408" s="349"/>
      <c r="B408" s="343"/>
      <c r="C408" s="343"/>
      <c r="D408" s="343"/>
      <c r="E408" s="343"/>
      <c r="F408" s="343"/>
      <c r="G408" s="343"/>
      <c r="H408" s="343"/>
      <c r="I408" s="343"/>
    </row>
    <row r="409" spans="1:9" ht="12.75" x14ac:dyDescent="0.2">
      <c r="A409" s="349"/>
      <c r="B409" s="343"/>
      <c r="C409" s="343"/>
      <c r="D409" s="343"/>
      <c r="E409" s="343"/>
      <c r="F409" s="343"/>
      <c r="G409" s="343"/>
      <c r="H409" s="343"/>
      <c r="I409" s="343"/>
    </row>
    <row r="410" spans="1:9" ht="12.75" x14ac:dyDescent="0.2">
      <c r="A410" s="349"/>
      <c r="B410" s="343"/>
      <c r="C410" s="343"/>
      <c r="D410" s="343"/>
      <c r="E410" s="343"/>
      <c r="F410" s="343"/>
      <c r="G410" s="343"/>
      <c r="H410" s="343"/>
      <c r="I410" s="343"/>
    </row>
    <row r="411" spans="1:9" ht="12.75" x14ac:dyDescent="0.2">
      <c r="A411" s="349"/>
      <c r="B411" s="343"/>
      <c r="C411" s="343"/>
      <c r="D411" s="343"/>
      <c r="E411" s="343"/>
      <c r="F411" s="343"/>
      <c r="G411" s="343"/>
      <c r="H411" s="343"/>
      <c r="I411" s="343"/>
    </row>
    <row r="412" spans="1:9" ht="12.75" x14ac:dyDescent="0.2">
      <c r="A412" s="349"/>
      <c r="B412" s="343"/>
      <c r="C412" s="343"/>
      <c r="D412" s="343"/>
      <c r="E412" s="343"/>
      <c r="F412" s="343"/>
      <c r="G412" s="343"/>
      <c r="H412" s="343"/>
      <c r="I412" s="343"/>
    </row>
    <row r="413" spans="1:9" ht="12.75" x14ac:dyDescent="0.2">
      <c r="A413" s="349"/>
      <c r="B413" s="343"/>
      <c r="C413" s="343"/>
      <c r="D413" s="343"/>
      <c r="E413" s="343"/>
      <c r="F413" s="343"/>
      <c r="G413" s="343"/>
      <c r="H413" s="343"/>
      <c r="I413" s="343"/>
    </row>
    <row r="414" spans="1:9" ht="12.75" x14ac:dyDescent="0.2">
      <c r="A414" s="349"/>
      <c r="B414" s="343"/>
      <c r="C414" s="343"/>
      <c r="D414" s="343"/>
      <c r="E414" s="343"/>
      <c r="F414" s="343"/>
      <c r="G414" s="343"/>
      <c r="H414" s="343"/>
      <c r="I414" s="343"/>
    </row>
    <row r="415" spans="1:9" ht="12.75" x14ac:dyDescent="0.2">
      <c r="A415" s="349"/>
      <c r="B415" s="343"/>
      <c r="C415" s="343"/>
      <c r="D415" s="343"/>
      <c r="E415" s="343"/>
      <c r="F415" s="343"/>
      <c r="G415" s="343"/>
      <c r="H415" s="343"/>
      <c r="I415" s="343"/>
    </row>
    <row r="416" spans="1:9" ht="12.75" x14ac:dyDescent="0.2">
      <c r="A416" s="349"/>
      <c r="B416" s="343"/>
      <c r="C416" s="343"/>
      <c r="D416" s="343"/>
      <c r="E416" s="343"/>
      <c r="F416" s="343"/>
      <c r="G416" s="343"/>
      <c r="H416" s="343"/>
      <c r="I416" s="343"/>
    </row>
    <row r="417" spans="1:9" ht="12.75" x14ac:dyDescent="0.2">
      <c r="A417" s="349"/>
      <c r="B417" s="343"/>
      <c r="C417" s="343"/>
      <c r="D417" s="343"/>
      <c r="E417" s="343"/>
      <c r="F417" s="343"/>
      <c r="G417" s="343"/>
      <c r="H417" s="343"/>
      <c r="I417" s="343"/>
    </row>
    <row r="418" spans="1:9" ht="12.75" x14ac:dyDescent="0.2">
      <c r="A418" s="349"/>
      <c r="B418" s="343"/>
      <c r="C418" s="343"/>
      <c r="D418" s="343"/>
      <c r="E418" s="343"/>
      <c r="F418" s="343"/>
      <c r="G418" s="343"/>
      <c r="H418" s="343"/>
      <c r="I418" s="343"/>
    </row>
    <row r="419" spans="1:9" ht="12.75" x14ac:dyDescent="0.2">
      <c r="A419" s="349"/>
      <c r="B419" s="343"/>
      <c r="C419" s="343"/>
      <c r="D419" s="343"/>
      <c r="E419" s="343"/>
      <c r="F419" s="343"/>
      <c r="G419" s="343"/>
      <c r="H419" s="343"/>
      <c r="I419" s="343"/>
    </row>
    <row r="420" spans="1:9" ht="12.75" x14ac:dyDescent="0.2">
      <c r="A420" s="349"/>
      <c r="B420" s="343"/>
      <c r="C420" s="343"/>
      <c r="D420" s="343"/>
      <c r="E420" s="343"/>
      <c r="F420" s="343"/>
      <c r="G420" s="343"/>
      <c r="H420" s="343"/>
      <c r="I420" s="343"/>
    </row>
    <row r="421" spans="1:9" ht="12.75" x14ac:dyDescent="0.2">
      <c r="A421" s="349"/>
      <c r="B421" s="343"/>
      <c r="C421" s="343"/>
      <c r="D421" s="343"/>
      <c r="E421" s="343"/>
      <c r="F421" s="343"/>
      <c r="G421" s="343"/>
      <c r="H421" s="343"/>
      <c r="I421" s="343"/>
    </row>
    <row r="422" spans="1:9" ht="12.75" x14ac:dyDescent="0.2">
      <c r="A422" s="349"/>
      <c r="B422" s="343"/>
      <c r="C422" s="343"/>
      <c r="D422" s="343"/>
      <c r="E422" s="343"/>
      <c r="F422" s="343"/>
      <c r="G422" s="343"/>
      <c r="H422" s="343"/>
      <c r="I422" s="343"/>
    </row>
    <row r="423" spans="1:9" ht="12.75" x14ac:dyDescent="0.2">
      <c r="A423" s="349"/>
      <c r="B423" s="343"/>
      <c r="C423" s="343"/>
      <c r="D423" s="343"/>
      <c r="E423" s="343"/>
      <c r="F423" s="343"/>
      <c r="G423" s="343"/>
      <c r="H423" s="343"/>
      <c r="I423" s="343"/>
    </row>
    <row r="424" spans="1:9" ht="12.75" x14ac:dyDescent="0.2">
      <c r="A424" s="349"/>
      <c r="B424" s="343"/>
      <c r="C424" s="343"/>
      <c r="D424" s="343"/>
      <c r="E424" s="343"/>
      <c r="F424" s="343"/>
      <c r="G424" s="343"/>
      <c r="H424" s="343"/>
      <c r="I424" s="343"/>
    </row>
    <row r="425" spans="1:9" ht="12.75" x14ac:dyDescent="0.2">
      <c r="A425" s="349"/>
      <c r="B425" s="343"/>
      <c r="C425" s="343"/>
      <c r="D425" s="343"/>
      <c r="E425" s="343"/>
      <c r="F425" s="343"/>
      <c r="G425" s="343"/>
      <c r="H425" s="343"/>
      <c r="I425" s="343"/>
    </row>
    <row r="426" spans="1:9" ht="12.75" x14ac:dyDescent="0.2">
      <c r="A426" s="349"/>
      <c r="B426" s="343"/>
      <c r="C426" s="343"/>
      <c r="D426" s="343"/>
      <c r="E426" s="343"/>
      <c r="F426" s="343"/>
      <c r="G426" s="343"/>
      <c r="H426" s="343"/>
      <c r="I426" s="343"/>
    </row>
    <row r="427" spans="1:9" ht="12.75" x14ac:dyDescent="0.2">
      <c r="A427" s="349"/>
      <c r="B427" s="343"/>
      <c r="C427" s="343"/>
      <c r="D427" s="343"/>
      <c r="E427" s="343"/>
      <c r="F427" s="343"/>
      <c r="G427" s="343"/>
      <c r="H427" s="343"/>
      <c r="I427" s="343"/>
    </row>
    <row r="428" spans="1:9" ht="12.75" x14ac:dyDescent="0.2">
      <c r="A428" s="349"/>
      <c r="B428" s="343"/>
      <c r="C428" s="343"/>
      <c r="D428" s="343"/>
      <c r="E428" s="343"/>
      <c r="F428" s="343"/>
      <c r="G428" s="343"/>
      <c r="H428" s="343"/>
      <c r="I428" s="343"/>
    </row>
    <row r="429" spans="1:9" ht="12.75" x14ac:dyDescent="0.2">
      <c r="A429" s="349"/>
      <c r="B429" s="343"/>
      <c r="C429" s="343"/>
      <c r="D429" s="343"/>
      <c r="E429" s="343"/>
      <c r="F429" s="343"/>
      <c r="G429" s="343"/>
      <c r="H429" s="343"/>
      <c r="I429" s="343"/>
    </row>
    <row r="430" spans="1:9" ht="12.75" x14ac:dyDescent="0.2">
      <c r="A430" s="349"/>
      <c r="B430" s="343"/>
      <c r="C430" s="343"/>
      <c r="D430" s="343"/>
      <c r="E430" s="343"/>
      <c r="F430" s="343"/>
      <c r="G430" s="343"/>
      <c r="H430" s="343"/>
      <c r="I430" s="343"/>
    </row>
    <row r="431" spans="1:9" ht="12.75" x14ac:dyDescent="0.2">
      <c r="A431" s="349"/>
      <c r="B431" s="343"/>
      <c r="C431" s="343"/>
      <c r="D431" s="343"/>
      <c r="E431" s="343"/>
      <c r="F431" s="343"/>
      <c r="G431" s="343"/>
      <c r="H431" s="343"/>
      <c r="I431" s="343"/>
    </row>
    <row r="432" spans="1:9" ht="12.75" x14ac:dyDescent="0.2">
      <c r="A432" s="349"/>
      <c r="B432" s="343"/>
      <c r="C432" s="343"/>
      <c r="D432" s="343"/>
      <c r="E432" s="343"/>
      <c r="F432" s="343"/>
      <c r="G432" s="343"/>
      <c r="H432" s="343"/>
      <c r="I432" s="343"/>
    </row>
    <row r="433" spans="1:9" ht="12.75" x14ac:dyDescent="0.2">
      <c r="A433" s="349"/>
      <c r="B433" s="343"/>
      <c r="C433" s="343"/>
      <c r="D433" s="343"/>
      <c r="E433" s="343"/>
      <c r="F433" s="343"/>
      <c r="G433" s="343"/>
      <c r="H433" s="343"/>
      <c r="I433" s="343"/>
    </row>
    <row r="434" spans="1:9" ht="12.75" x14ac:dyDescent="0.2">
      <c r="A434" s="349"/>
      <c r="B434" s="343"/>
      <c r="C434" s="343"/>
      <c r="D434" s="343"/>
      <c r="E434" s="343"/>
      <c r="F434" s="343"/>
      <c r="G434" s="343"/>
      <c r="H434" s="343"/>
      <c r="I434" s="343"/>
    </row>
    <row r="435" spans="1:9" ht="12.75" x14ac:dyDescent="0.2">
      <c r="A435" s="349"/>
      <c r="B435" s="343"/>
      <c r="C435" s="343"/>
      <c r="D435" s="343"/>
      <c r="E435" s="343"/>
      <c r="F435" s="343"/>
      <c r="G435" s="343"/>
      <c r="H435" s="343"/>
      <c r="I435" s="343"/>
    </row>
    <row r="436" spans="1:9" ht="12.75" x14ac:dyDescent="0.2">
      <c r="A436" s="349"/>
      <c r="B436" s="343"/>
      <c r="C436" s="343"/>
      <c r="D436" s="343"/>
      <c r="E436" s="343"/>
      <c r="F436" s="343"/>
      <c r="G436" s="343"/>
      <c r="H436" s="343"/>
      <c r="I436" s="343"/>
    </row>
    <row r="437" spans="1:9" ht="12.75" x14ac:dyDescent="0.2">
      <c r="A437" s="349"/>
      <c r="B437" s="343"/>
      <c r="C437" s="343"/>
      <c r="D437" s="343"/>
      <c r="E437" s="343"/>
      <c r="F437" s="343"/>
      <c r="G437" s="343"/>
      <c r="H437" s="343"/>
      <c r="I437" s="343"/>
    </row>
    <row r="438" spans="1:9" ht="12.75" x14ac:dyDescent="0.2">
      <c r="A438" s="349"/>
      <c r="B438" s="343"/>
      <c r="C438" s="343"/>
      <c r="D438" s="343"/>
      <c r="E438" s="343"/>
      <c r="F438" s="343"/>
      <c r="G438" s="343"/>
      <c r="H438" s="343"/>
      <c r="I438" s="343"/>
    </row>
    <row r="439" spans="1:9" ht="12.75" x14ac:dyDescent="0.2">
      <c r="A439" s="349"/>
      <c r="B439" s="343"/>
      <c r="C439" s="343"/>
      <c r="D439" s="343"/>
      <c r="E439" s="343"/>
      <c r="F439" s="343"/>
      <c r="G439" s="343"/>
      <c r="H439" s="343"/>
      <c r="I439" s="343"/>
    </row>
    <row r="440" spans="1:9" ht="12.75" x14ac:dyDescent="0.2">
      <c r="A440" s="349"/>
      <c r="B440" s="343"/>
      <c r="C440" s="343"/>
      <c r="D440" s="343"/>
      <c r="E440" s="343"/>
      <c r="F440" s="343"/>
      <c r="G440" s="343"/>
      <c r="H440" s="343"/>
      <c r="I440" s="343"/>
    </row>
    <row r="441" spans="1:9" ht="12.75" x14ac:dyDescent="0.2">
      <c r="A441" s="349"/>
      <c r="B441" s="343"/>
      <c r="C441" s="343"/>
      <c r="D441" s="343"/>
      <c r="E441" s="343"/>
      <c r="F441" s="343"/>
      <c r="G441" s="343"/>
      <c r="H441" s="343"/>
      <c r="I441" s="343"/>
    </row>
    <row r="442" spans="1:9" ht="12.75" x14ac:dyDescent="0.2">
      <c r="A442" s="349"/>
      <c r="B442" s="343"/>
      <c r="C442" s="343"/>
      <c r="D442" s="343"/>
      <c r="E442" s="343"/>
      <c r="F442" s="343"/>
      <c r="G442" s="343"/>
      <c r="H442" s="343"/>
      <c r="I442" s="343"/>
    </row>
    <row r="443" spans="1:9" ht="12.75" x14ac:dyDescent="0.2">
      <c r="A443" s="349"/>
      <c r="B443" s="343"/>
      <c r="C443" s="343"/>
      <c r="D443" s="343"/>
      <c r="E443" s="343"/>
      <c r="F443" s="343"/>
      <c r="G443" s="343"/>
      <c r="H443" s="343"/>
      <c r="I443" s="343"/>
    </row>
    <row r="444" spans="1:9" ht="12.75" x14ac:dyDescent="0.2">
      <c r="A444" s="349"/>
      <c r="B444" s="343"/>
      <c r="C444" s="343"/>
      <c r="D444" s="343"/>
      <c r="E444" s="343"/>
      <c r="F444" s="343"/>
      <c r="G444" s="343"/>
      <c r="H444" s="343"/>
      <c r="I444" s="343"/>
    </row>
    <row r="445" spans="1:9" ht="12.75" x14ac:dyDescent="0.2">
      <c r="A445" s="349"/>
      <c r="B445" s="343"/>
      <c r="C445" s="343"/>
      <c r="D445" s="343"/>
      <c r="E445" s="343"/>
      <c r="F445" s="343"/>
      <c r="G445" s="343"/>
      <c r="H445" s="343"/>
      <c r="I445" s="343"/>
    </row>
    <row r="446" spans="1:9" ht="12.75" x14ac:dyDescent="0.2">
      <c r="A446" s="349"/>
      <c r="B446" s="343"/>
      <c r="C446" s="343"/>
      <c r="D446" s="343"/>
      <c r="E446" s="343"/>
      <c r="F446" s="343"/>
      <c r="G446" s="343"/>
      <c r="H446" s="343"/>
      <c r="I446" s="343"/>
    </row>
    <row r="447" spans="1:9" ht="12.75" x14ac:dyDescent="0.2">
      <c r="A447" s="349"/>
      <c r="B447" s="343"/>
      <c r="C447" s="343"/>
      <c r="D447" s="343"/>
      <c r="E447" s="343"/>
      <c r="F447" s="343"/>
      <c r="G447" s="343"/>
      <c r="H447" s="343"/>
      <c r="I447" s="343"/>
    </row>
    <row r="448" spans="1:9" ht="12.75" x14ac:dyDescent="0.2">
      <c r="A448" s="349"/>
      <c r="B448" s="343"/>
      <c r="C448" s="343"/>
      <c r="D448" s="343"/>
      <c r="E448" s="343"/>
      <c r="F448" s="343"/>
      <c r="G448" s="343"/>
      <c r="H448" s="343"/>
      <c r="I448" s="343"/>
    </row>
    <row r="449" spans="1:9" ht="12.75" x14ac:dyDescent="0.2">
      <c r="A449" s="349"/>
      <c r="B449" s="343"/>
      <c r="C449" s="343"/>
      <c r="D449" s="343"/>
      <c r="E449" s="343"/>
      <c r="F449" s="343"/>
      <c r="G449" s="343"/>
      <c r="H449" s="343"/>
      <c r="I449" s="343"/>
    </row>
    <row r="450" spans="1:9" ht="12.75" x14ac:dyDescent="0.2">
      <c r="A450" s="349"/>
      <c r="B450" s="343"/>
      <c r="C450" s="343"/>
      <c r="D450" s="343"/>
      <c r="E450" s="343"/>
      <c r="F450" s="343"/>
      <c r="G450" s="343"/>
      <c r="H450" s="343"/>
      <c r="I450" s="343"/>
    </row>
    <row r="451" spans="1:9" ht="12.75" x14ac:dyDescent="0.2">
      <c r="A451" s="349"/>
      <c r="B451" s="343"/>
      <c r="C451" s="343"/>
      <c r="D451" s="343"/>
      <c r="E451" s="343"/>
      <c r="F451" s="343"/>
      <c r="G451" s="343"/>
      <c r="H451" s="343"/>
      <c r="I451" s="343"/>
    </row>
    <row r="452" spans="1:9" ht="12.75" x14ac:dyDescent="0.2">
      <c r="A452" s="349"/>
      <c r="B452" s="343"/>
      <c r="C452" s="343"/>
      <c r="D452" s="343"/>
      <c r="E452" s="343"/>
      <c r="F452" s="343"/>
      <c r="G452" s="343"/>
      <c r="H452" s="343"/>
      <c r="I452" s="343"/>
    </row>
    <row r="453" spans="1:9" ht="12.75" x14ac:dyDescent="0.2">
      <c r="A453" s="349"/>
      <c r="B453" s="343"/>
      <c r="C453" s="343"/>
      <c r="D453" s="343"/>
      <c r="E453" s="343"/>
      <c r="F453" s="343"/>
      <c r="G453" s="343"/>
      <c r="H453" s="343"/>
      <c r="I453" s="343"/>
    </row>
    <row r="454" spans="1:9" ht="12.75" x14ac:dyDescent="0.2">
      <c r="A454" s="349"/>
      <c r="B454" s="343"/>
      <c r="C454" s="343"/>
      <c r="D454" s="343"/>
      <c r="E454" s="343"/>
      <c r="F454" s="343"/>
      <c r="G454" s="343"/>
      <c r="H454" s="343"/>
      <c r="I454" s="343"/>
    </row>
    <row r="455" spans="1:9" ht="12.75" x14ac:dyDescent="0.2">
      <c r="A455" s="349"/>
      <c r="B455" s="343"/>
      <c r="C455" s="343"/>
      <c r="D455" s="343"/>
      <c r="E455" s="343"/>
      <c r="F455" s="343"/>
      <c r="G455" s="343"/>
      <c r="H455" s="343"/>
      <c r="I455" s="343"/>
    </row>
    <row r="456" spans="1:9" ht="12.75" x14ac:dyDescent="0.2">
      <c r="A456" s="349"/>
      <c r="B456" s="343"/>
      <c r="C456" s="343"/>
      <c r="D456" s="343"/>
      <c r="E456" s="343"/>
      <c r="F456" s="343"/>
      <c r="G456" s="343"/>
      <c r="H456" s="343"/>
      <c r="I456" s="343"/>
    </row>
    <row r="457" spans="1:9" ht="12.75" x14ac:dyDescent="0.2">
      <c r="A457" s="349"/>
      <c r="B457" s="343"/>
      <c r="C457" s="343"/>
      <c r="D457" s="343"/>
      <c r="E457" s="343"/>
      <c r="F457" s="343"/>
      <c r="G457" s="343"/>
      <c r="H457" s="343"/>
      <c r="I457" s="343"/>
    </row>
    <row r="458" spans="1:9" ht="12.75" x14ac:dyDescent="0.2">
      <c r="A458" s="349"/>
      <c r="B458" s="343"/>
      <c r="C458" s="343"/>
      <c r="D458" s="343"/>
      <c r="E458" s="343"/>
      <c r="F458" s="343"/>
      <c r="G458" s="343"/>
      <c r="H458" s="343"/>
      <c r="I458" s="343"/>
    </row>
    <row r="459" spans="1:9" ht="12.75" x14ac:dyDescent="0.2">
      <c r="A459" s="349"/>
      <c r="B459" s="343"/>
      <c r="C459" s="343"/>
      <c r="D459" s="343"/>
      <c r="E459" s="343"/>
      <c r="F459" s="343"/>
      <c r="G459" s="343"/>
      <c r="H459" s="343"/>
      <c r="I459" s="343"/>
    </row>
    <row r="460" spans="1:9" ht="12.75" x14ac:dyDescent="0.2">
      <c r="A460" s="349"/>
      <c r="B460" s="343"/>
      <c r="C460" s="343"/>
      <c r="D460" s="343"/>
      <c r="E460" s="343"/>
      <c r="F460" s="343"/>
      <c r="G460" s="343"/>
      <c r="H460" s="343"/>
      <c r="I460" s="343"/>
    </row>
    <row r="461" spans="1:9" ht="12.75" x14ac:dyDescent="0.2">
      <c r="A461" s="349"/>
      <c r="B461" s="343"/>
      <c r="C461" s="343"/>
      <c r="D461" s="343"/>
      <c r="E461" s="343"/>
      <c r="F461" s="343"/>
      <c r="G461" s="343"/>
      <c r="H461" s="343"/>
      <c r="I461" s="343"/>
    </row>
    <row r="462" spans="1:9" ht="12.75" x14ac:dyDescent="0.2">
      <c r="A462" s="349"/>
      <c r="B462" s="343"/>
      <c r="C462" s="343"/>
      <c r="D462" s="343"/>
      <c r="E462" s="343"/>
      <c r="F462" s="343"/>
      <c r="G462" s="343"/>
      <c r="H462" s="343"/>
      <c r="I462" s="343"/>
    </row>
    <row r="463" spans="1:9" ht="12.75" x14ac:dyDescent="0.2">
      <c r="A463" s="349"/>
      <c r="B463" s="343"/>
      <c r="C463" s="343"/>
      <c r="D463" s="343"/>
      <c r="E463" s="343"/>
      <c r="F463" s="343"/>
      <c r="G463" s="343"/>
      <c r="H463" s="343"/>
      <c r="I463" s="343"/>
    </row>
    <row r="464" spans="1:9" ht="12.75" x14ac:dyDescent="0.2">
      <c r="A464" s="349"/>
      <c r="B464" s="343"/>
      <c r="C464" s="343"/>
      <c r="D464" s="343"/>
      <c r="E464" s="343"/>
      <c r="F464" s="343"/>
      <c r="G464" s="343"/>
      <c r="H464" s="343"/>
      <c r="I464" s="343"/>
    </row>
    <row r="465" spans="1:9" ht="12.75" x14ac:dyDescent="0.2">
      <c r="A465" s="349"/>
      <c r="B465" s="343"/>
      <c r="C465" s="343"/>
      <c r="D465" s="343"/>
      <c r="E465" s="343"/>
      <c r="F465" s="343"/>
      <c r="G465" s="343"/>
      <c r="H465" s="343"/>
      <c r="I465" s="343"/>
    </row>
    <row r="466" spans="1:9" ht="12.75" x14ac:dyDescent="0.2">
      <c r="A466" s="349"/>
      <c r="B466" s="343"/>
      <c r="C466" s="343"/>
      <c r="D466" s="343"/>
      <c r="E466" s="343"/>
      <c r="F466" s="343"/>
      <c r="G466" s="343"/>
      <c r="H466" s="343"/>
      <c r="I466" s="343"/>
    </row>
    <row r="467" spans="1:9" ht="12.75" x14ac:dyDescent="0.2">
      <c r="A467" s="349"/>
      <c r="B467" s="343"/>
      <c r="C467" s="343"/>
      <c r="D467" s="343"/>
      <c r="E467" s="343"/>
      <c r="F467" s="343"/>
      <c r="G467" s="343"/>
      <c r="H467" s="343"/>
      <c r="I467" s="343"/>
    </row>
    <row r="468" spans="1:9" ht="12.75" x14ac:dyDescent="0.2">
      <c r="A468" s="349"/>
      <c r="B468" s="343"/>
      <c r="C468" s="343"/>
      <c r="D468" s="343"/>
      <c r="E468" s="343"/>
      <c r="F468" s="343"/>
      <c r="G468" s="343"/>
      <c r="H468" s="343"/>
      <c r="I468" s="343"/>
    </row>
    <row r="469" spans="1:9" ht="12.75" x14ac:dyDescent="0.2">
      <c r="A469" s="349"/>
      <c r="B469" s="343"/>
      <c r="C469" s="343"/>
      <c r="D469" s="343"/>
      <c r="E469" s="343"/>
      <c r="F469" s="343"/>
      <c r="G469" s="343"/>
      <c r="H469" s="343"/>
      <c r="I469" s="343"/>
    </row>
    <row r="470" spans="1:9" ht="12.75" x14ac:dyDescent="0.2">
      <c r="A470" s="349"/>
      <c r="B470" s="343"/>
      <c r="C470" s="343"/>
      <c r="D470" s="343"/>
      <c r="E470" s="343"/>
      <c r="F470" s="343"/>
      <c r="G470" s="343"/>
      <c r="H470" s="343"/>
      <c r="I470" s="343"/>
    </row>
    <row r="471" spans="1:9" ht="12.75" x14ac:dyDescent="0.2">
      <c r="A471" s="349"/>
      <c r="B471" s="343"/>
      <c r="C471" s="343"/>
      <c r="D471" s="343"/>
      <c r="E471" s="343"/>
      <c r="F471" s="343"/>
      <c r="G471" s="343"/>
      <c r="H471" s="343"/>
      <c r="I471" s="343"/>
    </row>
    <row r="472" spans="1:9" ht="12.75" x14ac:dyDescent="0.2">
      <c r="A472" s="349"/>
      <c r="B472" s="343"/>
      <c r="C472" s="343"/>
      <c r="D472" s="343"/>
      <c r="E472" s="343"/>
      <c r="F472" s="343"/>
      <c r="G472" s="343"/>
      <c r="H472" s="343"/>
      <c r="I472" s="343"/>
    </row>
    <row r="473" spans="1:9" ht="12.75" x14ac:dyDescent="0.2">
      <c r="A473" s="349"/>
      <c r="B473" s="343"/>
      <c r="C473" s="343"/>
      <c r="D473" s="343"/>
      <c r="E473" s="343"/>
      <c r="F473" s="343"/>
      <c r="G473" s="343"/>
      <c r="H473" s="343"/>
      <c r="I473" s="343"/>
    </row>
    <row r="474" spans="1:9" ht="12.75" x14ac:dyDescent="0.2">
      <c r="A474" s="349"/>
      <c r="B474" s="343"/>
      <c r="C474" s="343"/>
      <c r="D474" s="343"/>
      <c r="E474" s="343"/>
      <c r="F474" s="343"/>
      <c r="G474" s="343"/>
      <c r="H474" s="343"/>
      <c r="I474" s="343"/>
    </row>
    <row r="475" spans="1:9" ht="12.75" x14ac:dyDescent="0.2">
      <c r="A475" s="349"/>
      <c r="B475" s="343"/>
      <c r="C475" s="343"/>
      <c r="D475" s="343"/>
      <c r="E475" s="343"/>
      <c r="F475" s="343"/>
      <c r="G475" s="343"/>
      <c r="H475" s="343"/>
      <c r="I475" s="343"/>
    </row>
    <row r="476" spans="1:9" ht="12.75" x14ac:dyDescent="0.2">
      <c r="A476" s="349"/>
      <c r="B476" s="343"/>
      <c r="C476" s="343"/>
      <c r="D476" s="343"/>
      <c r="E476" s="343"/>
      <c r="F476" s="343"/>
      <c r="G476" s="343"/>
      <c r="H476" s="343"/>
      <c r="I476" s="343"/>
    </row>
    <row r="477" spans="1:9" ht="12.75" x14ac:dyDescent="0.2">
      <c r="A477" s="349"/>
      <c r="B477" s="343"/>
      <c r="C477" s="343"/>
      <c r="D477" s="343"/>
      <c r="E477" s="343"/>
      <c r="F477" s="343"/>
      <c r="G477" s="343"/>
      <c r="H477" s="343"/>
      <c r="I477" s="343"/>
    </row>
    <row r="478" spans="1:9" ht="12.75" x14ac:dyDescent="0.2">
      <c r="A478" s="349"/>
      <c r="B478" s="343"/>
      <c r="C478" s="343"/>
      <c r="D478" s="343"/>
      <c r="E478" s="343"/>
      <c r="F478" s="343"/>
      <c r="G478" s="343"/>
      <c r="H478" s="343"/>
      <c r="I478" s="343"/>
    </row>
    <row r="479" spans="1:9" ht="12.75" x14ac:dyDescent="0.2">
      <c r="A479" s="349"/>
      <c r="B479" s="343"/>
      <c r="C479" s="343"/>
      <c r="D479" s="343"/>
      <c r="E479" s="343"/>
      <c r="F479" s="343"/>
      <c r="G479" s="343"/>
      <c r="H479" s="343"/>
      <c r="I479" s="343"/>
    </row>
    <row r="480" spans="1:9" ht="12.75" x14ac:dyDescent="0.2">
      <c r="A480" s="349"/>
      <c r="B480" s="343"/>
      <c r="C480" s="343"/>
      <c r="D480" s="343"/>
      <c r="E480" s="343"/>
      <c r="F480" s="343"/>
      <c r="G480" s="343"/>
      <c r="H480" s="343"/>
      <c r="I480" s="343"/>
    </row>
    <row r="481" spans="1:9" ht="12.75" x14ac:dyDescent="0.2">
      <c r="A481" s="349"/>
      <c r="B481" s="343"/>
      <c r="C481" s="343"/>
      <c r="D481" s="343"/>
      <c r="E481" s="343"/>
      <c r="F481" s="343"/>
      <c r="G481" s="343"/>
      <c r="H481" s="343"/>
      <c r="I481" s="343"/>
    </row>
    <row r="482" spans="1:9" ht="12.75" x14ac:dyDescent="0.2">
      <c r="A482" s="349"/>
      <c r="B482" s="343"/>
      <c r="C482" s="343"/>
      <c r="D482" s="343"/>
      <c r="E482" s="343"/>
      <c r="F482" s="343"/>
      <c r="G482" s="343"/>
      <c r="H482" s="343"/>
      <c r="I482" s="343"/>
    </row>
    <row r="483" spans="1:9" ht="12.75" x14ac:dyDescent="0.2">
      <c r="A483" s="349"/>
      <c r="B483" s="343"/>
      <c r="C483" s="343"/>
      <c r="D483" s="343"/>
      <c r="E483" s="343"/>
      <c r="F483" s="343"/>
      <c r="G483" s="343"/>
      <c r="H483" s="343"/>
      <c r="I483" s="343"/>
    </row>
    <row r="484" spans="1:9" ht="12.75" x14ac:dyDescent="0.2">
      <c r="A484" s="349"/>
      <c r="B484" s="343"/>
      <c r="C484" s="343"/>
      <c r="D484" s="343"/>
      <c r="E484" s="343"/>
      <c r="F484" s="343"/>
      <c r="G484" s="343"/>
      <c r="H484" s="343"/>
      <c r="I484" s="343"/>
    </row>
    <row r="485" spans="1:9" ht="12.75" x14ac:dyDescent="0.2">
      <c r="A485" s="349"/>
      <c r="B485" s="343"/>
      <c r="C485" s="343"/>
      <c r="D485" s="343"/>
      <c r="E485" s="343"/>
      <c r="F485" s="343"/>
      <c r="G485" s="343"/>
      <c r="H485" s="343"/>
      <c r="I485" s="343"/>
    </row>
    <row r="486" spans="1:9" ht="12.75" x14ac:dyDescent="0.2">
      <c r="A486" s="349"/>
      <c r="B486" s="343"/>
      <c r="C486" s="343"/>
      <c r="D486" s="343"/>
      <c r="E486" s="343"/>
      <c r="F486" s="343"/>
      <c r="G486" s="343"/>
      <c r="H486" s="343"/>
      <c r="I486" s="343"/>
    </row>
    <row r="487" spans="1:9" ht="12.75" x14ac:dyDescent="0.2">
      <c r="A487" s="349"/>
      <c r="B487" s="343"/>
      <c r="C487" s="343"/>
      <c r="D487" s="343"/>
      <c r="E487" s="343"/>
      <c r="F487" s="343"/>
      <c r="G487" s="343"/>
      <c r="H487" s="343"/>
      <c r="I487" s="343"/>
    </row>
    <row r="488" spans="1:9" ht="12.75" x14ac:dyDescent="0.2">
      <c r="A488" s="349"/>
      <c r="B488" s="343"/>
      <c r="C488" s="343"/>
      <c r="D488" s="343"/>
      <c r="E488" s="343"/>
      <c r="F488" s="343"/>
      <c r="G488" s="343"/>
      <c r="H488" s="343"/>
      <c r="I488" s="343"/>
    </row>
    <row r="489" spans="1:9" ht="12.75" x14ac:dyDescent="0.2">
      <c r="A489" s="349"/>
      <c r="B489" s="343"/>
      <c r="C489" s="343"/>
      <c r="D489" s="343"/>
      <c r="E489" s="343"/>
      <c r="F489" s="343"/>
      <c r="G489" s="343"/>
      <c r="H489" s="343"/>
      <c r="I489" s="343"/>
    </row>
    <row r="490" spans="1:9" ht="12.75" x14ac:dyDescent="0.2">
      <c r="A490" s="349"/>
      <c r="B490" s="343"/>
      <c r="C490" s="343"/>
      <c r="D490" s="343"/>
      <c r="E490" s="343"/>
      <c r="F490" s="343"/>
      <c r="G490" s="343"/>
      <c r="H490" s="343"/>
      <c r="I490" s="343"/>
    </row>
    <row r="491" spans="1:9" ht="12.75" x14ac:dyDescent="0.2">
      <c r="A491" s="349"/>
      <c r="B491" s="343"/>
      <c r="C491" s="343"/>
      <c r="D491" s="343"/>
      <c r="E491" s="343"/>
      <c r="F491" s="343"/>
      <c r="G491" s="343"/>
      <c r="H491" s="343"/>
      <c r="I491" s="343"/>
    </row>
    <row r="492" spans="1:9" ht="12.75" x14ac:dyDescent="0.2">
      <c r="A492" s="349"/>
      <c r="B492" s="343"/>
      <c r="C492" s="343"/>
      <c r="D492" s="343"/>
      <c r="E492" s="343"/>
      <c r="F492" s="343"/>
      <c r="G492" s="343"/>
      <c r="H492" s="343"/>
      <c r="I492" s="343"/>
    </row>
    <row r="493" spans="1:9" ht="12.75" x14ac:dyDescent="0.2">
      <c r="A493" s="349"/>
      <c r="B493" s="343"/>
      <c r="C493" s="343"/>
      <c r="D493" s="343"/>
      <c r="E493" s="343"/>
      <c r="F493" s="343"/>
      <c r="G493" s="343"/>
      <c r="H493" s="343"/>
      <c r="I493" s="343"/>
    </row>
    <row r="494" spans="1:9" ht="12.75" x14ac:dyDescent="0.2">
      <c r="A494" s="349"/>
      <c r="B494" s="343"/>
      <c r="C494" s="343"/>
      <c r="D494" s="343"/>
      <c r="E494" s="343"/>
      <c r="F494" s="343"/>
      <c r="G494" s="343"/>
      <c r="H494" s="343"/>
      <c r="I494" s="343"/>
    </row>
    <row r="495" spans="1:9" ht="12.75" x14ac:dyDescent="0.2">
      <c r="A495" s="349"/>
      <c r="B495" s="343"/>
      <c r="C495" s="343"/>
      <c r="D495" s="343"/>
      <c r="E495" s="343"/>
      <c r="F495" s="343"/>
      <c r="G495" s="343"/>
      <c r="H495" s="343"/>
      <c r="I495" s="343"/>
    </row>
    <row r="496" spans="1:9" ht="12.75" x14ac:dyDescent="0.2">
      <c r="A496" s="349"/>
      <c r="B496" s="343"/>
      <c r="C496" s="343"/>
      <c r="D496" s="343"/>
      <c r="E496" s="343"/>
      <c r="F496" s="343"/>
      <c r="G496" s="343"/>
      <c r="H496" s="343"/>
      <c r="I496" s="343"/>
    </row>
    <row r="497" spans="1:9" ht="12.75" x14ac:dyDescent="0.2">
      <c r="A497" s="349"/>
      <c r="B497" s="343"/>
      <c r="C497" s="343"/>
      <c r="D497" s="343"/>
      <c r="E497" s="343"/>
      <c r="F497" s="343"/>
      <c r="G497" s="343"/>
      <c r="H497" s="343"/>
      <c r="I497" s="343"/>
    </row>
    <row r="498" spans="1:9" ht="12.75" x14ac:dyDescent="0.2">
      <c r="A498" s="349"/>
      <c r="B498" s="343"/>
      <c r="C498" s="343"/>
      <c r="D498" s="343"/>
      <c r="E498" s="343"/>
      <c r="F498" s="343"/>
      <c r="G498" s="343"/>
      <c r="H498" s="343"/>
      <c r="I498" s="343"/>
    </row>
    <row r="499" spans="1:9" ht="12.75" x14ac:dyDescent="0.2">
      <c r="A499" s="349"/>
      <c r="B499" s="343"/>
      <c r="C499" s="343"/>
      <c r="D499" s="343"/>
      <c r="E499" s="343"/>
      <c r="F499" s="343"/>
      <c r="G499" s="343"/>
      <c r="H499" s="343"/>
      <c r="I499" s="343"/>
    </row>
    <row r="500" spans="1:9" ht="12.75" x14ac:dyDescent="0.2">
      <c r="A500" s="349"/>
      <c r="B500" s="343"/>
      <c r="C500" s="343"/>
      <c r="D500" s="343"/>
      <c r="E500" s="343"/>
      <c r="F500" s="343"/>
      <c r="G500" s="343"/>
      <c r="H500" s="343"/>
      <c r="I500" s="343"/>
    </row>
    <row r="501" spans="1:9" ht="12.75" x14ac:dyDescent="0.2">
      <c r="A501" s="349"/>
      <c r="B501" s="343"/>
      <c r="C501" s="343"/>
      <c r="D501" s="343"/>
      <c r="E501" s="343"/>
      <c r="F501" s="343"/>
      <c r="G501" s="343"/>
      <c r="H501" s="343"/>
      <c r="I501" s="343"/>
    </row>
    <row r="502" spans="1:9" ht="12.75" x14ac:dyDescent="0.2">
      <c r="A502" s="349"/>
      <c r="B502" s="343"/>
      <c r="C502" s="343"/>
      <c r="D502" s="343"/>
      <c r="E502" s="343"/>
      <c r="F502" s="343"/>
      <c r="G502" s="343"/>
      <c r="H502" s="343"/>
      <c r="I502" s="343"/>
    </row>
    <row r="503" spans="1:9" ht="12.75" x14ac:dyDescent="0.2">
      <c r="A503" s="349"/>
      <c r="B503" s="343"/>
      <c r="C503" s="343"/>
      <c r="D503" s="343"/>
      <c r="E503" s="343"/>
      <c r="F503" s="343"/>
      <c r="G503" s="343"/>
      <c r="H503" s="343"/>
      <c r="I503" s="343"/>
    </row>
    <row r="504" spans="1:9" ht="12.75" x14ac:dyDescent="0.2">
      <c r="A504" s="349"/>
      <c r="B504" s="343"/>
      <c r="C504" s="343"/>
      <c r="D504" s="343"/>
      <c r="E504" s="343"/>
      <c r="F504" s="343"/>
      <c r="G504" s="343"/>
      <c r="H504" s="343"/>
      <c r="I504" s="343"/>
    </row>
    <row r="505" spans="1:9" ht="12.75" x14ac:dyDescent="0.2">
      <c r="A505" s="349"/>
      <c r="B505" s="343"/>
      <c r="C505" s="343"/>
      <c r="D505" s="343"/>
      <c r="E505" s="343"/>
      <c r="F505" s="343"/>
      <c r="G505" s="343"/>
      <c r="H505" s="343"/>
      <c r="I505" s="343"/>
    </row>
    <row r="506" spans="1:9" ht="12.75" x14ac:dyDescent="0.2">
      <c r="A506" s="349"/>
      <c r="B506" s="343"/>
      <c r="C506" s="343"/>
      <c r="D506" s="343"/>
      <c r="E506" s="343"/>
      <c r="F506" s="343"/>
      <c r="G506" s="343"/>
      <c r="H506" s="343"/>
      <c r="I506" s="343"/>
    </row>
    <row r="507" spans="1:9" ht="12.75" x14ac:dyDescent="0.2">
      <c r="A507" s="349"/>
      <c r="B507" s="343"/>
      <c r="C507" s="343"/>
      <c r="D507" s="343"/>
      <c r="E507" s="343"/>
      <c r="F507" s="343"/>
      <c r="G507" s="343"/>
      <c r="H507" s="343"/>
      <c r="I507" s="343"/>
    </row>
    <row r="508" spans="1:9" ht="12.75" x14ac:dyDescent="0.2">
      <c r="A508" s="349"/>
      <c r="B508" s="343"/>
      <c r="C508" s="343"/>
      <c r="D508" s="343"/>
      <c r="E508" s="343"/>
      <c r="F508" s="343"/>
      <c r="G508" s="343"/>
      <c r="H508" s="343"/>
      <c r="I508" s="343"/>
    </row>
    <row r="509" spans="1:9" ht="12.75" x14ac:dyDescent="0.2">
      <c r="A509" s="349"/>
      <c r="B509" s="343"/>
      <c r="C509" s="343"/>
      <c r="D509" s="343"/>
      <c r="E509" s="343"/>
      <c r="F509" s="343"/>
      <c r="G509" s="343"/>
      <c r="H509" s="343"/>
      <c r="I509" s="343"/>
    </row>
    <row r="510" spans="1:9" ht="12.75" x14ac:dyDescent="0.2">
      <c r="A510" s="349"/>
      <c r="B510" s="343"/>
      <c r="C510" s="343"/>
      <c r="D510" s="343"/>
      <c r="E510" s="343"/>
      <c r="F510" s="343"/>
      <c r="G510" s="343"/>
      <c r="H510" s="343"/>
      <c r="I510" s="343"/>
    </row>
    <row r="511" spans="1:9" ht="12.75" x14ac:dyDescent="0.2">
      <c r="A511" s="349"/>
      <c r="B511" s="343"/>
      <c r="C511" s="343"/>
      <c r="D511" s="343"/>
      <c r="E511" s="343"/>
      <c r="F511" s="343"/>
      <c r="G511" s="343"/>
      <c r="H511" s="343"/>
      <c r="I511" s="343"/>
    </row>
    <row r="512" spans="1:9" ht="12.75" x14ac:dyDescent="0.2">
      <c r="A512" s="349"/>
      <c r="B512" s="343"/>
      <c r="C512" s="343"/>
      <c r="D512" s="343"/>
      <c r="E512" s="343"/>
      <c r="F512" s="343"/>
      <c r="G512" s="343"/>
      <c r="H512" s="343"/>
      <c r="I512" s="343"/>
    </row>
    <row r="513" spans="1:9" ht="12.75" x14ac:dyDescent="0.2">
      <c r="A513" s="349"/>
      <c r="B513" s="343"/>
      <c r="C513" s="343"/>
      <c r="D513" s="343"/>
      <c r="E513" s="343"/>
      <c r="F513" s="343"/>
      <c r="G513" s="343"/>
      <c r="H513" s="343"/>
      <c r="I513" s="343"/>
    </row>
    <row r="514" spans="1:9" ht="12.75" x14ac:dyDescent="0.2">
      <c r="A514" s="349"/>
      <c r="B514" s="343"/>
      <c r="C514" s="343"/>
      <c r="D514" s="343"/>
      <c r="E514" s="343"/>
      <c r="F514" s="343"/>
      <c r="G514" s="343"/>
      <c r="H514" s="343"/>
      <c r="I514" s="343"/>
    </row>
    <row r="515" spans="1:9" ht="12.75" x14ac:dyDescent="0.2">
      <c r="A515" s="349"/>
      <c r="B515" s="343"/>
      <c r="C515" s="343"/>
      <c r="D515" s="343"/>
      <c r="E515" s="343"/>
      <c r="F515" s="343"/>
      <c r="G515" s="343"/>
      <c r="H515" s="343"/>
      <c r="I515" s="343"/>
    </row>
    <row r="516" spans="1:9" ht="12.75" x14ac:dyDescent="0.2">
      <c r="A516" s="349"/>
      <c r="B516" s="343"/>
      <c r="C516" s="343"/>
      <c r="D516" s="343"/>
      <c r="E516" s="343"/>
      <c r="F516" s="343"/>
      <c r="G516" s="343"/>
      <c r="H516" s="343"/>
      <c r="I516" s="343"/>
    </row>
    <row r="517" spans="1:9" ht="12.75" x14ac:dyDescent="0.2">
      <c r="A517" s="349"/>
      <c r="B517" s="343"/>
      <c r="C517" s="343"/>
      <c r="D517" s="343"/>
      <c r="E517" s="343"/>
      <c r="F517" s="343"/>
      <c r="G517" s="343"/>
      <c r="H517" s="343"/>
      <c r="I517" s="343"/>
    </row>
    <row r="518" spans="1:9" ht="12.75" x14ac:dyDescent="0.2">
      <c r="A518" s="349"/>
      <c r="B518" s="343"/>
      <c r="C518" s="343"/>
      <c r="D518" s="343"/>
      <c r="E518" s="343"/>
      <c r="F518" s="343"/>
      <c r="G518" s="343"/>
      <c r="H518" s="343"/>
      <c r="I518" s="343"/>
    </row>
    <row r="519" spans="1:9" ht="12.75" x14ac:dyDescent="0.2">
      <c r="A519" s="349"/>
      <c r="B519" s="343"/>
      <c r="C519" s="343"/>
      <c r="D519" s="343"/>
      <c r="E519" s="343"/>
      <c r="F519" s="343"/>
      <c r="G519" s="343"/>
      <c r="H519" s="343"/>
      <c r="I519" s="343"/>
    </row>
    <row r="520" spans="1:9" ht="12.75" x14ac:dyDescent="0.2">
      <c r="A520" s="349"/>
      <c r="B520" s="343"/>
      <c r="C520" s="343"/>
      <c r="D520" s="343"/>
      <c r="E520" s="343"/>
      <c r="F520" s="343"/>
      <c r="G520" s="343"/>
      <c r="H520" s="343"/>
      <c r="I520" s="343"/>
    </row>
    <row r="521" spans="1:9" ht="12.75" x14ac:dyDescent="0.2">
      <c r="A521" s="349"/>
      <c r="B521" s="343"/>
      <c r="C521" s="343"/>
      <c r="D521" s="343"/>
      <c r="E521" s="343"/>
      <c r="F521" s="343"/>
      <c r="G521" s="343"/>
      <c r="H521" s="343"/>
      <c r="I521" s="343"/>
    </row>
    <row r="522" spans="1:9" ht="12.75" x14ac:dyDescent="0.2">
      <c r="A522" s="349"/>
      <c r="B522" s="343"/>
      <c r="C522" s="343"/>
      <c r="D522" s="343"/>
      <c r="E522" s="343"/>
      <c r="F522" s="343"/>
      <c r="G522" s="343"/>
      <c r="H522" s="343"/>
      <c r="I522" s="343"/>
    </row>
    <row r="523" spans="1:9" ht="12.75" x14ac:dyDescent="0.2">
      <c r="A523" s="349"/>
      <c r="B523" s="343"/>
      <c r="C523" s="343"/>
      <c r="D523" s="343"/>
      <c r="E523" s="343"/>
      <c r="F523" s="343"/>
      <c r="G523" s="343"/>
      <c r="H523" s="343"/>
      <c r="I523" s="343"/>
    </row>
    <row r="524" spans="1:9" ht="12.75" x14ac:dyDescent="0.2">
      <c r="A524" s="349"/>
      <c r="B524" s="343"/>
      <c r="C524" s="343"/>
      <c r="D524" s="343"/>
      <c r="E524" s="343"/>
      <c r="F524" s="343"/>
      <c r="G524" s="343"/>
      <c r="H524" s="343"/>
      <c r="I524" s="343"/>
    </row>
    <row r="525" spans="1:9" ht="12.75" x14ac:dyDescent="0.2">
      <c r="A525" s="349"/>
      <c r="B525" s="343"/>
      <c r="C525" s="343"/>
      <c r="D525" s="343"/>
      <c r="E525" s="343"/>
      <c r="F525" s="343"/>
      <c r="G525" s="343"/>
      <c r="H525" s="343"/>
      <c r="I525" s="343"/>
    </row>
    <row r="526" spans="1:9" ht="12.75" x14ac:dyDescent="0.2">
      <c r="A526" s="349"/>
      <c r="B526" s="343"/>
      <c r="C526" s="343"/>
      <c r="D526" s="343"/>
      <c r="E526" s="343"/>
      <c r="F526" s="343"/>
      <c r="G526" s="343"/>
      <c r="H526" s="343"/>
      <c r="I526" s="343"/>
    </row>
    <row r="527" spans="1:9" ht="12.75" x14ac:dyDescent="0.2">
      <c r="A527" s="349"/>
      <c r="B527" s="343"/>
      <c r="C527" s="343"/>
      <c r="D527" s="343"/>
      <c r="E527" s="343"/>
      <c r="F527" s="343"/>
      <c r="G527" s="343"/>
      <c r="H527" s="343"/>
      <c r="I527" s="343"/>
    </row>
    <row r="528" spans="1:9" ht="12.75" x14ac:dyDescent="0.2">
      <c r="A528" s="349"/>
      <c r="B528" s="343"/>
      <c r="C528" s="343"/>
      <c r="D528" s="343"/>
      <c r="E528" s="343"/>
      <c r="F528" s="343"/>
      <c r="G528" s="343"/>
      <c r="H528" s="343"/>
      <c r="I528" s="343"/>
    </row>
    <row r="529" spans="1:9" ht="12.75" x14ac:dyDescent="0.2">
      <c r="A529" s="349"/>
      <c r="B529" s="343"/>
      <c r="C529" s="343"/>
      <c r="D529" s="343"/>
      <c r="E529" s="343"/>
      <c r="F529" s="343"/>
      <c r="G529" s="343"/>
      <c r="H529" s="343"/>
      <c r="I529" s="343"/>
    </row>
    <row r="530" spans="1:9" ht="12.75" x14ac:dyDescent="0.2">
      <c r="A530" s="349"/>
      <c r="B530" s="343"/>
      <c r="C530" s="343"/>
      <c r="D530" s="343"/>
      <c r="E530" s="343"/>
      <c r="F530" s="343"/>
      <c r="G530" s="343"/>
      <c r="H530" s="343"/>
      <c r="I530" s="343"/>
    </row>
    <row r="531" spans="1:9" ht="12.75" x14ac:dyDescent="0.2">
      <c r="A531" s="349"/>
      <c r="B531" s="343"/>
      <c r="C531" s="343"/>
      <c r="D531" s="343"/>
      <c r="E531" s="343"/>
      <c r="F531" s="343"/>
      <c r="G531" s="343"/>
      <c r="H531" s="343"/>
      <c r="I531" s="343"/>
    </row>
    <row r="532" spans="1:9" ht="12.75" x14ac:dyDescent="0.2">
      <c r="A532" s="349"/>
      <c r="B532" s="343"/>
      <c r="C532" s="343"/>
      <c r="D532" s="343"/>
      <c r="E532" s="343"/>
      <c r="F532" s="343"/>
      <c r="G532" s="343"/>
      <c r="H532" s="343"/>
      <c r="I532" s="343"/>
    </row>
    <row r="533" spans="1:9" ht="12.75" x14ac:dyDescent="0.2">
      <c r="A533" s="349"/>
      <c r="B533" s="343"/>
      <c r="C533" s="343"/>
      <c r="D533" s="343"/>
      <c r="E533" s="343"/>
      <c r="F533" s="343"/>
      <c r="G533" s="343"/>
      <c r="H533" s="343"/>
      <c r="I533" s="343"/>
    </row>
    <row r="534" spans="1:9" ht="12.75" x14ac:dyDescent="0.2">
      <c r="A534" s="349"/>
      <c r="B534" s="343"/>
      <c r="C534" s="343"/>
      <c r="D534" s="343"/>
      <c r="E534" s="343"/>
      <c r="F534" s="343"/>
      <c r="G534" s="343"/>
      <c r="H534" s="343"/>
      <c r="I534" s="343"/>
    </row>
    <row r="535" spans="1:9" ht="12.75" x14ac:dyDescent="0.2">
      <c r="A535" s="349"/>
      <c r="B535" s="343"/>
      <c r="C535" s="343"/>
      <c r="D535" s="343"/>
      <c r="E535" s="343"/>
      <c r="F535" s="343"/>
      <c r="G535" s="343"/>
      <c r="H535" s="343"/>
      <c r="I535" s="343"/>
    </row>
    <row r="536" spans="1:9" ht="12.75" x14ac:dyDescent="0.2">
      <c r="A536" s="349"/>
      <c r="B536" s="343"/>
      <c r="C536" s="343"/>
      <c r="D536" s="343"/>
      <c r="E536" s="343"/>
      <c r="F536" s="343"/>
      <c r="G536" s="343"/>
      <c r="H536" s="343"/>
      <c r="I536" s="343"/>
    </row>
    <row r="537" spans="1:9" ht="12.75" x14ac:dyDescent="0.2">
      <c r="A537" s="349"/>
      <c r="B537" s="343"/>
      <c r="C537" s="343"/>
      <c r="D537" s="343"/>
      <c r="E537" s="343"/>
      <c r="F537" s="343"/>
      <c r="G537" s="343"/>
      <c r="H537" s="343"/>
      <c r="I537" s="343"/>
    </row>
    <row r="538" spans="1:9" ht="12.75" x14ac:dyDescent="0.2">
      <c r="A538" s="349"/>
      <c r="B538" s="343"/>
      <c r="C538" s="343"/>
      <c r="D538" s="343"/>
      <c r="E538" s="343"/>
      <c r="F538" s="343"/>
      <c r="G538" s="343"/>
      <c r="H538" s="343"/>
      <c r="I538" s="343"/>
    </row>
    <row r="539" spans="1:9" ht="12.75" x14ac:dyDescent="0.2">
      <c r="A539" s="349"/>
      <c r="B539" s="343"/>
      <c r="C539" s="343"/>
      <c r="D539" s="343"/>
      <c r="E539" s="343"/>
      <c r="F539" s="343"/>
      <c r="G539" s="343"/>
      <c r="H539" s="343"/>
      <c r="I539" s="343"/>
    </row>
    <row r="540" spans="1:9" ht="12.75" x14ac:dyDescent="0.2">
      <c r="A540" s="349"/>
      <c r="B540" s="343"/>
      <c r="C540" s="343"/>
      <c r="D540" s="343"/>
      <c r="E540" s="343"/>
      <c r="F540" s="343"/>
      <c r="G540" s="343"/>
      <c r="H540" s="343"/>
      <c r="I540" s="343"/>
    </row>
    <row r="541" spans="1:9" ht="12.75" x14ac:dyDescent="0.2">
      <c r="A541" s="349"/>
      <c r="B541" s="343"/>
      <c r="C541" s="343"/>
      <c r="D541" s="343"/>
      <c r="E541" s="343"/>
      <c r="F541" s="343"/>
      <c r="G541" s="343"/>
      <c r="H541" s="343"/>
      <c r="I541" s="343"/>
    </row>
    <row r="542" spans="1:9" ht="12.75" x14ac:dyDescent="0.2">
      <c r="A542" s="349"/>
      <c r="B542" s="343"/>
      <c r="C542" s="343"/>
      <c r="D542" s="343"/>
      <c r="E542" s="343"/>
      <c r="F542" s="343"/>
      <c r="G542" s="343"/>
      <c r="H542" s="343"/>
      <c r="I542" s="343"/>
    </row>
    <row r="543" spans="1:9" ht="12.75" x14ac:dyDescent="0.2">
      <c r="A543" s="349"/>
      <c r="B543" s="343"/>
      <c r="C543" s="343"/>
      <c r="D543" s="343"/>
      <c r="E543" s="343"/>
      <c r="F543" s="343"/>
      <c r="G543" s="343"/>
      <c r="H543" s="343"/>
      <c r="I543" s="343"/>
    </row>
    <row r="544" spans="1:9" ht="12.75" x14ac:dyDescent="0.2">
      <c r="A544" s="349"/>
      <c r="B544" s="343"/>
      <c r="C544" s="343"/>
      <c r="D544" s="343"/>
      <c r="E544" s="343"/>
      <c r="F544" s="343"/>
      <c r="G544" s="343"/>
      <c r="H544" s="343"/>
      <c r="I544" s="343"/>
    </row>
    <row r="545" spans="1:9" ht="12.75" x14ac:dyDescent="0.2">
      <c r="A545" s="349"/>
      <c r="B545" s="343"/>
      <c r="C545" s="343"/>
      <c r="D545" s="343"/>
      <c r="E545" s="343"/>
      <c r="F545" s="343"/>
      <c r="G545" s="343"/>
      <c r="H545" s="343"/>
      <c r="I545" s="343"/>
    </row>
    <row r="546" spans="1:9" ht="12.75" x14ac:dyDescent="0.2">
      <c r="A546" s="349"/>
      <c r="B546" s="343"/>
      <c r="C546" s="343"/>
      <c r="D546" s="343"/>
      <c r="E546" s="343"/>
      <c r="F546" s="343"/>
      <c r="G546" s="343"/>
      <c r="H546" s="343"/>
      <c r="I546" s="343"/>
    </row>
    <row r="547" spans="1:9" ht="12.75" x14ac:dyDescent="0.2">
      <c r="A547" s="349"/>
      <c r="B547" s="343"/>
      <c r="C547" s="343"/>
      <c r="D547" s="343"/>
      <c r="E547" s="343"/>
      <c r="F547" s="343"/>
      <c r="G547" s="343"/>
      <c r="H547" s="343"/>
      <c r="I547" s="343"/>
    </row>
    <row r="548" spans="1:9" ht="12.75" x14ac:dyDescent="0.2">
      <c r="A548" s="349"/>
      <c r="B548" s="343"/>
      <c r="C548" s="343"/>
      <c r="D548" s="343"/>
      <c r="E548" s="343"/>
      <c r="F548" s="343"/>
      <c r="G548" s="343"/>
      <c r="H548" s="343"/>
      <c r="I548" s="343"/>
    </row>
    <row r="549" spans="1:9" ht="12.75" x14ac:dyDescent="0.2">
      <c r="A549" s="349"/>
      <c r="B549" s="343"/>
      <c r="C549" s="343"/>
      <c r="D549" s="343"/>
      <c r="E549" s="343"/>
      <c r="F549" s="343"/>
      <c r="G549" s="343"/>
      <c r="H549" s="343"/>
      <c r="I549" s="343"/>
    </row>
    <row r="550" spans="1:9" ht="12.75" x14ac:dyDescent="0.2">
      <c r="A550" s="349"/>
      <c r="B550" s="343"/>
      <c r="C550" s="343"/>
      <c r="D550" s="343"/>
      <c r="E550" s="343"/>
      <c r="F550" s="343"/>
      <c r="G550" s="343"/>
      <c r="H550" s="343"/>
      <c r="I550" s="343"/>
    </row>
    <row r="551" spans="1:9" ht="12.75" x14ac:dyDescent="0.2">
      <c r="A551" s="349"/>
      <c r="B551" s="343"/>
      <c r="C551" s="343"/>
      <c r="D551" s="343"/>
      <c r="E551" s="343"/>
      <c r="F551" s="343"/>
      <c r="G551" s="343"/>
      <c r="H551" s="343"/>
      <c r="I551" s="343"/>
    </row>
    <row r="552" spans="1:9" ht="12.75" x14ac:dyDescent="0.2">
      <c r="A552" s="349"/>
      <c r="B552" s="343"/>
      <c r="C552" s="343"/>
      <c r="D552" s="343"/>
      <c r="E552" s="343"/>
      <c r="F552" s="343"/>
      <c r="G552" s="343"/>
      <c r="H552" s="343"/>
      <c r="I552" s="343"/>
    </row>
    <row r="553" spans="1:9" ht="12.75" x14ac:dyDescent="0.2">
      <c r="A553" s="349"/>
      <c r="B553" s="343"/>
      <c r="C553" s="343"/>
      <c r="D553" s="343"/>
      <c r="E553" s="343"/>
      <c r="F553" s="343"/>
      <c r="G553" s="343"/>
      <c r="H553" s="343"/>
      <c r="I553" s="343"/>
    </row>
    <row r="554" spans="1:9" ht="12.75" x14ac:dyDescent="0.2">
      <c r="A554" s="349"/>
      <c r="B554" s="343"/>
      <c r="C554" s="343"/>
      <c r="D554" s="343"/>
      <c r="E554" s="343"/>
      <c r="F554" s="343"/>
      <c r="G554" s="343"/>
      <c r="H554" s="343"/>
      <c r="I554" s="343"/>
    </row>
    <row r="555" spans="1:9" ht="12.75" x14ac:dyDescent="0.2">
      <c r="A555" s="349"/>
      <c r="B555" s="343"/>
      <c r="C555" s="343"/>
      <c r="D555" s="343"/>
      <c r="E555" s="343"/>
      <c r="F555" s="343"/>
      <c r="G555" s="343"/>
      <c r="H555" s="343"/>
      <c r="I555" s="343"/>
    </row>
    <row r="556" spans="1:9" ht="12.75" x14ac:dyDescent="0.2">
      <c r="A556" s="349"/>
      <c r="B556" s="343"/>
      <c r="C556" s="343"/>
      <c r="D556" s="343"/>
      <c r="E556" s="343"/>
      <c r="F556" s="343"/>
      <c r="G556" s="343"/>
      <c r="H556" s="343"/>
      <c r="I556" s="343"/>
    </row>
    <row r="557" spans="1:9" ht="12.75" x14ac:dyDescent="0.2">
      <c r="A557" s="349"/>
      <c r="B557" s="343"/>
      <c r="C557" s="343"/>
      <c r="D557" s="343"/>
      <c r="E557" s="343"/>
      <c r="F557" s="343"/>
      <c r="G557" s="343"/>
      <c r="H557" s="343"/>
      <c r="I557" s="343"/>
    </row>
    <row r="558" spans="1:9" ht="12.75" x14ac:dyDescent="0.2">
      <c r="A558" s="349"/>
      <c r="B558" s="343"/>
      <c r="C558" s="343"/>
      <c r="D558" s="343"/>
      <c r="E558" s="343"/>
      <c r="F558" s="343"/>
      <c r="G558" s="343"/>
      <c r="H558" s="343"/>
      <c r="I558" s="343"/>
    </row>
    <row r="559" spans="1:9" ht="12.75" x14ac:dyDescent="0.2">
      <c r="A559" s="349"/>
      <c r="B559" s="343"/>
      <c r="C559" s="343"/>
      <c r="D559" s="343"/>
      <c r="E559" s="343"/>
      <c r="F559" s="343"/>
      <c r="G559" s="343"/>
      <c r="H559" s="343"/>
      <c r="I559" s="343"/>
    </row>
    <row r="560" spans="1:9" ht="12.75" x14ac:dyDescent="0.2">
      <c r="A560" s="349"/>
      <c r="B560" s="343"/>
      <c r="C560" s="343"/>
      <c r="D560" s="343"/>
      <c r="E560" s="343"/>
      <c r="F560" s="343"/>
      <c r="G560" s="343"/>
      <c r="H560" s="343"/>
      <c r="I560" s="343"/>
    </row>
    <row r="561" spans="1:9" ht="12.75" x14ac:dyDescent="0.2">
      <c r="A561" s="349"/>
      <c r="B561" s="343"/>
      <c r="C561" s="343"/>
      <c r="D561" s="343"/>
      <c r="E561" s="343"/>
      <c r="F561" s="343"/>
      <c r="G561" s="343"/>
      <c r="H561" s="343"/>
      <c r="I561" s="343"/>
    </row>
    <row r="562" spans="1:9" ht="12.75" x14ac:dyDescent="0.2">
      <c r="A562" s="349"/>
      <c r="B562" s="343"/>
      <c r="C562" s="343"/>
      <c r="D562" s="343"/>
      <c r="E562" s="343"/>
      <c r="F562" s="343"/>
      <c r="G562" s="343"/>
      <c r="H562" s="343"/>
      <c r="I562" s="343"/>
    </row>
    <row r="563" spans="1:9" ht="12.75" x14ac:dyDescent="0.2">
      <c r="A563" s="349"/>
      <c r="B563" s="343"/>
      <c r="C563" s="343"/>
      <c r="D563" s="343"/>
      <c r="E563" s="343"/>
      <c r="F563" s="343"/>
      <c r="G563" s="343"/>
      <c r="H563" s="343"/>
      <c r="I563" s="343"/>
    </row>
    <row r="564" spans="1:9" ht="12.75" x14ac:dyDescent="0.2">
      <c r="A564" s="349"/>
      <c r="B564" s="343"/>
      <c r="C564" s="343"/>
      <c r="D564" s="343"/>
      <c r="E564" s="343"/>
      <c r="F564" s="343"/>
      <c r="G564" s="343"/>
      <c r="H564" s="343"/>
      <c r="I564" s="343"/>
    </row>
    <row r="565" spans="1:9" ht="12.75" x14ac:dyDescent="0.2">
      <c r="A565" s="349"/>
      <c r="B565" s="343"/>
      <c r="C565" s="343"/>
      <c r="D565" s="343"/>
      <c r="E565" s="343"/>
      <c r="F565" s="343"/>
      <c r="G565" s="343"/>
      <c r="H565" s="343"/>
      <c r="I565" s="343"/>
    </row>
    <row r="566" spans="1:9" ht="12.75" x14ac:dyDescent="0.2">
      <c r="A566" s="349"/>
      <c r="B566" s="343"/>
      <c r="C566" s="343"/>
      <c r="D566" s="343"/>
      <c r="E566" s="343"/>
      <c r="F566" s="343"/>
      <c r="G566" s="343"/>
      <c r="H566" s="343"/>
      <c r="I566" s="343"/>
    </row>
    <row r="567" spans="1:9" ht="12.75" x14ac:dyDescent="0.2">
      <c r="A567" s="349"/>
      <c r="B567" s="343"/>
      <c r="C567" s="343"/>
      <c r="D567" s="343"/>
      <c r="E567" s="343"/>
      <c r="F567" s="343"/>
      <c r="G567" s="343"/>
      <c r="H567" s="343"/>
      <c r="I567" s="343"/>
    </row>
    <row r="568" spans="1:9" ht="12.75" x14ac:dyDescent="0.2">
      <c r="A568" s="349"/>
      <c r="B568" s="343"/>
      <c r="C568" s="343"/>
      <c r="D568" s="343"/>
      <c r="E568" s="343"/>
      <c r="F568" s="343"/>
      <c r="G568" s="343"/>
      <c r="H568" s="343"/>
      <c r="I568" s="343"/>
    </row>
    <row r="569" spans="1:9" ht="12.75" x14ac:dyDescent="0.2">
      <c r="A569" s="349"/>
      <c r="B569" s="343"/>
      <c r="C569" s="343"/>
      <c r="D569" s="343"/>
      <c r="E569" s="343"/>
      <c r="F569" s="343"/>
      <c r="G569" s="343"/>
      <c r="H569" s="343"/>
      <c r="I569" s="343"/>
    </row>
    <row r="570" spans="1:9" ht="12.75" x14ac:dyDescent="0.2">
      <c r="A570" s="349"/>
      <c r="B570" s="343"/>
      <c r="C570" s="343"/>
      <c r="D570" s="343"/>
      <c r="E570" s="343"/>
      <c r="F570" s="343"/>
      <c r="G570" s="343"/>
      <c r="H570" s="343"/>
      <c r="I570" s="343"/>
    </row>
    <row r="571" spans="1:9" ht="12.75" x14ac:dyDescent="0.2">
      <c r="A571" s="349"/>
      <c r="B571" s="343"/>
      <c r="C571" s="343"/>
      <c r="D571" s="343"/>
      <c r="E571" s="343"/>
      <c r="F571" s="343"/>
      <c r="G571" s="343"/>
      <c r="H571" s="343"/>
      <c r="I571" s="343"/>
    </row>
    <row r="572" spans="1:9" ht="12.75" x14ac:dyDescent="0.2">
      <c r="A572" s="349"/>
      <c r="B572" s="343"/>
      <c r="C572" s="343"/>
      <c r="D572" s="343"/>
      <c r="E572" s="343"/>
      <c r="F572" s="343"/>
      <c r="G572" s="343"/>
      <c r="H572" s="343"/>
      <c r="I572" s="343"/>
    </row>
    <row r="573" spans="1:9" ht="12.75" x14ac:dyDescent="0.2">
      <c r="A573" s="349"/>
      <c r="B573" s="343"/>
      <c r="C573" s="343"/>
      <c r="D573" s="343"/>
      <c r="E573" s="343"/>
      <c r="F573" s="343"/>
      <c r="G573" s="343"/>
      <c r="H573" s="343"/>
      <c r="I573" s="343"/>
    </row>
    <row r="574" spans="1:9" ht="12.75" x14ac:dyDescent="0.2">
      <c r="A574" s="349"/>
      <c r="B574" s="343"/>
      <c r="C574" s="343"/>
      <c r="D574" s="343"/>
      <c r="E574" s="343"/>
      <c r="F574" s="343"/>
      <c r="G574" s="343"/>
      <c r="H574" s="343"/>
      <c r="I574" s="343"/>
    </row>
    <row r="575" spans="1:9" ht="12.75" x14ac:dyDescent="0.2">
      <c r="A575" s="349"/>
      <c r="B575" s="343"/>
      <c r="C575" s="343"/>
      <c r="D575" s="343"/>
      <c r="E575" s="343"/>
      <c r="F575" s="343"/>
      <c r="G575" s="343"/>
      <c r="H575" s="343"/>
      <c r="I575" s="343"/>
    </row>
    <row r="576" spans="1:9" ht="12.75" x14ac:dyDescent="0.2">
      <c r="A576" s="349"/>
      <c r="B576" s="343"/>
      <c r="C576" s="343"/>
      <c r="D576" s="343"/>
      <c r="E576" s="343"/>
      <c r="F576" s="343"/>
      <c r="G576" s="343"/>
      <c r="H576" s="343"/>
      <c r="I576" s="343"/>
    </row>
    <row r="577" spans="1:9" ht="12.75" x14ac:dyDescent="0.2">
      <c r="A577" s="349"/>
      <c r="B577" s="343"/>
      <c r="C577" s="343"/>
      <c r="D577" s="343"/>
      <c r="E577" s="343"/>
      <c r="F577" s="343"/>
      <c r="G577" s="343"/>
      <c r="H577" s="343"/>
      <c r="I577" s="343"/>
    </row>
    <row r="578" spans="1:9" ht="12.75" x14ac:dyDescent="0.2">
      <c r="A578" s="349"/>
      <c r="B578" s="343"/>
      <c r="C578" s="343"/>
      <c r="D578" s="343"/>
      <c r="E578" s="343"/>
      <c r="F578" s="343"/>
      <c r="G578" s="343"/>
      <c r="H578" s="343"/>
      <c r="I578" s="343"/>
    </row>
    <row r="579" spans="1:9" ht="12.75" x14ac:dyDescent="0.2">
      <c r="A579" s="349"/>
      <c r="B579" s="343"/>
      <c r="C579" s="343"/>
      <c r="D579" s="343"/>
      <c r="E579" s="343"/>
      <c r="F579" s="343"/>
      <c r="G579" s="343"/>
      <c r="H579" s="343"/>
      <c r="I579" s="343"/>
    </row>
    <row r="580" spans="1:9" ht="12.75" x14ac:dyDescent="0.2">
      <c r="A580" s="349"/>
      <c r="B580" s="343"/>
      <c r="C580" s="343"/>
      <c r="D580" s="343"/>
      <c r="E580" s="343"/>
      <c r="F580" s="343"/>
      <c r="G580" s="343"/>
      <c r="H580" s="343"/>
      <c r="I580" s="343"/>
    </row>
    <row r="581" spans="1:9" ht="12.75" x14ac:dyDescent="0.2">
      <c r="A581" s="349"/>
      <c r="B581" s="343"/>
      <c r="C581" s="343"/>
      <c r="D581" s="343"/>
      <c r="E581" s="343"/>
      <c r="F581" s="343"/>
      <c r="G581" s="343"/>
      <c r="H581" s="343"/>
      <c r="I581" s="343"/>
    </row>
    <row r="582" spans="1:9" ht="12.75" x14ac:dyDescent="0.2">
      <c r="A582" s="349"/>
      <c r="B582" s="343"/>
      <c r="C582" s="343"/>
      <c r="D582" s="343"/>
      <c r="E582" s="343"/>
      <c r="F582" s="343"/>
      <c r="G582" s="343"/>
      <c r="H582" s="343"/>
      <c r="I582" s="343"/>
    </row>
    <row r="583" spans="1:9" ht="12.75" x14ac:dyDescent="0.2">
      <c r="A583" s="349"/>
      <c r="B583" s="343"/>
      <c r="C583" s="343"/>
      <c r="D583" s="343"/>
      <c r="E583" s="343"/>
      <c r="F583" s="343"/>
      <c r="G583" s="343"/>
      <c r="H583" s="343"/>
      <c r="I583" s="343"/>
    </row>
    <row r="584" spans="1:9" ht="12.75" x14ac:dyDescent="0.2">
      <c r="A584" s="349"/>
      <c r="B584" s="343"/>
      <c r="C584" s="343"/>
      <c r="D584" s="343"/>
      <c r="E584" s="343"/>
      <c r="F584" s="343"/>
      <c r="G584" s="343"/>
      <c r="H584" s="343"/>
      <c r="I584" s="343"/>
    </row>
    <row r="585" spans="1:9" ht="12.75" x14ac:dyDescent="0.2">
      <c r="A585" s="349"/>
      <c r="B585" s="343"/>
      <c r="C585" s="343"/>
      <c r="D585" s="343"/>
      <c r="E585" s="343"/>
      <c r="F585" s="343"/>
      <c r="G585" s="343"/>
      <c r="H585" s="343"/>
      <c r="I585" s="343"/>
    </row>
    <row r="586" spans="1:9" ht="12.75" x14ac:dyDescent="0.2">
      <c r="A586" s="349"/>
      <c r="B586" s="343"/>
      <c r="C586" s="343"/>
      <c r="D586" s="343"/>
      <c r="E586" s="343"/>
      <c r="F586" s="343"/>
      <c r="G586" s="343"/>
      <c r="H586" s="343"/>
      <c r="I586" s="343"/>
    </row>
    <row r="587" spans="1:9" ht="12.75" x14ac:dyDescent="0.2">
      <c r="A587" s="349"/>
      <c r="B587" s="343"/>
      <c r="C587" s="343"/>
      <c r="D587" s="343"/>
      <c r="E587" s="343"/>
      <c r="F587" s="343"/>
      <c r="G587" s="343"/>
      <c r="H587" s="343"/>
      <c r="I587" s="343"/>
    </row>
    <row r="588" spans="1:9" ht="12.75" x14ac:dyDescent="0.2">
      <c r="A588" s="349"/>
      <c r="B588" s="343"/>
      <c r="C588" s="343"/>
      <c r="D588" s="343"/>
      <c r="E588" s="343"/>
      <c r="F588" s="343"/>
      <c r="G588" s="343"/>
      <c r="H588" s="343"/>
      <c r="I588" s="343"/>
    </row>
    <row r="589" spans="1:9" ht="12.75" x14ac:dyDescent="0.2">
      <c r="A589" s="349"/>
      <c r="B589" s="343"/>
      <c r="C589" s="343"/>
      <c r="D589" s="343"/>
      <c r="E589" s="343"/>
      <c r="F589" s="343"/>
      <c r="G589" s="343"/>
      <c r="H589" s="343"/>
      <c r="I589" s="343"/>
    </row>
    <row r="590" spans="1:9" ht="12.75" x14ac:dyDescent="0.2">
      <c r="A590" s="349"/>
      <c r="B590" s="343"/>
      <c r="C590" s="343"/>
      <c r="D590" s="343"/>
      <c r="E590" s="343"/>
      <c r="F590" s="343"/>
      <c r="G590" s="343"/>
      <c r="H590" s="343"/>
      <c r="I590" s="343"/>
    </row>
    <row r="591" spans="1:9" ht="12.75" x14ac:dyDescent="0.2">
      <c r="A591" s="349"/>
      <c r="B591" s="343"/>
      <c r="C591" s="343"/>
      <c r="D591" s="343"/>
      <c r="E591" s="343"/>
      <c r="F591" s="343"/>
      <c r="G591" s="343"/>
      <c r="H591" s="343"/>
      <c r="I591" s="343"/>
    </row>
    <row r="592" spans="1:9" ht="12.75" x14ac:dyDescent="0.2">
      <c r="A592" s="349"/>
      <c r="B592" s="343"/>
      <c r="C592" s="343"/>
      <c r="D592" s="343"/>
      <c r="E592" s="343"/>
      <c r="F592" s="343"/>
      <c r="G592" s="343"/>
      <c r="H592" s="343"/>
      <c r="I592" s="343"/>
    </row>
    <row r="593" spans="1:9" ht="12.75" x14ac:dyDescent="0.2">
      <c r="A593" s="349"/>
      <c r="B593" s="343"/>
      <c r="C593" s="343"/>
      <c r="D593" s="343"/>
      <c r="E593" s="343"/>
      <c r="F593" s="343"/>
      <c r="G593" s="343"/>
      <c r="H593" s="343"/>
      <c r="I593" s="343"/>
    </row>
    <row r="594" spans="1:9" ht="12.75" x14ac:dyDescent="0.2">
      <c r="A594" s="349"/>
      <c r="B594" s="343"/>
      <c r="C594" s="343"/>
      <c r="D594" s="343"/>
      <c r="E594" s="343"/>
      <c r="F594" s="343"/>
      <c r="G594" s="343"/>
      <c r="H594" s="343"/>
      <c r="I594" s="343"/>
    </row>
    <row r="595" spans="1:9" ht="12.75" x14ac:dyDescent="0.2">
      <c r="A595" s="349"/>
      <c r="B595" s="343"/>
      <c r="C595" s="343"/>
      <c r="D595" s="343"/>
      <c r="E595" s="343"/>
      <c r="F595" s="343"/>
      <c r="G595" s="343"/>
      <c r="H595" s="343"/>
      <c r="I595" s="343"/>
    </row>
    <row r="596" spans="1:9" ht="12.75" x14ac:dyDescent="0.2">
      <c r="A596" s="349"/>
      <c r="B596" s="343"/>
      <c r="C596" s="343"/>
      <c r="D596" s="343"/>
      <c r="E596" s="343"/>
      <c r="F596" s="343"/>
      <c r="G596" s="343"/>
      <c r="H596" s="343"/>
      <c r="I596" s="343"/>
    </row>
    <row r="597" spans="1:9" ht="12.75" x14ac:dyDescent="0.2">
      <c r="A597" s="349"/>
      <c r="B597" s="343"/>
      <c r="C597" s="343"/>
      <c r="D597" s="343"/>
      <c r="E597" s="343"/>
      <c r="F597" s="343"/>
      <c r="G597" s="343"/>
      <c r="H597" s="343"/>
      <c r="I597" s="343"/>
    </row>
    <row r="598" spans="1:9" ht="12.75" x14ac:dyDescent="0.2">
      <c r="A598" s="349"/>
      <c r="B598" s="343"/>
      <c r="C598" s="343"/>
      <c r="D598" s="343"/>
      <c r="E598" s="343"/>
      <c r="F598" s="343"/>
      <c r="G598" s="343"/>
      <c r="H598" s="343"/>
      <c r="I598" s="343"/>
    </row>
    <row r="599" spans="1:9" ht="12.75" x14ac:dyDescent="0.2">
      <c r="A599" s="349"/>
      <c r="B599" s="343"/>
      <c r="C599" s="343"/>
      <c r="D599" s="343"/>
      <c r="E599" s="343"/>
      <c r="F599" s="343"/>
      <c r="G599" s="343"/>
      <c r="H599" s="343"/>
      <c r="I599" s="343"/>
    </row>
    <row r="600" spans="1:9" ht="12.75" x14ac:dyDescent="0.2">
      <c r="A600" s="349"/>
      <c r="B600" s="343"/>
      <c r="C600" s="343"/>
      <c r="D600" s="343"/>
      <c r="E600" s="343"/>
      <c r="F600" s="343"/>
      <c r="G600" s="343"/>
      <c r="H600" s="343"/>
      <c r="I600" s="343"/>
    </row>
    <row r="601" spans="1:9" ht="12.75" x14ac:dyDescent="0.2">
      <c r="A601" s="349"/>
      <c r="B601" s="343"/>
      <c r="C601" s="343"/>
      <c r="D601" s="343"/>
      <c r="E601" s="343"/>
      <c r="F601" s="343"/>
      <c r="G601" s="343"/>
      <c r="H601" s="343"/>
      <c r="I601" s="343"/>
    </row>
    <row r="602" spans="1:9" ht="12.75" x14ac:dyDescent="0.2">
      <c r="A602" s="349"/>
      <c r="B602" s="343"/>
      <c r="C602" s="343"/>
      <c r="D602" s="343"/>
      <c r="E602" s="343"/>
      <c r="F602" s="343"/>
      <c r="G602" s="343"/>
      <c r="H602" s="343"/>
      <c r="I602" s="343"/>
    </row>
    <row r="603" spans="1:9" ht="12.75" x14ac:dyDescent="0.2">
      <c r="A603" s="349"/>
      <c r="B603" s="343"/>
      <c r="C603" s="343"/>
      <c r="D603" s="343"/>
      <c r="E603" s="343"/>
      <c r="F603" s="343"/>
      <c r="G603" s="343"/>
      <c r="H603" s="343"/>
      <c r="I603" s="343"/>
    </row>
    <row r="604" spans="1:9" ht="12.75" x14ac:dyDescent="0.2">
      <c r="A604" s="349"/>
      <c r="B604" s="343"/>
      <c r="C604" s="343"/>
      <c r="D604" s="343"/>
      <c r="E604" s="343"/>
      <c r="F604" s="343"/>
      <c r="G604" s="343"/>
      <c r="H604" s="343"/>
      <c r="I604" s="343"/>
    </row>
    <row r="605" spans="1:9" ht="12.75" x14ac:dyDescent="0.2">
      <c r="A605" s="349"/>
      <c r="B605" s="343"/>
      <c r="C605" s="343"/>
      <c r="D605" s="343"/>
      <c r="E605" s="343"/>
      <c r="F605" s="343"/>
      <c r="G605" s="343"/>
      <c r="H605" s="343"/>
      <c r="I605" s="343"/>
    </row>
    <row r="606" spans="1:9" ht="12.75" x14ac:dyDescent="0.2">
      <c r="A606" s="349"/>
      <c r="B606" s="343"/>
      <c r="C606" s="343"/>
      <c r="D606" s="343"/>
      <c r="E606" s="343"/>
      <c r="F606" s="343"/>
      <c r="G606" s="343"/>
      <c r="H606" s="343"/>
      <c r="I606" s="343"/>
    </row>
    <row r="607" spans="1:9" ht="12.75" x14ac:dyDescent="0.2">
      <c r="A607" s="349"/>
      <c r="B607" s="343"/>
      <c r="C607" s="343"/>
      <c r="D607" s="343"/>
      <c r="E607" s="343"/>
      <c r="F607" s="343"/>
      <c r="G607" s="343"/>
      <c r="H607" s="343"/>
      <c r="I607" s="343"/>
    </row>
    <row r="608" spans="1:9" ht="12.75" x14ac:dyDescent="0.2">
      <c r="A608" s="349"/>
      <c r="B608" s="343"/>
      <c r="C608" s="343"/>
      <c r="D608" s="343"/>
      <c r="E608" s="343"/>
      <c r="F608" s="343"/>
      <c r="G608" s="343"/>
      <c r="H608" s="343"/>
      <c r="I608" s="343"/>
    </row>
    <row r="609" spans="1:9" ht="12.75" x14ac:dyDescent="0.2">
      <c r="A609" s="349"/>
      <c r="B609" s="343"/>
      <c r="C609" s="343"/>
      <c r="D609" s="343"/>
      <c r="E609" s="343"/>
      <c r="F609" s="343"/>
      <c r="G609" s="343"/>
      <c r="H609" s="343"/>
      <c r="I609" s="343"/>
    </row>
    <row r="610" spans="1:9" ht="12.75" x14ac:dyDescent="0.2">
      <c r="A610" s="349"/>
      <c r="B610" s="343"/>
      <c r="C610" s="343"/>
      <c r="D610" s="343"/>
      <c r="E610" s="343"/>
      <c r="F610" s="343"/>
      <c r="G610" s="343"/>
      <c r="H610" s="343"/>
      <c r="I610" s="343"/>
    </row>
    <row r="611" spans="1:9" ht="12.75" x14ac:dyDescent="0.2">
      <c r="A611" s="349"/>
      <c r="B611" s="343"/>
      <c r="C611" s="343"/>
      <c r="D611" s="343"/>
      <c r="E611" s="343"/>
      <c r="F611" s="343"/>
      <c r="G611" s="343"/>
      <c r="H611" s="343"/>
      <c r="I611" s="343"/>
    </row>
    <row r="612" spans="1:9" ht="12.75" x14ac:dyDescent="0.2">
      <c r="A612" s="349"/>
      <c r="B612" s="343"/>
      <c r="C612" s="343"/>
      <c r="D612" s="343"/>
      <c r="E612" s="343"/>
      <c r="F612" s="343"/>
      <c r="G612" s="343"/>
      <c r="H612" s="343"/>
      <c r="I612" s="343"/>
    </row>
    <row r="613" spans="1:9" ht="12.75" x14ac:dyDescent="0.2">
      <c r="A613" s="349"/>
      <c r="B613" s="343"/>
      <c r="C613" s="343"/>
      <c r="D613" s="343"/>
      <c r="E613" s="343"/>
      <c r="F613" s="343"/>
      <c r="G613" s="343"/>
      <c r="H613" s="343"/>
      <c r="I613" s="343"/>
    </row>
    <row r="614" spans="1:9" ht="12.75" x14ac:dyDescent="0.2">
      <c r="A614" s="349"/>
      <c r="B614" s="343"/>
      <c r="C614" s="343"/>
      <c r="D614" s="343"/>
      <c r="E614" s="343"/>
      <c r="F614" s="343"/>
      <c r="G614" s="343"/>
      <c r="H614" s="343"/>
      <c r="I614" s="343"/>
    </row>
    <row r="615" spans="1:9" ht="12.75" x14ac:dyDescent="0.2">
      <c r="A615" s="349"/>
      <c r="B615" s="343"/>
      <c r="C615" s="343"/>
      <c r="D615" s="343"/>
      <c r="E615" s="343"/>
      <c r="F615" s="343"/>
      <c r="G615" s="343"/>
      <c r="H615" s="343"/>
      <c r="I615" s="343"/>
    </row>
    <row r="616" spans="1:9" ht="12.75" x14ac:dyDescent="0.2">
      <c r="A616" s="349"/>
      <c r="B616" s="343"/>
      <c r="C616" s="343"/>
      <c r="D616" s="343"/>
      <c r="E616" s="343"/>
      <c r="F616" s="343"/>
      <c r="G616" s="343"/>
      <c r="H616" s="343"/>
      <c r="I616" s="343"/>
    </row>
    <row r="617" spans="1:9" ht="12.75" x14ac:dyDescent="0.2">
      <c r="A617" s="349"/>
      <c r="B617" s="343"/>
      <c r="C617" s="343"/>
      <c r="D617" s="343"/>
      <c r="E617" s="343"/>
      <c r="F617" s="343"/>
      <c r="G617" s="343"/>
      <c r="H617" s="343"/>
      <c r="I617" s="343"/>
    </row>
    <row r="618" spans="1:9" ht="12.75" x14ac:dyDescent="0.2">
      <c r="A618" s="349"/>
      <c r="B618" s="343"/>
      <c r="C618" s="343"/>
      <c r="D618" s="343"/>
      <c r="E618" s="343"/>
      <c r="F618" s="343"/>
      <c r="G618" s="343"/>
      <c r="H618" s="343"/>
      <c r="I618" s="343"/>
    </row>
    <row r="619" spans="1:9" ht="12.75" x14ac:dyDescent="0.2">
      <c r="A619" s="349"/>
      <c r="B619" s="343"/>
      <c r="C619" s="343"/>
      <c r="D619" s="343"/>
      <c r="E619" s="343"/>
      <c r="F619" s="343"/>
      <c r="G619" s="343"/>
      <c r="H619" s="343"/>
      <c r="I619" s="343"/>
    </row>
    <row r="620" spans="1:9" ht="12.75" x14ac:dyDescent="0.2">
      <c r="A620" s="349"/>
      <c r="B620" s="343"/>
      <c r="C620" s="343"/>
      <c r="D620" s="343"/>
      <c r="E620" s="343"/>
      <c r="F620" s="343"/>
      <c r="G620" s="343"/>
      <c r="H620" s="343"/>
      <c r="I620" s="343"/>
    </row>
    <row r="621" spans="1:9" ht="12.75" x14ac:dyDescent="0.2">
      <c r="A621" s="349"/>
      <c r="B621" s="343"/>
      <c r="C621" s="343"/>
      <c r="D621" s="343"/>
      <c r="E621" s="343"/>
      <c r="F621" s="343"/>
      <c r="G621" s="343"/>
      <c r="H621" s="343"/>
      <c r="I621" s="343"/>
    </row>
    <row r="622" spans="1:9" ht="12.75" x14ac:dyDescent="0.2">
      <c r="A622" s="349"/>
      <c r="B622" s="343"/>
      <c r="C622" s="343"/>
      <c r="D622" s="343"/>
      <c r="E622" s="343"/>
      <c r="F622" s="343"/>
      <c r="G622" s="343"/>
      <c r="H622" s="343"/>
      <c r="I622" s="343"/>
    </row>
    <row r="623" spans="1:9" ht="12.75" x14ac:dyDescent="0.2">
      <c r="A623" s="349"/>
      <c r="B623" s="343"/>
      <c r="C623" s="343"/>
      <c r="D623" s="343"/>
      <c r="E623" s="343"/>
      <c r="F623" s="343"/>
      <c r="G623" s="343"/>
      <c r="H623" s="343"/>
      <c r="I623" s="343"/>
    </row>
    <row r="624" spans="1:9" ht="12.75" x14ac:dyDescent="0.2">
      <c r="A624" s="349"/>
      <c r="B624" s="343"/>
      <c r="C624" s="343"/>
      <c r="D624" s="343"/>
      <c r="E624" s="343"/>
      <c r="F624" s="343"/>
      <c r="G624" s="343"/>
      <c r="H624" s="343"/>
      <c r="I624" s="343"/>
    </row>
    <row r="625" spans="1:9" ht="12.75" x14ac:dyDescent="0.2">
      <c r="A625" s="349"/>
      <c r="B625" s="343"/>
      <c r="C625" s="343"/>
      <c r="D625" s="343"/>
      <c r="E625" s="343"/>
      <c r="F625" s="343"/>
      <c r="G625" s="343"/>
      <c r="H625" s="343"/>
      <c r="I625" s="343"/>
    </row>
    <row r="626" spans="1:9" ht="12.75" x14ac:dyDescent="0.2">
      <c r="A626" s="349"/>
      <c r="B626" s="343"/>
      <c r="C626" s="343"/>
      <c r="D626" s="343"/>
      <c r="E626" s="343"/>
      <c r="F626" s="343"/>
      <c r="G626" s="343"/>
      <c r="H626" s="343"/>
      <c r="I626" s="343"/>
    </row>
    <row r="627" spans="1:9" ht="12.75" x14ac:dyDescent="0.2">
      <c r="A627" s="349"/>
      <c r="B627" s="343"/>
      <c r="C627" s="343"/>
      <c r="D627" s="343"/>
      <c r="E627" s="343"/>
      <c r="F627" s="343"/>
      <c r="G627" s="343"/>
      <c r="H627" s="343"/>
      <c r="I627" s="343"/>
    </row>
    <row r="628" spans="1:9" ht="12.75" x14ac:dyDescent="0.2">
      <c r="A628" s="349"/>
      <c r="B628" s="343"/>
      <c r="C628" s="343"/>
      <c r="D628" s="343"/>
      <c r="E628" s="343"/>
      <c r="F628" s="343"/>
      <c r="G628" s="343"/>
      <c r="H628" s="343"/>
      <c r="I628" s="343"/>
    </row>
    <row r="629" spans="1:9" ht="12.75" x14ac:dyDescent="0.2">
      <c r="A629" s="349"/>
      <c r="B629" s="343"/>
      <c r="C629" s="343"/>
      <c r="D629" s="343"/>
      <c r="E629" s="343"/>
      <c r="F629" s="343"/>
      <c r="G629" s="343"/>
      <c r="H629" s="343"/>
      <c r="I629" s="343"/>
    </row>
    <row r="630" spans="1:9" ht="12.75" x14ac:dyDescent="0.2">
      <c r="A630" s="349"/>
      <c r="B630" s="343"/>
      <c r="C630" s="343"/>
      <c r="D630" s="343"/>
      <c r="E630" s="343"/>
      <c r="F630" s="343"/>
      <c r="G630" s="343"/>
      <c r="H630" s="343"/>
      <c r="I630" s="343"/>
    </row>
    <row r="631" spans="1:9" ht="12.75" x14ac:dyDescent="0.2">
      <c r="A631" s="349"/>
      <c r="B631" s="343"/>
      <c r="C631" s="343"/>
      <c r="D631" s="343"/>
      <c r="E631" s="343"/>
      <c r="F631" s="343"/>
      <c r="G631" s="343"/>
      <c r="H631" s="343"/>
      <c r="I631" s="343"/>
    </row>
    <row r="632" spans="1:9" ht="12.75" x14ac:dyDescent="0.2">
      <c r="A632" s="349"/>
      <c r="B632" s="343"/>
      <c r="C632" s="343"/>
      <c r="D632" s="343"/>
      <c r="E632" s="343"/>
      <c r="F632" s="343"/>
      <c r="G632" s="343"/>
      <c r="H632" s="343"/>
      <c r="I632" s="343"/>
    </row>
    <row r="633" spans="1:9" ht="12.75" x14ac:dyDescent="0.2">
      <c r="A633" s="349"/>
      <c r="B633" s="343"/>
      <c r="C633" s="343"/>
      <c r="D633" s="343"/>
      <c r="E633" s="343"/>
      <c r="F633" s="343"/>
      <c r="G633" s="343"/>
      <c r="H633" s="343"/>
      <c r="I633" s="343"/>
    </row>
    <row r="634" spans="1:9" ht="12.75" x14ac:dyDescent="0.2">
      <c r="A634" s="349"/>
      <c r="B634" s="343"/>
      <c r="C634" s="343"/>
      <c r="D634" s="343"/>
      <c r="E634" s="343"/>
      <c r="F634" s="343"/>
      <c r="G634" s="343"/>
      <c r="H634" s="343"/>
      <c r="I634" s="343"/>
    </row>
    <row r="635" spans="1:9" ht="12.75" x14ac:dyDescent="0.2">
      <c r="A635" s="349"/>
      <c r="B635" s="343"/>
      <c r="C635" s="343"/>
      <c r="D635" s="343"/>
      <c r="E635" s="343"/>
      <c r="F635" s="343"/>
      <c r="G635" s="343"/>
      <c r="H635" s="343"/>
      <c r="I635" s="343"/>
    </row>
    <row r="636" spans="1:9" ht="12.75" x14ac:dyDescent="0.2">
      <c r="A636" s="349"/>
      <c r="B636" s="343"/>
      <c r="C636" s="343"/>
      <c r="D636" s="343"/>
      <c r="E636" s="343"/>
      <c r="F636" s="343"/>
      <c r="G636" s="343"/>
      <c r="H636" s="343"/>
      <c r="I636" s="343"/>
    </row>
    <row r="637" spans="1:9" ht="12.75" x14ac:dyDescent="0.2">
      <c r="A637" s="349"/>
      <c r="B637" s="343"/>
      <c r="C637" s="343"/>
      <c r="D637" s="343"/>
      <c r="E637" s="343"/>
      <c r="F637" s="343"/>
      <c r="G637" s="343"/>
      <c r="H637" s="343"/>
      <c r="I637" s="343"/>
    </row>
    <row r="638" spans="1:9" ht="12.75" x14ac:dyDescent="0.2">
      <c r="A638" s="349"/>
      <c r="B638" s="343"/>
      <c r="C638" s="343"/>
      <c r="D638" s="343"/>
      <c r="E638" s="343"/>
      <c r="F638" s="343"/>
      <c r="G638" s="343"/>
      <c r="H638" s="343"/>
      <c r="I638" s="343"/>
    </row>
    <row r="639" spans="1:9" ht="12.75" x14ac:dyDescent="0.2">
      <c r="A639" s="349"/>
      <c r="B639" s="343"/>
      <c r="C639" s="343"/>
      <c r="D639" s="343"/>
      <c r="E639" s="343"/>
      <c r="F639" s="343"/>
      <c r="G639" s="343"/>
      <c r="H639" s="343"/>
      <c r="I639" s="343"/>
    </row>
    <row r="640" spans="1:9" ht="12.75" x14ac:dyDescent="0.2">
      <c r="A640" s="349"/>
      <c r="B640" s="343"/>
      <c r="C640" s="343"/>
      <c r="D640" s="343"/>
      <c r="E640" s="343"/>
      <c r="F640" s="343"/>
      <c r="G640" s="343"/>
      <c r="H640" s="343"/>
      <c r="I640" s="343"/>
    </row>
    <row r="641" spans="1:9" ht="12.75" x14ac:dyDescent="0.2">
      <c r="A641" s="349"/>
      <c r="B641" s="343"/>
      <c r="C641" s="343"/>
      <c r="D641" s="343"/>
      <c r="E641" s="343"/>
      <c r="F641" s="343"/>
      <c r="G641" s="343"/>
      <c r="H641" s="343"/>
      <c r="I641" s="343"/>
    </row>
    <row r="642" spans="1:9" ht="12.75" x14ac:dyDescent="0.2">
      <c r="A642" s="349"/>
      <c r="B642" s="343"/>
      <c r="C642" s="343"/>
      <c r="D642" s="343"/>
      <c r="E642" s="343"/>
      <c r="F642" s="343"/>
      <c r="G642" s="343"/>
      <c r="H642" s="343"/>
      <c r="I642" s="343"/>
    </row>
    <row r="643" spans="1:9" ht="12.75" x14ac:dyDescent="0.2">
      <c r="A643" s="349"/>
      <c r="B643" s="343"/>
      <c r="C643" s="343"/>
      <c r="D643" s="343"/>
      <c r="E643" s="343"/>
      <c r="F643" s="343"/>
      <c r="G643" s="343"/>
      <c r="H643" s="343"/>
      <c r="I643" s="343"/>
    </row>
    <row r="644" spans="1:9" ht="12.75" x14ac:dyDescent="0.2">
      <c r="A644" s="349"/>
      <c r="B644" s="343"/>
      <c r="C644" s="343"/>
      <c r="D644" s="343"/>
      <c r="E644" s="343"/>
      <c r="F644" s="343"/>
      <c r="G644" s="343"/>
      <c r="H644" s="343"/>
      <c r="I644" s="343"/>
    </row>
    <row r="645" spans="1:9" ht="12.75" x14ac:dyDescent="0.2">
      <c r="A645" s="349"/>
      <c r="B645" s="343"/>
      <c r="C645" s="343"/>
      <c r="D645" s="343"/>
      <c r="E645" s="343"/>
      <c r="F645" s="343"/>
      <c r="G645" s="343"/>
      <c r="H645" s="343"/>
      <c r="I645" s="343"/>
    </row>
    <row r="646" spans="1:9" ht="12.75" x14ac:dyDescent="0.2">
      <c r="A646" s="349"/>
      <c r="B646" s="343"/>
      <c r="C646" s="343"/>
      <c r="D646" s="343"/>
      <c r="E646" s="343"/>
      <c r="F646" s="343"/>
      <c r="G646" s="343"/>
      <c r="H646" s="343"/>
      <c r="I646" s="343"/>
    </row>
    <row r="647" spans="1:9" ht="12.75" x14ac:dyDescent="0.2">
      <c r="A647" s="349"/>
      <c r="B647" s="343"/>
      <c r="C647" s="343"/>
      <c r="D647" s="343"/>
      <c r="E647" s="343"/>
      <c r="F647" s="343"/>
      <c r="G647" s="343"/>
      <c r="H647" s="343"/>
      <c r="I647" s="343"/>
    </row>
    <row r="648" spans="1:9" ht="12.75" x14ac:dyDescent="0.2">
      <c r="A648" s="349"/>
      <c r="B648" s="343"/>
      <c r="C648" s="343"/>
      <c r="D648" s="343"/>
      <c r="E648" s="343"/>
      <c r="F648" s="343"/>
      <c r="G648" s="343"/>
      <c r="H648" s="343"/>
      <c r="I648" s="343"/>
    </row>
    <row r="649" spans="1:9" ht="12.75" x14ac:dyDescent="0.2">
      <c r="A649" s="349"/>
      <c r="B649" s="343"/>
      <c r="C649" s="343"/>
      <c r="D649" s="343"/>
      <c r="E649" s="343"/>
      <c r="F649" s="343"/>
      <c r="G649" s="343"/>
      <c r="H649" s="343"/>
      <c r="I649" s="343"/>
    </row>
    <row r="650" spans="1:9" ht="12.75" x14ac:dyDescent="0.2">
      <c r="A650" s="349"/>
      <c r="B650" s="343"/>
      <c r="C650" s="343"/>
      <c r="D650" s="343"/>
      <c r="E650" s="343"/>
      <c r="F650" s="343"/>
      <c r="G650" s="343"/>
      <c r="H650" s="343"/>
      <c r="I650" s="343"/>
    </row>
    <row r="651" spans="1:9" ht="12.75" x14ac:dyDescent="0.2">
      <c r="A651" s="349"/>
      <c r="B651" s="343"/>
      <c r="C651" s="343"/>
      <c r="D651" s="343"/>
      <c r="E651" s="343"/>
      <c r="F651" s="343"/>
      <c r="G651" s="343"/>
      <c r="H651" s="343"/>
      <c r="I651" s="343"/>
    </row>
    <row r="652" spans="1:9" ht="12.75" x14ac:dyDescent="0.2">
      <c r="A652" s="349"/>
      <c r="B652" s="343"/>
      <c r="C652" s="343"/>
      <c r="D652" s="343"/>
      <c r="E652" s="343"/>
      <c r="F652" s="343"/>
      <c r="G652" s="343"/>
      <c r="H652" s="343"/>
      <c r="I652" s="343"/>
    </row>
    <row r="653" spans="1:9" ht="12.75" x14ac:dyDescent="0.2">
      <c r="A653" s="349"/>
      <c r="B653" s="343"/>
      <c r="C653" s="343"/>
      <c r="D653" s="343"/>
      <c r="E653" s="343"/>
      <c r="F653" s="343"/>
      <c r="G653" s="343"/>
      <c r="H653" s="343"/>
      <c r="I653" s="343"/>
    </row>
    <row r="654" spans="1:9" ht="12.75" x14ac:dyDescent="0.2">
      <c r="A654" s="349"/>
      <c r="B654" s="343"/>
      <c r="C654" s="343"/>
      <c r="D654" s="343"/>
      <c r="E654" s="343"/>
      <c r="F654" s="343"/>
      <c r="G654" s="343"/>
      <c r="H654" s="343"/>
      <c r="I654" s="343"/>
    </row>
    <row r="655" spans="1:9" ht="12.75" x14ac:dyDescent="0.2">
      <c r="A655" s="349"/>
      <c r="B655" s="343"/>
      <c r="C655" s="343"/>
      <c r="D655" s="343"/>
      <c r="E655" s="343"/>
      <c r="F655" s="343"/>
      <c r="G655" s="343"/>
      <c r="H655" s="343"/>
      <c r="I655" s="343"/>
    </row>
    <row r="656" spans="1:9" ht="12.75" x14ac:dyDescent="0.2">
      <c r="A656" s="349"/>
      <c r="B656" s="343"/>
      <c r="C656" s="343"/>
      <c r="D656" s="343"/>
      <c r="E656" s="343"/>
      <c r="F656" s="343"/>
      <c r="G656" s="343"/>
      <c r="H656" s="343"/>
      <c r="I656" s="343"/>
    </row>
    <row r="657" spans="1:9" ht="12.75" x14ac:dyDescent="0.2">
      <c r="A657" s="349"/>
      <c r="B657" s="343"/>
      <c r="C657" s="343"/>
      <c r="D657" s="343"/>
      <c r="E657" s="343"/>
      <c r="F657" s="343"/>
      <c r="G657" s="343"/>
      <c r="H657" s="343"/>
      <c r="I657" s="343"/>
    </row>
    <row r="658" spans="1:9" ht="12.75" x14ac:dyDescent="0.2">
      <c r="A658" s="349"/>
      <c r="B658" s="343"/>
      <c r="C658" s="343"/>
      <c r="D658" s="343"/>
      <c r="E658" s="343"/>
      <c r="F658" s="343"/>
      <c r="G658" s="343"/>
      <c r="H658" s="343"/>
      <c r="I658" s="343"/>
    </row>
    <row r="659" spans="1:9" ht="12.75" x14ac:dyDescent="0.2">
      <c r="A659" s="349"/>
      <c r="B659" s="343"/>
      <c r="C659" s="343"/>
      <c r="D659" s="343"/>
      <c r="E659" s="343"/>
      <c r="F659" s="343"/>
      <c r="G659" s="343"/>
      <c r="H659" s="343"/>
      <c r="I659" s="343"/>
    </row>
    <row r="660" spans="1:9" ht="12.75" x14ac:dyDescent="0.2">
      <c r="A660" s="349"/>
      <c r="B660" s="343"/>
      <c r="C660" s="343"/>
      <c r="D660" s="343"/>
      <c r="E660" s="343"/>
      <c r="F660" s="343"/>
      <c r="G660" s="343"/>
      <c r="H660" s="343"/>
      <c r="I660" s="343"/>
    </row>
    <row r="661" spans="1:9" ht="12.75" x14ac:dyDescent="0.2">
      <c r="A661" s="349"/>
      <c r="B661" s="343"/>
      <c r="C661" s="343"/>
      <c r="D661" s="343"/>
      <c r="E661" s="343"/>
      <c r="F661" s="343"/>
      <c r="G661" s="343"/>
      <c r="H661" s="343"/>
      <c r="I661" s="343"/>
    </row>
    <row r="662" spans="1:9" ht="12.75" x14ac:dyDescent="0.2">
      <c r="A662" s="349"/>
      <c r="B662" s="343"/>
      <c r="C662" s="343"/>
      <c r="D662" s="343"/>
      <c r="E662" s="343"/>
      <c r="F662" s="343"/>
      <c r="G662" s="343"/>
      <c r="H662" s="343"/>
      <c r="I662" s="343"/>
    </row>
    <row r="663" spans="1:9" ht="12.75" x14ac:dyDescent="0.2">
      <c r="A663" s="349"/>
      <c r="B663" s="343"/>
      <c r="C663" s="343"/>
      <c r="D663" s="343"/>
      <c r="E663" s="343"/>
      <c r="F663" s="343"/>
      <c r="G663" s="343"/>
      <c r="H663" s="343"/>
      <c r="I663" s="343"/>
    </row>
    <row r="664" spans="1:9" ht="12.75" x14ac:dyDescent="0.2">
      <c r="A664" s="349"/>
      <c r="B664" s="343"/>
      <c r="C664" s="343"/>
      <c r="D664" s="343"/>
      <c r="E664" s="343"/>
      <c r="F664" s="343"/>
      <c r="G664" s="343"/>
      <c r="H664" s="343"/>
      <c r="I664" s="343"/>
    </row>
    <row r="665" spans="1:9" ht="12.75" x14ac:dyDescent="0.2">
      <c r="A665" s="349"/>
      <c r="B665" s="343"/>
      <c r="C665" s="343"/>
      <c r="D665" s="343"/>
      <c r="E665" s="343"/>
      <c r="F665" s="343"/>
      <c r="G665" s="343"/>
      <c r="H665" s="343"/>
      <c r="I665" s="343"/>
    </row>
    <row r="666" spans="1:9" ht="12.75" x14ac:dyDescent="0.2">
      <c r="A666" s="349"/>
      <c r="B666" s="343"/>
      <c r="C666" s="343"/>
      <c r="D666" s="343"/>
      <c r="E666" s="343"/>
      <c r="F666" s="343"/>
      <c r="G666" s="343"/>
      <c r="H666" s="343"/>
      <c r="I666" s="343"/>
    </row>
    <row r="667" spans="1:9" ht="12.75" x14ac:dyDescent="0.2">
      <c r="A667" s="349"/>
      <c r="B667" s="343"/>
      <c r="C667" s="343"/>
      <c r="D667" s="343"/>
      <c r="E667" s="343"/>
      <c r="F667" s="343"/>
      <c r="G667" s="343"/>
      <c r="H667" s="343"/>
      <c r="I667" s="343"/>
    </row>
    <row r="668" spans="1:9" ht="12.75" x14ac:dyDescent="0.2">
      <c r="A668" s="349"/>
      <c r="B668" s="343"/>
      <c r="C668" s="343"/>
      <c r="D668" s="343"/>
      <c r="E668" s="343"/>
      <c r="F668" s="343"/>
      <c r="G668" s="343"/>
      <c r="H668" s="343"/>
      <c r="I668" s="343"/>
    </row>
    <row r="669" spans="1:9" ht="12.75" x14ac:dyDescent="0.2">
      <c r="A669" s="349"/>
      <c r="B669" s="343"/>
      <c r="C669" s="343"/>
      <c r="D669" s="343"/>
      <c r="E669" s="343"/>
      <c r="F669" s="343"/>
      <c r="G669" s="343"/>
      <c r="H669" s="343"/>
      <c r="I669" s="343"/>
    </row>
    <row r="670" spans="1:9" ht="12.75" x14ac:dyDescent="0.2">
      <c r="A670" s="349"/>
      <c r="B670" s="343"/>
      <c r="C670" s="343"/>
      <c r="D670" s="343"/>
      <c r="E670" s="343"/>
      <c r="F670" s="343"/>
      <c r="G670" s="343"/>
      <c r="H670" s="343"/>
      <c r="I670" s="343"/>
    </row>
    <row r="671" spans="1:9" ht="12.75" x14ac:dyDescent="0.2">
      <c r="A671" s="349"/>
      <c r="B671" s="343"/>
      <c r="C671" s="343"/>
      <c r="D671" s="343"/>
      <c r="E671" s="343"/>
      <c r="F671" s="343"/>
      <c r="G671" s="343"/>
      <c r="H671" s="343"/>
      <c r="I671" s="343"/>
    </row>
    <row r="672" spans="1:9" ht="12.75" x14ac:dyDescent="0.2">
      <c r="A672" s="349"/>
      <c r="B672" s="343"/>
      <c r="C672" s="343"/>
      <c r="D672" s="343"/>
      <c r="E672" s="343"/>
      <c r="F672" s="343"/>
      <c r="G672" s="343"/>
      <c r="H672" s="343"/>
      <c r="I672" s="343"/>
    </row>
    <row r="673" spans="1:9" ht="12.75" x14ac:dyDescent="0.2">
      <c r="A673" s="349"/>
      <c r="B673" s="343"/>
      <c r="C673" s="343"/>
      <c r="D673" s="343"/>
      <c r="E673" s="343"/>
      <c r="F673" s="343"/>
      <c r="G673" s="343"/>
      <c r="H673" s="343"/>
      <c r="I673" s="343"/>
    </row>
    <row r="674" spans="1:9" ht="12.75" x14ac:dyDescent="0.2">
      <c r="A674" s="349"/>
      <c r="B674" s="343"/>
      <c r="C674" s="343"/>
      <c r="D674" s="343"/>
      <c r="E674" s="343"/>
      <c r="F674" s="343"/>
      <c r="G674" s="343"/>
      <c r="H674" s="343"/>
      <c r="I674" s="343"/>
    </row>
    <row r="675" spans="1:9" ht="12.75" x14ac:dyDescent="0.2">
      <c r="A675" s="349"/>
      <c r="B675" s="343"/>
      <c r="C675" s="343"/>
      <c r="D675" s="343"/>
      <c r="E675" s="343"/>
      <c r="F675" s="343"/>
      <c r="G675" s="343"/>
      <c r="H675" s="343"/>
      <c r="I675" s="343"/>
    </row>
    <row r="676" spans="1:9" ht="12.75" x14ac:dyDescent="0.2">
      <c r="A676" s="349"/>
      <c r="B676" s="343"/>
      <c r="C676" s="343"/>
      <c r="D676" s="343"/>
      <c r="E676" s="343"/>
      <c r="F676" s="343"/>
      <c r="G676" s="343"/>
      <c r="H676" s="343"/>
      <c r="I676" s="343"/>
    </row>
    <row r="677" spans="1:9" ht="12.75" x14ac:dyDescent="0.2">
      <c r="A677" s="349"/>
      <c r="B677" s="343"/>
      <c r="C677" s="343"/>
      <c r="D677" s="343"/>
      <c r="E677" s="343"/>
      <c r="F677" s="343"/>
      <c r="G677" s="343"/>
      <c r="H677" s="343"/>
      <c r="I677" s="343"/>
    </row>
    <row r="678" spans="1:9" ht="12.75" x14ac:dyDescent="0.2">
      <c r="A678" s="349"/>
      <c r="B678" s="343"/>
      <c r="C678" s="343"/>
      <c r="D678" s="343"/>
      <c r="E678" s="343"/>
      <c r="F678" s="343"/>
      <c r="G678" s="343"/>
      <c r="H678" s="343"/>
      <c r="I678" s="343"/>
    </row>
    <row r="679" spans="1:9" ht="12.75" x14ac:dyDescent="0.2">
      <c r="A679" s="349"/>
      <c r="B679" s="343"/>
      <c r="C679" s="343"/>
      <c r="D679" s="343"/>
      <c r="E679" s="343"/>
      <c r="F679" s="343"/>
      <c r="G679" s="343"/>
      <c r="H679" s="343"/>
      <c r="I679" s="343"/>
    </row>
    <row r="680" spans="1:9" ht="12.75" x14ac:dyDescent="0.2">
      <c r="A680" s="349"/>
      <c r="B680" s="343"/>
      <c r="C680" s="343"/>
      <c r="D680" s="343"/>
      <c r="E680" s="343"/>
      <c r="F680" s="343"/>
      <c r="G680" s="343"/>
      <c r="H680" s="343"/>
      <c r="I680" s="343"/>
    </row>
    <row r="681" spans="1:9" ht="12.75" x14ac:dyDescent="0.2">
      <c r="A681" s="349"/>
      <c r="B681" s="343"/>
      <c r="C681" s="343"/>
      <c r="D681" s="343"/>
      <c r="E681" s="343"/>
      <c r="F681" s="343"/>
      <c r="G681" s="343"/>
      <c r="H681" s="343"/>
      <c r="I681" s="343"/>
    </row>
    <row r="682" spans="1:9" ht="12.75" x14ac:dyDescent="0.2">
      <c r="A682" s="349"/>
      <c r="B682" s="343"/>
      <c r="C682" s="343"/>
      <c r="D682" s="343"/>
      <c r="E682" s="343"/>
      <c r="F682" s="343"/>
      <c r="G682" s="343"/>
      <c r="H682" s="343"/>
      <c r="I682" s="343"/>
    </row>
    <row r="683" spans="1:9" ht="12.75" x14ac:dyDescent="0.2">
      <c r="A683" s="349"/>
      <c r="B683" s="343"/>
      <c r="C683" s="343"/>
      <c r="D683" s="343"/>
      <c r="E683" s="343"/>
      <c r="F683" s="343"/>
      <c r="G683" s="343"/>
      <c r="H683" s="343"/>
      <c r="I683" s="343"/>
    </row>
    <row r="684" spans="1:9" ht="12.75" x14ac:dyDescent="0.2">
      <c r="A684" s="349"/>
      <c r="B684" s="343"/>
      <c r="C684" s="343"/>
      <c r="D684" s="343"/>
      <c r="E684" s="343"/>
      <c r="F684" s="343"/>
      <c r="G684" s="343"/>
      <c r="H684" s="343"/>
      <c r="I684" s="343"/>
    </row>
    <row r="685" spans="1:9" ht="12.75" x14ac:dyDescent="0.2">
      <c r="A685" s="349"/>
      <c r="B685" s="343"/>
      <c r="C685" s="343"/>
      <c r="D685" s="343"/>
      <c r="E685" s="343"/>
      <c r="F685" s="343"/>
      <c r="G685" s="343"/>
      <c r="H685" s="343"/>
      <c r="I685" s="343"/>
    </row>
    <row r="686" spans="1:9" ht="12.75" x14ac:dyDescent="0.2">
      <c r="A686" s="349"/>
      <c r="B686" s="343"/>
      <c r="C686" s="343"/>
      <c r="D686" s="343"/>
      <c r="E686" s="343"/>
      <c r="F686" s="343"/>
      <c r="G686" s="343"/>
      <c r="H686" s="343"/>
      <c r="I686" s="343"/>
    </row>
    <row r="687" spans="1:9" ht="12.75" x14ac:dyDescent="0.2">
      <c r="A687" s="349"/>
      <c r="B687" s="343"/>
      <c r="C687" s="343"/>
      <c r="D687" s="343"/>
      <c r="E687" s="343"/>
      <c r="F687" s="343"/>
      <c r="G687" s="343"/>
      <c r="H687" s="343"/>
      <c r="I687" s="343"/>
    </row>
    <row r="688" spans="1:9" ht="12.75" x14ac:dyDescent="0.2">
      <c r="A688" s="349"/>
      <c r="B688" s="343"/>
      <c r="C688" s="343"/>
      <c r="D688" s="343"/>
      <c r="E688" s="343"/>
      <c r="F688" s="343"/>
      <c r="G688" s="343"/>
      <c r="H688" s="343"/>
      <c r="I688" s="343"/>
    </row>
    <row r="689" spans="1:9" ht="12.75" x14ac:dyDescent="0.2">
      <c r="A689" s="349"/>
      <c r="B689" s="343"/>
      <c r="C689" s="343"/>
      <c r="D689" s="343"/>
      <c r="E689" s="343"/>
      <c r="F689" s="343"/>
      <c r="G689" s="343"/>
      <c r="H689" s="343"/>
      <c r="I689" s="343"/>
    </row>
    <row r="690" spans="1:9" ht="12.75" x14ac:dyDescent="0.2">
      <c r="A690" s="349"/>
      <c r="B690" s="343"/>
      <c r="C690" s="343"/>
      <c r="D690" s="343"/>
      <c r="E690" s="343"/>
      <c r="F690" s="343"/>
      <c r="G690" s="343"/>
      <c r="H690" s="343"/>
      <c r="I690" s="343"/>
    </row>
    <row r="691" spans="1:9" ht="12.75" x14ac:dyDescent="0.2">
      <c r="A691" s="349"/>
      <c r="B691" s="343"/>
      <c r="C691" s="343"/>
      <c r="D691" s="343"/>
      <c r="E691" s="343"/>
      <c r="F691" s="343"/>
      <c r="G691" s="343"/>
      <c r="H691" s="343"/>
      <c r="I691" s="343"/>
    </row>
    <row r="692" spans="1:9" ht="12.75" x14ac:dyDescent="0.2">
      <c r="A692" s="349"/>
      <c r="B692" s="343"/>
      <c r="C692" s="343"/>
      <c r="D692" s="343"/>
      <c r="E692" s="343"/>
      <c r="F692" s="343"/>
      <c r="G692" s="343"/>
      <c r="H692" s="343"/>
      <c r="I692" s="343"/>
    </row>
    <row r="693" spans="1:9" ht="12.75" x14ac:dyDescent="0.2">
      <c r="A693" s="349"/>
      <c r="B693" s="343"/>
      <c r="C693" s="343"/>
      <c r="D693" s="343"/>
      <c r="E693" s="343"/>
      <c r="F693" s="343"/>
      <c r="G693" s="343"/>
      <c r="H693" s="343"/>
      <c r="I693" s="343"/>
    </row>
    <row r="694" spans="1:9" ht="12.75" x14ac:dyDescent="0.2">
      <c r="A694" s="349"/>
      <c r="B694" s="343"/>
      <c r="C694" s="343"/>
      <c r="D694" s="343"/>
      <c r="E694" s="343"/>
      <c r="F694" s="343"/>
      <c r="G694" s="343"/>
      <c r="H694" s="343"/>
      <c r="I694" s="343"/>
    </row>
    <row r="695" spans="1:9" ht="12.75" x14ac:dyDescent="0.2">
      <c r="A695" s="349"/>
      <c r="B695" s="343"/>
      <c r="C695" s="343"/>
      <c r="D695" s="343"/>
      <c r="E695" s="343"/>
      <c r="F695" s="343"/>
      <c r="G695" s="343"/>
      <c r="H695" s="343"/>
      <c r="I695" s="343"/>
    </row>
    <row r="696" spans="1:9" ht="12.75" x14ac:dyDescent="0.2">
      <c r="A696" s="349"/>
      <c r="B696" s="343"/>
      <c r="C696" s="343"/>
      <c r="D696" s="343"/>
      <c r="E696" s="343"/>
      <c r="F696" s="343"/>
      <c r="G696" s="343"/>
      <c r="H696" s="343"/>
      <c r="I696" s="343"/>
    </row>
    <row r="697" spans="1:9" ht="12.75" x14ac:dyDescent="0.2">
      <c r="A697" s="349"/>
      <c r="B697" s="343"/>
      <c r="C697" s="343"/>
      <c r="D697" s="343"/>
      <c r="E697" s="343"/>
      <c r="F697" s="343"/>
      <c r="G697" s="343"/>
      <c r="H697" s="343"/>
      <c r="I697" s="343"/>
    </row>
    <row r="698" spans="1:9" ht="12.75" x14ac:dyDescent="0.2">
      <c r="A698" s="349"/>
      <c r="B698" s="343"/>
      <c r="C698" s="343"/>
      <c r="D698" s="343"/>
      <c r="E698" s="343"/>
      <c r="F698" s="343"/>
      <c r="G698" s="343"/>
      <c r="H698" s="343"/>
      <c r="I698" s="343"/>
    </row>
    <row r="699" spans="1:9" ht="12.75" x14ac:dyDescent="0.2">
      <c r="A699" s="349"/>
      <c r="B699" s="343"/>
      <c r="C699" s="343"/>
      <c r="D699" s="343"/>
      <c r="E699" s="343"/>
      <c r="F699" s="343"/>
      <c r="G699" s="343"/>
      <c r="H699" s="343"/>
      <c r="I699" s="343"/>
    </row>
    <row r="700" spans="1:9" ht="12.75" x14ac:dyDescent="0.2">
      <c r="A700" s="349"/>
      <c r="B700" s="343"/>
      <c r="C700" s="343"/>
      <c r="D700" s="343"/>
      <c r="E700" s="343"/>
      <c r="F700" s="343"/>
      <c r="G700" s="343"/>
      <c r="H700" s="343"/>
      <c r="I700" s="343"/>
    </row>
    <row r="701" spans="1:9" ht="12.75" x14ac:dyDescent="0.2">
      <c r="A701" s="349"/>
      <c r="B701" s="343"/>
      <c r="C701" s="343"/>
      <c r="D701" s="343"/>
      <c r="E701" s="343"/>
      <c r="F701" s="343"/>
      <c r="G701" s="343"/>
      <c r="H701" s="343"/>
      <c r="I701" s="343"/>
    </row>
    <row r="702" spans="1:9" ht="12.75" x14ac:dyDescent="0.2">
      <c r="A702" s="349"/>
      <c r="B702" s="343"/>
      <c r="C702" s="343"/>
      <c r="D702" s="343"/>
      <c r="E702" s="343"/>
      <c r="F702" s="343"/>
      <c r="G702" s="343"/>
      <c r="H702" s="343"/>
      <c r="I702" s="343"/>
    </row>
    <row r="703" spans="1:9" ht="12.75" x14ac:dyDescent="0.2">
      <c r="A703" s="349"/>
      <c r="B703" s="343"/>
      <c r="C703" s="343"/>
      <c r="D703" s="343"/>
      <c r="E703" s="343"/>
      <c r="F703" s="343"/>
      <c r="G703" s="343"/>
      <c r="H703" s="343"/>
      <c r="I703" s="343"/>
    </row>
    <row r="704" spans="1:9" ht="12.75" x14ac:dyDescent="0.2">
      <c r="A704" s="349"/>
      <c r="B704" s="343"/>
      <c r="C704" s="343"/>
      <c r="D704" s="343"/>
      <c r="E704" s="343"/>
      <c r="F704" s="343"/>
      <c r="G704" s="343"/>
      <c r="H704" s="343"/>
      <c r="I704" s="343"/>
    </row>
    <row r="705" spans="1:9" ht="12.75" x14ac:dyDescent="0.2">
      <c r="A705" s="349"/>
      <c r="B705" s="343"/>
      <c r="C705" s="343"/>
      <c r="D705" s="343"/>
      <c r="E705" s="343"/>
      <c r="F705" s="343"/>
      <c r="G705" s="343"/>
      <c r="H705" s="343"/>
      <c r="I705" s="343"/>
    </row>
    <row r="706" spans="1:9" ht="12.75" x14ac:dyDescent="0.2">
      <c r="A706" s="349"/>
      <c r="B706" s="343"/>
      <c r="C706" s="343"/>
      <c r="D706" s="343"/>
      <c r="E706" s="343"/>
      <c r="F706" s="343"/>
      <c r="G706" s="343"/>
      <c r="H706" s="343"/>
      <c r="I706" s="343"/>
    </row>
    <row r="707" spans="1:9" ht="12.75" x14ac:dyDescent="0.2">
      <c r="A707" s="349"/>
      <c r="B707" s="343"/>
      <c r="C707" s="343"/>
      <c r="D707" s="343"/>
      <c r="E707" s="343"/>
      <c r="F707" s="343"/>
      <c r="G707" s="343"/>
      <c r="H707" s="343"/>
      <c r="I707" s="343"/>
    </row>
    <row r="708" spans="1:9" ht="12.75" x14ac:dyDescent="0.2">
      <c r="A708" s="349"/>
      <c r="B708" s="343"/>
      <c r="C708" s="343"/>
      <c r="D708" s="343"/>
      <c r="E708" s="343"/>
      <c r="F708" s="343"/>
      <c r="G708" s="343"/>
      <c r="H708" s="343"/>
      <c r="I708" s="343"/>
    </row>
    <row r="709" spans="1:9" ht="12.75" x14ac:dyDescent="0.2">
      <c r="A709" s="349"/>
      <c r="B709" s="343"/>
      <c r="C709" s="343"/>
      <c r="D709" s="343"/>
      <c r="E709" s="343"/>
      <c r="F709" s="343"/>
      <c r="G709" s="343"/>
      <c r="H709" s="343"/>
      <c r="I709" s="343"/>
    </row>
    <row r="710" spans="1:9" ht="12.75" x14ac:dyDescent="0.2">
      <c r="A710" s="349"/>
      <c r="B710" s="343"/>
      <c r="C710" s="343"/>
      <c r="D710" s="343"/>
      <c r="E710" s="343"/>
      <c r="F710" s="343"/>
      <c r="G710" s="343"/>
      <c r="H710" s="343"/>
      <c r="I710" s="343"/>
    </row>
    <row r="711" spans="1:9" ht="12.75" x14ac:dyDescent="0.2">
      <c r="A711" s="349"/>
      <c r="B711" s="343"/>
      <c r="C711" s="343"/>
      <c r="D711" s="343"/>
      <c r="E711" s="343"/>
      <c r="F711" s="343"/>
      <c r="G711" s="343"/>
      <c r="H711" s="343"/>
      <c r="I711" s="343"/>
    </row>
    <row r="712" spans="1:9" ht="12.75" x14ac:dyDescent="0.2">
      <c r="A712" s="349"/>
      <c r="B712" s="343"/>
      <c r="C712" s="343"/>
      <c r="D712" s="343"/>
      <c r="E712" s="343"/>
      <c r="F712" s="343"/>
      <c r="G712" s="343"/>
      <c r="H712" s="343"/>
      <c r="I712" s="343"/>
    </row>
    <row r="713" spans="1:9" ht="12.75" x14ac:dyDescent="0.2">
      <c r="A713" s="349"/>
      <c r="B713" s="343"/>
      <c r="C713" s="343"/>
      <c r="D713" s="343"/>
      <c r="E713" s="343"/>
      <c r="F713" s="343"/>
      <c r="G713" s="343"/>
      <c r="H713" s="343"/>
      <c r="I713" s="343"/>
    </row>
    <row r="714" spans="1:9" ht="12.75" x14ac:dyDescent="0.2">
      <c r="A714" s="349"/>
      <c r="B714" s="343"/>
      <c r="C714" s="343"/>
      <c r="D714" s="343"/>
      <c r="E714" s="343"/>
      <c r="F714" s="343"/>
      <c r="G714" s="343"/>
      <c r="H714" s="343"/>
      <c r="I714" s="343"/>
    </row>
    <row r="715" spans="1:9" ht="12.75" x14ac:dyDescent="0.2">
      <c r="A715" s="349"/>
      <c r="B715" s="343"/>
      <c r="C715" s="343"/>
      <c r="D715" s="343"/>
      <c r="E715" s="343"/>
      <c r="F715" s="343"/>
      <c r="G715" s="343"/>
      <c r="H715" s="343"/>
      <c r="I715" s="343"/>
    </row>
    <row r="716" spans="1:9" ht="12.75" x14ac:dyDescent="0.2">
      <c r="A716" s="349"/>
      <c r="B716" s="343"/>
      <c r="C716" s="343"/>
      <c r="D716" s="343"/>
      <c r="E716" s="343"/>
      <c r="F716" s="343"/>
      <c r="G716" s="343"/>
      <c r="H716" s="343"/>
      <c r="I716" s="343"/>
    </row>
    <row r="717" spans="1:9" ht="12.75" x14ac:dyDescent="0.2">
      <c r="A717" s="349"/>
      <c r="B717" s="343"/>
      <c r="C717" s="343"/>
      <c r="D717" s="343"/>
      <c r="E717" s="343"/>
      <c r="F717" s="343"/>
      <c r="G717" s="343"/>
      <c r="H717" s="343"/>
      <c r="I717" s="343"/>
    </row>
    <row r="718" spans="1:9" ht="12.75" x14ac:dyDescent="0.2">
      <c r="A718" s="349"/>
      <c r="B718" s="343"/>
      <c r="C718" s="343"/>
      <c r="D718" s="343"/>
      <c r="E718" s="343"/>
      <c r="F718" s="343"/>
      <c r="G718" s="343"/>
      <c r="H718" s="343"/>
      <c r="I718" s="343"/>
    </row>
    <row r="719" spans="1:9" ht="12.75" x14ac:dyDescent="0.2">
      <c r="A719" s="349"/>
      <c r="B719" s="343"/>
      <c r="C719" s="343"/>
      <c r="D719" s="343"/>
      <c r="E719" s="343"/>
      <c r="F719" s="343"/>
      <c r="G719" s="343"/>
      <c r="H719" s="343"/>
      <c r="I719" s="343"/>
    </row>
    <row r="720" spans="1:9" ht="12.75" x14ac:dyDescent="0.2">
      <c r="A720" s="349"/>
      <c r="B720" s="343"/>
      <c r="C720" s="343"/>
      <c r="D720" s="343"/>
      <c r="E720" s="343"/>
      <c r="F720" s="343"/>
      <c r="G720" s="343"/>
      <c r="H720" s="343"/>
      <c r="I720" s="343"/>
    </row>
    <row r="721" spans="1:9" ht="12.75" x14ac:dyDescent="0.2">
      <c r="A721" s="349"/>
      <c r="B721" s="343"/>
      <c r="C721" s="343"/>
      <c r="D721" s="343"/>
      <c r="E721" s="343"/>
      <c r="F721" s="343"/>
      <c r="G721" s="343"/>
      <c r="H721" s="343"/>
      <c r="I721" s="343"/>
    </row>
    <row r="722" spans="1:9" ht="12.75" x14ac:dyDescent="0.2">
      <c r="A722" s="349"/>
      <c r="B722" s="343"/>
      <c r="C722" s="343"/>
      <c r="D722" s="343"/>
      <c r="E722" s="343"/>
      <c r="F722" s="343"/>
      <c r="G722" s="343"/>
      <c r="H722" s="343"/>
      <c r="I722" s="343"/>
    </row>
    <row r="723" spans="1:9" ht="12.75" x14ac:dyDescent="0.2">
      <c r="A723" s="349"/>
      <c r="B723" s="343"/>
      <c r="C723" s="343"/>
      <c r="D723" s="343"/>
      <c r="E723" s="343"/>
      <c r="F723" s="343"/>
      <c r="G723" s="343"/>
      <c r="H723" s="343"/>
      <c r="I723" s="343"/>
    </row>
    <row r="724" spans="1:9" ht="12.75" x14ac:dyDescent="0.2">
      <c r="A724" s="349"/>
      <c r="B724" s="343"/>
      <c r="C724" s="343"/>
      <c r="D724" s="343"/>
      <c r="E724" s="343"/>
      <c r="F724" s="343"/>
      <c r="G724" s="343"/>
      <c r="H724" s="343"/>
      <c r="I724" s="343"/>
    </row>
    <row r="725" spans="1:9" ht="12.75" x14ac:dyDescent="0.2">
      <c r="A725" s="349"/>
      <c r="B725" s="343"/>
      <c r="C725" s="343"/>
      <c r="D725" s="343"/>
      <c r="E725" s="343"/>
      <c r="F725" s="343"/>
      <c r="G725" s="343"/>
      <c r="H725" s="343"/>
      <c r="I725" s="343"/>
    </row>
    <row r="726" spans="1:9" ht="12.75" x14ac:dyDescent="0.2">
      <c r="A726" s="349"/>
      <c r="B726" s="343"/>
      <c r="C726" s="343"/>
      <c r="D726" s="343"/>
      <c r="E726" s="343"/>
      <c r="F726" s="343"/>
      <c r="G726" s="343"/>
      <c r="H726" s="343"/>
      <c r="I726" s="343"/>
    </row>
    <row r="727" spans="1:9" ht="12.75" x14ac:dyDescent="0.2">
      <c r="A727" s="349"/>
      <c r="B727" s="343"/>
      <c r="C727" s="343"/>
      <c r="D727" s="343"/>
      <c r="E727" s="343"/>
      <c r="F727" s="343"/>
      <c r="G727" s="343"/>
      <c r="H727" s="343"/>
      <c r="I727" s="343"/>
    </row>
    <row r="728" spans="1:9" ht="12.75" x14ac:dyDescent="0.2">
      <c r="A728" s="349"/>
      <c r="B728" s="343"/>
      <c r="C728" s="343"/>
      <c r="D728" s="343"/>
      <c r="E728" s="343"/>
      <c r="F728" s="343"/>
      <c r="G728" s="343"/>
      <c r="H728" s="343"/>
      <c r="I728" s="343"/>
    </row>
    <row r="729" spans="1:9" ht="12.75" x14ac:dyDescent="0.2">
      <c r="A729" s="349"/>
      <c r="B729" s="343"/>
      <c r="C729" s="343"/>
      <c r="D729" s="343"/>
      <c r="E729" s="343"/>
      <c r="F729" s="343"/>
      <c r="G729" s="343"/>
      <c r="H729" s="343"/>
      <c r="I729" s="343"/>
    </row>
    <row r="730" spans="1:9" ht="12.75" x14ac:dyDescent="0.2">
      <c r="A730" s="349"/>
      <c r="B730" s="343"/>
      <c r="C730" s="343"/>
      <c r="D730" s="343"/>
      <c r="E730" s="343"/>
      <c r="F730" s="343"/>
      <c r="G730" s="343"/>
      <c r="H730" s="343"/>
      <c r="I730" s="343"/>
    </row>
    <row r="731" spans="1:9" ht="12.75" x14ac:dyDescent="0.2">
      <c r="A731" s="349"/>
      <c r="B731" s="343"/>
      <c r="C731" s="343"/>
      <c r="D731" s="343"/>
      <c r="E731" s="343"/>
      <c r="F731" s="343"/>
      <c r="G731" s="343"/>
      <c r="H731" s="343"/>
      <c r="I731" s="343"/>
    </row>
    <row r="732" spans="1:9" ht="12.75" x14ac:dyDescent="0.2">
      <c r="A732" s="349"/>
      <c r="B732" s="343"/>
      <c r="C732" s="343"/>
      <c r="D732" s="343"/>
      <c r="E732" s="343"/>
      <c r="F732" s="343"/>
      <c r="G732" s="343"/>
      <c r="H732" s="343"/>
      <c r="I732" s="343"/>
    </row>
    <row r="733" spans="1:9" ht="12.75" x14ac:dyDescent="0.2">
      <c r="A733" s="349"/>
      <c r="B733" s="343"/>
      <c r="C733" s="343"/>
      <c r="D733" s="343"/>
      <c r="E733" s="343"/>
      <c r="F733" s="343"/>
      <c r="G733" s="343"/>
      <c r="H733" s="343"/>
      <c r="I733" s="343"/>
    </row>
    <row r="734" spans="1:9" ht="12.75" x14ac:dyDescent="0.2">
      <c r="A734" s="349"/>
      <c r="B734" s="343"/>
      <c r="C734" s="343"/>
      <c r="D734" s="343"/>
      <c r="E734" s="343"/>
      <c r="F734" s="343"/>
      <c r="G734" s="343"/>
      <c r="H734" s="343"/>
      <c r="I734" s="343"/>
    </row>
    <row r="735" spans="1:9" ht="12.75" x14ac:dyDescent="0.2">
      <c r="A735" s="349"/>
      <c r="B735" s="343"/>
      <c r="C735" s="343"/>
      <c r="D735" s="343"/>
      <c r="E735" s="343"/>
      <c r="F735" s="343"/>
      <c r="G735" s="343"/>
      <c r="H735" s="343"/>
      <c r="I735" s="343"/>
    </row>
    <row r="736" spans="1:9" ht="12.75" x14ac:dyDescent="0.2">
      <c r="A736" s="349"/>
      <c r="B736" s="343"/>
      <c r="C736" s="343"/>
      <c r="D736" s="343"/>
      <c r="E736" s="343"/>
      <c r="F736" s="343"/>
      <c r="G736" s="343"/>
      <c r="H736" s="343"/>
      <c r="I736" s="343"/>
    </row>
    <row r="737" spans="1:9" ht="12.75" x14ac:dyDescent="0.2">
      <c r="A737" s="349"/>
      <c r="B737" s="343"/>
      <c r="C737" s="343"/>
      <c r="D737" s="343"/>
      <c r="E737" s="343"/>
      <c r="F737" s="343"/>
      <c r="G737" s="343"/>
      <c r="H737" s="343"/>
      <c r="I737" s="343"/>
    </row>
    <row r="738" spans="1:9" ht="12.75" x14ac:dyDescent="0.2">
      <c r="A738" s="349"/>
      <c r="B738" s="343"/>
      <c r="C738" s="343"/>
      <c r="D738" s="343"/>
      <c r="E738" s="343"/>
      <c r="F738" s="343"/>
      <c r="G738" s="343"/>
      <c r="H738" s="343"/>
      <c r="I738" s="343"/>
    </row>
    <row r="739" spans="1:9" ht="12.75" x14ac:dyDescent="0.2">
      <c r="A739" s="349"/>
      <c r="B739" s="343"/>
      <c r="C739" s="343"/>
      <c r="D739" s="343"/>
      <c r="E739" s="343"/>
      <c r="F739" s="343"/>
      <c r="G739" s="343"/>
      <c r="H739" s="343"/>
      <c r="I739" s="343"/>
    </row>
    <row r="740" spans="1:9" ht="12.75" x14ac:dyDescent="0.2">
      <c r="A740" s="349"/>
      <c r="B740" s="343"/>
      <c r="C740" s="343"/>
      <c r="D740" s="343"/>
      <c r="E740" s="343"/>
      <c r="F740" s="343"/>
      <c r="G740" s="343"/>
      <c r="H740" s="343"/>
      <c r="I740" s="343"/>
    </row>
    <row r="741" spans="1:9" ht="12.75" x14ac:dyDescent="0.2">
      <c r="A741" s="349"/>
      <c r="B741" s="343"/>
      <c r="C741" s="343"/>
      <c r="D741" s="343"/>
      <c r="E741" s="343"/>
      <c r="F741" s="343"/>
      <c r="G741" s="343"/>
      <c r="H741" s="343"/>
      <c r="I741" s="343"/>
    </row>
    <row r="742" spans="1:9" ht="12.75" x14ac:dyDescent="0.2">
      <c r="A742" s="349"/>
      <c r="B742" s="343"/>
      <c r="C742" s="343"/>
      <c r="D742" s="343"/>
      <c r="E742" s="343"/>
      <c r="F742" s="343"/>
      <c r="G742" s="343"/>
      <c r="H742" s="343"/>
      <c r="I742" s="343"/>
    </row>
    <row r="743" spans="1:9" ht="12.75" x14ac:dyDescent="0.2">
      <c r="A743" s="349"/>
      <c r="B743" s="343"/>
      <c r="C743" s="343"/>
      <c r="D743" s="343"/>
      <c r="E743" s="343"/>
      <c r="F743" s="343"/>
      <c r="G743" s="343"/>
      <c r="H743" s="343"/>
      <c r="I743" s="343"/>
    </row>
    <row r="744" spans="1:9" ht="12.75" x14ac:dyDescent="0.2">
      <c r="A744" s="349"/>
      <c r="B744" s="343"/>
      <c r="C744" s="343"/>
      <c r="D744" s="343"/>
      <c r="E744" s="343"/>
      <c r="F744" s="343"/>
      <c r="G744" s="343"/>
      <c r="H744" s="343"/>
      <c r="I744" s="343"/>
    </row>
    <row r="745" spans="1:9" ht="12.75" x14ac:dyDescent="0.2">
      <c r="A745" s="349"/>
      <c r="B745" s="343"/>
      <c r="C745" s="343"/>
      <c r="D745" s="343"/>
      <c r="E745" s="343"/>
      <c r="F745" s="343"/>
      <c r="G745" s="343"/>
      <c r="H745" s="343"/>
      <c r="I745" s="343"/>
    </row>
    <row r="746" spans="1:9" ht="12.75" x14ac:dyDescent="0.2">
      <c r="A746" s="349"/>
      <c r="B746" s="343"/>
      <c r="C746" s="343"/>
      <c r="D746" s="343"/>
      <c r="E746" s="343"/>
      <c r="F746" s="343"/>
      <c r="G746" s="343"/>
      <c r="H746" s="343"/>
      <c r="I746" s="343"/>
    </row>
    <row r="747" spans="1:9" ht="12.75" x14ac:dyDescent="0.2">
      <c r="A747" s="349"/>
      <c r="B747" s="343"/>
      <c r="C747" s="343"/>
      <c r="D747" s="343"/>
      <c r="E747" s="343"/>
      <c r="F747" s="343"/>
      <c r="G747" s="343"/>
      <c r="H747" s="343"/>
      <c r="I747" s="343"/>
    </row>
    <row r="748" spans="1:9" ht="12.75" x14ac:dyDescent="0.2">
      <c r="A748" s="349"/>
      <c r="B748" s="343"/>
      <c r="C748" s="343"/>
      <c r="D748" s="343"/>
      <c r="E748" s="343"/>
      <c r="F748" s="343"/>
      <c r="G748" s="343"/>
      <c r="H748" s="343"/>
      <c r="I748" s="343"/>
    </row>
    <row r="749" spans="1:9" ht="12.75" x14ac:dyDescent="0.2">
      <c r="A749" s="349"/>
      <c r="B749" s="343"/>
      <c r="C749" s="343"/>
      <c r="D749" s="343"/>
      <c r="E749" s="343"/>
      <c r="F749" s="343"/>
      <c r="G749" s="343"/>
      <c r="H749" s="343"/>
      <c r="I749" s="343"/>
    </row>
    <row r="750" spans="1:9" ht="12.75" x14ac:dyDescent="0.2">
      <c r="A750" s="349"/>
      <c r="B750" s="343"/>
      <c r="C750" s="343"/>
      <c r="D750" s="343"/>
      <c r="E750" s="343"/>
      <c r="F750" s="343"/>
      <c r="G750" s="343"/>
      <c r="H750" s="343"/>
      <c r="I750" s="343"/>
    </row>
    <row r="751" spans="1:9" ht="12.75" x14ac:dyDescent="0.2">
      <c r="A751" s="349"/>
      <c r="B751" s="343"/>
      <c r="C751" s="343"/>
      <c r="D751" s="343"/>
      <c r="E751" s="343"/>
      <c r="F751" s="343"/>
      <c r="G751" s="343"/>
      <c r="H751" s="343"/>
      <c r="I751" s="343"/>
    </row>
    <row r="752" spans="1:9" ht="12.75" x14ac:dyDescent="0.2">
      <c r="A752" s="349"/>
      <c r="B752" s="343"/>
      <c r="C752" s="343"/>
      <c r="D752" s="343"/>
      <c r="E752" s="343"/>
      <c r="F752" s="343"/>
      <c r="G752" s="343"/>
      <c r="H752" s="343"/>
      <c r="I752" s="343"/>
    </row>
    <row r="753" spans="1:9" ht="12.75" x14ac:dyDescent="0.2">
      <c r="A753" s="349"/>
      <c r="B753" s="343"/>
      <c r="C753" s="343"/>
      <c r="D753" s="343"/>
      <c r="E753" s="343"/>
      <c r="F753" s="343"/>
      <c r="G753" s="343"/>
      <c r="H753" s="343"/>
      <c r="I753" s="343"/>
    </row>
    <row r="754" spans="1:9" ht="12.75" x14ac:dyDescent="0.2">
      <c r="A754" s="349"/>
      <c r="B754" s="343"/>
      <c r="C754" s="343"/>
      <c r="D754" s="343"/>
      <c r="E754" s="343"/>
      <c r="F754" s="343"/>
      <c r="G754" s="343"/>
      <c r="H754" s="343"/>
      <c r="I754" s="343"/>
    </row>
    <row r="755" spans="1:9" ht="12.75" x14ac:dyDescent="0.2">
      <c r="A755" s="349"/>
      <c r="B755" s="343"/>
      <c r="C755" s="343"/>
      <c r="D755" s="343"/>
      <c r="E755" s="343"/>
      <c r="F755" s="343"/>
      <c r="G755" s="343"/>
      <c r="H755" s="343"/>
      <c r="I755" s="343"/>
    </row>
    <row r="756" spans="1:9" ht="12.75" x14ac:dyDescent="0.2">
      <c r="A756" s="349"/>
      <c r="B756" s="343"/>
      <c r="C756" s="343"/>
      <c r="D756" s="343"/>
      <c r="E756" s="343"/>
      <c r="F756" s="343"/>
      <c r="G756" s="343"/>
      <c r="H756" s="343"/>
      <c r="I756" s="343"/>
    </row>
    <row r="757" spans="1:9" ht="12.75" x14ac:dyDescent="0.2">
      <c r="A757" s="349"/>
      <c r="B757" s="343"/>
      <c r="C757" s="343"/>
      <c r="D757" s="343"/>
      <c r="E757" s="343"/>
      <c r="F757" s="343"/>
      <c r="G757" s="343"/>
      <c r="H757" s="343"/>
      <c r="I757" s="343"/>
    </row>
    <row r="758" spans="1:9" ht="12.75" x14ac:dyDescent="0.2">
      <c r="A758" s="349"/>
      <c r="B758" s="343"/>
      <c r="C758" s="343"/>
      <c r="D758" s="343"/>
      <c r="E758" s="343"/>
      <c r="F758" s="343"/>
      <c r="G758" s="343"/>
      <c r="H758" s="343"/>
      <c r="I758" s="343"/>
    </row>
    <row r="759" spans="1:9" ht="12.75" x14ac:dyDescent="0.2">
      <c r="A759" s="349"/>
      <c r="B759" s="343"/>
      <c r="C759" s="343"/>
      <c r="D759" s="343"/>
      <c r="E759" s="343"/>
      <c r="F759" s="343"/>
      <c r="G759" s="343"/>
      <c r="H759" s="343"/>
      <c r="I759" s="343"/>
    </row>
    <row r="760" spans="1:9" ht="12.75" x14ac:dyDescent="0.2">
      <c r="A760" s="349"/>
      <c r="B760" s="343"/>
      <c r="C760" s="343"/>
      <c r="D760" s="343"/>
      <c r="E760" s="343"/>
      <c r="F760" s="343"/>
      <c r="G760" s="343"/>
      <c r="H760" s="343"/>
      <c r="I760" s="343"/>
    </row>
    <row r="761" spans="1:9" ht="12.75" x14ac:dyDescent="0.2">
      <c r="A761" s="349"/>
      <c r="B761" s="343"/>
      <c r="C761" s="343"/>
      <c r="D761" s="343"/>
      <c r="E761" s="343"/>
      <c r="F761" s="343"/>
      <c r="G761" s="343"/>
      <c r="H761" s="343"/>
      <c r="I761" s="343"/>
    </row>
    <row r="762" spans="1:9" ht="12.75" x14ac:dyDescent="0.2">
      <c r="A762" s="349"/>
      <c r="B762" s="343"/>
      <c r="C762" s="343"/>
      <c r="D762" s="343"/>
      <c r="E762" s="343"/>
      <c r="F762" s="343"/>
      <c r="G762" s="343"/>
      <c r="H762" s="343"/>
      <c r="I762" s="343"/>
    </row>
    <row r="763" spans="1:9" ht="12.75" x14ac:dyDescent="0.2">
      <c r="A763" s="349"/>
      <c r="B763" s="343"/>
      <c r="C763" s="343"/>
      <c r="D763" s="343"/>
      <c r="E763" s="343"/>
      <c r="F763" s="343"/>
      <c r="G763" s="343"/>
      <c r="H763" s="343"/>
      <c r="I763" s="343"/>
    </row>
    <row r="764" spans="1:9" ht="12.75" x14ac:dyDescent="0.2">
      <c r="A764" s="349"/>
      <c r="B764" s="343"/>
      <c r="C764" s="343"/>
      <c r="D764" s="343"/>
      <c r="E764" s="343"/>
      <c r="F764" s="343"/>
      <c r="G764" s="343"/>
      <c r="H764" s="343"/>
      <c r="I764" s="343"/>
    </row>
    <row r="765" spans="1:9" ht="12.75" x14ac:dyDescent="0.2">
      <c r="A765" s="349"/>
      <c r="B765" s="343"/>
      <c r="C765" s="343"/>
      <c r="D765" s="343"/>
      <c r="E765" s="343"/>
      <c r="F765" s="343"/>
      <c r="G765" s="343"/>
      <c r="H765" s="343"/>
      <c r="I765" s="343"/>
    </row>
    <row r="766" spans="1:9" ht="12.75" x14ac:dyDescent="0.2">
      <c r="A766" s="349"/>
      <c r="B766" s="343"/>
      <c r="C766" s="343"/>
      <c r="D766" s="343"/>
      <c r="E766" s="343"/>
      <c r="F766" s="343"/>
      <c r="G766" s="343"/>
      <c r="H766" s="343"/>
      <c r="I766" s="343"/>
    </row>
    <row r="767" spans="1:9" ht="12.75" x14ac:dyDescent="0.2">
      <c r="A767" s="349"/>
      <c r="B767" s="343"/>
      <c r="C767" s="343"/>
      <c r="D767" s="343"/>
      <c r="E767" s="343"/>
      <c r="F767" s="343"/>
      <c r="G767" s="343"/>
      <c r="H767" s="343"/>
      <c r="I767" s="343"/>
    </row>
    <row r="768" spans="1:9" ht="12.75" x14ac:dyDescent="0.2">
      <c r="A768" s="349"/>
      <c r="B768" s="343"/>
      <c r="C768" s="343"/>
      <c r="D768" s="343"/>
      <c r="E768" s="343"/>
      <c r="F768" s="343"/>
      <c r="G768" s="343"/>
      <c r="H768" s="343"/>
      <c r="I768" s="343"/>
    </row>
    <row r="769" spans="1:9" ht="12.75" x14ac:dyDescent="0.2">
      <c r="A769" s="349"/>
      <c r="B769" s="343"/>
      <c r="C769" s="343"/>
      <c r="D769" s="343"/>
      <c r="E769" s="343"/>
      <c r="F769" s="343"/>
      <c r="G769" s="343"/>
      <c r="H769" s="343"/>
      <c r="I769" s="343"/>
    </row>
    <row r="770" spans="1:9" ht="12.75" x14ac:dyDescent="0.2">
      <c r="A770" s="349"/>
      <c r="B770" s="343"/>
      <c r="C770" s="343"/>
      <c r="D770" s="343"/>
      <c r="E770" s="343"/>
      <c r="F770" s="343"/>
      <c r="G770" s="343"/>
      <c r="H770" s="343"/>
      <c r="I770" s="343"/>
    </row>
    <row r="771" spans="1:9" ht="12.75" x14ac:dyDescent="0.2">
      <c r="A771" s="349"/>
      <c r="B771" s="343"/>
      <c r="C771" s="343"/>
      <c r="D771" s="343"/>
      <c r="E771" s="343"/>
      <c r="F771" s="343"/>
      <c r="G771" s="343"/>
      <c r="H771" s="343"/>
      <c r="I771" s="343"/>
    </row>
    <row r="772" spans="1:9" ht="12.75" x14ac:dyDescent="0.2">
      <c r="A772" s="349"/>
      <c r="B772" s="343"/>
      <c r="C772" s="343"/>
      <c r="D772" s="343"/>
      <c r="E772" s="343"/>
      <c r="F772" s="343"/>
      <c r="G772" s="343"/>
      <c r="H772" s="343"/>
      <c r="I772" s="343"/>
    </row>
    <row r="773" spans="1:9" ht="12.75" x14ac:dyDescent="0.2">
      <c r="A773" s="349"/>
      <c r="B773" s="343"/>
      <c r="C773" s="343"/>
      <c r="D773" s="343"/>
      <c r="E773" s="343"/>
      <c r="F773" s="343"/>
      <c r="G773" s="343"/>
      <c r="H773" s="343"/>
      <c r="I773" s="343"/>
    </row>
    <row r="774" spans="1:9" ht="12.75" x14ac:dyDescent="0.2">
      <c r="A774" s="349"/>
      <c r="B774" s="343"/>
      <c r="C774" s="343"/>
      <c r="D774" s="343"/>
      <c r="E774" s="343"/>
      <c r="F774" s="343"/>
      <c r="G774" s="343"/>
      <c r="H774" s="343"/>
      <c r="I774" s="343"/>
    </row>
    <row r="775" spans="1:9" ht="12.75" x14ac:dyDescent="0.2">
      <c r="A775" s="349"/>
      <c r="B775" s="343"/>
      <c r="C775" s="343"/>
      <c r="D775" s="343"/>
      <c r="E775" s="343"/>
      <c r="F775" s="343"/>
      <c r="G775" s="343"/>
      <c r="H775" s="343"/>
      <c r="I775" s="343"/>
    </row>
    <row r="776" spans="1:9" ht="12.75" x14ac:dyDescent="0.2">
      <c r="A776" s="349"/>
      <c r="B776" s="343"/>
      <c r="C776" s="343"/>
      <c r="D776" s="343"/>
      <c r="E776" s="343"/>
      <c r="F776" s="343"/>
      <c r="G776" s="343"/>
      <c r="H776" s="343"/>
      <c r="I776" s="343"/>
    </row>
    <row r="777" spans="1:9" ht="12.75" x14ac:dyDescent="0.2">
      <c r="A777" s="349"/>
      <c r="B777" s="343"/>
      <c r="C777" s="343"/>
      <c r="D777" s="343"/>
      <c r="E777" s="343"/>
      <c r="F777" s="343"/>
      <c r="G777" s="343"/>
      <c r="H777" s="343"/>
      <c r="I777" s="343"/>
    </row>
    <row r="778" spans="1:9" ht="12.75" x14ac:dyDescent="0.2">
      <c r="A778" s="349"/>
      <c r="B778" s="343"/>
      <c r="C778" s="343"/>
      <c r="D778" s="343"/>
      <c r="E778" s="343"/>
      <c r="F778" s="343"/>
      <c r="G778" s="343"/>
      <c r="H778" s="343"/>
      <c r="I778" s="343"/>
    </row>
    <row r="779" spans="1:9" ht="12.75" x14ac:dyDescent="0.2">
      <c r="A779" s="349"/>
      <c r="B779" s="343"/>
      <c r="C779" s="343"/>
      <c r="D779" s="343"/>
      <c r="E779" s="343"/>
      <c r="F779" s="343"/>
      <c r="G779" s="343"/>
      <c r="H779" s="343"/>
      <c r="I779" s="343"/>
    </row>
    <row r="780" spans="1:9" ht="12.75" x14ac:dyDescent="0.2">
      <c r="A780" s="349"/>
      <c r="B780" s="343"/>
      <c r="C780" s="343"/>
      <c r="D780" s="343"/>
      <c r="E780" s="343"/>
      <c r="F780" s="343"/>
      <c r="G780" s="343"/>
      <c r="H780" s="343"/>
      <c r="I780" s="343"/>
    </row>
    <row r="781" spans="1:9" ht="12.75" x14ac:dyDescent="0.2">
      <c r="A781" s="349"/>
      <c r="B781" s="343"/>
      <c r="C781" s="343"/>
      <c r="D781" s="343"/>
      <c r="E781" s="343"/>
      <c r="F781" s="343"/>
      <c r="G781" s="343"/>
      <c r="H781" s="343"/>
      <c r="I781" s="343"/>
    </row>
    <row r="782" spans="1:9" ht="12.75" x14ac:dyDescent="0.2">
      <c r="A782" s="349"/>
      <c r="B782" s="343"/>
      <c r="C782" s="343"/>
      <c r="D782" s="343"/>
      <c r="E782" s="343"/>
      <c r="F782" s="343"/>
      <c r="G782" s="343"/>
      <c r="H782" s="343"/>
      <c r="I782" s="343"/>
    </row>
    <row r="783" spans="1:9" ht="12.75" x14ac:dyDescent="0.2">
      <c r="A783" s="349"/>
      <c r="B783" s="343"/>
      <c r="C783" s="343"/>
      <c r="D783" s="343"/>
      <c r="E783" s="343"/>
      <c r="F783" s="343"/>
      <c r="G783" s="343"/>
      <c r="H783" s="343"/>
      <c r="I783" s="343"/>
    </row>
    <row r="784" spans="1:9" ht="12.75" x14ac:dyDescent="0.2">
      <c r="A784" s="349"/>
      <c r="B784" s="343"/>
      <c r="C784" s="343"/>
      <c r="D784" s="343"/>
      <c r="E784" s="343"/>
      <c r="F784" s="343"/>
      <c r="G784" s="343"/>
      <c r="H784" s="343"/>
      <c r="I784" s="343"/>
    </row>
    <row r="785" spans="1:9" ht="12.75" x14ac:dyDescent="0.2">
      <c r="A785" s="349"/>
      <c r="B785" s="343"/>
      <c r="C785" s="343"/>
      <c r="D785" s="343"/>
      <c r="E785" s="343"/>
      <c r="F785" s="343"/>
      <c r="G785" s="343"/>
      <c r="H785" s="343"/>
      <c r="I785" s="343"/>
    </row>
    <row r="786" spans="1:9" ht="12.75" x14ac:dyDescent="0.2">
      <c r="A786" s="349"/>
      <c r="B786" s="343"/>
      <c r="C786" s="343"/>
      <c r="D786" s="343"/>
      <c r="E786" s="343"/>
      <c r="F786" s="343"/>
      <c r="G786" s="343"/>
      <c r="H786" s="343"/>
      <c r="I786" s="343"/>
    </row>
    <row r="787" spans="1:9" ht="12.75" x14ac:dyDescent="0.2">
      <c r="A787" s="349"/>
      <c r="B787" s="343"/>
      <c r="C787" s="343"/>
      <c r="D787" s="343"/>
      <c r="E787" s="343"/>
      <c r="F787" s="343"/>
      <c r="G787" s="343"/>
      <c r="H787" s="343"/>
      <c r="I787" s="343"/>
    </row>
    <row r="788" spans="1:9" ht="12.75" x14ac:dyDescent="0.2">
      <c r="A788" s="349"/>
      <c r="B788" s="343"/>
      <c r="C788" s="343"/>
      <c r="D788" s="343"/>
      <c r="E788" s="343"/>
      <c r="F788" s="343"/>
      <c r="G788" s="343"/>
      <c r="H788" s="343"/>
      <c r="I788" s="343"/>
    </row>
    <row r="789" spans="1:9" ht="12.75" x14ac:dyDescent="0.2">
      <c r="A789" s="349"/>
      <c r="B789" s="343"/>
      <c r="C789" s="343"/>
      <c r="D789" s="343"/>
      <c r="E789" s="343"/>
      <c r="F789" s="343"/>
      <c r="G789" s="343"/>
      <c r="H789" s="343"/>
      <c r="I789" s="343"/>
    </row>
    <row r="790" spans="1:9" ht="12.75" x14ac:dyDescent="0.2">
      <c r="A790" s="349"/>
      <c r="B790" s="343"/>
      <c r="C790" s="343"/>
      <c r="D790" s="343"/>
      <c r="E790" s="343"/>
      <c r="F790" s="343"/>
      <c r="G790" s="343"/>
      <c r="H790" s="343"/>
      <c r="I790" s="343"/>
    </row>
    <row r="791" spans="1:9" ht="12.75" x14ac:dyDescent="0.2">
      <c r="A791" s="349"/>
      <c r="B791" s="343"/>
      <c r="C791" s="343"/>
      <c r="D791" s="343"/>
      <c r="E791" s="343"/>
      <c r="F791" s="343"/>
      <c r="G791" s="343"/>
      <c r="H791" s="343"/>
      <c r="I791" s="343"/>
    </row>
    <row r="792" spans="1:9" ht="12.75" x14ac:dyDescent="0.2">
      <c r="A792" s="349"/>
      <c r="B792" s="343"/>
      <c r="C792" s="343"/>
      <c r="D792" s="343"/>
      <c r="E792" s="343"/>
      <c r="F792" s="343"/>
      <c r="G792" s="343"/>
      <c r="H792" s="343"/>
      <c r="I792" s="343"/>
    </row>
    <row r="793" spans="1:9" ht="12.75" x14ac:dyDescent="0.2">
      <c r="A793" s="349"/>
      <c r="B793" s="343"/>
      <c r="C793" s="343"/>
      <c r="D793" s="343"/>
      <c r="E793" s="343"/>
      <c r="F793" s="343"/>
      <c r="G793" s="343"/>
      <c r="H793" s="343"/>
      <c r="I793" s="343"/>
    </row>
    <row r="794" spans="1:9" ht="12.75" x14ac:dyDescent="0.2">
      <c r="A794" s="349"/>
      <c r="B794" s="343"/>
      <c r="C794" s="343"/>
      <c r="D794" s="343"/>
      <c r="E794" s="343"/>
      <c r="F794" s="343"/>
      <c r="G794" s="343"/>
      <c r="H794" s="343"/>
      <c r="I794" s="343"/>
    </row>
    <row r="795" spans="1:9" ht="12.75" x14ac:dyDescent="0.2">
      <c r="A795" s="349"/>
      <c r="B795" s="343"/>
      <c r="C795" s="343"/>
      <c r="D795" s="343"/>
      <c r="E795" s="343"/>
      <c r="F795" s="343"/>
      <c r="G795" s="343"/>
      <c r="H795" s="343"/>
      <c r="I795" s="343"/>
    </row>
    <row r="796" spans="1:9" ht="12.75" x14ac:dyDescent="0.2">
      <c r="A796" s="349"/>
      <c r="B796" s="343"/>
      <c r="C796" s="343"/>
      <c r="D796" s="343"/>
      <c r="E796" s="343"/>
      <c r="F796" s="343"/>
      <c r="G796" s="343"/>
      <c r="H796" s="343"/>
      <c r="I796" s="343"/>
    </row>
    <row r="797" spans="1:9" ht="12.75" x14ac:dyDescent="0.2">
      <c r="A797" s="349"/>
      <c r="B797" s="343"/>
      <c r="C797" s="343"/>
      <c r="D797" s="343"/>
      <c r="E797" s="343"/>
      <c r="F797" s="343"/>
      <c r="G797" s="343"/>
      <c r="H797" s="343"/>
      <c r="I797" s="343"/>
    </row>
    <row r="798" spans="1:9" ht="12.75" x14ac:dyDescent="0.2">
      <c r="A798" s="349"/>
      <c r="B798" s="343"/>
      <c r="C798" s="343"/>
      <c r="D798" s="343"/>
      <c r="E798" s="343"/>
      <c r="F798" s="343"/>
      <c r="G798" s="343"/>
      <c r="H798" s="343"/>
      <c r="I798" s="343"/>
    </row>
    <row r="799" spans="1:9" ht="12.75" x14ac:dyDescent="0.2">
      <c r="A799" s="349"/>
      <c r="B799" s="343"/>
      <c r="C799" s="343"/>
      <c r="D799" s="343"/>
      <c r="E799" s="343"/>
      <c r="F799" s="343"/>
      <c r="G799" s="343"/>
      <c r="H799" s="343"/>
      <c r="I799" s="343"/>
    </row>
    <row r="800" spans="1:9" ht="12.75" x14ac:dyDescent="0.2">
      <c r="A800" s="349"/>
      <c r="B800" s="343"/>
      <c r="C800" s="343"/>
      <c r="D800" s="343"/>
      <c r="E800" s="343"/>
      <c r="F800" s="343"/>
      <c r="G800" s="343"/>
      <c r="H800" s="343"/>
      <c r="I800" s="343"/>
    </row>
    <row r="801" spans="1:9" ht="12.75" x14ac:dyDescent="0.2">
      <c r="A801" s="349"/>
      <c r="B801" s="343"/>
      <c r="C801" s="343"/>
      <c r="D801" s="343"/>
      <c r="E801" s="343"/>
      <c r="F801" s="343"/>
      <c r="G801" s="343"/>
      <c r="H801" s="343"/>
      <c r="I801" s="343"/>
    </row>
    <row r="802" spans="1:9" ht="12.75" x14ac:dyDescent="0.2">
      <c r="A802" s="349"/>
      <c r="B802" s="343"/>
      <c r="C802" s="343"/>
      <c r="D802" s="343"/>
      <c r="E802" s="343"/>
      <c r="F802" s="343"/>
      <c r="G802" s="343"/>
      <c r="H802" s="343"/>
      <c r="I802" s="343"/>
    </row>
    <row r="803" spans="1:9" ht="12.75" x14ac:dyDescent="0.2">
      <c r="A803" s="349"/>
      <c r="B803" s="343"/>
      <c r="C803" s="343"/>
      <c r="D803" s="343"/>
      <c r="E803" s="343"/>
      <c r="F803" s="343"/>
      <c r="G803" s="343"/>
      <c r="H803" s="343"/>
      <c r="I803" s="343"/>
    </row>
    <row r="804" spans="1:9" ht="12.75" x14ac:dyDescent="0.2">
      <c r="A804" s="349"/>
      <c r="B804" s="343"/>
      <c r="C804" s="343"/>
      <c r="D804" s="343"/>
      <c r="E804" s="343"/>
      <c r="F804" s="343"/>
      <c r="G804" s="343"/>
      <c r="H804" s="343"/>
      <c r="I804" s="343"/>
    </row>
    <row r="805" spans="1:9" ht="12.75" x14ac:dyDescent="0.2">
      <c r="A805" s="349"/>
      <c r="B805" s="343"/>
      <c r="C805" s="343"/>
      <c r="D805" s="343"/>
      <c r="E805" s="343"/>
      <c r="F805" s="343"/>
      <c r="G805" s="343"/>
      <c r="H805" s="343"/>
      <c r="I805" s="343"/>
    </row>
    <row r="806" spans="1:9" ht="12.75" x14ac:dyDescent="0.2">
      <c r="A806" s="349"/>
      <c r="B806" s="343"/>
      <c r="C806" s="343"/>
      <c r="D806" s="343"/>
      <c r="E806" s="343"/>
      <c r="F806" s="343"/>
      <c r="G806" s="343"/>
      <c r="H806" s="343"/>
      <c r="I806" s="343"/>
    </row>
    <row r="807" spans="1:9" ht="12.75" x14ac:dyDescent="0.2">
      <c r="A807" s="349"/>
      <c r="B807" s="343"/>
      <c r="C807" s="343"/>
      <c r="D807" s="343"/>
      <c r="E807" s="343"/>
      <c r="F807" s="343"/>
      <c r="G807" s="343"/>
      <c r="H807" s="343"/>
      <c r="I807" s="343"/>
    </row>
    <row r="808" spans="1:9" ht="12.75" x14ac:dyDescent="0.2">
      <c r="A808" s="349"/>
      <c r="B808" s="343"/>
      <c r="C808" s="343"/>
      <c r="D808" s="343"/>
      <c r="E808" s="343"/>
      <c r="F808" s="343"/>
      <c r="G808" s="343"/>
      <c r="H808" s="343"/>
      <c r="I808" s="343"/>
    </row>
    <row r="809" spans="1:9" ht="12.75" x14ac:dyDescent="0.2">
      <c r="A809" s="349"/>
      <c r="B809" s="343"/>
      <c r="C809" s="343"/>
      <c r="D809" s="343"/>
      <c r="E809" s="343"/>
      <c r="F809" s="343"/>
      <c r="G809" s="343"/>
      <c r="H809" s="343"/>
      <c r="I809" s="343"/>
    </row>
    <row r="810" spans="1:9" ht="12.75" x14ac:dyDescent="0.2">
      <c r="A810" s="349"/>
      <c r="B810" s="343"/>
      <c r="C810" s="343"/>
      <c r="D810" s="343"/>
      <c r="E810" s="343"/>
      <c r="F810" s="343"/>
      <c r="G810" s="343"/>
      <c r="H810" s="343"/>
      <c r="I810" s="343"/>
    </row>
    <row r="811" spans="1:9" ht="12.75" x14ac:dyDescent="0.2">
      <c r="A811" s="349"/>
      <c r="B811" s="343"/>
      <c r="C811" s="343"/>
      <c r="D811" s="343"/>
      <c r="E811" s="343"/>
      <c r="F811" s="343"/>
      <c r="G811" s="343"/>
      <c r="H811" s="343"/>
      <c r="I811" s="343"/>
    </row>
    <row r="812" spans="1:9" ht="12.75" x14ac:dyDescent="0.2">
      <c r="A812" s="349"/>
      <c r="B812" s="343"/>
      <c r="C812" s="343"/>
      <c r="D812" s="343"/>
      <c r="E812" s="343"/>
      <c r="F812" s="343"/>
      <c r="G812" s="343"/>
      <c r="H812" s="343"/>
      <c r="I812" s="343"/>
    </row>
    <row r="813" spans="1:9" ht="12.75" x14ac:dyDescent="0.2">
      <c r="A813" s="349"/>
      <c r="B813" s="343"/>
      <c r="C813" s="343"/>
      <c r="D813" s="343"/>
      <c r="E813" s="343"/>
      <c r="F813" s="343"/>
      <c r="G813" s="343"/>
      <c r="H813" s="343"/>
      <c r="I813" s="343"/>
    </row>
    <row r="814" spans="1:9" ht="12.75" x14ac:dyDescent="0.2">
      <c r="A814" s="349"/>
      <c r="B814" s="343"/>
      <c r="C814" s="343"/>
      <c r="D814" s="343"/>
      <c r="E814" s="343"/>
      <c r="F814" s="343"/>
      <c r="G814" s="343"/>
      <c r="H814" s="343"/>
      <c r="I814" s="343"/>
    </row>
    <row r="815" spans="1:9" ht="12.75" x14ac:dyDescent="0.2">
      <c r="A815" s="349"/>
      <c r="B815" s="343"/>
      <c r="C815" s="343"/>
      <c r="D815" s="343"/>
      <c r="E815" s="343"/>
      <c r="F815" s="343"/>
      <c r="G815" s="343"/>
      <c r="H815" s="343"/>
      <c r="I815" s="343"/>
    </row>
    <row r="816" spans="1:9" ht="12.75" x14ac:dyDescent="0.2">
      <c r="A816" s="349"/>
      <c r="B816" s="343"/>
      <c r="C816" s="343"/>
      <c r="D816" s="343"/>
      <c r="E816" s="343"/>
      <c r="F816" s="343"/>
      <c r="G816" s="343"/>
      <c r="H816" s="343"/>
      <c r="I816" s="343"/>
    </row>
    <row r="817" spans="1:9" ht="12.75" x14ac:dyDescent="0.2">
      <c r="A817" s="349"/>
      <c r="B817" s="343"/>
      <c r="C817" s="343"/>
      <c r="D817" s="343"/>
      <c r="E817" s="343"/>
      <c r="F817" s="343"/>
      <c r="G817" s="343"/>
      <c r="H817" s="343"/>
      <c r="I817" s="343"/>
    </row>
    <row r="818" spans="1:9" ht="12.75" x14ac:dyDescent="0.2">
      <c r="A818" s="349"/>
      <c r="B818" s="343"/>
      <c r="C818" s="343"/>
      <c r="D818" s="343"/>
      <c r="E818" s="343"/>
      <c r="F818" s="343"/>
      <c r="G818" s="343"/>
      <c r="H818" s="343"/>
      <c r="I818" s="343"/>
    </row>
    <row r="819" spans="1:9" ht="12.75" x14ac:dyDescent="0.2">
      <c r="A819" s="349"/>
      <c r="B819" s="343"/>
      <c r="C819" s="343"/>
      <c r="D819" s="343"/>
      <c r="E819" s="343"/>
      <c r="F819" s="343"/>
      <c r="G819" s="343"/>
      <c r="H819" s="343"/>
      <c r="I819" s="343"/>
    </row>
    <row r="820" spans="1:9" ht="12.75" x14ac:dyDescent="0.2">
      <c r="A820" s="349"/>
      <c r="B820" s="343"/>
      <c r="C820" s="343"/>
      <c r="D820" s="343"/>
      <c r="E820" s="343"/>
      <c r="F820" s="343"/>
      <c r="G820" s="343"/>
      <c r="H820" s="343"/>
      <c r="I820" s="343"/>
    </row>
    <row r="821" spans="1:9" ht="12.75" x14ac:dyDescent="0.2">
      <c r="A821" s="349"/>
      <c r="B821" s="343"/>
      <c r="C821" s="343"/>
      <c r="D821" s="343"/>
      <c r="E821" s="343"/>
      <c r="F821" s="343"/>
      <c r="G821" s="343"/>
      <c r="H821" s="343"/>
      <c r="I821" s="343"/>
    </row>
    <row r="822" spans="1:9" ht="12.75" x14ac:dyDescent="0.2">
      <c r="A822" s="349"/>
      <c r="B822" s="343"/>
      <c r="C822" s="343"/>
      <c r="D822" s="343"/>
      <c r="E822" s="343"/>
      <c r="F822" s="343"/>
      <c r="G822" s="343"/>
      <c r="H822" s="343"/>
      <c r="I822" s="343"/>
    </row>
    <row r="823" spans="1:9" ht="12.75" x14ac:dyDescent="0.2">
      <c r="A823" s="349"/>
      <c r="B823" s="343"/>
      <c r="C823" s="343"/>
      <c r="D823" s="343"/>
      <c r="E823" s="343"/>
      <c r="F823" s="343"/>
      <c r="G823" s="343"/>
      <c r="H823" s="343"/>
      <c r="I823" s="343"/>
    </row>
    <row r="824" spans="1:9" ht="12.75" x14ac:dyDescent="0.2">
      <c r="A824" s="349"/>
      <c r="B824" s="343"/>
      <c r="C824" s="343"/>
      <c r="D824" s="343"/>
      <c r="E824" s="343"/>
      <c r="F824" s="343"/>
      <c r="G824" s="343"/>
      <c r="H824" s="343"/>
      <c r="I824" s="343"/>
    </row>
    <row r="825" spans="1:9" ht="12.75" x14ac:dyDescent="0.2">
      <c r="A825" s="349"/>
      <c r="B825" s="343"/>
      <c r="C825" s="343"/>
      <c r="D825" s="343"/>
      <c r="E825" s="343"/>
      <c r="F825" s="343"/>
      <c r="G825" s="343"/>
      <c r="H825" s="343"/>
      <c r="I825" s="343"/>
    </row>
    <row r="826" spans="1:9" ht="12.75" x14ac:dyDescent="0.2">
      <c r="A826" s="349"/>
      <c r="B826" s="343"/>
      <c r="C826" s="343"/>
      <c r="D826" s="343"/>
      <c r="E826" s="343"/>
      <c r="F826" s="343"/>
      <c r="G826" s="343"/>
      <c r="H826" s="343"/>
      <c r="I826" s="343"/>
    </row>
    <row r="827" spans="1:9" ht="12.75" x14ac:dyDescent="0.2">
      <c r="A827" s="349"/>
      <c r="B827" s="343"/>
      <c r="C827" s="343"/>
      <c r="D827" s="343"/>
      <c r="E827" s="343"/>
      <c r="F827" s="343"/>
      <c r="G827" s="343"/>
      <c r="H827" s="343"/>
      <c r="I827" s="343"/>
    </row>
    <row r="828" spans="1:9" ht="12.75" x14ac:dyDescent="0.2">
      <c r="A828" s="349"/>
      <c r="B828" s="343"/>
      <c r="C828" s="343"/>
      <c r="D828" s="343"/>
      <c r="E828" s="343"/>
      <c r="F828" s="343"/>
      <c r="G828" s="343"/>
      <c r="H828" s="343"/>
      <c r="I828" s="343"/>
    </row>
    <row r="829" spans="1:9" ht="12.75" x14ac:dyDescent="0.2">
      <c r="A829" s="349"/>
      <c r="B829" s="343"/>
      <c r="C829" s="343"/>
      <c r="D829" s="343"/>
      <c r="E829" s="343"/>
      <c r="F829" s="343"/>
      <c r="G829" s="343"/>
      <c r="H829" s="343"/>
      <c r="I829" s="343"/>
    </row>
    <row r="830" spans="1:9" ht="12.75" x14ac:dyDescent="0.2">
      <c r="A830" s="349"/>
      <c r="B830" s="343"/>
      <c r="C830" s="343"/>
      <c r="D830" s="343"/>
      <c r="E830" s="343"/>
      <c r="F830" s="343"/>
      <c r="G830" s="343"/>
      <c r="H830" s="343"/>
      <c r="I830" s="343"/>
    </row>
    <row r="831" spans="1:9" ht="12.75" x14ac:dyDescent="0.2">
      <c r="A831" s="349"/>
      <c r="B831" s="343"/>
      <c r="C831" s="343"/>
      <c r="D831" s="343"/>
      <c r="E831" s="343"/>
      <c r="F831" s="343"/>
      <c r="G831" s="343"/>
      <c r="H831" s="343"/>
      <c r="I831" s="343"/>
    </row>
    <row r="832" spans="1:9" ht="12.75" x14ac:dyDescent="0.2">
      <c r="A832" s="349"/>
      <c r="B832" s="343"/>
      <c r="C832" s="343"/>
      <c r="D832" s="343"/>
      <c r="E832" s="343"/>
      <c r="F832" s="343"/>
      <c r="G832" s="343"/>
      <c r="H832" s="343"/>
      <c r="I832" s="343"/>
    </row>
    <row r="833" spans="1:9" ht="12.75" x14ac:dyDescent="0.2">
      <c r="A833" s="349"/>
      <c r="B833" s="343"/>
      <c r="C833" s="343"/>
      <c r="D833" s="343"/>
      <c r="E833" s="343"/>
      <c r="F833" s="343"/>
      <c r="G833" s="343"/>
      <c r="H833" s="343"/>
      <c r="I833" s="343"/>
    </row>
    <row r="834" spans="1:9" ht="12.75" x14ac:dyDescent="0.2">
      <c r="A834" s="349"/>
      <c r="B834" s="343"/>
      <c r="C834" s="343"/>
      <c r="D834" s="343"/>
      <c r="E834" s="343"/>
      <c r="F834" s="343"/>
      <c r="G834" s="343"/>
      <c r="H834" s="343"/>
      <c r="I834" s="343"/>
    </row>
    <row r="835" spans="1:9" ht="12.75" x14ac:dyDescent="0.2">
      <c r="A835" s="349"/>
      <c r="B835" s="343"/>
      <c r="C835" s="343"/>
      <c r="D835" s="343"/>
      <c r="E835" s="343"/>
      <c r="F835" s="343"/>
      <c r="G835" s="343"/>
      <c r="H835" s="343"/>
      <c r="I835" s="343"/>
    </row>
    <row r="836" spans="1:9" ht="12.75" x14ac:dyDescent="0.2">
      <c r="A836" s="349"/>
      <c r="B836" s="343"/>
      <c r="C836" s="343"/>
      <c r="D836" s="343"/>
      <c r="E836" s="343"/>
      <c r="F836" s="343"/>
      <c r="G836" s="343"/>
      <c r="H836" s="343"/>
      <c r="I836" s="343"/>
    </row>
    <row r="837" spans="1:9" ht="12.75" x14ac:dyDescent="0.2">
      <c r="A837" s="349"/>
      <c r="B837" s="343"/>
      <c r="C837" s="343"/>
      <c r="D837" s="343"/>
      <c r="E837" s="343"/>
      <c r="F837" s="343"/>
      <c r="G837" s="343"/>
      <c r="H837" s="343"/>
      <c r="I837" s="343"/>
    </row>
    <row r="838" spans="1:9" ht="12.75" x14ac:dyDescent="0.2">
      <c r="A838" s="349"/>
      <c r="B838" s="343"/>
      <c r="C838" s="343"/>
      <c r="D838" s="343"/>
      <c r="E838" s="343"/>
      <c r="F838" s="343"/>
      <c r="G838" s="343"/>
      <c r="H838" s="343"/>
      <c r="I838" s="343"/>
    </row>
    <row r="839" spans="1:9" ht="12.75" x14ac:dyDescent="0.2">
      <c r="A839" s="349"/>
      <c r="B839" s="343"/>
      <c r="C839" s="343"/>
      <c r="D839" s="343"/>
      <c r="E839" s="343"/>
      <c r="F839" s="343"/>
      <c r="G839" s="343"/>
      <c r="H839" s="343"/>
      <c r="I839" s="343"/>
    </row>
    <row r="840" spans="1:9" ht="12.75" x14ac:dyDescent="0.2">
      <c r="A840" s="349"/>
      <c r="B840" s="343"/>
      <c r="C840" s="343"/>
      <c r="D840" s="343"/>
      <c r="E840" s="343"/>
      <c r="F840" s="343"/>
      <c r="G840" s="343"/>
      <c r="H840" s="343"/>
      <c r="I840" s="343"/>
    </row>
    <row r="841" spans="1:9" ht="12.75" x14ac:dyDescent="0.2">
      <c r="A841" s="349"/>
      <c r="B841" s="343"/>
      <c r="C841" s="343"/>
      <c r="D841" s="343"/>
      <c r="E841" s="343"/>
      <c r="F841" s="343"/>
      <c r="G841" s="343"/>
      <c r="H841" s="343"/>
      <c r="I841" s="343"/>
    </row>
    <row r="842" spans="1:9" ht="12.75" x14ac:dyDescent="0.2">
      <c r="A842" s="349"/>
      <c r="B842" s="343"/>
      <c r="C842" s="343"/>
      <c r="D842" s="343"/>
      <c r="E842" s="343"/>
      <c r="F842" s="343"/>
      <c r="G842" s="343"/>
      <c r="H842" s="343"/>
      <c r="I842" s="343"/>
    </row>
    <row r="843" spans="1:9" ht="12.75" x14ac:dyDescent="0.2">
      <c r="A843" s="349"/>
      <c r="B843" s="343"/>
      <c r="C843" s="343"/>
      <c r="D843" s="343"/>
      <c r="E843" s="343"/>
      <c r="F843" s="343"/>
      <c r="G843" s="343"/>
      <c r="H843" s="343"/>
      <c r="I843" s="343"/>
    </row>
    <row r="844" spans="1:9" ht="12.75" x14ac:dyDescent="0.2">
      <c r="A844" s="349"/>
      <c r="B844" s="343"/>
      <c r="C844" s="343"/>
      <c r="D844" s="343"/>
      <c r="E844" s="343"/>
      <c r="F844" s="343"/>
      <c r="G844" s="343"/>
      <c r="H844" s="343"/>
      <c r="I844" s="343"/>
    </row>
    <row r="845" spans="1:9" ht="12.75" x14ac:dyDescent="0.2">
      <c r="A845" s="349"/>
      <c r="B845" s="343"/>
      <c r="C845" s="343"/>
      <c r="D845" s="343"/>
      <c r="E845" s="343"/>
      <c r="F845" s="343"/>
      <c r="G845" s="343"/>
      <c r="H845" s="343"/>
      <c r="I845" s="343"/>
    </row>
    <row r="846" spans="1:9" ht="12.75" x14ac:dyDescent="0.2">
      <c r="A846" s="349"/>
      <c r="B846" s="343"/>
      <c r="C846" s="343"/>
      <c r="D846" s="343"/>
      <c r="E846" s="343"/>
      <c r="F846" s="343"/>
      <c r="G846" s="343"/>
      <c r="H846" s="343"/>
      <c r="I846" s="343"/>
    </row>
    <row r="847" spans="1:9" ht="12.75" x14ac:dyDescent="0.2">
      <c r="A847" s="349"/>
      <c r="B847" s="343"/>
      <c r="C847" s="343"/>
      <c r="D847" s="343"/>
      <c r="E847" s="343"/>
      <c r="F847" s="343"/>
      <c r="G847" s="343"/>
      <c r="H847" s="343"/>
      <c r="I847" s="343"/>
    </row>
    <row r="848" spans="1:9" ht="12.75" x14ac:dyDescent="0.2">
      <c r="A848" s="349"/>
      <c r="B848" s="343"/>
      <c r="C848" s="343"/>
      <c r="D848" s="343"/>
      <c r="E848" s="343"/>
      <c r="F848" s="343"/>
      <c r="G848" s="343"/>
      <c r="H848" s="343"/>
      <c r="I848" s="343"/>
    </row>
    <row r="849" spans="1:9" ht="12.75" x14ac:dyDescent="0.2">
      <c r="A849" s="349"/>
      <c r="B849" s="343"/>
      <c r="C849" s="343"/>
      <c r="D849" s="343"/>
      <c r="E849" s="343"/>
      <c r="F849" s="343"/>
      <c r="G849" s="343"/>
      <c r="H849" s="343"/>
      <c r="I849" s="343"/>
    </row>
    <row r="850" spans="1:9" ht="12.75" x14ac:dyDescent="0.2">
      <c r="A850" s="349"/>
      <c r="B850" s="343"/>
      <c r="C850" s="343"/>
      <c r="D850" s="343"/>
      <c r="E850" s="343"/>
      <c r="F850" s="343"/>
      <c r="G850" s="343"/>
      <c r="H850" s="343"/>
      <c r="I850" s="343"/>
    </row>
    <row r="851" spans="1:9" ht="12.75" x14ac:dyDescent="0.2">
      <c r="A851" s="349"/>
      <c r="B851" s="343"/>
      <c r="C851" s="343"/>
      <c r="D851" s="343"/>
      <c r="E851" s="343"/>
      <c r="F851" s="343"/>
      <c r="G851" s="343"/>
      <c r="H851" s="343"/>
      <c r="I851" s="343"/>
    </row>
    <row r="852" spans="1:9" ht="12.75" x14ac:dyDescent="0.2">
      <c r="A852" s="349"/>
      <c r="B852" s="343"/>
      <c r="C852" s="343"/>
      <c r="D852" s="343"/>
      <c r="E852" s="343"/>
      <c r="F852" s="343"/>
      <c r="G852" s="343"/>
      <c r="H852" s="343"/>
      <c r="I852" s="343"/>
    </row>
    <row r="853" spans="1:9" ht="12.75" x14ac:dyDescent="0.2">
      <c r="A853" s="349"/>
      <c r="B853" s="343"/>
      <c r="C853" s="343"/>
      <c r="D853" s="343"/>
      <c r="E853" s="343"/>
      <c r="F853" s="343"/>
      <c r="G853" s="343"/>
      <c r="H853" s="343"/>
      <c r="I853" s="343"/>
    </row>
    <row r="854" spans="1:9" ht="12.75" x14ac:dyDescent="0.2">
      <c r="A854" s="349"/>
      <c r="B854" s="343"/>
      <c r="C854" s="343"/>
      <c r="D854" s="343"/>
      <c r="E854" s="343"/>
      <c r="F854" s="343"/>
      <c r="G854" s="343"/>
      <c r="H854" s="343"/>
      <c r="I854" s="343"/>
    </row>
    <row r="855" spans="1:9" ht="12.75" x14ac:dyDescent="0.2">
      <c r="A855" s="349"/>
      <c r="B855" s="343"/>
      <c r="C855" s="343"/>
      <c r="D855" s="343"/>
      <c r="E855" s="343"/>
      <c r="F855" s="343"/>
      <c r="G855" s="343"/>
      <c r="H855" s="343"/>
      <c r="I855" s="343"/>
    </row>
    <row r="856" spans="1:9" ht="12.75" x14ac:dyDescent="0.2">
      <c r="A856" s="349"/>
      <c r="B856" s="343"/>
      <c r="C856" s="343"/>
      <c r="D856" s="343"/>
      <c r="E856" s="343"/>
      <c r="F856" s="343"/>
      <c r="G856" s="343"/>
      <c r="H856" s="343"/>
      <c r="I856" s="343"/>
    </row>
    <row r="857" spans="1:9" ht="12.75" x14ac:dyDescent="0.2">
      <c r="A857" s="349"/>
      <c r="B857" s="343"/>
      <c r="C857" s="343"/>
      <c r="D857" s="343"/>
      <c r="E857" s="343"/>
      <c r="F857" s="343"/>
      <c r="G857" s="343"/>
      <c r="H857" s="343"/>
      <c r="I857" s="343"/>
    </row>
    <row r="858" spans="1:9" ht="12.75" x14ac:dyDescent="0.2">
      <c r="A858" s="349"/>
      <c r="B858" s="343"/>
      <c r="C858" s="343"/>
      <c r="D858" s="343"/>
      <c r="E858" s="343"/>
      <c r="F858" s="343"/>
      <c r="G858" s="343"/>
      <c r="H858" s="343"/>
      <c r="I858" s="343"/>
    </row>
    <row r="859" spans="1:9" ht="12.75" x14ac:dyDescent="0.2">
      <c r="A859" s="349"/>
      <c r="B859" s="343"/>
      <c r="C859" s="343"/>
      <c r="D859" s="343"/>
      <c r="E859" s="343"/>
      <c r="F859" s="343"/>
      <c r="G859" s="343"/>
      <c r="H859" s="343"/>
      <c r="I859" s="343"/>
    </row>
    <row r="860" spans="1:9" ht="12.75" x14ac:dyDescent="0.2">
      <c r="A860" s="349"/>
      <c r="B860" s="343"/>
      <c r="C860" s="343"/>
      <c r="D860" s="343"/>
      <c r="E860" s="343"/>
      <c r="F860" s="343"/>
      <c r="G860" s="343"/>
      <c r="H860" s="343"/>
      <c r="I860" s="343"/>
    </row>
    <row r="861" spans="1:9" ht="12.75" x14ac:dyDescent="0.2">
      <c r="A861" s="349"/>
      <c r="B861" s="343"/>
      <c r="C861" s="343"/>
      <c r="D861" s="343"/>
      <c r="E861" s="343"/>
      <c r="F861" s="343"/>
      <c r="G861" s="343"/>
      <c r="H861" s="343"/>
      <c r="I861" s="343"/>
    </row>
    <row r="862" spans="1:9" ht="12.75" x14ac:dyDescent="0.2">
      <c r="A862" s="349"/>
      <c r="B862" s="343"/>
      <c r="C862" s="343"/>
      <c r="D862" s="343"/>
      <c r="E862" s="343"/>
      <c r="F862" s="343"/>
      <c r="G862" s="343"/>
      <c r="H862" s="343"/>
      <c r="I862" s="343"/>
    </row>
    <row r="863" spans="1:9" ht="12.75" x14ac:dyDescent="0.2">
      <c r="A863" s="349"/>
      <c r="B863" s="343"/>
      <c r="C863" s="343"/>
      <c r="D863" s="343"/>
      <c r="E863" s="343"/>
      <c r="F863" s="343"/>
      <c r="G863" s="343"/>
      <c r="H863" s="343"/>
      <c r="I863" s="343"/>
    </row>
    <row r="864" spans="1:9" ht="12.75" x14ac:dyDescent="0.2">
      <c r="A864" s="349"/>
      <c r="B864" s="343"/>
      <c r="C864" s="343"/>
      <c r="D864" s="343"/>
      <c r="E864" s="343"/>
      <c r="F864" s="343"/>
      <c r="G864" s="343"/>
      <c r="H864" s="343"/>
      <c r="I864" s="343"/>
    </row>
    <row r="865" spans="1:9" ht="12.75" x14ac:dyDescent="0.2">
      <c r="A865" s="349"/>
      <c r="B865" s="343"/>
      <c r="C865" s="343"/>
      <c r="D865" s="343"/>
      <c r="E865" s="343"/>
      <c r="F865" s="343"/>
      <c r="G865" s="343"/>
      <c r="H865" s="343"/>
      <c r="I865" s="343"/>
    </row>
    <row r="866" spans="1:9" ht="12.75" x14ac:dyDescent="0.2">
      <c r="A866" s="349"/>
      <c r="B866" s="343"/>
      <c r="C866" s="343"/>
      <c r="D866" s="343"/>
      <c r="E866" s="343"/>
      <c r="F866" s="343"/>
      <c r="G866" s="343"/>
      <c r="H866" s="343"/>
      <c r="I866" s="343"/>
    </row>
    <row r="867" spans="1:9" ht="12.75" x14ac:dyDescent="0.2">
      <c r="A867" s="349"/>
      <c r="B867" s="343"/>
      <c r="C867" s="343"/>
      <c r="D867" s="343"/>
      <c r="E867" s="343"/>
      <c r="F867" s="343"/>
      <c r="G867" s="343"/>
      <c r="H867" s="343"/>
      <c r="I867" s="343"/>
    </row>
    <row r="868" spans="1:9" ht="12.75" x14ac:dyDescent="0.2">
      <c r="A868" s="349"/>
      <c r="B868" s="343"/>
      <c r="C868" s="343"/>
      <c r="D868" s="343"/>
      <c r="E868" s="343"/>
      <c r="F868" s="343"/>
      <c r="G868" s="343"/>
      <c r="H868" s="343"/>
      <c r="I868" s="343"/>
    </row>
    <row r="869" spans="1:9" ht="12.75" x14ac:dyDescent="0.2">
      <c r="A869" s="349"/>
      <c r="B869" s="343"/>
      <c r="C869" s="343"/>
      <c r="D869" s="343"/>
      <c r="E869" s="343"/>
      <c r="F869" s="343"/>
      <c r="G869" s="343"/>
      <c r="H869" s="343"/>
      <c r="I869" s="343"/>
    </row>
    <row r="870" spans="1:9" ht="12.75" x14ac:dyDescent="0.2">
      <c r="A870" s="349"/>
      <c r="B870" s="343"/>
      <c r="C870" s="343"/>
      <c r="D870" s="343"/>
      <c r="E870" s="343"/>
      <c r="F870" s="343"/>
      <c r="G870" s="343"/>
      <c r="H870" s="343"/>
      <c r="I870" s="343"/>
    </row>
    <row r="871" spans="1:9" ht="12.75" x14ac:dyDescent="0.2">
      <c r="A871" s="349"/>
      <c r="B871" s="343"/>
      <c r="C871" s="343"/>
      <c r="D871" s="343"/>
      <c r="E871" s="343"/>
      <c r="F871" s="343"/>
      <c r="G871" s="343"/>
      <c r="H871" s="343"/>
      <c r="I871" s="343"/>
    </row>
    <row r="872" spans="1:9" ht="12.75" x14ac:dyDescent="0.2">
      <c r="A872" s="349"/>
      <c r="B872" s="343"/>
      <c r="C872" s="343"/>
      <c r="D872" s="343"/>
      <c r="E872" s="343"/>
      <c r="F872" s="343"/>
      <c r="G872" s="343"/>
      <c r="H872" s="343"/>
      <c r="I872" s="343"/>
    </row>
    <row r="873" spans="1:9" ht="12.75" x14ac:dyDescent="0.2">
      <c r="A873" s="349"/>
      <c r="B873" s="343"/>
      <c r="C873" s="343"/>
      <c r="D873" s="343"/>
      <c r="E873" s="343"/>
      <c r="F873" s="343"/>
      <c r="G873" s="343"/>
      <c r="H873" s="343"/>
      <c r="I873" s="343"/>
    </row>
    <row r="874" spans="1:9" ht="12.75" x14ac:dyDescent="0.2">
      <c r="A874" s="349"/>
      <c r="B874" s="343"/>
      <c r="C874" s="343"/>
      <c r="D874" s="343"/>
      <c r="E874" s="343"/>
      <c r="F874" s="343"/>
      <c r="G874" s="343"/>
      <c r="H874" s="343"/>
      <c r="I874" s="343"/>
    </row>
    <row r="875" spans="1:9" ht="12.75" x14ac:dyDescent="0.2">
      <c r="A875" s="349"/>
      <c r="B875" s="343"/>
      <c r="C875" s="343"/>
      <c r="D875" s="343"/>
      <c r="E875" s="343"/>
      <c r="F875" s="343"/>
      <c r="G875" s="343"/>
      <c r="H875" s="343"/>
      <c r="I875" s="343"/>
    </row>
    <row r="876" spans="1:9" ht="12.75" x14ac:dyDescent="0.2">
      <c r="A876" s="349"/>
      <c r="B876" s="343"/>
      <c r="C876" s="343"/>
      <c r="D876" s="343"/>
      <c r="E876" s="343"/>
      <c r="F876" s="343"/>
      <c r="G876" s="343"/>
      <c r="H876" s="343"/>
      <c r="I876" s="343"/>
    </row>
    <row r="877" spans="1:9" ht="12.75" x14ac:dyDescent="0.2">
      <c r="A877" s="349"/>
      <c r="B877" s="343"/>
      <c r="C877" s="343"/>
      <c r="D877" s="343"/>
      <c r="E877" s="343"/>
      <c r="F877" s="343"/>
      <c r="G877" s="343"/>
      <c r="H877" s="343"/>
      <c r="I877" s="343"/>
    </row>
    <row r="878" spans="1:9" ht="12.75" x14ac:dyDescent="0.2">
      <c r="A878" s="349"/>
      <c r="B878" s="343"/>
      <c r="C878" s="343"/>
      <c r="D878" s="343"/>
      <c r="E878" s="343"/>
      <c r="F878" s="343"/>
      <c r="G878" s="343"/>
      <c r="H878" s="343"/>
      <c r="I878" s="343"/>
    </row>
    <row r="879" spans="1:9" ht="12.75" x14ac:dyDescent="0.2">
      <c r="A879" s="349"/>
      <c r="B879" s="343"/>
      <c r="C879" s="343"/>
      <c r="D879" s="343"/>
      <c r="E879" s="343"/>
      <c r="F879" s="343"/>
      <c r="G879" s="343"/>
      <c r="H879" s="343"/>
      <c r="I879" s="343"/>
    </row>
    <row r="880" spans="1:9" ht="12.75" x14ac:dyDescent="0.2">
      <c r="A880" s="349"/>
      <c r="B880" s="343"/>
      <c r="C880" s="343"/>
      <c r="D880" s="343"/>
      <c r="E880" s="343"/>
      <c r="F880" s="343"/>
      <c r="G880" s="343"/>
      <c r="H880" s="343"/>
      <c r="I880" s="343"/>
    </row>
    <row r="881" spans="1:9" ht="12.75" x14ac:dyDescent="0.2">
      <c r="A881" s="349"/>
      <c r="B881" s="343"/>
      <c r="C881" s="343"/>
      <c r="D881" s="343"/>
      <c r="E881" s="343"/>
      <c r="F881" s="343"/>
      <c r="G881" s="343"/>
      <c r="H881" s="343"/>
      <c r="I881" s="343"/>
    </row>
    <row r="882" spans="1:9" ht="12.75" x14ac:dyDescent="0.2">
      <c r="A882" s="349"/>
      <c r="B882" s="343"/>
      <c r="C882" s="343"/>
      <c r="D882" s="343"/>
      <c r="E882" s="343"/>
      <c r="F882" s="343"/>
      <c r="G882" s="343"/>
      <c r="H882" s="343"/>
      <c r="I882" s="343"/>
    </row>
    <row r="883" spans="1:9" ht="12.75" x14ac:dyDescent="0.2">
      <c r="A883" s="349"/>
      <c r="B883" s="343"/>
      <c r="C883" s="343"/>
      <c r="D883" s="343"/>
      <c r="E883" s="343"/>
      <c r="F883" s="343"/>
      <c r="G883" s="343"/>
      <c r="H883" s="343"/>
      <c r="I883" s="343"/>
    </row>
    <row r="884" spans="1:9" ht="12.75" x14ac:dyDescent="0.2">
      <c r="A884" s="349"/>
      <c r="B884" s="343"/>
      <c r="C884" s="343"/>
      <c r="D884" s="343"/>
      <c r="E884" s="343"/>
      <c r="F884" s="343"/>
      <c r="G884" s="343"/>
      <c r="H884" s="343"/>
      <c r="I884" s="343"/>
    </row>
    <row r="885" spans="1:9" ht="12.75" x14ac:dyDescent="0.2">
      <c r="A885" s="349"/>
      <c r="B885" s="343"/>
      <c r="C885" s="343"/>
      <c r="D885" s="343"/>
      <c r="E885" s="343"/>
      <c r="F885" s="343"/>
      <c r="G885" s="343"/>
      <c r="H885" s="343"/>
      <c r="I885" s="343"/>
    </row>
    <row r="886" spans="1:9" ht="12.75" x14ac:dyDescent="0.2">
      <c r="A886" s="349"/>
      <c r="B886" s="343"/>
      <c r="C886" s="343"/>
      <c r="D886" s="343"/>
      <c r="E886" s="343"/>
      <c r="F886" s="343"/>
      <c r="G886" s="343"/>
      <c r="H886" s="343"/>
      <c r="I886" s="343"/>
    </row>
    <row r="887" spans="1:9" ht="12.75" x14ac:dyDescent="0.2">
      <c r="A887" s="349"/>
      <c r="B887" s="343"/>
      <c r="C887" s="343"/>
      <c r="D887" s="343"/>
      <c r="E887" s="343"/>
      <c r="F887" s="343"/>
      <c r="G887" s="343"/>
      <c r="H887" s="343"/>
      <c r="I887" s="343"/>
    </row>
    <row r="888" spans="1:9" ht="12.75" x14ac:dyDescent="0.2">
      <c r="A888" s="349"/>
      <c r="B888" s="343"/>
      <c r="C888" s="343"/>
      <c r="D888" s="343"/>
      <c r="E888" s="343"/>
      <c r="F888" s="343"/>
      <c r="G888" s="343"/>
      <c r="H888" s="343"/>
      <c r="I888" s="343"/>
    </row>
    <row r="889" spans="1:9" ht="12.75" x14ac:dyDescent="0.2">
      <c r="A889" s="349"/>
      <c r="B889" s="343"/>
      <c r="C889" s="343"/>
      <c r="D889" s="343"/>
      <c r="E889" s="343"/>
      <c r="F889" s="343"/>
      <c r="G889" s="343"/>
      <c r="H889" s="343"/>
      <c r="I889" s="343"/>
    </row>
    <row r="890" spans="1:9" ht="12.75" x14ac:dyDescent="0.2">
      <c r="A890" s="349"/>
      <c r="B890" s="343"/>
      <c r="C890" s="343"/>
      <c r="D890" s="343"/>
      <c r="E890" s="343"/>
      <c r="F890" s="343"/>
      <c r="G890" s="343"/>
      <c r="H890" s="343"/>
      <c r="I890" s="343"/>
    </row>
    <row r="891" spans="1:9" ht="12.75" x14ac:dyDescent="0.2">
      <c r="A891" s="349"/>
      <c r="B891" s="343"/>
      <c r="C891" s="343"/>
      <c r="D891" s="343"/>
      <c r="E891" s="343"/>
      <c r="F891" s="343"/>
      <c r="G891" s="343"/>
      <c r="H891" s="343"/>
      <c r="I891" s="343"/>
    </row>
    <row r="892" spans="1:9" ht="12.75" x14ac:dyDescent="0.2">
      <c r="A892" s="349"/>
      <c r="B892" s="343"/>
      <c r="C892" s="343"/>
      <c r="D892" s="343"/>
      <c r="E892" s="343"/>
      <c r="F892" s="343"/>
      <c r="G892" s="343"/>
      <c r="H892" s="343"/>
      <c r="I892" s="343"/>
    </row>
    <row r="893" spans="1:9" ht="12.75" x14ac:dyDescent="0.2">
      <c r="A893" s="349"/>
      <c r="B893" s="343"/>
      <c r="C893" s="343"/>
      <c r="D893" s="343"/>
      <c r="E893" s="343"/>
      <c r="F893" s="343"/>
      <c r="G893" s="343"/>
      <c r="H893" s="343"/>
      <c r="I893" s="343"/>
    </row>
    <row r="894" spans="1:9" ht="12.75" x14ac:dyDescent="0.2">
      <c r="A894" s="349"/>
      <c r="B894" s="343"/>
      <c r="C894" s="343"/>
      <c r="D894" s="343"/>
      <c r="E894" s="343"/>
      <c r="F894" s="343"/>
      <c r="G894" s="343"/>
      <c r="H894" s="343"/>
      <c r="I894" s="343"/>
    </row>
    <row r="895" spans="1:9" ht="12.75" x14ac:dyDescent="0.2">
      <c r="A895" s="349"/>
      <c r="B895" s="343"/>
      <c r="C895" s="343"/>
      <c r="D895" s="343"/>
      <c r="E895" s="343"/>
      <c r="F895" s="343"/>
      <c r="G895" s="343"/>
      <c r="H895" s="343"/>
      <c r="I895" s="343"/>
    </row>
    <row r="896" spans="1:9" ht="12.75" x14ac:dyDescent="0.2">
      <c r="A896" s="349"/>
      <c r="B896" s="343"/>
      <c r="C896" s="343"/>
      <c r="D896" s="343"/>
      <c r="E896" s="343"/>
      <c r="F896" s="343"/>
      <c r="G896" s="343"/>
      <c r="H896" s="343"/>
      <c r="I896" s="343"/>
    </row>
    <row r="897" spans="1:9" ht="12.75" x14ac:dyDescent="0.2">
      <c r="A897" s="349"/>
      <c r="B897" s="343"/>
      <c r="C897" s="343"/>
      <c r="D897" s="343"/>
      <c r="E897" s="343"/>
      <c r="F897" s="343"/>
      <c r="G897" s="343"/>
      <c r="H897" s="343"/>
      <c r="I897" s="343"/>
    </row>
    <row r="898" spans="1:9" ht="12.75" x14ac:dyDescent="0.2">
      <c r="A898" s="349"/>
      <c r="B898" s="343"/>
      <c r="C898" s="343"/>
      <c r="D898" s="343"/>
      <c r="E898" s="343"/>
      <c r="F898" s="343"/>
      <c r="G898" s="343"/>
      <c r="H898" s="343"/>
      <c r="I898" s="343"/>
    </row>
    <row r="899" spans="1:9" ht="12.75" x14ac:dyDescent="0.2">
      <c r="A899" s="349"/>
      <c r="B899" s="343"/>
      <c r="C899" s="343"/>
      <c r="D899" s="343"/>
      <c r="E899" s="343"/>
      <c r="F899" s="343"/>
      <c r="G899" s="343"/>
      <c r="H899" s="343"/>
      <c r="I899" s="343"/>
    </row>
    <row r="900" spans="1:9" ht="12.75" x14ac:dyDescent="0.2">
      <c r="A900" s="349"/>
      <c r="B900" s="343"/>
      <c r="C900" s="343"/>
      <c r="D900" s="343"/>
      <c r="E900" s="343"/>
      <c r="F900" s="343"/>
      <c r="G900" s="343"/>
      <c r="H900" s="343"/>
      <c r="I900" s="343"/>
    </row>
    <row r="901" spans="1:9" ht="12.75" x14ac:dyDescent="0.2">
      <c r="A901" s="349"/>
      <c r="B901" s="343"/>
      <c r="C901" s="343"/>
      <c r="D901" s="343"/>
      <c r="E901" s="343"/>
      <c r="F901" s="343"/>
      <c r="G901" s="343"/>
      <c r="H901" s="343"/>
      <c r="I901" s="343"/>
    </row>
    <row r="902" spans="1:9" ht="12.75" x14ac:dyDescent="0.2">
      <c r="A902" s="349"/>
      <c r="B902" s="343"/>
      <c r="C902" s="343"/>
      <c r="D902" s="343"/>
      <c r="E902" s="343"/>
      <c r="F902" s="343"/>
      <c r="G902" s="343"/>
      <c r="H902" s="343"/>
      <c r="I902" s="343"/>
    </row>
    <row r="903" spans="1:9" ht="12.75" x14ac:dyDescent="0.2">
      <c r="A903" s="349"/>
      <c r="B903" s="343"/>
      <c r="C903" s="343"/>
      <c r="D903" s="343"/>
      <c r="E903" s="343"/>
      <c r="F903" s="343"/>
      <c r="G903" s="343"/>
      <c r="H903" s="343"/>
      <c r="I903" s="343"/>
    </row>
    <row r="904" spans="1:9" ht="12.75" x14ac:dyDescent="0.2">
      <c r="A904" s="349"/>
      <c r="B904" s="343"/>
      <c r="C904" s="343"/>
      <c r="D904" s="343"/>
      <c r="E904" s="343"/>
      <c r="F904" s="343"/>
      <c r="G904" s="343"/>
      <c r="H904" s="343"/>
      <c r="I904" s="343"/>
    </row>
    <row r="905" spans="1:9" ht="12.75" x14ac:dyDescent="0.2">
      <c r="A905" s="349"/>
      <c r="B905" s="343"/>
      <c r="C905" s="343"/>
      <c r="D905" s="343"/>
      <c r="E905" s="343"/>
      <c r="F905" s="343"/>
      <c r="G905" s="343"/>
      <c r="H905" s="343"/>
      <c r="I905" s="343"/>
    </row>
    <row r="906" spans="1:9" ht="12.75" x14ac:dyDescent="0.2">
      <c r="A906" s="349"/>
      <c r="B906" s="343"/>
      <c r="C906" s="343"/>
      <c r="D906" s="343"/>
      <c r="E906" s="343"/>
      <c r="F906" s="343"/>
      <c r="G906" s="343"/>
      <c r="H906" s="343"/>
      <c r="I906" s="343"/>
    </row>
    <row r="907" spans="1:9" ht="12.75" x14ac:dyDescent="0.2">
      <c r="A907" s="349"/>
      <c r="B907" s="343"/>
      <c r="C907" s="343"/>
      <c r="D907" s="343"/>
      <c r="E907" s="343"/>
      <c r="F907" s="343"/>
      <c r="G907" s="343"/>
      <c r="H907" s="343"/>
      <c r="I907" s="343"/>
    </row>
    <row r="908" spans="1:9" ht="12.75" x14ac:dyDescent="0.2">
      <c r="A908" s="349"/>
      <c r="B908" s="343"/>
      <c r="C908" s="343"/>
      <c r="D908" s="343"/>
      <c r="E908" s="343"/>
      <c r="F908" s="343"/>
      <c r="G908" s="343"/>
      <c r="H908" s="343"/>
      <c r="I908" s="343"/>
    </row>
    <row r="909" spans="1:9" ht="12.75" x14ac:dyDescent="0.2">
      <c r="A909" s="349"/>
      <c r="B909" s="343"/>
      <c r="C909" s="343"/>
      <c r="D909" s="343"/>
      <c r="E909" s="343"/>
      <c r="F909" s="343"/>
      <c r="G909" s="343"/>
      <c r="H909" s="343"/>
      <c r="I909" s="343"/>
    </row>
    <row r="910" spans="1:9" ht="12.75" x14ac:dyDescent="0.2">
      <c r="A910" s="349"/>
      <c r="B910" s="343"/>
      <c r="C910" s="343"/>
      <c r="D910" s="343"/>
      <c r="E910" s="343"/>
      <c r="F910" s="343"/>
      <c r="G910" s="343"/>
      <c r="H910" s="343"/>
      <c r="I910" s="343"/>
    </row>
    <row r="911" spans="1:9" ht="12.75" x14ac:dyDescent="0.2">
      <c r="A911" s="349"/>
      <c r="B911" s="343"/>
      <c r="C911" s="343"/>
      <c r="D911" s="343"/>
      <c r="E911" s="343"/>
      <c r="F911" s="343"/>
      <c r="G911" s="343"/>
      <c r="H911" s="343"/>
      <c r="I911" s="343"/>
    </row>
    <row r="912" spans="1:9" ht="12.75" x14ac:dyDescent="0.2">
      <c r="A912" s="349"/>
      <c r="B912" s="343"/>
      <c r="C912" s="343"/>
      <c r="D912" s="343"/>
      <c r="E912" s="343"/>
      <c r="F912" s="343"/>
      <c r="G912" s="343"/>
      <c r="H912" s="343"/>
      <c r="I912" s="343"/>
    </row>
    <row r="913" spans="1:9" ht="12.75" x14ac:dyDescent="0.2">
      <c r="A913" s="349"/>
      <c r="B913" s="343"/>
      <c r="C913" s="343"/>
      <c r="D913" s="343"/>
      <c r="E913" s="343"/>
      <c r="F913" s="343"/>
      <c r="G913" s="343"/>
      <c r="H913" s="343"/>
      <c r="I913" s="343"/>
    </row>
    <row r="914" spans="1:9" ht="12.75" x14ac:dyDescent="0.2">
      <c r="A914" s="349"/>
      <c r="B914" s="343"/>
      <c r="C914" s="343"/>
      <c r="D914" s="343"/>
      <c r="E914" s="343"/>
      <c r="F914" s="343"/>
      <c r="G914" s="343"/>
      <c r="H914" s="343"/>
      <c r="I914" s="343"/>
    </row>
    <row r="915" spans="1:9" ht="12.75" x14ac:dyDescent="0.2">
      <c r="A915" s="349"/>
      <c r="B915" s="343"/>
      <c r="C915" s="343"/>
      <c r="D915" s="343"/>
      <c r="E915" s="343"/>
      <c r="F915" s="343"/>
      <c r="G915" s="343"/>
      <c r="H915" s="343"/>
      <c r="I915" s="343"/>
    </row>
    <row r="916" spans="1:9" ht="12.75" x14ac:dyDescent="0.2">
      <c r="A916" s="349"/>
      <c r="B916" s="343"/>
      <c r="C916" s="343"/>
      <c r="D916" s="343"/>
      <c r="E916" s="343"/>
      <c r="F916" s="343"/>
      <c r="G916" s="343"/>
      <c r="H916" s="343"/>
      <c r="I916" s="343"/>
    </row>
    <row r="917" spans="1:9" ht="12.75" x14ac:dyDescent="0.2">
      <c r="A917" s="349"/>
      <c r="B917" s="343"/>
      <c r="C917" s="343"/>
      <c r="D917" s="343"/>
      <c r="E917" s="343"/>
      <c r="F917" s="343"/>
      <c r="G917" s="343"/>
      <c r="H917" s="343"/>
      <c r="I917" s="343"/>
    </row>
    <row r="918" spans="1:9" ht="12.75" x14ac:dyDescent="0.2">
      <c r="A918" s="349"/>
      <c r="B918" s="343"/>
      <c r="C918" s="343"/>
      <c r="D918" s="343"/>
      <c r="E918" s="343"/>
      <c r="F918" s="343"/>
      <c r="G918" s="343"/>
      <c r="H918" s="343"/>
      <c r="I918" s="343"/>
    </row>
    <row r="919" spans="1:9" ht="12.75" x14ac:dyDescent="0.2">
      <c r="A919" s="349"/>
      <c r="B919" s="343"/>
      <c r="C919" s="343"/>
      <c r="D919" s="343"/>
      <c r="E919" s="343"/>
      <c r="F919" s="343"/>
      <c r="G919" s="343"/>
      <c r="H919" s="343"/>
      <c r="I919" s="343"/>
    </row>
    <row r="920" spans="1:9" ht="12.75" x14ac:dyDescent="0.2">
      <c r="A920" s="349"/>
      <c r="B920" s="343"/>
      <c r="C920" s="343"/>
      <c r="D920" s="343"/>
      <c r="E920" s="343"/>
      <c r="F920" s="343"/>
      <c r="G920" s="343"/>
      <c r="H920" s="343"/>
      <c r="I920" s="343"/>
    </row>
    <row r="921" spans="1:9" ht="12.75" x14ac:dyDescent="0.2">
      <c r="A921" s="349"/>
      <c r="B921" s="343"/>
      <c r="C921" s="343"/>
      <c r="D921" s="343"/>
      <c r="E921" s="343"/>
      <c r="F921" s="343"/>
      <c r="G921" s="343"/>
      <c r="H921" s="343"/>
      <c r="I921" s="343"/>
    </row>
    <row r="922" spans="1:9" ht="12.75" x14ac:dyDescent="0.2">
      <c r="A922" s="349"/>
      <c r="B922" s="343"/>
      <c r="C922" s="343"/>
      <c r="D922" s="343"/>
      <c r="E922" s="343"/>
      <c r="F922" s="343"/>
      <c r="G922" s="343"/>
      <c r="H922" s="343"/>
      <c r="I922" s="343"/>
    </row>
    <row r="923" spans="1:9" ht="12.75" x14ac:dyDescent="0.2">
      <c r="A923" s="349"/>
      <c r="B923" s="343"/>
      <c r="C923" s="343"/>
      <c r="D923" s="343"/>
      <c r="E923" s="343"/>
      <c r="F923" s="343"/>
      <c r="G923" s="343"/>
      <c r="H923" s="343"/>
      <c r="I923" s="343"/>
    </row>
    <row r="924" spans="1:9" ht="12.75" x14ac:dyDescent="0.2">
      <c r="A924" s="349"/>
      <c r="B924" s="343"/>
      <c r="C924" s="343"/>
      <c r="D924" s="343"/>
      <c r="E924" s="343"/>
      <c r="F924" s="343"/>
      <c r="G924" s="343"/>
      <c r="H924" s="343"/>
      <c r="I924" s="343"/>
    </row>
    <row r="925" spans="1:9" ht="12.75" x14ac:dyDescent="0.2">
      <c r="A925" s="349"/>
      <c r="B925" s="343"/>
      <c r="C925" s="343"/>
      <c r="D925" s="343"/>
      <c r="E925" s="343"/>
      <c r="F925" s="343"/>
      <c r="G925" s="343"/>
      <c r="H925" s="343"/>
      <c r="I925" s="343"/>
    </row>
    <row r="926" spans="1:9" ht="12.75" x14ac:dyDescent="0.2">
      <c r="A926" s="349"/>
      <c r="B926" s="343"/>
      <c r="C926" s="343"/>
      <c r="D926" s="343"/>
      <c r="E926" s="343"/>
      <c r="F926" s="343"/>
      <c r="G926" s="343"/>
      <c r="H926" s="343"/>
      <c r="I926" s="343"/>
    </row>
    <row r="927" spans="1:9" ht="12.75" x14ac:dyDescent="0.2">
      <c r="A927" s="349"/>
      <c r="B927" s="343"/>
      <c r="C927" s="343"/>
      <c r="D927" s="343"/>
      <c r="E927" s="343"/>
      <c r="F927" s="343"/>
      <c r="G927" s="343"/>
      <c r="H927" s="343"/>
      <c r="I927" s="343"/>
    </row>
    <row r="928" spans="1:9" ht="12.75" x14ac:dyDescent="0.2">
      <c r="A928" s="349"/>
      <c r="B928" s="343"/>
      <c r="C928" s="343"/>
      <c r="D928" s="343"/>
      <c r="E928" s="343"/>
      <c r="F928" s="343"/>
      <c r="G928" s="343"/>
      <c r="H928" s="343"/>
      <c r="I928" s="343"/>
    </row>
    <row r="929" spans="1:9" ht="12.75" x14ac:dyDescent="0.2">
      <c r="A929" s="349"/>
      <c r="B929" s="343"/>
      <c r="C929" s="343"/>
      <c r="D929" s="343"/>
      <c r="E929" s="343"/>
      <c r="F929" s="343"/>
      <c r="G929" s="343"/>
      <c r="H929" s="343"/>
      <c r="I929" s="343"/>
    </row>
    <row r="930" spans="1:9" ht="12.75" x14ac:dyDescent="0.2">
      <c r="A930" s="349"/>
      <c r="B930" s="343"/>
      <c r="C930" s="343"/>
      <c r="D930" s="343"/>
      <c r="E930" s="343"/>
      <c r="F930" s="343"/>
      <c r="G930" s="343"/>
      <c r="H930" s="343"/>
      <c r="I930" s="343"/>
    </row>
    <row r="931" spans="1:9" ht="12.75" x14ac:dyDescent="0.2">
      <c r="A931" s="349"/>
      <c r="B931" s="343"/>
      <c r="C931" s="343"/>
      <c r="D931" s="343"/>
      <c r="E931" s="343"/>
      <c r="F931" s="343"/>
      <c r="G931" s="343"/>
      <c r="H931" s="343"/>
      <c r="I931" s="343"/>
    </row>
    <row r="932" spans="1:9" ht="12.75" x14ac:dyDescent="0.2">
      <c r="A932" s="349"/>
      <c r="B932" s="343"/>
      <c r="C932" s="343"/>
      <c r="D932" s="343"/>
      <c r="E932" s="343"/>
      <c r="F932" s="343"/>
      <c r="G932" s="343"/>
      <c r="H932" s="343"/>
      <c r="I932" s="343"/>
    </row>
    <row r="933" spans="1:9" ht="12.75" x14ac:dyDescent="0.2">
      <c r="A933" s="349"/>
      <c r="B933" s="343"/>
      <c r="C933" s="343"/>
      <c r="D933" s="343"/>
      <c r="E933" s="343"/>
      <c r="F933" s="343"/>
      <c r="G933" s="343"/>
      <c r="H933" s="343"/>
      <c r="I933" s="343"/>
    </row>
    <row r="934" spans="1:9" ht="12.75" x14ac:dyDescent="0.2">
      <c r="A934" s="349"/>
      <c r="B934" s="343"/>
      <c r="C934" s="343"/>
      <c r="D934" s="343"/>
      <c r="E934" s="343"/>
      <c r="F934" s="343"/>
      <c r="G934" s="343"/>
      <c r="H934" s="343"/>
      <c r="I934" s="343"/>
    </row>
    <row r="935" spans="1:9" ht="12.75" x14ac:dyDescent="0.2">
      <c r="A935" s="349"/>
      <c r="B935" s="343"/>
      <c r="C935" s="343"/>
      <c r="D935" s="343"/>
      <c r="E935" s="343"/>
      <c r="F935" s="343"/>
      <c r="G935" s="343"/>
      <c r="H935" s="343"/>
      <c r="I935" s="343"/>
    </row>
    <row r="936" spans="1:9" ht="12.75" x14ac:dyDescent="0.2">
      <c r="A936" s="349"/>
      <c r="B936" s="343"/>
      <c r="C936" s="343"/>
      <c r="D936" s="343"/>
      <c r="E936" s="343"/>
      <c r="F936" s="343"/>
      <c r="G936" s="343"/>
      <c r="H936" s="343"/>
      <c r="I936" s="343"/>
    </row>
    <row r="937" spans="1:9" ht="12.75" x14ac:dyDescent="0.2">
      <c r="A937" s="349"/>
      <c r="B937" s="343"/>
      <c r="C937" s="343"/>
      <c r="D937" s="343"/>
      <c r="E937" s="343"/>
      <c r="F937" s="343"/>
      <c r="G937" s="343"/>
      <c r="H937" s="343"/>
      <c r="I937" s="343"/>
    </row>
    <row r="938" spans="1:9" ht="12.75" x14ac:dyDescent="0.2">
      <c r="A938" s="349"/>
      <c r="B938" s="343"/>
      <c r="C938" s="343"/>
      <c r="D938" s="343"/>
      <c r="E938" s="343"/>
      <c r="F938" s="343"/>
      <c r="G938" s="343"/>
      <c r="H938" s="343"/>
      <c r="I938" s="343"/>
    </row>
    <row r="939" spans="1:9" ht="12.75" x14ac:dyDescent="0.2">
      <c r="A939" s="349"/>
      <c r="B939" s="343"/>
      <c r="C939" s="343"/>
      <c r="D939" s="343"/>
      <c r="E939" s="343"/>
      <c r="F939" s="343"/>
      <c r="G939" s="343"/>
      <c r="H939" s="343"/>
      <c r="I939" s="343"/>
    </row>
    <row r="940" spans="1:9" ht="12.75" x14ac:dyDescent="0.2">
      <c r="A940" s="349"/>
      <c r="B940" s="343"/>
      <c r="C940" s="343"/>
      <c r="D940" s="343"/>
      <c r="E940" s="343"/>
      <c r="F940" s="343"/>
      <c r="G940" s="343"/>
      <c r="H940" s="343"/>
      <c r="I940" s="343"/>
    </row>
    <row r="941" spans="1:9" ht="12.75" x14ac:dyDescent="0.2">
      <c r="A941" s="349"/>
      <c r="B941" s="343"/>
      <c r="C941" s="343"/>
      <c r="D941" s="343"/>
      <c r="E941" s="343"/>
      <c r="F941" s="343"/>
      <c r="G941" s="343"/>
      <c r="H941" s="343"/>
      <c r="I941" s="343"/>
    </row>
    <row r="942" spans="1:9" ht="12.75" x14ac:dyDescent="0.2">
      <c r="A942" s="349"/>
      <c r="B942" s="343"/>
      <c r="C942" s="343"/>
      <c r="D942" s="343"/>
      <c r="E942" s="343"/>
      <c r="F942" s="343"/>
      <c r="G942" s="343"/>
      <c r="H942" s="343"/>
      <c r="I942" s="343"/>
    </row>
    <row r="943" spans="1:9" ht="12.75" x14ac:dyDescent="0.2">
      <c r="A943" s="349"/>
      <c r="B943" s="343"/>
      <c r="C943" s="343"/>
      <c r="D943" s="343"/>
      <c r="E943" s="343"/>
      <c r="F943" s="343"/>
      <c r="G943" s="343"/>
      <c r="H943" s="343"/>
      <c r="I943" s="343"/>
    </row>
    <row r="944" spans="1:9" ht="12.75" x14ac:dyDescent="0.2">
      <c r="A944" s="349"/>
      <c r="B944" s="343"/>
      <c r="C944" s="343"/>
      <c r="D944" s="343"/>
      <c r="E944" s="343"/>
      <c r="F944" s="343"/>
      <c r="G944" s="343"/>
      <c r="H944" s="343"/>
      <c r="I944" s="343"/>
    </row>
    <row r="945" spans="1:9" ht="12.75" x14ac:dyDescent="0.2">
      <c r="A945" s="349"/>
      <c r="B945" s="343"/>
      <c r="C945" s="343"/>
      <c r="D945" s="343"/>
      <c r="E945" s="343"/>
      <c r="F945" s="343"/>
      <c r="G945" s="343"/>
      <c r="H945" s="343"/>
      <c r="I945" s="343"/>
    </row>
    <row r="946" spans="1:9" ht="12.75" x14ac:dyDescent="0.2">
      <c r="A946" s="349"/>
      <c r="B946" s="343"/>
      <c r="C946" s="343"/>
      <c r="D946" s="343"/>
      <c r="E946" s="343"/>
      <c r="F946" s="343"/>
      <c r="G946" s="343"/>
      <c r="H946" s="343"/>
      <c r="I946" s="343"/>
    </row>
    <row r="947" spans="1:9" ht="12.75" x14ac:dyDescent="0.2">
      <c r="A947" s="349"/>
      <c r="B947" s="343"/>
      <c r="C947" s="343"/>
      <c r="D947" s="343"/>
      <c r="E947" s="343"/>
      <c r="F947" s="343"/>
      <c r="G947" s="343"/>
      <c r="H947" s="343"/>
      <c r="I947" s="343"/>
    </row>
    <row r="948" spans="1:9" ht="12.75" x14ac:dyDescent="0.2">
      <c r="A948" s="349"/>
      <c r="B948" s="343"/>
      <c r="C948" s="343"/>
      <c r="D948" s="343"/>
      <c r="E948" s="343"/>
      <c r="F948" s="343"/>
      <c r="G948" s="343"/>
      <c r="H948" s="343"/>
      <c r="I948" s="343"/>
    </row>
    <row r="949" spans="1:9" ht="12.75" x14ac:dyDescent="0.2">
      <c r="A949" s="349"/>
      <c r="B949" s="343"/>
      <c r="C949" s="343"/>
      <c r="D949" s="343"/>
      <c r="E949" s="343"/>
      <c r="F949" s="343"/>
      <c r="G949" s="343"/>
      <c r="H949" s="343"/>
      <c r="I949" s="343"/>
    </row>
    <row r="950" spans="1:9" ht="12.75" x14ac:dyDescent="0.2">
      <c r="A950" s="349"/>
      <c r="B950" s="343"/>
      <c r="C950" s="343"/>
      <c r="D950" s="343"/>
      <c r="E950" s="343"/>
      <c r="F950" s="343"/>
      <c r="G950" s="343"/>
      <c r="H950" s="343"/>
      <c r="I950" s="343"/>
    </row>
    <row r="951" spans="1:9" ht="12.75" x14ac:dyDescent="0.2">
      <c r="A951" s="349"/>
      <c r="B951" s="343"/>
      <c r="C951" s="343"/>
      <c r="D951" s="343"/>
      <c r="E951" s="343"/>
      <c r="F951" s="343"/>
      <c r="G951" s="343"/>
      <c r="H951" s="343"/>
      <c r="I951" s="343"/>
    </row>
    <row r="952" spans="1:9" ht="12.75" x14ac:dyDescent="0.2">
      <c r="A952" s="349"/>
      <c r="B952" s="343"/>
      <c r="C952" s="343"/>
      <c r="D952" s="343"/>
      <c r="E952" s="343"/>
      <c r="F952" s="343"/>
      <c r="G952" s="343"/>
      <c r="H952" s="343"/>
      <c r="I952" s="343"/>
    </row>
    <row r="953" spans="1:9" ht="12.75" x14ac:dyDescent="0.2">
      <c r="A953" s="349"/>
      <c r="B953" s="343"/>
      <c r="C953" s="343"/>
      <c r="D953" s="343"/>
      <c r="E953" s="343"/>
      <c r="F953" s="343"/>
      <c r="G953" s="343"/>
      <c r="H953" s="343"/>
      <c r="I953" s="343"/>
    </row>
    <row r="954" spans="1:9" ht="12.75" x14ac:dyDescent="0.2">
      <c r="A954" s="349"/>
      <c r="B954" s="343"/>
      <c r="C954" s="343"/>
      <c r="D954" s="343"/>
      <c r="E954" s="343"/>
      <c r="F954" s="343"/>
      <c r="G954" s="343"/>
      <c r="H954" s="343"/>
      <c r="I954" s="343"/>
    </row>
    <row r="955" spans="1:9" ht="12.75" x14ac:dyDescent="0.2">
      <c r="A955" s="349"/>
      <c r="B955" s="343"/>
      <c r="C955" s="343"/>
      <c r="D955" s="343"/>
      <c r="E955" s="343"/>
      <c r="F955" s="343"/>
      <c r="G955" s="343"/>
      <c r="H955" s="343"/>
      <c r="I955" s="343"/>
    </row>
    <row r="956" spans="1:9" ht="12.75" x14ac:dyDescent="0.2">
      <c r="A956" s="349"/>
      <c r="B956" s="343"/>
      <c r="C956" s="343"/>
      <c r="D956" s="343"/>
      <c r="E956" s="343"/>
      <c r="F956" s="343"/>
      <c r="G956" s="343"/>
      <c r="H956" s="343"/>
      <c r="I956" s="343"/>
    </row>
    <row r="957" spans="1:9" ht="12.75" x14ac:dyDescent="0.2">
      <c r="A957" s="349"/>
      <c r="B957" s="343"/>
      <c r="C957" s="343"/>
      <c r="D957" s="343"/>
      <c r="E957" s="343"/>
      <c r="F957" s="343"/>
      <c r="G957" s="343"/>
      <c r="H957" s="343"/>
      <c r="I957" s="343"/>
    </row>
    <row r="958" spans="1:9" ht="12.75" x14ac:dyDescent="0.2">
      <c r="A958" s="349"/>
      <c r="B958" s="343"/>
      <c r="C958" s="343"/>
      <c r="D958" s="343"/>
      <c r="E958" s="343"/>
      <c r="F958" s="343"/>
      <c r="G958" s="343"/>
      <c r="H958" s="343"/>
      <c r="I958" s="343"/>
    </row>
    <row r="959" spans="1:9" ht="12.75" x14ac:dyDescent="0.2">
      <c r="A959" s="349"/>
      <c r="B959" s="343"/>
      <c r="C959" s="343"/>
      <c r="D959" s="343"/>
      <c r="E959" s="343"/>
      <c r="F959" s="343"/>
      <c r="G959" s="343"/>
      <c r="H959" s="343"/>
      <c r="I959" s="343"/>
    </row>
    <row r="960" spans="1:9" ht="12.75" x14ac:dyDescent="0.2">
      <c r="A960" s="349"/>
      <c r="B960" s="343"/>
      <c r="C960" s="343"/>
      <c r="D960" s="343"/>
      <c r="E960" s="343"/>
      <c r="F960" s="343"/>
      <c r="G960" s="343"/>
      <c r="H960" s="343"/>
      <c r="I960" s="343"/>
    </row>
    <row r="961" spans="1:9" ht="12.75" x14ac:dyDescent="0.2">
      <c r="A961" s="349"/>
      <c r="B961" s="343"/>
      <c r="C961" s="343"/>
      <c r="D961" s="343"/>
      <c r="E961" s="343"/>
      <c r="F961" s="343"/>
      <c r="G961" s="343"/>
      <c r="H961" s="343"/>
      <c r="I961" s="343"/>
    </row>
    <row r="962" spans="1:9" ht="12.75" x14ac:dyDescent="0.2">
      <c r="A962" s="349"/>
      <c r="B962" s="343"/>
      <c r="C962" s="343"/>
      <c r="D962" s="343"/>
      <c r="E962" s="343"/>
      <c r="F962" s="343"/>
      <c r="G962" s="343"/>
      <c r="H962" s="343"/>
      <c r="I962" s="343"/>
    </row>
    <row r="963" spans="1:9" ht="12.75" x14ac:dyDescent="0.2">
      <c r="A963" s="349"/>
      <c r="B963" s="343"/>
      <c r="C963" s="343"/>
      <c r="D963" s="343"/>
      <c r="E963" s="343"/>
      <c r="F963" s="343"/>
      <c r="G963" s="343"/>
      <c r="H963" s="343"/>
      <c r="I963" s="343"/>
    </row>
    <row r="964" spans="1:9" ht="12.75" x14ac:dyDescent="0.2">
      <c r="A964" s="349"/>
      <c r="B964" s="343"/>
      <c r="C964" s="343"/>
      <c r="D964" s="343"/>
      <c r="E964" s="343"/>
      <c r="F964" s="343"/>
      <c r="G964" s="343"/>
      <c r="H964" s="343"/>
      <c r="I964" s="343"/>
    </row>
    <row r="965" spans="1:9" ht="12.75" x14ac:dyDescent="0.2">
      <c r="A965" s="349"/>
      <c r="B965" s="343"/>
      <c r="C965" s="343"/>
      <c r="D965" s="343"/>
      <c r="E965" s="343"/>
      <c r="F965" s="343"/>
      <c r="G965" s="343"/>
      <c r="H965" s="343"/>
      <c r="I965" s="343"/>
    </row>
    <row r="966" spans="1:9" ht="12.75" x14ac:dyDescent="0.2">
      <c r="A966" s="349"/>
      <c r="B966" s="343"/>
      <c r="C966" s="343"/>
      <c r="D966" s="343"/>
      <c r="E966" s="343"/>
      <c r="F966" s="343"/>
      <c r="G966" s="343"/>
      <c r="H966" s="343"/>
      <c r="I966" s="343"/>
    </row>
    <row r="967" spans="1:9" ht="12.75" x14ac:dyDescent="0.2">
      <c r="A967" s="349"/>
      <c r="B967" s="343"/>
      <c r="C967" s="343"/>
      <c r="D967" s="343"/>
      <c r="E967" s="343"/>
      <c r="F967" s="343"/>
      <c r="G967" s="343"/>
      <c r="H967" s="343"/>
      <c r="I967" s="343"/>
    </row>
    <row r="968" spans="1:9" ht="12.75" x14ac:dyDescent="0.2">
      <c r="A968" s="349"/>
      <c r="B968" s="343"/>
      <c r="C968" s="343"/>
      <c r="D968" s="343"/>
      <c r="E968" s="343"/>
      <c r="F968" s="343"/>
      <c r="G968" s="343"/>
      <c r="H968" s="343"/>
      <c r="I968" s="343"/>
    </row>
    <row r="969" spans="1:9" ht="12.75" x14ac:dyDescent="0.2">
      <c r="A969" s="349"/>
      <c r="B969" s="343"/>
      <c r="C969" s="343"/>
      <c r="D969" s="343"/>
      <c r="E969" s="343"/>
      <c r="F969" s="343"/>
      <c r="G969" s="343"/>
      <c r="H969" s="343"/>
      <c r="I969" s="343"/>
    </row>
    <row r="970" spans="1:9" ht="12.75" x14ac:dyDescent="0.2">
      <c r="A970" s="349"/>
      <c r="B970" s="343"/>
      <c r="C970" s="343"/>
      <c r="D970" s="343"/>
      <c r="E970" s="343"/>
      <c r="F970" s="343"/>
      <c r="G970" s="343"/>
      <c r="H970" s="343"/>
      <c r="I970" s="343"/>
    </row>
    <row r="971" spans="1:9" ht="12.75" x14ac:dyDescent="0.2">
      <c r="A971" s="349"/>
      <c r="B971" s="343"/>
      <c r="C971" s="343"/>
      <c r="D971" s="343"/>
      <c r="E971" s="343"/>
      <c r="F971" s="343"/>
      <c r="G971" s="343"/>
      <c r="H971" s="343"/>
      <c r="I971" s="343"/>
    </row>
    <row r="972" spans="1:9" ht="12.75" x14ac:dyDescent="0.2">
      <c r="A972" s="349"/>
      <c r="B972" s="343"/>
      <c r="C972" s="343"/>
      <c r="D972" s="343"/>
      <c r="E972" s="343"/>
      <c r="F972" s="343"/>
      <c r="G972" s="343"/>
      <c r="H972" s="343"/>
      <c r="I972" s="343"/>
    </row>
    <row r="973" spans="1:9" ht="12.75" x14ac:dyDescent="0.2">
      <c r="A973" s="349"/>
      <c r="B973" s="343"/>
      <c r="C973" s="343"/>
      <c r="D973" s="343"/>
      <c r="E973" s="343"/>
      <c r="F973" s="343"/>
      <c r="G973" s="343"/>
      <c r="H973" s="343"/>
      <c r="I973" s="343"/>
    </row>
    <row r="974" spans="1:9" ht="12.75" x14ac:dyDescent="0.2">
      <c r="A974" s="349"/>
      <c r="B974" s="343"/>
      <c r="C974" s="343"/>
      <c r="D974" s="343"/>
      <c r="E974" s="343"/>
      <c r="F974" s="343"/>
      <c r="G974" s="343"/>
      <c r="H974" s="343"/>
      <c r="I974" s="343"/>
    </row>
    <row r="975" spans="1:9" ht="12.75" x14ac:dyDescent="0.2">
      <c r="A975" s="349"/>
      <c r="B975" s="343"/>
      <c r="C975" s="343"/>
      <c r="D975" s="343"/>
      <c r="E975" s="343"/>
      <c r="F975" s="343"/>
      <c r="G975" s="343"/>
      <c r="H975" s="343"/>
      <c r="I975" s="343"/>
    </row>
    <row r="976" spans="1:9" ht="12.75" x14ac:dyDescent="0.2">
      <c r="A976" s="349"/>
      <c r="B976" s="343"/>
      <c r="C976" s="343"/>
      <c r="D976" s="343"/>
      <c r="E976" s="343"/>
      <c r="F976" s="343"/>
      <c r="G976" s="343"/>
      <c r="H976" s="343"/>
      <c r="I976" s="343"/>
    </row>
    <row r="977" spans="1:9" ht="12.75" x14ac:dyDescent="0.2">
      <c r="A977" s="349"/>
      <c r="B977" s="343"/>
      <c r="C977" s="343"/>
      <c r="D977" s="343"/>
      <c r="E977" s="343"/>
      <c r="F977" s="343"/>
      <c r="G977" s="343"/>
      <c r="H977" s="343"/>
      <c r="I977" s="343"/>
    </row>
    <row r="978" spans="1:9" ht="12.75" x14ac:dyDescent="0.2">
      <c r="A978" s="349"/>
      <c r="B978" s="343"/>
      <c r="C978" s="343"/>
      <c r="D978" s="343"/>
      <c r="E978" s="343"/>
      <c r="F978" s="343"/>
      <c r="G978" s="343"/>
      <c r="H978" s="343"/>
      <c r="I978" s="343"/>
    </row>
    <row r="979" spans="1:9" ht="12.75" x14ac:dyDescent="0.2">
      <c r="A979" s="349"/>
      <c r="B979" s="343"/>
      <c r="C979" s="343"/>
      <c r="D979" s="343"/>
      <c r="E979" s="343"/>
      <c r="F979" s="343"/>
      <c r="G979" s="343"/>
      <c r="H979" s="343"/>
      <c r="I979" s="343"/>
    </row>
    <row r="980" spans="1:9" ht="12.75" x14ac:dyDescent="0.2">
      <c r="A980" s="349"/>
      <c r="B980" s="343"/>
      <c r="C980" s="343"/>
      <c r="D980" s="343"/>
      <c r="E980" s="343"/>
      <c r="F980" s="343"/>
      <c r="G980" s="343"/>
      <c r="H980" s="343"/>
      <c r="I980" s="343"/>
    </row>
    <row r="981" spans="1:9" ht="12.75" x14ac:dyDescent="0.2">
      <c r="A981" s="349"/>
      <c r="B981" s="343"/>
      <c r="C981" s="343"/>
      <c r="D981" s="343"/>
      <c r="E981" s="343"/>
      <c r="F981" s="343"/>
      <c r="G981" s="343"/>
      <c r="H981" s="343"/>
      <c r="I981" s="343"/>
    </row>
    <row r="982" spans="1:9" ht="12.75" x14ac:dyDescent="0.2">
      <c r="A982" s="349"/>
      <c r="B982" s="343"/>
      <c r="C982" s="343"/>
      <c r="D982" s="343"/>
      <c r="E982" s="343"/>
      <c r="F982" s="343"/>
      <c r="G982" s="343"/>
      <c r="H982" s="343"/>
      <c r="I982" s="343"/>
    </row>
    <row r="983" spans="1:9" ht="12.75" x14ac:dyDescent="0.2">
      <c r="A983" s="349"/>
      <c r="B983" s="343"/>
      <c r="C983" s="343"/>
      <c r="D983" s="343"/>
      <c r="E983" s="343"/>
      <c r="F983" s="343"/>
      <c r="G983" s="343"/>
      <c r="H983" s="343"/>
      <c r="I983" s="343"/>
    </row>
  </sheetData>
  <mergeCells count="5">
    <mergeCell ref="A1:I1"/>
    <mergeCell ref="A2:A3"/>
    <mergeCell ref="B2:E2"/>
    <mergeCell ref="F2:I2"/>
    <mergeCell ref="A19:I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Assumptions</vt:lpstr>
      <vt:lpstr>BCA Summary </vt:lpstr>
      <vt:lpstr>Travel Time Savings </vt:lpstr>
      <vt:lpstr>Operation Benefits</vt:lpstr>
      <vt:lpstr>Safety Benefits</vt:lpstr>
      <vt:lpstr>Air Quality</vt:lpstr>
      <vt:lpstr>Operating and Maintenance Costs</vt:lpstr>
      <vt:lpstr>Capital Cost and RCV Calc</vt:lpstr>
      <vt:lpstr>Crashes</vt:lpstr>
      <vt:lpstr>Collision Injury Breakdown</vt:lpstr>
      <vt:lpstr>'Air Quality'!Print_Area</vt:lpstr>
      <vt:lpstr>'BCA Summary '!Print_Area</vt:lpstr>
      <vt:lpstr>'Safety Benefits'!Print_Area</vt:lpstr>
      <vt:lpstr>'Travel Time Savings '!Print_Area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2015-06-02T17:19:45Z</cp:lastPrinted>
  <dcterms:created xsi:type="dcterms:W3CDTF">2013-05-17T20:57:43Z</dcterms:created>
  <dcterms:modified xsi:type="dcterms:W3CDTF">2022-11-30T17:59:49Z</dcterms:modified>
</cp:coreProperties>
</file>